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Janki\Downloads\"/>
    </mc:Choice>
  </mc:AlternateContent>
  <xr:revisionPtr revIDLastSave="0" documentId="13_ncr:1_{501E676F-AA54-4F21-9B44-B2471875A600}" xr6:coauthVersionLast="47" xr6:coauthVersionMax="47" xr10:uidLastSave="{00000000-0000-0000-0000-000000000000}"/>
  <bookViews>
    <workbookView xWindow="-109" yWindow="-109" windowWidth="21954" windowHeight="11982" xr2:uid="{00000000-000D-0000-FFFF-FFFF00000000}"/>
  </bookViews>
  <sheets>
    <sheet name="Student Fee Data" sheetId="1" r:id="rId1"/>
    <sheet name="Sheet2" sheetId="6" r:id="rId2"/>
    <sheet name="Sheet1" sheetId="5" r:id="rId3"/>
    <sheet name="Dashboard" sheetId="2" r:id="rId4"/>
    <sheet name="Fee Communication" sheetId="3" r:id="rId5"/>
    <sheet name="InternationalStudents" sheetId="4" state="hidden" r:id="rId6"/>
  </sheets>
  <definedNames>
    <definedName name="_xlnm._FilterDatabase" localSheetId="2" hidden="1">Sheet1!$A$1:$U$248</definedName>
    <definedName name="master" localSheetId="0">'Student Fee Data'!$A$3:$L$29</definedName>
    <definedName name="Z_10370B21_7205_4D2E_87D6_806F9250D7DA_.wvu.FilterData" localSheetId="0" hidden="1">'Student Fee Data'!$A$3:$L$29</definedName>
  </definedNames>
  <calcPr calcId="191029"/>
  <customWorkbookViews>
    <customWorkbookView name="Filter 1" guid="{10370B21-7205-4D2E-87D6-806F9250D7DA}" maximized="1" windowWidth="0" windowHeight="0" activeSheetId="0"/>
  </customWorkbookViews>
  <pivotCaches>
    <pivotCache cacheId="4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D829" i="6" l="1"/>
  <c r="AC829" i="6"/>
  <c r="AB829" i="6"/>
  <c r="AA829" i="6"/>
  <c r="Z829" i="6"/>
  <c r="Y829" i="6"/>
  <c r="X829" i="6"/>
  <c r="W829" i="6"/>
  <c r="V829" i="6"/>
  <c r="U829" i="6"/>
  <c r="T829" i="6"/>
  <c r="S829" i="6"/>
  <c r="R829" i="6"/>
  <c r="Q829" i="6"/>
  <c r="P829" i="6"/>
  <c r="O829" i="6"/>
  <c r="N829" i="6"/>
  <c r="M829" i="6"/>
  <c r="L829" i="6"/>
  <c r="K829" i="6"/>
  <c r="J829" i="6"/>
  <c r="H829" i="6"/>
  <c r="G829" i="6"/>
  <c r="F829" i="6"/>
  <c r="E829" i="6"/>
  <c r="D829" i="6"/>
  <c r="C829" i="6"/>
  <c r="B829" i="6"/>
  <c r="A829" i="6"/>
  <c r="AC828" i="6"/>
  <c r="AB828" i="6"/>
  <c r="AA828" i="6"/>
  <c r="Z828" i="6"/>
  <c r="Y828" i="6"/>
  <c r="X828" i="6"/>
  <c r="W828" i="6"/>
  <c r="V828" i="6"/>
  <c r="U828" i="6"/>
  <c r="T828" i="6"/>
  <c r="S828" i="6"/>
  <c r="R828" i="6"/>
  <c r="Q828" i="6"/>
  <c r="P828" i="6"/>
  <c r="O828" i="6"/>
  <c r="N828" i="6"/>
  <c r="M828" i="6"/>
  <c r="L828" i="6"/>
  <c r="K828" i="6"/>
  <c r="J828" i="6"/>
  <c r="H828" i="6"/>
  <c r="G828" i="6"/>
  <c r="F828" i="6"/>
  <c r="E828" i="6"/>
  <c r="D828" i="6"/>
  <c r="C828" i="6"/>
  <c r="B828" i="6"/>
  <c r="A828" i="6"/>
  <c r="AD827" i="6"/>
  <c r="AC827" i="6"/>
  <c r="AB827" i="6"/>
  <c r="AA827" i="6"/>
  <c r="Z827" i="6"/>
  <c r="Y827" i="6"/>
  <c r="X827" i="6"/>
  <c r="W827" i="6"/>
  <c r="V827" i="6"/>
  <c r="U827" i="6"/>
  <c r="T827" i="6"/>
  <c r="S827" i="6"/>
  <c r="R827" i="6"/>
  <c r="Q827" i="6"/>
  <c r="P827" i="6"/>
  <c r="O827" i="6"/>
  <c r="N827" i="6"/>
  <c r="M827" i="6"/>
  <c r="L827" i="6"/>
  <c r="K827" i="6"/>
  <c r="J827" i="6"/>
  <c r="I827" i="6"/>
  <c r="H827" i="6"/>
  <c r="G827" i="6"/>
  <c r="F827" i="6"/>
  <c r="E827" i="6"/>
  <c r="D827" i="6"/>
  <c r="C827" i="6"/>
  <c r="B827" i="6"/>
  <c r="A827" i="6"/>
  <c r="AD826" i="6"/>
  <c r="AC826" i="6"/>
  <c r="AB826" i="6"/>
  <c r="AA826" i="6"/>
  <c r="Z826" i="6"/>
  <c r="Y826" i="6"/>
  <c r="X826" i="6"/>
  <c r="W826" i="6"/>
  <c r="V826" i="6"/>
  <c r="U826" i="6"/>
  <c r="T826" i="6"/>
  <c r="S826" i="6"/>
  <c r="R826" i="6"/>
  <c r="Q826" i="6"/>
  <c r="P826" i="6"/>
  <c r="O826" i="6"/>
  <c r="N826" i="6"/>
  <c r="M826" i="6"/>
  <c r="L826" i="6"/>
  <c r="K826" i="6"/>
  <c r="J826" i="6"/>
  <c r="I826" i="6"/>
  <c r="H826" i="6"/>
  <c r="G826" i="6"/>
  <c r="F826" i="6"/>
  <c r="E826" i="6"/>
  <c r="D826" i="6"/>
  <c r="C826" i="6"/>
  <c r="B826" i="6"/>
  <c r="A826" i="6"/>
  <c r="AD825" i="6"/>
  <c r="AC825" i="6"/>
  <c r="AB825" i="6"/>
  <c r="AA825" i="6"/>
  <c r="Z825" i="6"/>
  <c r="Y825" i="6"/>
  <c r="X825" i="6"/>
  <c r="W825" i="6"/>
  <c r="V825" i="6"/>
  <c r="U825" i="6"/>
  <c r="T825" i="6"/>
  <c r="S825" i="6"/>
  <c r="R825" i="6"/>
  <c r="Q825" i="6"/>
  <c r="P825" i="6"/>
  <c r="O825" i="6"/>
  <c r="N825" i="6"/>
  <c r="M825" i="6"/>
  <c r="L825" i="6"/>
  <c r="K825" i="6"/>
  <c r="J825" i="6"/>
  <c r="I825" i="6"/>
  <c r="H825" i="6"/>
  <c r="G825" i="6"/>
  <c r="F825" i="6"/>
  <c r="E825" i="6"/>
  <c r="D825" i="6"/>
  <c r="C825" i="6"/>
  <c r="B825" i="6"/>
  <c r="A825" i="6"/>
  <c r="AD824" i="6"/>
  <c r="AC824" i="6"/>
  <c r="AB824" i="6"/>
  <c r="AA824" i="6"/>
  <c r="Z824" i="6"/>
  <c r="Y824" i="6"/>
  <c r="X824" i="6"/>
  <c r="W824" i="6"/>
  <c r="V824" i="6"/>
  <c r="U824" i="6"/>
  <c r="T824" i="6"/>
  <c r="S824" i="6"/>
  <c r="R824" i="6"/>
  <c r="Q824" i="6"/>
  <c r="P824" i="6"/>
  <c r="O824" i="6"/>
  <c r="N824" i="6"/>
  <c r="M824" i="6"/>
  <c r="L824" i="6"/>
  <c r="K824" i="6"/>
  <c r="J824" i="6"/>
  <c r="I824" i="6"/>
  <c r="H824" i="6"/>
  <c r="G824" i="6"/>
  <c r="F824" i="6"/>
  <c r="E824" i="6"/>
  <c r="D824" i="6"/>
  <c r="C824" i="6"/>
  <c r="B824" i="6"/>
  <c r="A824" i="6"/>
  <c r="AC823" i="6"/>
  <c r="AB823" i="6"/>
  <c r="AA823" i="6"/>
  <c r="Z823" i="6"/>
  <c r="Y823" i="6"/>
  <c r="X823" i="6"/>
  <c r="W823" i="6"/>
  <c r="V823" i="6"/>
  <c r="U823" i="6"/>
  <c r="T823" i="6"/>
  <c r="S823" i="6"/>
  <c r="R823" i="6"/>
  <c r="Q823" i="6"/>
  <c r="P823" i="6"/>
  <c r="O823" i="6"/>
  <c r="N823" i="6"/>
  <c r="M823" i="6"/>
  <c r="L823" i="6"/>
  <c r="K823" i="6"/>
  <c r="J823" i="6"/>
  <c r="H823" i="6"/>
  <c r="G823" i="6"/>
  <c r="F823" i="6"/>
  <c r="E823" i="6"/>
  <c r="D823" i="6"/>
  <c r="C823" i="6"/>
  <c r="B823" i="6"/>
  <c r="A823" i="6"/>
  <c r="AD822" i="6"/>
  <c r="AC822" i="6"/>
  <c r="AB822" i="6"/>
  <c r="AA822" i="6"/>
  <c r="Z822" i="6"/>
  <c r="Y822" i="6"/>
  <c r="X822" i="6"/>
  <c r="W822" i="6"/>
  <c r="V822" i="6"/>
  <c r="U822" i="6"/>
  <c r="T822" i="6"/>
  <c r="S822" i="6"/>
  <c r="R822" i="6"/>
  <c r="Q822" i="6"/>
  <c r="P822" i="6"/>
  <c r="O822" i="6"/>
  <c r="N822" i="6"/>
  <c r="M822" i="6"/>
  <c r="L822" i="6"/>
  <c r="K822" i="6"/>
  <c r="J822" i="6"/>
  <c r="I822" i="6"/>
  <c r="H822" i="6"/>
  <c r="G822" i="6"/>
  <c r="F822" i="6"/>
  <c r="E822" i="6"/>
  <c r="D822" i="6"/>
  <c r="C822" i="6"/>
  <c r="B822" i="6"/>
  <c r="A822" i="6"/>
  <c r="AD821" i="6"/>
  <c r="AC821" i="6"/>
  <c r="AB821" i="6"/>
  <c r="AA821" i="6"/>
  <c r="Z821" i="6"/>
  <c r="Y821" i="6"/>
  <c r="X821" i="6"/>
  <c r="W821" i="6"/>
  <c r="V821" i="6"/>
  <c r="U821" i="6"/>
  <c r="T821" i="6"/>
  <c r="S821" i="6"/>
  <c r="R821" i="6"/>
  <c r="Q821" i="6"/>
  <c r="P821" i="6"/>
  <c r="O821" i="6"/>
  <c r="N821" i="6"/>
  <c r="M821" i="6"/>
  <c r="L821" i="6"/>
  <c r="K821" i="6"/>
  <c r="J821" i="6"/>
  <c r="I821" i="6"/>
  <c r="H821" i="6"/>
  <c r="G821" i="6"/>
  <c r="F821" i="6"/>
  <c r="E821" i="6"/>
  <c r="D821" i="6"/>
  <c r="C821" i="6"/>
  <c r="B821" i="6"/>
  <c r="A821" i="6"/>
  <c r="AD820" i="6"/>
  <c r="AC820" i="6"/>
  <c r="AB820" i="6"/>
  <c r="AA820" i="6"/>
  <c r="Z820" i="6"/>
  <c r="Y820" i="6"/>
  <c r="X820" i="6"/>
  <c r="W820" i="6"/>
  <c r="V820" i="6"/>
  <c r="U820" i="6"/>
  <c r="T820" i="6"/>
  <c r="S820" i="6"/>
  <c r="R820" i="6"/>
  <c r="Q820" i="6"/>
  <c r="P820" i="6"/>
  <c r="O820" i="6"/>
  <c r="N820" i="6"/>
  <c r="M820" i="6"/>
  <c r="L820" i="6"/>
  <c r="K820" i="6"/>
  <c r="J820" i="6"/>
  <c r="I820" i="6"/>
  <c r="H820" i="6"/>
  <c r="G820" i="6"/>
  <c r="F820" i="6"/>
  <c r="E820" i="6"/>
  <c r="D820" i="6"/>
  <c r="C820" i="6"/>
  <c r="B820" i="6"/>
  <c r="A820" i="6"/>
  <c r="AD819" i="6"/>
  <c r="AC819" i="6"/>
  <c r="AB819" i="6"/>
  <c r="AA819" i="6"/>
  <c r="Z819" i="6"/>
  <c r="Y819" i="6"/>
  <c r="X819" i="6"/>
  <c r="W819" i="6"/>
  <c r="V819" i="6"/>
  <c r="U819" i="6"/>
  <c r="T819" i="6"/>
  <c r="S819" i="6"/>
  <c r="R819" i="6"/>
  <c r="Q819" i="6"/>
  <c r="P819" i="6"/>
  <c r="O819" i="6"/>
  <c r="N819" i="6"/>
  <c r="M819" i="6"/>
  <c r="L819" i="6"/>
  <c r="K819" i="6"/>
  <c r="J819" i="6"/>
  <c r="I819" i="6"/>
  <c r="H819" i="6"/>
  <c r="G819" i="6"/>
  <c r="F819" i="6"/>
  <c r="E819" i="6"/>
  <c r="D819" i="6"/>
  <c r="C819" i="6"/>
  <c r="B819" i="6"/>
  <c r="A819" i="6"/>
  <c r="AC818" i="6"/>
  <c r="AB818" i="6"/>
  <c r="AA818" i="6"/>
  <c r="Z818" i="6"/>
  <c r="Y818" i="6"/>
  <c r="X818" i="6"/>
  <c r="W818" i="6"/>
  <c r="V818" i="6"/>
  <c r="U818" i="6"/>
  <c r="T818" i="6"/>
  <c r="S818" i="6"/>
  <c r="R818" i="6"/>
  <c r="Q818" i="6"/>
  <c r="P818" i="6"/>
  <c r="O818" i="6"/>
  <c r="N818" i="6"/>
  <c r="M818" i="6"/>
  <c r="L818" i="6"/>
  <c r="K818" i="6"/>
  <c r="J818" i="6"/>
  <c r="H818" i="6"/>
  <c r="G818" i="6"/>
  <c r="F818" i="6"/>
  <c r="E818" i="6"/>
  <c r="D818" i="6"/>
  <c r="C818" i="6"/>
  <c r="B818" i="6"/>
  <c r="A818" i="6"/>
  <c r="AD817" i="6"/>
  <c r="AC817" i="6"/>
  <c r="AB817" i="6"/>
  <c r="AA817" i="6"/>
  <c r="Z817" i="6"/>
  <c r="Y817" i="6"/>
  <c r="X817" i="6"/>
  <c r="W817" i="6"/>
  <c r="V817" i="6"/>
  <c r="U817" i="6"/>
  <c r="T817" i="6"/>
  <c r="S817" i="6"/>
  <c r="R817" i="6"/>
  <c r="Q817" i="6"/>
  <c r="P817" i="6"/>
  <c r="O817" i="6"/>
  <c r="N817" i="6"/>
  <c r="M817" i="6"/>
  <c r="L817" i="6"/>
  <c r="K817" i="6"/>
  <c r="J817" i="6"/>
  <c r="I817" i="6"/>
  <c r="H817" i="6"/>
  <c r="G817" i="6"/>
  <c r="F817" i="6"/>
  <c r="E817" i="6"/>
  <c r="D817" i="6"/>
  <c r="C817" i="6"/>
  <c r="B817" i="6"/>
  <c r="A817" i="6"/>
  <c r="AD816" i="6"/>
  <c r="AC816" i="6"/>
  <c r="AB816" i="6"/>
  <c r="AA816" i="6"/>
  <c r="Z816" i="6"/>
  <c r="Y816" i="6"/>
  <c r="X816" i="6"/>
  <c r="W816" i="6"/>
  <c r="V816" i="6"/>
  <c r="U816" i="6"/>
  <c r="T816" i="6"/>
  <c r="S816" i="6"/>
  <c r="R816" i="6"/>
  <c r="Q816" i="6"/>
  <c r="P816" i="6"/>
  <c r="O816" i="6"/>
  <c r="N816" i="6"/>
  <c r="M816" i="6"/>
  <c r="L816" i="6"/>
  <c r="K816" i="6"/>
  <c r="J816" i="6"/>
  <c r="I816" i="6"/>
  <c r="H816" i="6"/>
  <c r="G816" i="6"/>
  <c r="F816" i="6"/>
  <c r="E816" i="6"/>
  <c r="D816" i="6"/>
  <c r="C816" i="6"/>
  <c r="B816" i="6"/>
  <c r="A816" i="6"/>
  <c r="AC815" i="6"/>
  <c r="AB815" i="6"/>
  <c r="AA815" i="6"/>
  <c r="Z815" i="6"/>
  <c r="Y815" i="6"/>
  <c r="X815" i="6"/>
  <c r="W815" i="6"/>
  <c r="V815" i="6"/>
  <c r="U815" i="6"/>
  <c r="T815" i="6"/>
  <c r="S815" i="6"/>
  <c r="R815" i="6"/>
  <c r="Q815" i="6"/>
  <c r="P815" i="6"/>
  <c r="O815" i="6"/>
  <c r="N815" i="6"/>
  <c r="M815" i="6"/>
  <c r="L815" i="6"/>
  <c r="K815" i="6"/>
  <c r="J815" i="6"/>
  <c r="H815" i="6"/>
  <c r="G815" i="6"/>
  <c r="F815" i="6"/>
  <c r="E815" i="6"/>
  <c r="D815" i="6"/>
  <c r="C815" i="6"/>
  <c r="B815" i="6"/>
  <c r="A815" i="6"/>
  <c r="AC814" i="6"/>
  <c r="AB814" i="6"/>
  <c r="AA814" i="6"/>
  <c r="Z814" i="6"/>
  <c r="Y814" i="6"/>
  <c r="X814" i="6"/>
  <c r="W814" i="6"/>
  <c r="V814" i="6"/>
  <c r="U814" i="6"/>
  <c r="T814" i="6"/>
  <c r="S814" i="6"/>
  <c r="R814" i="6"/>
  <c r="Q814" i="6"/>
  <c r="P814" i="6"/>
  <c r="O814" i="6"/>
  <c r="N814" i="6"/>
  <c r="M814" i="6"/>
  <c r="L814" i="6"/>
  <c r="K814" i="6"/>
  <c r="J814" i="6"/>
  <c r="H814" i="6"/>
  <c r="G814" i="6"/>
  <c r="F814" i="6"/>
  <c r="E814" i="6"/>
  <c r="D814" i="6"/>
  <c r="C814" i="6"/>
  <c r="B814" i="6"/>
  <c r="A814" i="6"/>
  <c r="AC813" i="6"/>
  <c r="AB813" i="6"/>
  <c r="AA813" i="6"/>
  <c r="Z813" i="6"/>
  <c r="Y813" i="6"/>
  <c r="X813" i="6"/>
  <c r="W813" i="6"/>
  <c r="V813" i="6"/>
  <c r="U813" i="6"/>
  <c r="T813" i="6"/>
  <c r="S813" i="6"/>
  <c r="R813" i="6"/>
  <c r="Q813" i="6"/>
  <c r="P813" i="6"/>
  <c r="O813" i="6"/>
  <c r="N813" i="6"/>
  <c r="M813" i="6"/>
  <c r="L813" i="6"/>
  <c r="K813" i="6"/>
  <c r="J813" i="6"/>
  <c r="H813" i="6"/>
  <c r="G813" i="6"/>
  <c r="F813" i="6"/>
  <c r="E813" i="6"/>
  <c r="D813" i="6"/>
  <c r="C813" i="6"/>
  <c r="B813" i="6"/>
  <c r="A813" i="6"/>
  <c r="AC812" i="6"/>
  <c r="AB812" i="6"/>
  <c r="AA812" i="6"/>
  <c r="Z812" i="6"/>
  <c r="Y812" i="6"/>
  <c r="X812" i="6"/>
  <c r="W812" i="6"/>
  <c r="V812" i="6"/>
  <c r="U812" i="6"/>
  <c r="T812" i="6"/>
  <c r="S812" i="6"/>
  <c r="R812" i="6"/>
  <c r="Q812" i="6"/>
  <c r="P812" i="6"/>
  <c r="O812" i="6"/>
  <c r="N812" i="6"/>
  <c r="M812" i="6"/>
  <c r="L812" i="6"/>
  <c r="K812" i="6"/>
  <c r="J812" i="6"/>
  <c r="H812" i="6"/>
  <c r="G812" i="6"/>
  <c r="F812" i="6"/>
  <c r="E812" i="6"/>
  <c r="D812" i="6"/>
  <c r="C812" i="6"/>
  <c r="B812" i="6"/>
  <c r="A812" i="6"/>
  <c r="AC811" i="6"/>
  <c r="AB811" i="6"/>
  <c r="AA811" i="6"/>
  <c r="Z811" i="6"/>
  <c r="Y811" i="6"/>
  <c r="X811" i="6"/>
  <c r="W811" i="6"/>
  <c r="V811" i="6"/>
  <c r="U811" i="6"/>
  <c r="T811" i="6"/>
  <c r="S811" i="6"/>
  <c r="R811" i="6"/>
  <c r="Q811" i="6"/>
  <c r="P811" i="6"/>
  <c r="O811" i="6"/>
  <c r="N811" i="6"/>
  <c r="M811" i="6"/>
  <c r="L811" i="6"/>
  <c r="K811" i="6"/>
  <c r="J811" i="6"/>
  <c r="H811" i="6"/>
  <c r="G811" i="6"/>
  <c r="F811" i="6"/>
  <c r="E811" i="6"/>
  <c r="D811" i="6"/>
  <c r="C811" i="6"/>
  <c r="B811" i="6"/>
  <c r="A811" i="6"/>
  <c r="AC810" i="6"/>
  <c r="AB810" i="6"/>
  <c r="AA810" i="6"/>
  <c r="Z810" i="6"/>
  <c r="Y810" i="6"/>
  <c r="X810" i="6"/>
  <c r="W810" i="6"/>
  <c r="V810" i="6"/>
  <c r="U810" i="6"/>
  <c r="T810" i="6"/>
  <c r="S810" i="6"/>
  <c r="R810" i="6"/>
  <c r="Q810" i="6"/>
  <c r="P810" i="6"/>
  <c r="O810" i="6"/>
  <c r="N810" i="6"/>
  <c r="M810" i="6"/>
  <c r="L810" i="6"/>
  <c r="K810" i="6"/>
  <c r="J810" i="6"/>
  <c r="H810" i="6"/>
  <c r="G810" i="6"/>
  <c r="F810" i="6"/>
  <c r="E810" i="6"/>
  <c r="D810" i="6"/>
  <c r="C810" i="6"/>
  <c r="B810" i="6"/>
  <c r="A810" i="6"/>
  <c r="AC809" i="6"/>
  <c r="AB809" i="6"/>
  <c r="AA809" i="6"/>
  <c r="Z809" i="6"/>
  <c r="Y809" i="6"/>
  <c r="X809" i="6"/>
  <c r="W809" i="6"/>
  <c r="V809" i="6"/>
  <c r="U809" i="6"/>
  <c r="T809" i="6"/>
  <c r="S809" i="6"/>
  <c r="R809" i="6"/>
  <c r="Q809" i="6"/>
  <c r="P809" i="6"/>
  <c r="O809" i="6"/>
  <c r="N809" i="6"/>
  <c r="M809" i="6"/>
  <c r="L809" i="6"/>
  <c r="K809" i="6"/>
  <c r="J809" i="6"/>
  <c r="H809" i="6"/>
  <c r="G809" i="6"/>
  <c r="F809" i="6"/>
  <c r="E809" i="6"/>
  <c r="D809" i="6"/>
  <c r="C809" i="6"/>
  <c r="B809" i="6"/>
  <c r="A809" i="6"/>
  <c r="AC808" i="6"/>
  <c r="AB808" i="6"/>
  <c r="AA808" i="6"/>
  <c r="Z808" i="6"/>
  <c r="Y808" i="6"/>
  <c r="X808" i="6"/>
  <c r="W808" i="6"/>
  <c r="V808" i="6"/>
  <c r="U808" i="6"/>
  <c r="T808" i="6"/>
  <c r="S808" i="6"/>
  <c r="R808" i="6"/>
  <c r="Q808" i="6"/>
  <c r="P808" i="6"/>
  <c r="O808" i="6"/>
  <c r="N808" i="6"/>
  <c r="M808" i="6"/>
  <c r="L808" i="6"/>
  <c r="K808" i="6"/>
  <c r="J808" i="6"/>
  <c r="H808" i="6"/>
  <c r="G808" i="6"/>
  <c r="F808" i="6"/>
  <c r="E808" i="6"/>
  <c r="D808" i="6"/>
  <c r="C808" i="6"/>
  <c r="B808" i="6"/>
  <c r="A808" i="6"/>
  <c r="AC807" i="6"/>
  <c r="AB807" i="6"/>
  <c r="AA807" i="6"/>
  <c r="Z807" i="6"/>
  <c r="Y807" i="6"/>
  <c r="X807" i="6"/>
  <c r="W807" i="6"/>
  <c r="V807" i="6"/>
  <c r="U807" i="6"/>
  <c r="T807" i="6"/>
  <c r="S807" i="6"/>
  <c r="R807" i="6"/>
  <c r="Q807" i="6"/>
  <c r="P807" i="6"/>
  <c r="O807" i="6"/>
  <c r="N807" i="6"/>
  <c r="M807" i="6"/>
  <c r="L807" i="6"/>
  <c r="K807" i="6"/>
  <c r="J807" i="6"/>
  <c r="H807" i="6"/>
  <c r="G807" i="6"/>
  <c r="F807" i="6"/>
  <c r="E807" i="6"/>
  <c r="D807" i="6"/>
  <c r="C807" i="6"/>
  <c r="B807" i="6"/>
  <c r="A807" i="6"/>
  <c r="AC806" i="6"/>
  <c r="AB806" i="6"/>
  <c r="AA806" i="6"/>
  <c r="Z806" i="6"/>
  <c r="Y806" i="6"/>
  <c r="X806" i="6"/>
  <c r="W806" i="6"/>
  <c r="V806" i="6"/>
  <c r="U806" i="6"/>
  <c r="T806" i="6"/>
  <c r="S806" i="6"/>
  <c r="R806" i="6"/>
  <c r="Q806" i="6"/>
  <c r="P806" i="6"/>
  <c r="O806" i="6"/>
  <c r="N806" i="6"/>
  <c r="M806" i="6"/>
  <c r="L806" i="6"/>
  <c r="K806" i="6"/>
  <c r="J806" i="6"/>
  <c r="H806" i="6"/>
  <c r="G806" i="6"/>
  <c r="F806" i="6"/>
  <c r="E806" i="6"/>
  <c r="D806" i="6"/>
  <c r="C806" i="6"/>
  <c r="B806" i="6"/>
  <c r="A806" i="6"/>
  <c r="AC805" i="6"/>
  <c r="AB805" i="6"/>
  <c r="AA805" i="6"/>
  <c r="Z805" i="6"/>
  <c r="Y805" i="6"/>
  <c r="X805" i="6"/>
  <c r="W805" i="6"/>
  <c r="V805" i="6"/>
  <c r="U805" i="6"/>
  <c r="T805" i="6"/>
  <c r="S805" i="6"/>
  <c r="R805" i="6"/>
  <c r="Q805" i="6"/>
  <c r="P805" i="6"/>
  <c r="O805" i="6"/>
  <c r="N805" i="6"/>
  <c r="M805" i="6"/>
  <c r="L805" i="6"/>
  <c r="K805" i="6"/>
  <c r="J805" i="6"/>
  <c r="H805" i="6"/>
  <c r="G805" i="6"/>
  <c r="F805" i="6"/>
  <c r="E805" i="6"/>
  <c r="D805" i="6"/>
  <c r="C805" i="6"/>
  <c r="B805" i="6"/>
  <c r="A805" i="6"/>
  <c r="AC804" i="6"/>
  <c r="AB804" i="6"/>
  <c r="AA804" i="6"/>
  <c r="Z804" i="6"/>
  <c r="Y804" i="6"/>
  <c r="X804" i="6"/>
  <c r="W804" i="6"/>
  <c r="V804" i="6"/>
  <c r="U804" i="6"/>
  <c r="T804" i="6"/>
  <c r="S804" i="6"/>
  <c r="R804" i="6"/>
  <c r="Q804" i="6"/>
  <c r="P804" i="6"/>
  <c r="O804" i="6"/>
  <c r="N804" i="6"/>
  <c r="M804" i="6"/>
  <c r="L804" i="6"/>
  <c r="K804" i="6"/>
  <c r="J804" i="6"/>
  <c r="H804" i="6"/>
  <c r="G804" i="6"/>
  <c r="F804" i="6"/>
  <c r="E804" i="6"/>
  <c r="D804" i="6"/>
  <c r="C804" i="6"/>
  <c r="B804" i="6"/>
  <c r="A804" i="6"/>
  <c r="AC803" i="6"/>
  <c r="AB803" i="6"/>
  <c r="AA803" i="6"/>
  <c r="Z803" i="6"/>
  <c r="Y803" i="6"/>
  <c r="X803" i="6"/>
  <c r="W803" i="6"/>
  <c r="V803" i="6"/>
  <c r="U803" i="6"/>
  <c r="T803" i="6"/>
  <c r="S803" i="6"/>
  <c r="R803" i="6"/>
  <c r="Q803" i="6"/>
  <c r="P803" i="6"/>
  <c r="O803" i="6"/>
  <c r="N803" i="6"/>
  <c r="M803" i="6"/>
  <c r="L803" i="6"/>
  <c r="K803" i="6"/>
  <c r="J803" i="6"/>
  <c r="H803" i="6"/>
  <c r="G803" i="6"/>
  <c r="F803" i="6"/>
  <c r="E803" i="6"/>
  <c r="D803" i="6"/>
  <c r="C803" i="6"/>
  <c r="B803" i="6"/>
  <c r="A803" i="6"/>
  <c r="AC802" i="6"/>
  <c r="AB802" i="6"/>
  <c r="AA802" i="6"/>
  <c r="Z802" i="6"/>
  <c r="Y802" i="6"/>
  <c r="X802" i="6"/>
  <c r="W802" i="6"/>
  <c r="V802" i="6"/>
  <c r="U802" i="6"/>
  <c r="T802" i="6"/>
  <c r="S802" i="6"/>
  <c r="R802" i="6"/>
  <c r="Q802" i="6"/>
  <c r="P802" i="6"/>
  <c r="O802" i="6"/>
  <c r="N802" i="6"/>
  <c r="M802" i="6"/>
  <c r="L802" i="6"/>
  <c r="K802" i="6"/>
  <c r="J802" i="6"/>
  <c r="H802" i="6"/>
  <c r="G802" i="6"/>
  <c r="F802" i="6"/>
  <c r="E802" i="6"/>
  <c r="D802" i="6"/>
  <c r="C802" i="6"/>
  <c r="B802" i="6"/>
  <c r="A802" i="6"/>
  <c r="AC801" i="6"/>
  <c r="AB801" i="6"/>
  <c r="AA801" i="6"/>
  <c r="Z801" i="6"/>
  <c r="Y801" i="6"/>
  <c r="X801" i="6"/>
  <c r="W801" i="6"/>
  <c r="V801" i="6"/>
  <c r="U801" i="6"/>
  <c r="T801" i="6"/>
  <c r="S801" i="6"/>
  <c r="R801" i="6"/>
  <c r="Q801" i="6"/>
  <c r="P801" i="6"/>
  <c r="O801" i="6"/>
  <c r="N801" i="6"/>
  <c r="M801" i="6"/>
  <c r="L801" i="6"/>
  <c r="K801" i="6"/>
  <c r="J801" i="6"/>
  <c r="H801" i="6"/>
  <c r="G801" i="6"/>
  <c r="F801" i="6"/>
  <c r="E801" i="6"/>
  <c r="D801" i="6"/>
  <c r="C801" i="6"/>
  <c r="B801" i="6"/>
  <c r="A801" i="6"/>
  <c r="AC800" i="6"/>
  <c r="AB800" i="6"/>
  <c r="AA800" i="6"/>
  <c r="Z800" i="6"/>
  <c r="Y800" i="6"/>
  <c r="X800" i="6"/>
  <c r="W800" i="6"/>
  <c r="V800" i="6"/>
  <c r="U800" i="6"/>
  <c r="T800" i="6"/>
  <c r="S800" i="6"/>
  <c r="R800" i="6"/>
  <c r="Q800" i="6"/>
  <c r="P800" i="6"/>
  <c r="O800" i="6"/>
  <c r="N800" i="6"/>
  <c r="M800" i="6"/>
  <c r="L800" i="6"/>
  <c r="K800" i="6"/>
  <c r="J800" i="6"/>
  <c r="H800" i="6"/>
  <c r="G800" i="6"/>
  <c r="F800" i="6"/>
  <c r="E800" i="6"/>
  <c r="D800" i="6"/>
  <c r="C800" i="6"/>
  <c r="B800" i="6"/>
  <c r="A800" i="6"/>
  <c r="AC799" i="6"/>
  <c r="AB799" i="6"/>
  <c r="AA799" i="6"/>
  <c r="Z799" i="6"/>
  <c r="Y799" i="6"/>
  <c r="X799" i="6"/>
  <c r="W799" i="6"/>
  <c r="V799" i="6"/>
  <c r="U799" i="6"/>
  <c r="T799" i="6"/>
  <c r="S799" i="6"/>
  <c r="R799" i="6"/>
  <c r="Q799" i="6"/>
  <c r="P799" i="6"/>
  <c r="O799" i="6"/>
  <c r="N799" i="6"/>
  <c r="M799" i="6"/>
  <c r="L799" i="6"/>
  <c r="K799" i="6"/>
  <c r="J799" i="6"/>
  <c r="H799" i="6"/>
  <c r="G799" i="6"/>
  <c r="F799" i="6"/>
  <c r="E799" i="6"/>
  <c r="D799" i="6"/>
  <c r="C799" i="6"/>
  <c r="B799" i="6"/>
  <c r="A799" i="6"/>
  <c r="AC798" i="6"/>
  <c r="AB798" i="6"/>
  <c r="AA798" i="6"/>
  <c r="Z798" i="6"/>
  <c r="Y798" i="6"/>
  <c r="X798" i="6"/>
  <c r="W798" i="6"/>
  <c r="V798" i="6"/>
  <c r="U798" i="6"/>
  <c r="T798" i="6"/>
  <c r="S798" i="6"/>
  <c r="R798" i="6"/>
  <c r="Q798" i="6"/>
  <c r="P798" i="6"/>
  <c r="O798" i="6"/>
  <c r="N798" i="6"/>
  <c r="M798" i="6"/>
  <c r="L798" i="6"/>
  <c r="K798" i="6"/>
  <c r="J798" i="6"/>
  <c r="H798" i="6"/>
  <c r="G798" i="6"/>
  <c r="F798" i="6"/>
  <c r="E798" i="6"/>
  <c r="D798" i="6"/>
  <c r="C798" i="6"/>
  <c r="B798" i="6"/>
  <c r="A798" i="6"/>
  <c r="AC797" i="6"/>
  <c r="AB797" i="6"/>
  <c r="AA797" i="6"/>
  <c r="Z797" i="6"/>
  <c r="Y797" i="6"/>
  <c r="X797" i="6"/>
  <c r="W797" i="6"/>
  <c r="V797" i="6"/>
  <c r="U797" i="6"/>
  <c r="T797" i="6"/>
  <c r="S797" i="6"/>
  <c r="R797" i="6"/>
  <c r="Q797" i="6"/>
  <c r="P797" i="6"/>
  <c r="O797" i="6"/>
  <c r="N797" i="6"/>
  <c r="M797" i="6"/>
  <c r="L797" i="6"/>
  <c r="K797" i="6"/>
  <c r="J797" i="6"/>
  <c r="H797" i="6"/>
  <c r="G797" i="6"/>
  <c r="F797" i="6"/>
  <c r="E797" i="6"/>
  <c r="D797" i="6"/>
  <c r="C797" i="6"/>
  <c r="B797" i="6"/>
  <c r="A797" i="6"/>
  <c r="AC796" i="6"/>
  <c r="AB796" i="6"/>
  <c r="AA796" i="6"/>
  <c r="Z796" i="6"/>
  <c r="Y796" i="6"/>
  <c r="X796" i="6"/>
  <c r="W796" i="6"/>
  <c r="V796" i="6"/>
  <c r="U796" i="6"/>
  <c r="T796" i="6"/>
  <c r="S796" i="6"/>
  <c r="R796" i="6"/>
  <c r="Q796" i="6"/>
  <c r="P796" i="6"/>
  <c r="O796" i="6"/>
  <c r="N796" i="6"/>
  <c r="M796" i="6"/>
  <c r="L796" i="6"/>
  <c r="K796" i="6"/>
  <c r="J796" i="6"/>
  <c r="H796" i="6"/>
  <c r="G796" i="6"/>
  <c r="F796" i="6"/>
  <c r="E796" i="6"/>
  <c r="D796" i="6"/>
  <c r="C796" i="6"/>
  <c r="B796" i="6"/>
  <c r="A796" i="6"/>
  <c r="AC795" i="6"/>
  <c r="AB795" i="6"/>
  <c r="AA795" i="6"/>
  <c r="Z795" i="6"/>
  <c r="Y795" i="6"/>
  <c r="X795" i="6"/>
  <c r="W795" i="6"/>
  <c r="V795" i="6"/>
  <c r="U795" i="6"/>
  <c r="T795" i="6"/>
  <c r="S795" i="6"/>
  <c r="R795" i="6"/>
  <c r="Q795" i="6"/>
  <c r="P795" i="6"/>
  <c r="O795" i="6"/>
  <c r="N795" i="6"/>
  <c r="M795" i="6"/>
  <c r="L795" i="6"/>
  <c r="K795" i="6"/>
  <c r="J795" i="6"/>
  <c r="H795" i="6"/>
  <c r="G795" i="6"/>
  <c r="F795" i="6"/>
  <c r="E795" i="6"/>
  <c r="D795" i="6"/>
  <c r="C795" i="6"/>
  <c r="B795" i="6"/>
  <c r="A795" i="6"/>
  <c r="AC794" i="6"/>
  <c r="AB794" i="6"/>
  <c r="AA794" i="6"/>
  <c r="Z794" i="6"/>
  <c r="Y794" i="6"/>
  <c r="X794" i="6"/>
  <c r="W794" i="6"/>
  <c r="V794" i="6"/>
  <c r="U794" i="6"/>
  <c r="T794" i="6"/>
  <c r="S794" i="6"/>
  <c r="R794" i="6"/>
  <c r="Q794" i="6"/>
  <c r="P794" i="6"/>
  <c r="O794" i="6"/>
  <c r="N794" i="6"/>
  <c r="M794" i="6"/>
  <c r="L794" i="6"/>
  <c r="K794" i="6"/>
  <c r="J794" i="6"/>
  <c r="H794" i="6"/>
  <c r="G794" i="6"/>
  <c r="F794" i="6"/>
  <c r="E794" i="6"/>
  <c r="D794" i="6"/>
  <c r="C794" i="6"/>
  <c r="B794" i="6"/>
  <c r="A794" i="6"/>
  <c r="AD793" i="6"/>
  <c r="AC793" i="6"/>
  <c r="AB793" i="6"/>
  <c r="AA793" i="6"/>
  <c r="Z793" i="6"/>
  <c r="Y793" i="6"/>
  <c r="X793" i="6"/>
  <c r="W793" i="6"/>
  <c r="V793" i="6"/>
  <c r="U793" i="6"/>
  <c r="T793" i="6"/>
  <c r="S793" i="6"/>
  <c r="R793" i="6"/>
  <c r="Q793" i="6"/>
  <c r="P793" i="6"/>
  <c r="O793" i="6"/>
  <c r="N793" i="6"/>
  <c r="M793" i="6"/>
  <c r="L793" i="6"/>
  <c r="K793" i="6"/>
  <c r="J793" i="6"/>
  <c r="I793" i="6"/>
  <c r="H793" i="6"/>
  <c r="G793" i="6"/>
  <c r="F793" i="6"/>
  <c r="E793" i="6"/>
  <c r="D793" i="6"/>
  <c r="C793" i="6"/>
  <c r="B793" i="6"/>
  <c r="A793" i="6"/>
  <c r="AD792" i="6"/>
  <c r="AC792" i="6"/>
  <c r="AB792" i="6"/>
  <c r="AA792" i="6"/>
  <c r="Z792" i="6"/>
  <c r="Y792" i="6"/>
  <c r="X792" i="6"/>
  <c r="W792" i="6"/>
  <c r="V792" i="6"/>
  <c r="U792" i="6"/>
  <c r="T792" i="6"/>
  <c r="S792" i="6"/>
  <c r="R792" i="6"/>
  <c r="Q792" i="6"/>
  <c r="P792" i="6"/>
  <c r="O792" i="6"/>
  <c r="N792" i="6"/>
  <c r="M792" i="6"/>
  <c r="L792" i="6"/>
  <c r="K792" i="6"/>
  <c r="J792" i="6"/>
  <c r="I792" i="6"/>
  <c r="H792" i="6"/>
  <c r="G792" i="6"/>
  <c r="F792" i="6"/>
  <c r="E792" i="6"/>
  <c r="D792" i="6"/>
  <c r="C792" i="6"/>
  <c r="B792" i="6"/>
  <c r="A792" i="6"/>
  <c r="AD791" i="6"/>
  <c r="AC791" i="6"/>
  <c r="AB791" i="6"/>
  <c r="AA791" i="6"/>
  <c r="Z791" i="6"/>
  <c r="Y791" i="6"/>
  <c r="X791" i="6"/>
  <c r="W791" i="6"/>
  <c r="V791" i="6"/>
  <c r="U791" i="6"/>
  <c r="T791" i="6"/>
  <c r="S791" i="6"/>
  <c r="R791" i="6"/>
  <c r="Q791" i="6"/>
  <c r="P791" i="6"/>
  <c r="O791" i="6"/>
  <c r="N791" i="6"/>
  <c r="M791" i="6"/>
  <c r="L791" i="6"/>
  <c r="K791" i="6"/>
  <c r="J791" i="6"/>
  <c r="I791" i="6"/>
  <c r="H791" i="6"/>
  <c r="G791" i="6"/>
  <c r="F791" i="6"/>
  <c r="E791" i="6"/>
  <c r="D791" i="6"/>
  <c r="C791" i="6"/>
  <c r="B791" i="6"/>
  <c r="A791" i="6"/>
  <c r="AD790" i="6"/>
  <c r="AC790" i="6"/>
  <c r="AB790" i="6"/>
  <c r="AA790" i="6"/>
  <c r="Z790" i="6"/>
  <c r="Y790" i="6"/>
  <c r="X790" i="6"/>
  <c r="W790" i="6"/>
  <c r="V790" i="6"/>
  <c r="U790" i="6"/>
  <c r="T790" i="6"/>
  <c r="S790" i="6"/>
  <c r="R790" i="6"/>
  <c r="Q790" i="6"/>
  <c r="P790" i="6"/>
  <c r="O790" i="6"/>
  <c r="N790" i="6"/>
  <c r="M790" i="6"/>
  <c r="L790" i="6"/>
  <c r="K790" i="6"/>
  <c r="J790" i="6"/>
  <c r="I790" i="6"/>
  <c r="H790" i="6"/>
  <c r="G790" i="6"/>
  <c r="F790" i="6"/>
  <c r="E790" i="6"/>
  <c r="D790" i="6"/>
  <c r="C790" i="6"/>
  <c r="B790" i="6"/>
  <c r="A790" i="6"/>
  <c r="AD789" i="6"/>
  <c r="AC789" i="6"/>
  <c r="AB789" i="6"/>
  <c r="AA789" i="6"/>
  <c r="Z789" i="6"/>
  <c r="Y789" i="6"/>
  <c r="X789" i="6"/>
  <c r="W789" i="6"/>
  <c r="V789" i="6"/>
  <c r="U789" i="6"/>
  <c r="T789" i="6"/>
  <c r="S789" i="6"/>
  <c r="R789" i="6"/>
  <c r="Q789" i="6"/>
  <c r="P789" i="6"/>
  <c r="O789" i="6"/>
  <c r="N789" i="6"/>
  <c r="M789" i="6"/>
  <c r="L789" i="6"/>
  <c r="K789" i="6"/>
  <c r="J789" i="6"/>
  <c r="I789" i="6"/>
  <c r="H789" i="6"/>
  <c r="G789" i="6"/>
  <c r="F789" i="6"/>
  <c r="E789" i="6"/>
  <c r="D789" i="6"/>
  <c r="C789" i="6"/>
  <c r="B789" i="6"/>
  <c r="A789" i="6"/>
  <c r="AC788" i="6"/>
  <c r="AB788" i="6"/>
  <c r="AA788" i="6"/>
  <c r="Z788" i="6"/>
  <c r="Y788" i="6"/>
  <c r="X788" i="6"/>
  <c r="W788" i="6"/>
  <c r="V788" i="6"/>
  <c r="U788" i="6"/>
  <c r="T788" i="6"/>
  <c r="S788" i="6"/>
  <c r="R788" i="6"/>
  <c r="Q788" i="6"/>
  <c r="P788" i="6"/>
  <c r="O788" i="6"/>
  <c r="N788" i="6"/>
  <c r="M788" i="6"/>
  <c r="L788" i="6"/>
  <c r="K788" i="6"/>
  <c r="J788" i="6"/>
  <c r="H788" i="6"/>
  <c r="G788" i="6"/>
  <c r="F788" i="6"/>
  <c r="E788" i="6"/>
  <c r="D788" i="6"/>
  <c r="C788" i="6"/>
  <c r="B788" i="6"/>
  <c r="A788" i="6"/>
  <c r="AC787" i="6"/>
  <c r="AB787" i="6"/>
  <c r="AA787" i="6"/>
  <c r="Z787" i="6"/>
  <c r="Y787" i="6"/>
  <c r="X787" i="6"/>
  <c r="W787" i="6"/>
  <c r="V787" i="6"/>
  <c r="U787" i="6"/>
  <c r="T787" i="6"/>
  <c r="S787" i="6"/>
  <c r="R787" i="6"/>
  <c r="Q787" i="6"/>
  <c r="P787" i="6"/>
  <c r="O787" i="6"/>
  <c r="N787" i="6"/>
  <c r="M787" i="6"/>
  <c r="L787" i="6"/>
  <c r="K787" i="6"/>
  <c r="J787" i="6"/>
  <c r="H787" i="6"/>
  <c r="G787" i="6"/>
  <c r="F787" i="6"/>
  <c r="E787" i="6"/>
  <c r="D787" i="6"/>
  <c r="C787" i="6"/>
  <c r="B787" i="6"/>
  <c r="A787" i="6"/>
  <c r="AC786" i="6"/>
  <c r="AB786" i="6"/>
  <c r="AA786" i="6"/>
  <c r="Z786" i="6"/>
  <c r="Y786" i="6"/>
  <c r="X786" i="6"/>
  <c r="W786" i="6"/>
  <c r="V786" i="6"/>
  <c r="U786" i="6"/>
  <c r="T786" i="6"/>
  <c r="S786" i="6"/>
  <c r="R786" i="6"/>
  <c r="Q786" i="6"/>
  <c r="P786" i="6"/>
  <c r="O786" i="6"/>
  <c r="N786" i="6"/>
  <c r="M786" i="6"/>
  <c r="L786" i="6"/>
  <c r="K786" i="6"/>
  <c r="J786" i="6"/>
  <c r="H786" i="6"/>
  <c r="G786" i="6"/>
  <c r="F786" i="6"/>
  <c r="E786" i="6"/>
  <c r="D786" i="6"/>
  <c r="C786" i="6"/>
  <c r="B786" i="6"/>
  <c r="A786" i="6"/>
  <c r="AC785" i="6"/>
  <c r="AB785" i="6"/>
  <c r="AA785" i="6"/>
  <c r="Z785" i="6"/>
  <c r="Y785" i="6"/>
  <c r="X785" i="6"/>
  <c r="W785" i="6"/>
  <c r="V785" i="6"/>
  <c r="U785" i="6"/>
  <c r="T785" i="6"/>
  <c r="S785" i="6"/>
  <c r="R785" i="6"/>
  <c r="Q785" i="6"/>
  <c r="P785" i="6"/>
  <c r="O785" i="6"/>
  <c r="N785" i="6"/>
  <c r="M785" i="6"/>
  <c r="L785" i="6"/>
  <c r="K785" i="6"/>
  <c r="J785" i="6"/>
  <c r="H785" i="6"/>
  <c r="G785" i="6"/>
  <c r="F785" i="6"/>
  <c r="E785" i="6"/>
  <c r="D785" i="6"/>
  <c r="C785" i="6"/>
  <c r="B785" i="6"/>
  <c r="A785" i="6"/>
  <c r="AD784" i="6"/>
  <c r="AC784" i="6"/>
  <c r="AB784" i="6"/>
  <c r="AA784" i="6"/>
  <c r="Z784" i="6"/>
  <c r="Y784" i="6"/>
  <c r="X784" i="6"/>
  <c r="W784" i="6"/>
  <c r="V784" i="6"/>
  <c r="U784" i="6"/>
  <c r="T784" i="6"/>
  <c r="S784" i="6"/>
  <c r="R784" i="6"/>
  <c r="Q784" i="6"/>
  <c r="P784" i="6"/>
  <c r="O784" i="6"/>
  <c r="N784" i="6"/>
  <c r="M784" i="6"/>
  <c r="L784" i="6"/>
  <c r="K784" i="6"/>
  <c r="J784" i="6"/>
  <c r="I784" i="6"/>
  <c r="H784" i="6"/>
  <c r="G784" i="6"/>
  <c r="F784" i="6"/>
  <c r="E784" i="6"/>
  <c r="D784" i="6"/>
  <c r="C784" i="6"/>
  <c r="B784" i="6"/>
  <c r="A784" i="6"/>
  <c r="AD783" i="6"/>
  <c r="AC783" i="6"/>
  <c r="AB783" i="6"/>
  <c r="AA783" i="6"/>
  <c r="Z783" i="6"/>
  <c r="Y783" i="6"/>
  <c r="X783" i="6"/>
  <c r="W783" i="6"/>
  <c r="V783" i="6"/>
  <c r="U783" i="6"/>
  <c r="T783" i="6"/>
  <c r="S783" i="6"/>
  <c r="R783" i="6"/>
  <c r="Q783" i="6"/>
  <c r="P783" i="6"/>
  <c r="O783" i="6"/>
  <c r="N783" i="6"/>
  <c r="M783" i="6"/>
  <c r="L783" i="6"/>
  <c r="K783" i="6"/>
  <c r="J783" i="6"/>
  <c r="I783" i="6"/>
  <c r="H783" i="6"/>
  <c r="G783" i="6"/>
  <c r="F783" i="6"/>
  <c r="E783" i="6"/>
  <c r="D783" i="6"/>
  <c r="C783" i="6"/>
  <c r="B783" i="6"/>
  <c r="A783" i="6"/>
  <c r="AC782" i="6"/>
  <c r="AB782" i="6"/>
  <c r="AA782" i="6"/>
  <c r="Z782" i="6"/>
  <c r="Y782" i="6"/>
  <c r="X782" i="6"/>
  <c r="W782" i="6"/>
  <c r="V782" i="6"/>
  <c r="U782" i="6"/>
  <c r="T782" i="6"/>
  <c r="S782" i="6"/>
  <c r="R782" i="6"/>
  <c r="Q782" i="6"/>
  <c r="P782" i="6"/>
  <c r="O782" i="6"/>
  <c r="N782" i="6"/>
  <c r="M782" i="6"/>
  <c r="L782" i="6"/>
  <c r="K782" i="6"/>
  <c r="J782" i="6"/>
  <c r="H782" i="6"/>
  <c r="G782" i="6"/>
  <c r="F782" i="6"/>
  <c r="E782" i="6"/>
  <c r="D782" i="6"/>
  <c r="C782" i="6"/>
  <c r="B782" i="6"/>
  <c r="A782" i="6"/>
  <c r="AC781" i="6"/>
  <c r="AB781" i="6"/>
  <c r="AA781" i="6"/>
  <c r="Z781" i="6"/>
  <c r="Y781" i="6"/>
  <c r="X781" i="6"/>
  <c r="W781" i="6"/>
  <c r="V781" i="6"/>
  <c r="U781" i="6"/>
  <c r="T781" i="6"/>
  <c r="S781" i="6"/>
  <c r="R781" i="6"/>
  <c r="Q781" i="6"/>
  <c r="P781" i="6"/>
  <c r="O781" i="6"/>
  <c r="N781" i="6"/>
  <c r="M781" i="6"/>
  <c r="L781" i="6"/>
  <c r="K781" i="6"/>
  <c r="J781" i="6"/>
  <c r="H781" i="6"/>
  <c r="G781" i="6"/>
  <c r="F781" i="6"/>
  <c r="E781" i="6"/>
  <c r="D781" i="6"/>
  <c r="C781" i="6"/>
  <c r="B781" i="6"/>
  <c r="A781" i="6"/>
  <c r="AD780" i="6"/>
  <c r="AC780" i="6"/>
  <c r="AB780" i="6"/>
  <c r="AA780" i="6"/>
  <c r="Z780" i="6"/>
  <c r="Y780" i="6"/>
  <c r="X780" i="6"/>
  <c r="W780" i="6"/>
  <c r="V780" i="6"/>
  <c r="U780" i="6"/>
  <c r="T780" i="6"/>
  <c r="S780" i="6"/>
  <c r="R780" i="6"/>
  <c r="Q780" i="6"/>
  <c r="P780" i="6"/>
  <c r="O780" i="6"/>
  <c r="N780" i="6"/>
  <c r="M780" i="6"/>
  <c r="L780" i="6"/>
  <c r="K780" i="6"/>
  <c r="J780" i="6"/>
  <c r="I780" i="6"/>
  <c r="H780" i="6"/>
  <c r="G780" i="6"/>
  <c r="F780" i="6"/>
  <c r="E780" i="6"/>
  <c r="D780" i="6"/>
  <c r="C780" i="6"/>
  <c r="B780" i="6"/>
  <c r="A780" i="6"/>
  <c r="AD779" i="6"/>
  <c r="AC779" i="6"/>
  <c r="AB779" i="6"/>
  <c r="AA779" i="6"/>
  <c r="Z779" i="6"/>
  <c r="Y779" i="6"/>
  <c r="X779" i="6"/>
  <c r="W779" i="6"/>
  <c r="V779" i="6"/>
  <c r="U779" i="6"/>
  <c r="T779" i="6"/>
  <c r="S779" i="6"/>
  <c r="R779" i="6"/>
  <c r="Q779" i="6"/>
  <c r="P779" i="6"/>
  <c r="O779" i="6"/>
  <c r="N779" i="6"/>
  <c r="M779" i="6"/>
  <c r="L779" i="6"/>
  <c r="K779" i="6"/>
  <c r="J779" i="6"/>
  <c r="I779" i="6"/>
  <c r="H779" i="6"/>
  <c r="G779" i="6"/>
  <c r="F779" i="6"/>
  <c r="E779" i="6"/>
  <c r="D779" i="6"/>
  <c r="C779" i="6"/>
  <c r="B779" i="6"/>
  <c r="A779" i="6"/>
  <c r="AC778" i="6"/>
  <c r="AB778" i="6"/>
  <c r="AA778" i="6"/>
  <c r="Z778" i="6"/>
  <c r="Y778" i="6"/>
  <c r="X778" i="6"/>
  <c r="W778" i="6"/>
  <c r="V778" i="6"/>
  <c r="U778" i="6"/>
  <c r="T778" i="6"/>
  <c r="S778" i="6"/>
  <c r="R778" i="6"/>
  <c r="Q778" i="6"/>
  <c r="P778" i="6"/>
  <c r="O778" i="6"/>
  <c r="N778" i="6"/>
  <c r="M778" i="6"/>
  <c r="L778" i="6"/>
  <c r="K778" i="6"/>
  <c r="J778" i="6"/>
  <c r="H778" i="6"/>
  <c r="G778" i="6"/>
  <c r="F778" i="6"/>
  <c r="E778" i="6"/>
  <c r="D778" i="6"/>
  <c r="C778" i="6"/>
  <c r="B778" i="6"/>
  <c r="A778" i="6"/>
  <c r="AC777" i="6"/>
  <c r="AB777" i="6"/>
  <c r="AA777" i="6"/>
  <c r="Z777" i="6"/>
  <c r="Y777" i="6"/>
  <c r="X777" i="6"/>
  <c r="W777" i="6"/>
  <c r="V777" i="6"/>
  <c r="U777" i="6"/>
  <c r="T777" i="6"/>
  <c r="S777" i="6"/>
  <c r="R777" i="6"/>
  <c r="Q777" i="6"/>
  <c r="P777" i="6"/>
  <c r="O777" i="6"/>
  <c r="N777" i="6"/>
  <c r="M777" i="6"/>
  <c r="L777" i="6"/>
  <c r="K777" i="6"/>
  <c r="J777" i="6"/>
  <c r="H777" i="6"/>
  <c r="G777" i="6"/>
  <c r="F777" i="6"/>
  <c r="E777" i="6"/>
  <c r="D777" i="6"/>
  <c r="C777" i="6"/>
  <c r="B777" i="6"/>
  <c r="A777" i="6"/>
  <c r="AC776" i="6"/>
  <c r="AB776" i="6"/>
  <c r="AA776" i="6"/>
  <c r="Z776" i="6"/>
  <c r="Y776" i="6"/>
  <c r="X776" i="6"/>
  <c r="W776" i="6"/>
  <c r="V776" i="6"/>
  <c r="U776" i="6"/>
  <c r="T776" i="6"/>
  <c r="S776" i="6"/>
  <c r="R776" i="6"/>
  <c r="Q776" i="6"/>
  <c r="P776" i="6"/>
  <c r="O776" i="6"/>
  <c r="N776" i="6"/>
  <c r="M776" i="6"/>
  <c r="L776" i="6"/>
  <c r="K776" i="6"/>
  <c r="J776" i="6"/>
  <c r="H776" i="6"/>
  <c r="G776" i="6"/>
  <c r="F776" i="6"/>
  <c r="E776" i="6"/>
  <c r="D776" i="6"/>
  <c r="C776" i="6"/>
  <c r="B776" i="6"/>
  <c r="A776" i="6"/>
  <c r="AC775" i="6"/>
  <c r="AB775" i="6"/>
  <c r="AA775" i="6"/>
  <c r="Z775" i="6"/>
  <c r="Y775" i="6"/>
  <c r="X775" i="6"/>
  <c r="W775" i="6"/>
  <c r="V775" i="6"/>
  <c r="U775" i="6"/>
  <c r="T775" i="6"/>
  <c r="S775" i="6"/>
  <c r="R775" i="6"/>
  <c r="Q775" i="6"/>
  <c r="P775" i="6"/>
  <c r="O775" i="6"/>
  <c r="N775" i="6"/>
  <c r="M775" i="6"/>
  <c r="L775" i="6"/>
  <c r="K775" i="6"/>
  <c r="J775" i="6"/>
  <c r="H775" i="6"/>
  <c r="G775" i="6"/>
  <c r="F775" i="6"/>
  <c r="E775" i="6"/>
  <c r="D775" i="6"/>
  <c r="C775" i="6"/>
  <c r="B775" i="6"/>
  <c r="A775" i="6"/>
  <c r="AC774" i="6"/>
  <c r="AB774" i="6"/>
  <c r="AA774" i="6"/>
  <c r="Z774" i="6"/>
  <c r="Y774" i="6"/>
  <c r="X774" i="6"/>
  <c r="W774" i="6"/>
  <c r="V774" i="6"/>
  <c r="U774" i="6"/>
  <c r="T774" i="6"/>
  <c r="S774" i="6"/>
  <c r="R774" i="6"/>
  <c r="Q774" i="6"/>
  <c r="P774" i="6"/>
  <c r="O774" i="6"/>
  <c r="N774" i="6"/>
  <c r="M774" i="6"/>
  <c r="L774" i="6"/>
  <c r="K774" i="6"/>
  <c r="J774" i="6"/>
  <c r="H774" i="6"/>
  <c r="G774" i="6"/>
  <c r="F774" i="6"/>
  <c r="E774" i="6"/>
  <c r="D774" i="6"/>
  <c r="C774" i="6"/>
  <c r="B774" i="6"/>
  <c r="A774" i="6"/>
  <c r="AD773" i="6"/>
  <c r="AC773" i="6"/>
  <c r="AB773" i="6"/>
  <c r="AA773" i="6"/>
  <c r="Z773" i="6"/>
  <c r="Y773" i="6"/>
  <c r="X773" i="6"/>
  <c r="W773" i="6"/>
  <c r="V773" i="6"/>
  <c r="U773" i="6"/>
  <c r="T773" i="6"/>
  <c r="S773" i="6"/>
  <c r="R773" i="6"/>
  <c r="Q773" i="6"/>
  <c r="P773" i="6"/>
  <c r="O773" i="6"/>
  <c r="N773" i="6"/>
  <c r="M773" i="6"/>
  <c r="L773" i="6"/>
  <c r="K773" i="6"/>
  <c r="J773" i="6"/>
  <c r="I773" i="6"/>
  <c r="H773" i="6"/>
  <c r="G773" i="6"/>
  <c r="F773" i="6"/>
  <c r="E773" i="6"/>
  <c r="D773" i="6"/>
  <c r="C773" i="6"/>
  <c r="B773" i="6"/>
  <c r="A773" i="6"/>
  <c r="AC772" i="6"/>
  <c r="AB772" i="6"/>
  <c r="AA772" i="6"/>
  <c r="Z772" i="6"/>
  <c r="Y772" i="6"/>
  <c r="X772" i="6"/>
  <c r="W772" i="6"/>
  <c r="V772" i="6"/>
  <c r="U772" i="6"/>
  <c r="T772" i="6"/>
  <c r="S772" i="6"/>
  <c r="R772" i="6"/>
  <c r="Q772" i="6"/>
  <c r="P772" i="6"/>
  <c r="O772" i="6"/>
  <c r="N772" i="6"/>
  <c r="M772" i="6"/>
  <c r="L772" i="6"/>
  <c r="K772" i="6"/>
  <c r="J772" i="6"/>
  <c r="H772" i="6"/>
  <c r="G772" i="6"/>
  <c r="F772" i="6"/>
  <c r="E772" i="6"/>
  <c r="D772" i="6"/>
  <c r="C772" i="6"/>
  <c r="B772" i="6"/>
  <c r="A772" i="6"/>
  <c r="AC771" i="6"/>
  <c r="AB771" i="6"/>
  <c r="AA771" i="6"/>
  <c r="Z771" i="6"/>
  <c r="Y771" i="6"/>
  <c r="X771" i="6"/>
  <c r="W771" i="6"/>
  <c r="V771" i="6"/>
  <c r="U771" i="6"/>
  <c r="T771" i="6"/>
  <c r="S771" i="6"/>
  <c r="R771" i="6"/>
  <c r="Q771" i="6"/>
  <c r="P771" i="6"/>
  <c r="O771" i="6"/>
  <c r="N771" i="6"/>
  <c r="M771" i="6"/>
  <c r="L771" i="6"/>
  <c r="K771" i="6"/>
  <c r="J771" i="6"/>
  <c r="I771" i="6"/>
  <c r="H771" i="6"/>
  <c r="G771" i="6"/>
  <c r="F771" i="6"/>
  <c r="E771" i="6"/>
  <c r="D771" i="6"/>
  <c r="C771" i="6"/>
  <c r="B771" i="6"/>
  <c r="A771" i="6"/>
  <c r="AD770" i="6"/>
  <c r="S770" i="6"/>
  <c r="R770" i="6"/>
  <c r="Q770" i="6"/>
  <c r="P770" i="6"/>
  <c r="O770" i="6"/>
  <c r="N770" i="6"/>
  <c r="M770" i="6"/>
  <c r="L770" i="6"/>
  <c r="K770" i="6"/>
  <c r="J770" i="6"/>
  <c r="I770" i="6"/>
  <c r="H770" i="6"/>
  <c r="G770" i="6"/>
  <c r="F770" i="6"/>
  <c r="E770" i="6"/>
  <c r="D770" i="6"/>
  <c r="C770" i="6"/>
  <c r="B770" i="6"/>
  <c r="A770" i="6"/>
  <c r="S769" i="6"/>
  <c r="R769" i="6"/>
  <c r="Q769" i="6"/>
  <c r="P769" i="6"/>
  <c r="O769" i="6"/>
  <c r="N769" i="6"/>
  <c r="M769" i="6"/>
  <c r="L769" i="6"/>
  <c r="K769" i="6"/>
  <c r="J769" i="6"/>
  <c r="H769" i="6"/>
  <c r="G769" i="6"/>
  <c r="F769" i="6"/>
  <c r="E769" i="6"/>
  <c r="D769" i="6"/>
  <c r="C769" i="6"/>
  <c r="B769" i="6"/>
  <c r="A769" i="6"/>
  <c r="AD768" i="6"/>
  <c r="S768" i="6"/>
  <c r="R768" i="6"/>
  <c r="Q768" i="6"/>
  <c r="P768" i="6"/>
  <c r="O768" i="6"/>
  <c r="N768" i="6"/>
  <c r="M768" i="6"/>
  <c r="L768" i="6"/>
  <c r="K768" i="6"/>
  <c r="J768" i="6"/>
  <c r="I768" i="6"/>
  <c r="H768" i="6"/>
  <c r="G768" i="6"/>
  <c r="F768" i="6"/>
  <c r="E768" i="6"/>
  <c r="D768" i="6"/>
  <c r="C768" i="6"/>
  <c r="B768" i="6"/>
  <c r="A768" i="6"/>
  <c r="S767" i="6"/>
  <c r="R767" i="6"/>
  <c r="Q767" i="6"/>
  <c r="P767" i="6"/>
  <c r="O767" i="6"/>
  <c r="N767" i="6"/>
  <c r="M767" i="6"/>
  <c r="L767" i="6"/>
  <c r="K767" i="6"/>
  <c r="J767" i="6"/>
  <c r="H767" i="6"/>
  <c r="G767" i="6"/>
  <c r="F767" i="6"/>
  <c r="E767" i="6"/>
  <c r="D767" i="6"/>
  <c r="C767" i="6"/>
  <c r="B767" i="6"/>
  <c r="A767" i="6"/>
  <c r="S766" i="6"/>
  <c r="R766" i="6"/>
  <c r="Q766" i="6"/>
  <c r="P766" i="6"/>
  <c r="O766" i="6"/>
  <c r="N766" i="6"/>
  <c r="M766" i="6"/>
  <c r="L766" i="6"/>
  <c r="K766" i="6"/>
  <c r="J766" i="6"/>
  <c r="H766" i="6"/>
  <c r="G766" i="6"/>
  <c r="F766" i="6"/>
  <c r="E766" i="6"/>
  <c r="D766" i="6"/>
  <c r="C766" i="6"/>
  <c r="B766" i="6"/>
  <c r="A766" i="6"/>
  <c r="S765" i="6"/>
  <c r="R765" i="6"/>
  <c r="Q765" i="6"/>
  <c r="P765" i="6"/>
  <c r="O765" i="6"/>
  <c r="N765" i="6"/>
  <c r="M765" i="6"/>
  <c r="L765" i="6"/>
  <c r="K765" i="6"/>
  <c r="J765" i="6"/>
  <c r="H765" i="6"/>
  <c r="G765" i="6"/>
  <c r="F765" i="6"/>
  <c r="E765" i="6"/>
  <c r="D765" i="6"/>
  <c r="C765" i="6"/>
  <c r="B765" i="6"/>
  <c r="A765" i="6"/>
  <c r="AC764" i="6"/>
  <c r="AB764" i="6"/>
  <c r="AA764" i="6"/>
  <c r="Z764" i="6"/>
  <c r="Y764" i="6"/>
  <c r="X764" i="6"/>
  <c r="W764" i="6"/>
  <c r="V764" i="6"/>
  <c r="U764" i="6"/>
  <c r="T764" i="6"/>
  <c r="S764" i="6"/>
  <c r="R764" i="6"/>
  <c r="Q764" i="6"/>
  <c r="P764" i="6"/>
  <c r="O764" i="6"/>
  <c r="N764" i="6"/>
  <c r="M764" i="6"/>
  <c r="L764" i="6"/>
  <c r="K764" i="6"/>
  <c r="J764" i="6"/>
  <c r="H764" i="6"/>
  <c r="G764" i="6"/>
  <c r="F764" i="6"/>
  <c r="E764" i="6"/>
  <c r="D764" i="6"/>
  <c r="C764" i="6"/>
  <c r="B764" i="6"/>
  <c r="A764" i="6"/>
  <c r="AC763" i="6"/>
  <c r="AB763" i="6"/>
  <c r="AA763" i="6"/>
  <c r="Z763" i="6"/>
  <c r="Y763" i="6"/>
  <c r="X763" i="6"/>
  <c r="W763" i="6"/>
  <c r="V763" i="6"/>
  <c r="U763" i="6"/>
  <c r="T763" i="6"/>
  <c r="S763" i="6"/>
  <c r="R763" i="6"/>
  <c r="Q763" i="6"/>
  <c r="P763" i="6"/>
  <c r="O763" i="6"/>
  <c r="N763" i="6"/>
  <c r="M763" i="6"/>
  <c r="L763" i="6"/>
  <c r="K763" i="6"/>
  <c r="J763" i="6"/>
  <c r="H763" i="6"/>
  <c r="G763" i="6"/>
  <c r="F763" i="6"/>
  <c r="E763" i="6"/>
  <c r="D763" i="6"/>
  <c r="C763" i="6"/>
  <c r="B763" i="6"/>
  <c r="A763" i="6"/>
  <c r="AC762" i="6"/>
  <c r="AB762" i="6"/>
  <c r="AA762" i="6"/>
  <c r="Z762" i="6"/>
  <c r="Y762" i="6"/>
  <c r="X762" i="6"/>
  <c r="W762" i="6"/>
  <c r="V762" i="6"/>
  <c r="U762" i="6"/>
  <c r="T762" i="6"/>
  <c r="S762" i="6"/>
  <c r="R762" i="6"/>
  <c r="Q762" i="6"/>
  <c r="P762" i="6"/>
  <c r="O762" i="6"/>
  <c r="N762" i="6"/>
  <c r="M762" i="6"/>
  <c r="L762" i="6"/>
  <c r="K762" i="6"/>
  <c r="J762" i="6"/>
  <c r="H762" i="6"/>
  <c r="G762" i="6"/>
  <c r="F762" i="6"/>
  <c r="E762" i="6"/>
  <c r="D762" i="6"/>
  <c r="C762" i="6"/>
  <c r="B762" i="6"/>
  <c r="A762" i="6"/>
  <c r="AD761" i="6"/>
  <c r="AC761" i="6"/>
  <c r="AB761" i="6"/>
  <c r="AA761" i="6"/>
  <c r="Z761" i="6"/>
  <c r="Y761" i="6"/>
  <c r="X761" i="6"/>
  <c r="W761" i="6"/>
  <c r="V761" i="6"/>
  <c r="U761" i="6"/>
  <c r="T761" i="6"/>
  <c r="S761" i="6"/>
  <c r="R761" i="6"/>
  <c r="Q761" i="6"/>
  <c r="P761" i="6"/>
  <c r="O761" i="6"/>
  <c r="N761" i="6"/>
  <c r="M761" i="6"/>
  <c r="L761" i="6"/>
  <c r="K761" i="6"/>
  <c r="J761" i="6"/>
  <c r="I761" i="6"/>
  <c r="H761" i="6"/>
  <c r="G761" i="6"/>
  <c r="F761" i="6"/>
  <c r="E761" i="6"/>
  <c r="D761" i="6"/>
  <c r="C761" i="6"/>
  <c r="B761" i="6"/>
  <c r="A761" i="6"/>
  <c r="AD760" i="6"/>
  <c r="AC760" i="6"/>
  <c r="AB760" i="6"/>
  <c r="AA760" i="6"/>
  <c r="Z760" i="6"/>
  <c r="Y760" i="6"/>
  <c r="X760" i="6"/>
  <c r="W760" i="6"/>
  <c r="V760" i="6"/>
  <c r="U760" i="6"/>
  <c r="T760" i="6"/>
  <c r="S760" i="6"/>
  <c r="R760" i="6"/>
  <c r="Q760" i="6"/>
  <c r="P760" i="6"/>
  <c r="O760" i="6"/>
  <c r="N760" i="6"/>
  <c r="M760" i="6"/>
  <c r="L760" i="6"/>
  <c r="K760" i="6"/>
  <c r="J760" i="6"/>
  <c r="I760" i="6"/>
  <c r="H760" i="6"/>
  <c r="G760" i="6"/>
  <c r="F760" i="6"/>
  <c r="E760" i="6"/>
  <c r="D760" i="6"/>
  <c r="C760" i="6"/>
  <c r="B760" i="6"/>
  <c r="A760" i="6"/>
  <c r="AD759" i="6"/>
  <c r="AC759" i="6"/>
  <c r="AB759" i="6"/>
  <c r="AA759" i="6"/>
  <c r="Z759" i="6"/>
  <c r="Y759" i="6"/>
  <c r="X759" i="6"/>
  <c r="W759" i="6"/>
  <c r="V759" i="6"/>
  <c r="U759" i="6"/>
  <c r="T759" i="6"/>
  <c r="S759" i="6"/>
  <c r="R759" i="6"/>
  <c r="Q759" i="6"/>
  <c r="P759" i="6"/>
  <c r="O759" i="6"/>
  <c r="N759" i="6"/>
  <c r="M759" i="6"/>
  <c r="L759" i="6"/>
  <c r="K759" i="6"/>
  <c r="J759" i="6"/>
  <c r="I759" i="6"/>
  <c r="H759" i="6"/>
  <c r="G759" i="6"/>
  <c r="F759" i="6"/>
  <c r="E759" i="6"/>
  <c r="D759" i="6"/>
  <c r="C759" i="6"/>
  <c r="B759" i="6"/>
  <c r="A759" i="6"/>
  <c r="AC758" i="6"/>
  <c r="AB758" i="6"/>
  <c r="AA758" i="6"/>
  <c r="Z758" i="6"/>
  <c r="Y758" i="6"/>
  <c r="X758" i="6"/>
  <c r="W758" i="6"/>
  <c r="V758" i="6"/>
  <c r="U758" i="6"/>
  <c r="T758" i="6"/>
  <c r="S758" i="6"/>
  <c r="R758" i="6"/>
  <c r="Q758" i="6"/>
  <c r="P758" i="6"/>
  <c r="O758" i="6"/>
  <c r="N758" i="6"/>
  <c r="M758" i="6"/>
  <c r="L758" i="6"/>
  <c r="K758" i="6"/>
  <c r="J758" i="6"/>
  <c r="H758" i="6"/>
  <c r="G758" i="6"/>
  <c r="F758" i="6"/>
  <c r="E758" i="6"/>
  <c r="D758" i="6"/>
  <c r="C758" i="6"/>
  <c r="B758" i="6"/>
  <c r="A758" i="6"/>
  <c r="AD757" i="6"/>
  <c r="AC757" i="6"/>
  <c r="AB757" i="6"/>
  <c r="AA757" i="6"/>
  <c r="Z757" i="6"/>
  <c r="Y757" i="6"/>
  <c r="X757" i="6"/>
  <c r="W757" i="6"/>
  <c r="V757" i="6"/>
  <c r="U757" i="6"/>
  <c r="T757" i="6"/>
  <c r="S757" i="6"/>
  <c r="R757" i="6"/>
  <c r="Q757" i="6"/>
  <c r="P757" i="6"/>
  <c r="O757" i="6"/>
  <c r="N757" i="6"/>
  <c r="M757" i="6"/>
  <c r="L757" i="6"/>
  <c r="K757" i="6"/>
  <c r="J757" i="6"/>
  <c r="I757" i="6"/>
  <c r="H757" i="6"/>
  <c r="G757" i="6"/>
  <c r="F757" i="6"/>
  <c r="E757" i="6"/>
  <c r="D757" i="6"/>
  <c r="C757" i="6"/>
  <c r="B757" i="6"/>
  <c r="A757" i="6"/>
  <c r="AD756" i="6"/>
  <c r="AC756" i="6"/>
  <c r="AB756" i="6"/>
  <c r="AA756" i="6"/>
  <c r="Z756" i="6"/>
  <c r="Y756" i="6"/>
  <c r="X756" i="6"/>
  <c r="W756" i="6"/>
  <c r="V756" i="6"/>
  <c r="U756" i="6"/>
  <c r="T756" i="6"/>
  <c r="S756" i="6"/>
  <c r="R756" i="6"/>
  <c r="Q756" i="6"/>
  <c r="P756" i="6"/>
  <c r="O756" i="6"/>
  <c r="N756" i="6"/>
  <c r="M756" i="6"/>
  <c r="L756" i="6"/>
  <c r="K756" i="6"/>
  <c r="J756" i="6"/>
  <c r="I756" i="6"/>
  <c r="H756" i="6"/>
  <c r="G756" i="6"/>
  <c r="F756" i="6"/>
  <c r="E756" i="6"/>
  <c r="D756" i="6"/>
  <c r="C756" i="6"/>
  <c r="B756" i="6"/>
  <c r="A756" i="6"/>
  <c r="AD755" i="6"/>
  <c r="AC755" i="6"/>
  <c r="AB755" i="6"/>
  <c r="AA755" i="6"/>
  <c r="Z755" i="6"/>
  <c r="Y755" i="6"/>
  <c r="X755" i="6"/>
  <c r="W755" i="6"/>
  <c r="V755" i="6"/>
  <c r="U755" i="6"/>
  <c r="T755" i="6"/>
  <c r="S755" i="6"/>
  <c r="R755" i="6"/>
  <c r="Q755" i="6"/>
  <c r="P755" i="6"/>
  <c r="O755" i="6"/>
  <c r="N755" i="6"/>
  <c r="M755" i="6"/>
  <c r="L755" i="6"/>
  <c r="K755" i="6"/>
  <c r="J755" i="6"/>
  <c r="I755" i="6"/>
  <c r="H755" i="6"/>
  <c r="G755" i="6"/>
  <c r="F755" i="6"/>
  <c r="E755" i="6"/>
  <c r="D755" i="6"/>
  <c r="C755" i="6"/>
  <c r="B755" i="6"/>
  <c r="A755" i="6"/>
  <c r="AC754" i="6"/>
  <c r="AB754" i="6"/>
  <c r="AA754" i="6"/>
  <c r="Z754" i="6"/>
  <c r="Y754" i="6"/>
  <c r="X754" i="6"/>
  <c r="W754" i="6"/>
  <c r="V754" i="6"/>
  <c r="U754" i="6"/>
  <c r="T754" i="6"/>
  <c r="S754" i="6"/>
  <c r="R754" i="6"/>
  <c r="Q754" i="6"/>
  <c r="P754" i="6"/>
  <c r="O754" i="6"/>
  <c r="N754" i="6"/>
  <c r="M754" i="6"/>
  <c r="L754" i="6"/>
  <c r="K754" i="6"/>
  <c r="J754" i="6"/>
  <c r="H754" i="6"/>
  <c r="G754" i="6"/>
  <c r="F754" i="6"/>
  <c r="E754" i="6"/>
  <c r="D754" i="6"/>
  <c r="C754" i="6"/>
  <c r="B754" i="6"/>
  <c r="A754" i="6"/>
  <c r="AC753" i="6"/>
  <c r="AB753" i="6"/>
  <c r="AA753" i="6"/>
  <c r="Z753" i="6"/>
  <c r="Y753" i="6"/>
  <c r="X753" i="6"/>
  <c r="W753" i="6"/>
  <c r="V753" i="6"/>
  <c r="U753" i="6"/>
  <c r="T753" i="6"/>
  <c r="S753" i="6"/>
  <c r="R753" i="6"/>
  <c r="Q753" i="6"/>
  <c r="P753" i="6"/>
  <c r="O753" i="6"/>
  <c r="N753" i="6"/>
  <c r="M753" i="6"/>
  <c r="L753" i="6"/>
  <c r="K753" i="6"/>
  <c r="J753" i="6"/>
  <c r="I753" i="6"/>
  <c r="H753" i="6"/>
  <c r="G753" i="6"/>
  <c r="F753" i="6"/>
  <c r="E753" i="6"/>
  <c r="D753" i="6"/>
  <c r="C753" i="6"/>
  <c r="B753" i="6"/>
  <c r="A753" i="6"/>
  <c r="AD752" i="6"/>
  <c r="AC752" i="6"/>
  <c r="AB752" i="6"/>
  <c r="AA752" i="6"/>
  <c r="Z752" i="6"/>
  <c r="Y752" i="6"/>
  <c r="X752" i="6"/>
  <c r="W752" i="6"/>
  <c r="V752" i="6"/>
  <c r="U752" i="6"/>
  <c r="T752" i="6"/>
  <c r="S752" i="6"/>
  <c r="R752" i="6"/>
  <c r="Q752" i="6"/>
  <c r="P752" i="6"/>
  <c r="O752" i="6"/>
  <c r="N752" i="6"/>
  <c r="M752" i="6"/>
  <c r="L752" i="6"/>
  <c r="K752" i="6"/>
  <c r="J752" i="6"/>
  <c r="I752" i="6"/>
  <c r="H752" i="6"/>
  <c r="G752" i="6"/>
  <c r="F752" i="6"/>
  <c r="E752" i="6"/>
  <c r="D752" i="6"/>
  <c r="C752" i="6"/>
  <c r="B752" i="6"/>
  <c r="A752" i="6"/>
  <c r="AD751" i="6"/>
  <c r="AC751" i="6"/>
  <c r="AB751" i="6"/>
  <c r="AA751" i="6"/>
  <c r="Z751" i="6"/>
  <c r="Y751" i="6"/>
  <c r="X751" i="6"/>
  <c r="W751" i="6"/>
  <c r="V751" i="6"/>
  <c r="U751" i="6"/>
  <c r="T751" i="6"/>
  <c r="S751" i="6"/>
  <c r="R751" i="6"/>
  <c r="Q751" i="6"/>
  <c r="P751" i="6"/>
  <c r="O751" i="6"/>
  <c r="N751" i="6"/>
  <c r="M751" i="6"/>
  <c r="L751" i="6"/>
  <c r="K751" i="6"/>
  <c r="J751" i="6"/>
  <c r="I751" i="6"/>
  <c r="H751" i="6"/>
  <c r="G751" i="6"/>
  <c r="F751" i="6"/>
  <c r="E751" i="6"/>
  <c r="D751" i="6"/>
  <c r="C751" i="6"/>
  <c r="B751" i="6"/>
  <c r="A751" i="6"/>
  <c r="AD750" i="6"/>
  <c r="AC750" i="6"/>
  <c r="AB750" i="6"/>
  <c r="AA750" i="6"/>
  <c r="Z750" i="6"/>
  <c r="Y750" i="6"/>
  <c r="X750" i="6"/>
  <c r="W750" i="6"/>
  <c r="V750" i="6"/>
  <c r="U750" i="6"/>
  <c r="T750" i="6"/>
  <c r="S750" i="6"/>
  <c r="R750" i="6"/>
  <c r="Q750" i="6"/>
  <c r="P750" i="6"/>
  <c r="O750" i="6"/>
  <c r="N750" i="6"/>
  <c r="M750" i="6"/>
  <c r="L750" i="6"/>
  <c r="K750" i="6"/>
  <c r="J750" i="6"/>
  <c r="I750" i="6"/>
  <c r="H750" i="6"/>
  <c r="G750" i="6"/>
  <c r="F750" i="6"/>
  <c r="E750" i="6"/>
  <c r="D750" i="6"/>
  <c r="C750" i="6"/>
  <c r="B750" i="6"/>
  <c r="A750" i="6"/>
  <c r="AC749" i="6"/>
  <c r="AB749" i="6"/>
  <c r="AA749" i="6"/>
  <c r="Z749" i="6"/>
  <c r="Y749" i="6"/>
  <c r="X749" i="6"/>
  <c r="W749" i="6"/>
  <c r="V749" i="6"/>
  <c r="U749" i="6"/>
  <c r="T749" i="6"/>
  <c r="S749" i="6"/>
  <c r="R749" i="6"/>
  <c r="Q749" i="6"/>
  <c r="P749" i="6"/>
  <c r="O749" i="6"/>
  <c r="N749" i="6"/>
  <c r="M749" i="6"/>
  <c r="L749" i="6"/>
  <c r="K749" i="6"/>
  <c r="J749" i="6"/>
  <c r="H749" i="6"/>
  <c r="G749" i="6"/>
  <c r="F749" i="6"/>
  <c r="E749" i="6"/>
  <c r="D749" i="6"/>
  <c r="C749" i="6"/>
  <c r="B749" i="6"/>
  <c r="A749" i="6"/>
  <c r="AD748" i="6"/>
  <c r="AC748" i="6"/>
  <c r="AB748" i="6"/>
  <c r="AA748" i="6"/>
  <c r="Z748" i="6"/>
  <c r="Y748" i="6"/>
  <c r="X748" i="6"/>
  <c r="W748" i="6"/>
  <c r="V748" i="6"/>
  <c r="U748" i="6"/>
  <c r="T748" i="6"/>
  <c r="S748" i="6"/>
  <c r="R748" i="6"/>
  <c r="Q748" i="6"/>
  <c r="P748" i="6"/>
  <c r="O748" i="6"/>
  <c r="N748" i="6"/>
  <c r="M748" i="6"/>
  <c r="L748" i="6"/>
  <c r="K748" i="6"/>
  <c r="J748" i="6"/>
  <c r="I748" i="6"/>
  <c r="H748" i="6"/>
  <c r="G748" i="6"/>
  <c r="F748" i="6"/>
  <c r="E748" i="6"/>
  <c r="D748" i="6"/>
  <c r="C748" i="6"/>
  <c r="B748" i="6"/>
  <c r="A748" i="6"/>
  <c r="AD747" i="6"/>
  <c r="AC747" i="6"/>
  <c r="AB747" i="6"/>
  <c r="AA747" i="6"/>
  <c r="Z747" i="6"/>
  <c r="Y747" i="6"/>
  <c r="X747" i="6"/>
  <c r="W747" i="6"/>
  <c r="V747" i="6"/>
  <c r="U747" i="6"/>
  <c r="T747" i="6"/>
  <c r="S747" i="6"/>
  <c r="R747" i="6"/>
  <c r="Q747" i="6"/>
  <c r="P747" i="6"/>
  <c r="O747" i="6"/>
  <c r="N747" i="6"/>
  <c r="M747" i="6"/>
  <c r="L747" i="6"/>
  <c r="K747" i="6"/>
  <c r="J747" i="6"/>
  <c r="I747" i="6"/>
  <c r="H747" i="6"/>
  <c r="G747" i="6"/>
  <c r="F747" i="6"/>
  <c r="E747" i="6"/>
  <c r="D747" i="6"/>
  <c r="C747" i="6"/>
  <c r="B747" i="6"/>
  <c r="A747" i="6"/>
  <c r="AC746" i="6"/>
  <c r="AB746" i="6"/>
  <c r="AA746" i="6"/>
  <c r="Z746" i="6"/>
  <c r="Y746" i="6"/>
  <c r="X746" i="6"/>
  <c r="W746" i="6"/>
  <c r="V746" i="6"/>
  <c r="U746" i="6"/>
  <c r="T746" i="6"/>
  <c r="S746" i="6"/>
  <c r="R746" i="6"/>
  <c r="Q746" i="6"/>
  <c r="P746" i="6"/>
  <c r="O746" i="6"/>
  <c r="N746" i="6"/>
  <c r="M746" i="6"/>
  <c r="L746" i="6"/>
  <c r="K746" i="6"/>
  <c r="J746" i="6"/>
  <c r="I746" i="6"/>
  <c r="H746" i="6"/>
  <c r="G746" i="6"/>
  <c r="F746" i="6"/>
  <c r="E746" i="6"/>
  <c r="D746" i="6"/>
  <c r="C746" i="6"/>
  <c r="B746" i="6"/>
  <c r="A746" i="6"/>
  <c r="AD745" i="6"/>
  <c r="AC745" i="6"/>
  <c r="AB745" i="6"/>
  <c r="AA745" i="6"/>
  <c r="Z745" i="6"/>
  <c r="Y745" i="6"/>
  <c r="X745" i="6"/>
  <c r="W745" i="6"/>
  <c r="V745" i="6"/>
  <c r="U745" i="6"/>
  <c r="T745" i="6"/>
  <c r="S745" i="6"/>
  <c r="R745" i="6"/>
  <c r="Q745" i="6"/>
  <c r="P745" i="6"/>
  <c r="O745" i="6"/>
  <c r="N745" i="6"/>
  <c r="M745" i="6"/>
  <c r="L745" i="6"/>
  <c r="K745" i="6"/>
  <c r="J745" i="6"/>
  <c r="I745" i="6"/>
  <c r="H745" i="6"/>
  <c r="G745" i="6"/>
  <c r="F745" i="6"/>
  <c r="E745" i="6"/>
  <c r="D745" i="6"/>
  <c r="C745" i="6"/>
  <c r="B745" i="6"/>
  <c r="A745" i="6"/>
  <c r="AC744" i="6"/>
  <c r="AB744" i="6"/>
  <c r="AA744" i="6"/>
  <c r="Z744" i="6"/>
  <c r="Y744" i="6"/>
  <c r="X744" i="6"/>
  <c r="W744" i="6"/>
  <c r="V744" i="6"/>
  <c r="U744" i="6"/>
  <c r="T744" i="6"/>
  <c r="S744" i="6"/>
  <c r="R744" i="6"/>
  <c r="Q744" i="6"/>
  <c r="P744" i="6"/>
  <c r="O744" i="6"/>
  <c r="N744" i="6"/>
  <c r="M744" i="6"/>
  <c r="L744" i="6"/>
  <c r="K744" i="6"/>
  <c r="J744" i="6"/>
  <c r="I744" i="6"/>
  <c r="H744" i="6"/>
  <c r="G744" i="6"/>
  <c r="F744" i="6"/>
  <c r="E744" i="6"/>
  <c r="D744" i="6"/>
  <c r="C744" i="6"/>
  <c r="B744" i="6"/>
  <c r="A744" i="6"/>
  <c r="AD743" i="6"/>
  <c r="AC743" i="6"/>
  <c r="AB743" i="6"/>
  <c r="AA743" i="6"/>
  <c r="Z743" i="6"/>
  <c r="Y743" i="6"/>
  <c r="X743" i="6"/>
  <c r="W743" i="6"/>
  <c r="V743" i="6"/>
  <c r="U743" i="6"/>
  <c r="T743" i="6"/>
  <c r="S743" i="6"/>
  <c r="R743" i="6"/>
  <c r="Q743" i="6"/>
  <c r="P743" i="6"/>
  <c r="O743" i="6"/>
  <c r="N743" i="6"/>
  <c r="M743" i="6"/>
  <c r="L743" i="6"/>
  <c r="K743" i="6"/>
  <c r="J743" i="6"/>
  <c r="H743" i="6"/>
  <c r="G743" i="6"/>
  <c r="F743" i="6"/>
  <c r="E743" i="6"/>
  <c r="D743" i="6"/>
  <c r="C743" i="6"/>
  <c r="B743" i="6"/>
  <c r="A743" i="6"/>
  <c r="AC742" i="6"/>
  <c r="AB742" i="6"/>
  <c r="AA742" i="6"/>
  <c r="Z742" i="6"/>
  <c r="Y742" i="6"/>
  <c r="X742" i="6"/>
  <c r="W742" i="6"/>
  <c r="V742" i="6"/>
  <c r="U742" i="6"/>
  <c r="T742" i="6"/>
  <c r="S742" i="6"/>
  <c r="R742" i="6"/>
  <c r="Q742" i="6"/>
  <c r="P742" i="6"/>
  <c r="O742" i="6"/>
  <c r="N742" i="6"/>
  <c r="M742" i="6"/>
  <c r="L742" i="6"/>
  <c r="K742" i="6"/>
  <c r="J742" i="6"/>
  <c r="H742" i="6"/>
  <c r="G742" i="6"/>
  <c r="F742" i="6"/>
  <c r="E742" i="6"/>
  <c r="D742" i="6"/>
  <c r="C742" i="6"/>
  <c r="B742" i="6"/>
  <c r="A742" i="6"/>
  <c r="AC741" i="6"/>
  <c r="AB741" i="6"/>
  <c r="AA741" i="6"/>
  <c r="Z741" i="6"/>
  <c r="Y741" i="6"/>
  <c r="X741" i="6"/>
  <c r="W741" i="6"/>
  <c r="V741" i="6"/>
  <c r="U741" i="6"/>
  <c r="T741" i="6"/>
  <c r="S741" i="6"/>
  <c r="R741" i="6"/>
  <c r="Q741" i="6"/>
  <c r="P741" i="6"/>
  <c r="O741" i="6"/>
  <c r="N741" i="6"/>
  <c r="M741" i="6"/>
  <c r="L741" i="6"/>
  <c r="K741" i="6"/>
  <c r="J741" i="6"/>
  <c r="H741" i="6"/>
  <c r="G741" i="6"/>
  <c r="F741" i="6"/>
  <c r="E741" i="6"/>
  <c r="D741" i="6"/>
  <c r="C741" i="6"/>
  <c r="B741" i="6"/>
  <c r="A741" i="6"/>
  <c r="AD740" i="6"/>
  <c r="AC740" i="6"/>
  <c r="AB740" i="6"/>
  <c r="AA740" i="6"/>
  <c r="Z740" i="6"/>
  <c r="Y740" i="6"/>
  <c r="X740" i="6"/>
  <c r="W740" i="6"/>
  <c r="V740" i="6"/>
  <c r="U740" i="6"/>
  <c r="T740" i="6"/>
  <c r="S740" i="6"/>
  <c r="R740" i="6"/>
  <c r="Q740" i="6"/>
  <c r="P740" i="6"/>
  <c r="O740" i="6"/>
  <c r="N740" i="6"/>
  <c r="M740" i="6"/>
  <c r="L740" i="6"/>
  <c r="K740" i="6"/>
  <c r="J740" i="6"/>
  <c r="I740" i="6"/>
  <c r="H740" i="6"/>
  <c r="G740" i="6"/>
  <c r="F740" i="6"/>
  <c r="E740" i="6"/>
  <c r="D740" i="6"/>
  <c r="C740" i="6"/>
  <c r="B740" i="6"/>
  <c r="A740" i="6"/>
  <c r="AC739" i="6"/>
  <c r="AB739" i="6"/>
  <c r="AA739" i="6"/>
  <c r="Z739" i="6"/>
  <c r="Y739" i="6"/>
  <c r="X739" i="6"/>
  <c r="W739" i="6"/>
  <c r="V739" i="6"/>
  <c r="U739" i="6"/>
  <c r="T739" i="6"/>
  <c r="S739" i="6"/>
  <c r="R739" i="6"/>
  <c r="Q739" i="6"/>
  <c r="P739" i="6"/>
  <c r="O739" i="6"/>
  <c r="N739" i="6"/>
  <c r="M739" i="6"/>
  <c r="L739" i="6"/>
  <c r="K739" i="6"/>
  <c r="J739" i="6"/>
  <c r="H739" i="6"/>
  <c r="G739" i="6"/>
  <c r="F739" i="6"/>
  <c r="E739" i="6"/>
  <c r="D739" i="6"/>
  <c r="C739" i="6"/>
  <c r="B739" i="6"/>
  <c r="A739" i="6"/>
  <c r="AD738" i="6"/>
  <c r="AC738" i="6"/>
  <c r="AB738" i="6"/>
  <c r="AA738" i="6"/>
  <c r="Z738" i="6"/>
  <c r="Y738" i="6"/>
  <c r="X738" i="6"/>
  <c r="W738" i="6"/>
  <c r="V738" i="6"/>
  <c r="U738" i="6"/>
  <c r="T738" i="6"/>
  <c r="S738" i="6"/>
  <c r="R738" i="6"/>
  <c r="Q738" i="6"/>
  <c r="P738" i="6"/>
  <c r="O738" i="6"/>
  <c r="N738" i="6"/>
  <c r="M738" i="6"/>
  <c r="L738" i="6"/>
  <c r="K738" i="6"/>
  <c r="J738" i="6"/>
  <c r="I738" i="6"/>
  <c r="H738" i="6"/>
  <c r="G738" i="6"/>
  <c r="F738" i="6"/>
  <c r="E738" i="6"/>
  <c r="D738" i="6"/>
  <c r="C738" i="6"/>
  <c r="B738" i="6"/>
  <c r="A738" i="6"/>
  <c r="AC737" i="6"/>
  <c r="AB737" i="6"/>
  <c r="AA737" i="6"/>
  <c r="Z737" i="6"/>
  <c r="Y737" i="6"/>
  <c r="X737" i="6"/>
  <c r="W737" i="6"/>
  <c r="V737" i="6"/>
  <c r="U737" i="6"/>
  <c r="T737" i="6"/>
  <c r="S737" i="6"/>
  <c r="R737" i="6"/>
  <c r="Q737" i="6"/>
  <c r="P737" i="6"/>
  <c r="O737" i="6"/>
  <c r="N737" i="6"/>
  <c r="M737" i="6"/>
  <c r="L737" i="6"/>
  <c r="K737" i="6"/>
  <c r="J737" i="6"/>
  <c r="I737" i="6"/>
  <c r="H737" i="6"/>
  <c r="G737" i="6"/>
  <c r="F737" i="6"/>
  <c r="E737" i="6"/>
  <c r="D737" i="6"/>
  <c r="C737" i="6"/>
  <c r="B737" i="6"/>
  <c r="A737" i="6"/>
  <c r="AC736" i="6"/>
  <c r="AB736" i="6"/>
  <c r="AA736" i="6"/>
  <c r="Z736" i="6"/>
  <c r="Y736" i="6"/>
  <c r="X736" i="6"/>
  <c r="W736" i="6"/>
  <c r="V736" i="6"/>
  <c r="U736" i="6"/>
  <c r="T736" i="6"/>
  <c r="S736" i="6"/>
  <c r="R736" i="6"/>
  <c r="Q736" i="6"/>
  <c r="P736" i="6"/>
  <c r="O736" i="6"/>
  <c r="N736" i="6"/>
  <c r="M736" i="6"/>
  <c r="L736" i="6"/>
  <c r="K736" i="6"/>
  <c r="J736" i="6"/>
  <c r="H736" i="6"/>
  <c r="G736" i="6"/>
  <c r="F736" i="6"/>
  <c r="E736" i="6"/>
  <c r="D736" i="6"/>
  <c r="C736" i="6"/>
  <c r="B736" i="6"/>
  <c r="A736" i="6"/>
  <c r="AC735" i="6"/>
  <c r="AB735" i="6"/>
  <c r="AA735" i="6"/>
  <c r="Z735" i="6"/>
  <c r="Y735" i="6"/>
  <c r="X735" i="6"/>
  <c r="W735" i="6"/>
  <c r="V735" i="6"/>
  <c r="U735" i="6"/>
  <c r="T735" i="6"/>
  <c r="S735" i="6"/>
  <c r="R735" i="6"/>
  <c r="Q735" i="6"/>
  <c r="P735" i="6"/>
  <c r="O735" i="6"/>
  <c r="N735" i="6"/>
  <c r="M735" i="6"/>
  <c r="L735" i="6"/>
  <c r="K735" i="6"/>
  <c r="J735" i="6"/>
  <c r="H735" i="6"/>
  <c r="G735" i="6"/>
  <c r="F735" i="6"/>
  <c r="E735" i="6"/>
  <c r="D735" i="6"/>
  <c r="C735" i="6"/>
  <c r="B735" i="6"/>
  <c r="A735" i="6"/>
  <c r="AC734" i="6"/>
  <c r="AB734" i="6"/>
  <c r="AA734" i="6"/>
  <c r="Z734" i="6"/>
  <c r="Y734" i="6"/>
  <c r="X734" i="6"/>
  <c r="W734" i="6"/>
  <c r="V734" i="6"/>
  <c r="U734" i="6"/>
  <c r="T734" i="6"/>
  <c r="S734" i="6"/>
  <c r="R734" i="6"/>
  <c r="Q734" i="6"/>
  <c r="P734" i="6"/>
  <c r="O734" i="6"/>
  <c r="N734" i="6"/>
  <c r="M734" i="6"/>
  <c r="L734" i="6"/>
  <c r="K734" i="6"/>
  <c r="J734" i="6"/>
  <c r="H734" i="6"/>
  <c r="G734" i="6"/>
  <c r="F734" i="6"/>
  <c r="E734" i="6"/>
  <c r="D734" i="6"/>
  <c r="C734" i="6"/>
  <c r="B734" i="6"/>
  <c r="A734" i="6"/>
  <c r="AC733" i="6"/>
  <c r="AB733" i="6"/>
  <c r="AA733" i="6"/>
  <c r="Z733" i="6"/>
  <c r="Y733" i="6"/>
  <c r="X733" i="6"/>
  <c r="W733" i="6"/>
  <c r="V733" i="6"/>
  <c r="U733" i="6"/>
  <c r="T733" i="6"/>
  <c r="S733" i="6"/>
  <c r="R733" i="6"/>
  <c r="Q733" i="6"/>
  <c r="P733" i="6"/>
  <c r="O733" i="6"/>
  <c r="N733" i="6"/>
  <c r="M733" i="6"/>
  <c r="L733" i="6"/>
  <c r="K733" i="6"/>
  <c r="J733" i="6"/>
  <c r="H733" i="6"/>
  <c r="G733" i="6"/>
  <c r="F733" i="6"/>
  <c r="E733" i="6"/>
  <c r="D733" i="6"/>
  <c r="C733" i="6"/>
  <c r="B733" i="6"/>
  <c r="A733" i="6"/>
  <c r="AC732" i="6"/>
  <c r="AB732" i="6"/>
  <c r="AA732" i="6"/>
  <c r="Z732" i="6"/>
  <c r="Y732" i="6"/>
  <c r="X732" i="6"/>
  <c r="W732" i="6"/>
  <c r="V732" i="6"/>
  <c r="U732" i="6"/>
  <c r="T732" i="6"/>
  <c r="S732" i="6"/>
  <c r="R732" i="6"/>
  <c r="Q732" i="6"/>
  <c r="P732" i="6"/>
  <c r="O732" i="6"/>
  <c r="N732" i="6"/>
  <c r="M732" i="6"/>
  <c r="L732" i="6"/>
  <c r="K732" i="6"/>
  <c r="J732" i="6"/>
  <c r="H732" i="6"/>
  <c r="G732" i="6"/>
  <c r="F732" i="6"/>
  <c r="E732" i="6"/>
  <c r="D732" i="6"/>
  <c r="C732" i="6"/>
  <c r="B732" i="6"/>
  <c r="A732" i="6"/>
  <c r="AC731" i="6"/>
  <c r="AB731" i="6"/>
  <c r="AA731" i="6"/>
  <c r="Z731" i="6"/>
  <c r="Y731" i="6"/>
  <c r="X731" i="6"/>
  <c r="W731" i="6"/>
  <c r="V731" i="6"/>
  <c r="U731" i="6"/>
  <c r="T731" i="6"/>
  <c r="S731" i="6"/>
  <c r="R731" i="6"/>
  <c r="Q731" i="6"/>
  <c r="P731" i="6"/>
  <c r="O731" i="6"/>
  <c r="N731" i="6"/>
  <c r="M731" i="6"/>
  <c r="L731" i="6"/>
  <c r="K731" i="6"/>
  <c r="J731" i="6"/>
  <c r="H731" i="6"/>
  <c r="G731" i="6"/>
  <c r="F731" i="6"/>
  <c r="E731" i="6"/>
  <c r="D731" i="6"/>
  <c r="C731" i="6"/>
  <c r="B731" i="6"/>
  <c r="A731" i="6"/>
  <c r="AC730" i="6"/>
  <c r="AB730" i="6"/>
  <c r="AA730" i="6"/>
  <c r="Z730" i="6"/>
  <c r="Y730" i="6"/>
  <c r="X730" i="6"/>
  <c r="W730" i="6"/>
  <c r="V730" i="6"/>
  <c r="U730" i="6"/>
  <c r="T730" i="6"/>
  <c r="S730" i="6"/>
  <c r="R730" i="6"/>
  <c r="Q730" i="6"/>
  <c r="P730" i="6"/>
  <c r="O730" i="6"/>
  <c r="N730" i="6"/>
  <c r="M730" i="6"/>
  <c r="L730" i="6"/>
  <c r="K730" i="6"/>
  <c r="J730" i="6"/>
  <c r="H730" i="6"/>
  <c r="G730" i="6"/>
  <c r="F730" i="6"/>
  <c r="E730" i="6"/>
  <c r="D730" i="6"/>
  <c r="C730" i="6"/>
  <c r="B730" i="6"/>
  <c r="A730" i="6"/>
  <c r="AC729" i="6"/>
  <c r="AB729" i="6"/>
  <c r="AA729" i="6"/>
  <c r="Z729" i="6"/>
  <c r="Y729" i="6"/>
  <c r="X729" i="6"/>
  <c r="W729" i="6"/>
  <c r="V729" i="6"/>
  <c r="U729" i="6"/>
  <c r="T729" i="6"/>
  <c r="S729" i="6"/>
  <c r="R729" i="6"/>
  <c r="Q729" i="6"/>
  <c r="P729" i="6"/>
  <c r="O729" i="6"/>
  <c r="N729" i="6"/>
  <c r="M729" i="6"/>
  <c r="L729" i="6"/>
  <c r="K729" i="6"/>
  <c r="J729" i="6"/>
  <c r="H729" i="6"/>
  <c r="G729" i="6"/>
  <c r="F729" i="6"/>
  <c r="E729" i="6"/>
  <c r="D729" i="6"/>
  <c r="C729" i="6"/>
  <c r="B729" i="6"/>
  <c r="A729" i="6"/>
  <c r="AC728" i="6"/>
  <c r="AB728" i="6"/>
  <c r="AA728" i="6"/>
  <c r="Z728" i="6"/>
  <c r="Y728" i="6"/>
  <c r="X728" i="6"/>
  <c r="W728" i="6"/>
  <c r="V728" i="6"/>
  <c r="U728" i="6"/>
  <c r="T728" i="6"/>
  <c r="S728" i="6"/>
  <c r="R728" i="6"/>
  <c r="Q728" i="6"/>
  <c r="P728" i="6"/>
  <c r="O728" i="6"/>
  <c r="N728" i="6"/>
  <c r="M728" i="6"/>
  <c r="L728" i="6"/>
  <c r="K728" i="6"/>
  <c r="J728" i="6"/>
  <c r="H728" i="6"/>
  <c r="G728" i="6"/>
  <c r="F728" i="6"/>
  <c r="E728" i="6"/>
  <c r="D728" i="6"/>
  <c r="C728" i="6"/>
  <c r="B728" i="6"/>
  <c r="A728" i="6"/>
  <c r="AC727" i="6"/>
  <c r="AB727" i="6"/>
  <c r="AA727" i="6"/>
  <c r="Z727" i="6"/>
  <c r="Y727" i="6"/>
  <c r="X727" i="6"/>
  <c r="W727" i="6"/>
  <c r="V727" i="6"/>
  <c r="U727" i="6"/>
  <c r="T727" i="6"/>
  <c r="S727" i="6"/>
  <c r="R727" i="6"/>
  <c r="Q727" i="6"/>
  <c r="P727" i="6"/>
  <c r="O727" i="6"/>
  <c r="N727" i="6"/>
  <c r="M727" i="6"/>
  <c r="L727" i="6"/>
  <c r="K727" i="6"/>
  <c r="J727" i="6"/>
  <c r="H727" i="6"/>
  <c r="G727" i="6"/>
  <c r="F727" i="6"/>
  <c r="E727" i="6"/>
  <c r="D727" i="6"/>
  <c r="C727" i="6"/>
  <c r="B727" i="6"/>
  <c r="A727" i="6"/>
  <c r="AC726" i="6"/>
  <c r="AB726" i="6"/>
  <c r="AA726" i="6"/>
  <c r="Z726" i="6"/>
  <c r="Y726" i="6"/>
  <c r="X726" i="6"/>
  <c r="W726" i="6"/>
  <c r="V726" i="6"/>
  <c r="U726" i="6"/>
  <c r="T726" i="6"/>
  <c r="S726" i="6"/>
  <c r="R726" i="6"/>
  <c r="Q726" i="6"/>
  <c r="P726" i="6"/>
  <c r="O726" i="6"/>
  <c r="N726" i="6"/>
  <c r="M726" i="6"/>
  <c r="L726" i="6"/>
  <c r="K726" i="6"/>
  <c r="J726" i="6"/>
  <c r="H726" i="6"/>
  <c r="G726" i="6"/>
  <c r="F726" i="6"/>
  <c r="E726" i="6"/>
  <c r="D726" i="6"/>
  <c r="C726" i="6"/>
  <c r="B726" i="6"/>
  <c r="A726" i="6"/>
  <c r="AC725" i="6"/>
  <c r="AB725" i="6"/>
  <c r="AA725" i="6"/>
  <c r="Z725" i="6"/>
  <c r="Y725" i="6"/>
  <c r="X725" i="6"/>
  <c r="W725" i="6"/>
  <c r="V725" i="6"/>
  <c r="U725" i="6"/>
  <c r="T725" i="6"/>
  <c r="S725" i="6"/>
  <c r="R725" i="6"/>
  <c r="Q725" i="6"/>
  <c r="P725" i="6"/>
  <c r="O725" i="6"/>
  <c r="N725" i="6"/>
  <c r="M725" i="6"/>
  <c r="L725" i="6"/>
  <c r="K725" i="6"/>
  <c r="J725" i="6"/>
  <c r="H725" i="6"/>
  <c r="G725" i="6"/>
  <c r="F725" i="6"/>
  <c r="E725" i="6"/>
  <c r="D725" i="6"/>
  <c r="C725" i="6"/>
  <c r="B725" i="6"/>
  <c r="A725" i="6"/>
  <c r="AC724" i="6"/>
  <c r="AB724" i="6"/>
  <c r="AA724" i="6"/>
  <c r="Z724" i="6"/>
  <c r="Y724" i="6"/>
  <c r="X724" i="6"/>
  <c r="W724" i="6"/>
  <c r="V724" i="6"/>
  <c r="U724" i="6"/>
  <c r="T724" i="6"/>
  <c r="S724" i="6"/>
  <c r="R724" i="6"/>
  <c r="Q724" i="6"/>
  <c r="P724" i="6"/>
  <c r="O724" i="6"/>
  <c r="N724" i="6"/>
  <c r="M724" i="6"/>
  <c r="L724" i="6"/>
  <c r="K724" i="6"/>
  <c r="J724" i="6"/>
  <c r="H724" i="6"/>
  <c r="G724" i="6"/>
  <c r="F724" i="6"/>
  <c r="E724" i="6"/>
  <c r="D724" i="6"/>
  <c r="C724" i="6"/>
  <c r="B724" i="6"/>
  <c r="A724" i="6"/>
  <c r="AC723" i="6"/>
  <c r="AB723" i="6"/>
  <c r="AA723" i="6"/>
  <c r="Z723" i="6"/>
  <c r="Y723" i="6"/>
  <c r="X723" i="6"/>
  <c r="W723" i="6"/>
  <c r="V723" i="6"/>
  <c r="U723" i="6"/>
  <c r="T723" i="6"/>
  <c r="S723" i="6"/>
  <c r="R723" i="6"/>
  <c r="Q723" i="6"/>
  <c r="P723" i="6"/>
  <c r="O723" i="6"/>
  <c r="N723" i="6"/>
  <c r="M723" i="6"/>
  <c r="L723" i="6"/>
  <c r="K723" i="6"/>
  <c r="J723" i="6"/>
  <c r="H723" i="6"/>
  <c r="G723" i="6"/>
  <c r="F723" i="6"/>
  <c r="E723" i="6"/>
  <c r="D723" i="6"/>
  <c r="C723" i="6"/>
  <c r="B723" i="6"/>
  <c r="A723" i="6"/>
  <c r="AC722" i="6"/>
  <c r="AB722" i="6"/>
  <c r="AA722" i="6"/>
  <c r="Z722" i="6"/>
  <c r="Y722" i="6"/>
  <c r="X722" i="6"/>
  <c r="W722" i="6"/>
  <c r="V722" i="6"/>
  <c r="U722" i="6"/>
  <c r="T722" i="6"/>
  <c r="S722" i="6"/>
  <c r="R722" i="6"/>
  <c r="Q722" i="6"/>
  <c r="P722" i="6"/>
  <c r="O722" i="6"/>
  <c r="N722" i="6"/>
  <c r="M722" i="6"/>
  <c r="L722" i="6"/>
  <c r="K722" i="6"/>
  <c r="J722" i="6"/>
  <c r="H722" i="6"/>
  <c r="G722" i="6"/>
  <c r="F722" i="6"/>
  <c r="E722" i="6"/>
  <c r="D722" i="6"/>
  <c r="C722" i="6"/>
  <c r="B722" i="6"/>
  <c r="A722" i="6"/>
  <c r="AC721" i="6"/>
  <c r="AB721" i="6"/>
  <c r="AA721" i="6"/>
  <c r="Z721" i="6"/>
  <c r="Y721" i="6"/>
  <c r="X721" i="6"/>
  <c r="W721" i="6"/>
  <c r="V721" i="6"/>
  <c r="U721" i="6"/>
  <c r="T721" i="6"/>
  <c r="S721" i="6"/>
  <c r="R721" i="6"/>
  <c r="Q721" i="6"/>
  <c r="P721" i="6"/>
  <c r="O721" i="6"/>
  <c r="N721" i="6"/>
  <c r="M721" i="6"/>
  <c r="L721" i="6"/>
  <c r="K721" i="6"/>
  <c r="J721" i="6"/>
  <c r="H721" i="6"/>
  <c r="G721" i="6"/>
  <c r="F721" i="6"/>
  <c r="E721" i="6"/>
  <c r="D721" i="6"/>
  <c r="C721" i="6"/>
  <c r="B721" i="6"/>
  <c r="A721" i="6"/>
  <c r="AC720" i="6"/>
  <c r="AB720" i="6"/>
  <c r="AA720" i="6"/>
  <c r="Z720" i="6"/>
  <c r="Y720" i="6"/>
  <c r="X720" i="6"/>
  <c r="W720" i="6"/>
  <c r="V720" i="6"/>
  <c r="U720" i="6"/>
  <c r="T720" i="6"/>
  <c r="S720" i="6"/>
  <c r="R720" i="6"/>
  <c r="Q720" i="6"/>
  <c r="P720" i="6"/>
  <c r="O720" i="6"/>
  <c r="N720" i="6"/>
  <c r="M720" i="6"/>
  <c r="L720" i="6"/>
  <c r="K720" i="6"/>
  <c r="J720" i="6"/>
  <c r="H720" i="6"/>
  <c r="G720" i="6"/>
  <c r="F720" i="6"/>
  <c r="E720" i="6"/>
  <c r="D720" i="6"/>
  <c r="C720" i="6"/>
  <c r="B720" i="6"/>
  <c r="A720" i="6"/>
  <c r="AC719" i="6"/>
  <c r="AB719" i="6"/>
  <c r="AA719" i="6"/>
  <c r="Z719" i="6"/>
  <c r="Y719" i="6"/>
  <c r="X719" i="6"/>
  <c r="W719" i="6"/>
  <c r="V719" i="6"/>
  <c r="U719" i="6"/>
  <c r="T719" i="6"/>
  <c r="S719" i="6"/>
  <c r="R719" i="6"/>
  <c r="Q719" i="6"/>
  <c r="P719" i="6"/>
  <c r="O719" i="6"/>
  <c r="N719" i="6"/>
  <c r="M719" i="6"/>
  <c r="L719" i="6"/>
  <c r="K719" i="6"/>
  <c r="J719" i="6"/>
  <c r="H719" i="6"/>
  <c r="G719" i="6"/>
  <c r="F719" i="6"/>
  <c r="E719" i="6"/>
  <c r="D719" i="6"/>
  <c r="C719" i="6"/>
  <c r="B719" i="6"/>
  <c r="A719" i="6"/>
  <c r="AC718" i="6"/>
  <c r="AB718" i="6"/>
  <c r="AA718" i="6"/>
  <c r="Z718" i="6"/>
  <c r="Y718" i="6"/>
  <c r="X718" i="6"/>
  <c r="W718" i="6"/>
  <c r="V718" i="6"/>
  <c r="U718" i="6"/>
  <c r="T718" i="6"/>
  <c r="S718" i="6"/>
  <c r="R718" i="6"/>
  <c r="Q718" i="6"/>
  <c r="P718" i="6"/>
  <c r="O718" i="6"/>
  <c r="N718" i="6"/>
  <c r="M718" i="6"/>
  <c r="L718" i="6"/>
  <c r="K718" i="6"/>
  <c r="J718" i="6"/>
  <c r="H718" i="6"/>
  <c r="G718" i="6"/>
  <c r="F718" i="6"/>
  <c r="E718" i="6"/>
  <c r="D718" i="6"/>
  <c r="C718" i="6"/>
  <c r="B718" i="6"/>
  <c r="A718" i="6"/>
  <c r="AC717" i="6"/>
  <c r="AB717" i="6"/>
  <c r="AA717" i="6"/>
  <c r="Z717" i="6"/>
  <c r="Y717" i="6"/>
  <c r="X717" i="6"/>
  <c r="W717" i="6"/>
  <c r="V717" i="6"/>
  <c r="U717" i="6"/>
  <c r="T717" i="6"/>
  <c r="S717" i="6"/>
  <c r="R717" i="6"/>
  <c r="Q717" i="6"/>
  <c r="P717" i="6"/>
  <c r="O717" i="6"/>
  <c r="N717" i="6"/>
  <c r="M717" i="6"/>
  <c r="L717" i="6"/>
  <c r="K717" i="6"/>
  <c r="J717" i="6"/>
  <c r="H717" i="6"/>
  <c r="G717" i="6"/>
  <c r="F717" i="6"/>
  <c r="E717" i="6"/>
  <c r="D717" i="6"/>
  <c r="C717" i="6"/>
  <c r="B717" i="6"/>
  <c r="A717" i="6"/>
  <c r="AC716" i="6"/>
  <c r="AB716" i="6"/>
  <c r="AA716" i="6"/>
  <c r="Z716" i="6"/>
  <c r="Y716" i="6"/>
  <c r="X716" i="6"/>
  <c r="W716" i="6"/>
  <c r="V716" i="6"/>
  <c r="U716" i="6"/>
  <c r="T716" i="6"/>
  <c r="S716" i="6"/>
  <c r="R716" i="6"/>
  <c r="Q716" i="6"/>
  <c r="P716" i="6"/>
  <c r="O716" i="6"/>
  <c r="N716" i="6"/>
  <c r="M716" i="6"/>
  <c r="L716" i="6"/>
  <c r="K716" i="6"/>
  <c r="J716" i="6"/>
  <c r="H716" i="6"/>
  <c r="G716" i="6"/>
  <c r="F716" i="6"/>
  <c r="E716" i="6"/>
  <c r="D716" i="6"/>
  <c r="C716" i="6"/>
  <c r="B716" i="6"/>
  <c r="A716" i="6"/>
  <c r="AC715" i="6"/>
  <c r="AB715" i="6"/>
  <c r="AA715" i="6"/>
  <c r="Z715" i="6"/>
  <c r="Y715" i="6"/>
  <c r="X715" i="6"/>
  <c r="W715" i="6"/>
  <c r="V715" i="6"/>
  <c r="U715" i="6"/>
  <c r="T715" i="6"/>
  <c r="S715" i="6"/>
  <c r="R715" i="6"/>
  <c r="Q715" i="6"/>
  <c r="P715" i="6"/>
  <c r="O715" i="6"/>
  <c r="N715" i="6"/>
  <c r="M715" i="6"/>
  <c r="L715" i="6"/>
  <c r="K715" i="6"/>
  <c r="J715" i="6"/>
  <c r="H715" i="6"/>
  <c r="G715" i="6"/>
  <c r="F715" i="6"/>
  <c r="E715" i="6"/>
  <c r="D715" i="6"/>
  <c r="C715" i="6"/>
  <c r="B715" i="6"/>
  <c r="A715" i="6"/>
  <c r="AC714" i="6"/>
  <c r="AB714" i="6"/>
  <c r="AA714" i="6"/>
  <c r="Z714" i="6"/>
  <c r="Y714" i="6"/>
  <c r="X714" i="6"/>
  <c r="W714" i="6"/>
  <c r="V714" i="6"/>
  <c r="U714" i="6"/>
  <c r="T714" i="6"/>
  <c r="S714" i="6"/>
  <c r="R714" i="6"/>
  <c r="Q714" i="6"/>
  <c r="P714" i="6"/>
  <c r="O714" i="6"/>
  <c r="N714" i="6"/>
  <c r="M714" i="6"/>
  <c r="L714" i="6"/>
  <c r="K714" i="6"/>
  <c r="J714" i="6"/>
  <c r="H714" i="6"/>
  <c r="G714" i="6"/>
  <c r="F714" i="6"/>
  <c r="E714" i="6"/>
  <c r="D714" i="6"/>
  <c r="C714" i="6"/>
  <c r="B714" i="6"/>
  <c r="A714" i="6"/>
  <c r="AC713" i="6"/>
  <c r="AB713" i="6"/>
  <c r="AA713" i="6"/>
  <c r="Z713" i="6"/>
  <c r="Y713" i="6"/>
  <c r="X713" i="6"/>
  <c r="W713" i="6"/>
  <c r="V713" i="6"/>
  <c r="U713" i="6"/>
  <c r="T713" i="6"/>
  <c r="S713" i="6"/>
  <c r="R713" i="6"/>
  <c r="Q713" i="6"/>
  <c r="P713" i="6"/>
  <c r="O713" i="6"/>
  <c r="N713" i="6"/>
  <c r="M713" i="6"/>
  <c r="L713" i="6"/>
  <c r="K713" i="6"/>
  <c r="J713" i="6"/>
  <c r="H713" i="6"/>
  <c r="G713" i="6"/>
  <c r="F713" i="6"/>
  <c r="E713" i="6"/>
  <c r="D713" i="6"/>
  <c r="C713" i="6"/>
  <c r="B713" i="6"/>
  <c r="A713" i="6"/>
  <c r="AC712" i="6"/>
  <c r="AB712" i="6"/>
  <c r="AA712" i="6"/>
  <c r="Z712" i="6"/>
  <c r="Y712" i="6"/>
  <c r="X712" i="6"/>
  <c r="W712" i="6"/>
  <c r="V712" i="6"/>
  <c r="U712" i="6"/>
  <c r="T712" i="6"/>
  <c r="S712" i="6"/>
  <c r="R712" i="6"/>
  <c r="Q712" i="6"/>
  <c r="P712" i="6"/>
  <c r="O712" i="6"/>
  <c r="N712" i="6"/>
  <c r="M712" i="6"/>
  <c r="L712" i="6"/>
  <c r="K712" i="6"/>
  <c r="J712" i="6"/>
  <c r="H712" i="6"/>
  <c r="G712" i="6"/>
  <c r="F712" i="6"/>
  <c r="E712" i="6"/>
  <c r="D712" i="6"/>
  <c r="C712" i="6"/>
  <c r="B712" i="6"/>
  <c r="A712" i="6"/>
  <c r="AC711" i="6"/>
  <c r="AB711" i="6"/>
  <c r="AA711" i="6"/>
  <c r="Z711" i="6"/>
  <c r="Y711" i="6"/>
  <c r="X711" i="6"/>
  <c r="W711" i="6"/>
  <c r="V711" i="6"/>
  <c r="U711" i="6"/>
  <c r="T711" i="6"/>
  <c r="S711" i="6"/>
  <c r="R711" i="6"/>
  <c r="Q711" i="6"/>
  <c r="P711" i="6"/>
  <c r="O711" i="6"/>
  <c r="N711" i="6"/>
  <c r="M711" i="6"/>
  <c r="L711" i="6"/>
  <c r="K711" i="6"/>
  <c r="J711" i="6"/>
  <c r="H711" i="6"/>
  <c r="G711" i="6"/>
  <c r="F711" i="6"/>
  <c r="E711" i="6"/>
  <c r="D711" i="6"/>
  <c r="C711" i="6"/>
  <c r="B711" i="6"/>
  <c r="A711" i="6"/>
  <c r="AC710" i="6"/>
  <c r="AB710" i="6"/>
  <c r="AA710" i="6"/>
  <c r="Z710" i="6"/>
  <c r="Y710" i="6"/>
  <c r="X710" i="6"/>
  <c r="W710" i="6"/>
  <c r="V710" i="6"/>
  <c r="U710" i="6"/>
  <c r="T710" i="6"/>
  <c r="S710" i="6"/>
  <c r="R710" i="6"/>
  <c r="Q710" i="6"/>
  <c r="P710" i="6"/>
  <c r="O710" i="6"/>
  <c r="N710" i="6"/>
  <c r="M710" i="6"/>
  <c r="L710" i="6"/>
  <c r="K710" i="6"/>
  <c r="J710" i="6"/>
  <c r="H710" i="6"/>
  <c r="G710" i="6"/>
  <c r="F710" i="6"/>
  <c r="E710" i="6"/>
  <c r="D710" i="6"/>
  <c r="C710" i="6"/>
  <c r="B710" i="6"/>
  <c r="A710" i="6"/>
  <c r="AC709" i="6"/>
  <c r="AB709" i="6"/>
  <c r="AA709" i="6"/>
  <c r="Z709" i="6"/>
  <c r="Y709" i="6"/>
  <c r="X709" i="6"/>
  <c r="W709" i="6"/>
  <c r="V709" i="6"/>
  <c r="U709" i="6"/>
  <c r="T709" i="6"/>
  <c r="S709" i="6"/>
  <c r="R709" i="6"/>
  <c r="Q709" i="6"/>
  <c r="P709" i="6"/>
  <c r="O709" i="6"/>
  <c r="N709" i="6"/>
  <c r="M709" i="6"/>
  <c r="L709" i="6"/>
  <c r="K709" i="6"/>
  <c r="J709" i="6"/>
  <c r="H709" i="6"/>
  <c r="G709" i="6"/>
  <c r="F709" i="6"/>
  <c r="E709" i="6"/>
  <c r="D709" i="6"/>
  <c r="C709" i="6"/>
  <c r="B709" i="6"/>
  <c r="A709" i="6"/>
  <c r="AD708" i="6"/>
  <c r="AC708" i="6"/>
  <c r="AB708" i="6"/>
  <c r="AA708" i="6"/>
  <c r="Z708" i="6"/>
  <c r="Y708" i="6"/>
  <c r="X708" i="6"/>
  <c r="W708" i="6"/>
  <c r="V708" i="6"/>
  <c r="U708" i="6"/>
  <c r="T708" i="6"/>
  <c r="S708" i="6"/>
  <c r="R708" i="6"/>
  <c r="Q708" i="6"/>
  <c r="P708" i="6"/>
  <c r="O708" i="6"/>
  <c r="N708" i="6"/>
  <c r="M708" i="6"/>
  <c r="L708" i="6"/>
  <c r="K708" i="6"/>
  <c r="J708" i="6"/>
  <c r="I708" i="6"/>
  <c r="H708" i="6"/>
  <c r="G708" i="6"/>
  <c r="F708" i="6"/>
  <c r="E708" i="6"/>
  <c r="D708" i="6"/>
  <c r="C708" i="6"/>
  <c r="B708" i="6"/>
  <c r="A708" i="6"/>
  <c r="AC707" i="6"/>
  <c r="AB707" i="6"/>
  <c r="AA707" i="6"/>
  <c r="Z707" i="6"/>
  <c r="Y707" i="6"/>
  <c r="X707" i="6"/>
  <c r="W707" i="6"/>
  <c r="V707" i="6"/>
  <c r="U707" i="6"/>
  <c r="T707" i="6"/>
  <c r="S707" i="6"/>
  <c r="R707" i="6"/>
  <c r="Q707" i="6"/>
  <c r="P707" i="6"/>
  <c r="O707" i="6"/>
  <c r="N707" i="6"/>
  <c r="M707" i="6"/>
  <c r="L707" i="6"/>
  <c r="K707" i="6"/>
  <c r="J707" i="6"/>
  <c r="H707" i="6"/>
  <c r="G707" i="6"/>
  <c r="F707" i="6"/>
  <c r="E707" i="6"/>
  <c r="D707" i="6"/>
  <c r="C707" i="6"/>
  <c r="B707" i="6"/>
  <c r="A707" i="6"/>
  <c r="AD706" i="6"/>
  <c r="AC706" i="6"/>
  <c r="AB706" i="6"/>
  <c r="AA706" i="6"/>
  <c r="Z706" i="6"/>
  <c r="Y706" i="6"/>
  <c r="X706" i="6"/>
  <c r="W706" i="6"/>
  <c r="V706" i="6"/>
  <c r="U706" i="6"/>
  <c r="T706" i="6"/>
  <c r="S706" i="6"/>
  <c r="R706" i="6"/>
  <c r="Q706" i="6"/>
  <c r="P706" i="6"/>
  <c r="O706" i="6"/>
  <c r="N706" i="6"/>
  <c r="M706" i="6"/>
  <c r="L706" i="6"/>
  <c r="K706" i="6"/>
  <c r="J706" i="6"/>
  <c r="I706" i="6"/>
  <c r="H706" i="6"/>
  <c r="G706" i="6"/>
  <c r="F706" i="6"/>
  <c r="E706" i="6"/>
  <c r="D706" i="6"/>
  <c r="C706" i="6"/>
  <c r="B706" i="6"/>
  <c r="A706" i="6"/>
  <c r="AC705" i="6"/>
  <c r="AB705" i="6"/>
  <c r="AA705" i="6"/>
  <c r="Z705" i="6"/>
  <c r="Y705" i="6"/>
  <c r="X705" i="6"/>
  <c r="W705" i="6"/>
  <c r="V705" i="6"/>
  <c r="U705" i="6"/>
  <c r="T705" i="6"/>
  <c r="S705" i="6"/>
  <c r="R705" i="6"/>
  <c r="Q705" i="6"/>
  <c r="P705" i="6"/>
  <c r="O705" i="6"/>
  <c r="N705" i="6"/>
  <c r="M705" i="6"/>
  <c r="L705" i="6"/>
  <c r="K705" i="6"/>
  <c r="J705" i="6"/>
  <c r="H705" i="6"/>
  <c r="G705" i="6"/>
  <c r="F705" i="6"/>
  <c r="E705" i="6"/>
  <c r="D705" i="6"/>
  <c r="C705" i="6"/>
  <c r="B705" i="6"/>
  <c r="A705" i="6"/>
  <c r="AC704" i="6"/>
  <c r="AB704" i="6"/>
  <c r="AA704" i="6"/>
  <c r="Z704" i="6"/>
  <c r="Y704" i="6"/>
  <c r="X704" i="6"/>
  <c r="W704" i="6"/>
  <c r="V704" i="6"/>
  <c r="U704" i="6"/>
  <c r="T704" i="6"/>
  <c r="S704" i="6"/>
  <c r="R704" i="6"/>
  <c r="Q704" i="6"/>
  <c r="P704" i="6"/>
  <c r="O704" i="6"/>
  <c r="N704" i="6"/>
  <c r="M704" i="6"/>
  <c r="L704" i="6"/>
  <c r="K704" i="6"/>
  <c r="J704" i="6"/>
  <c r="H704" i="6"/>
  <c r="G704" i="6"/>
  <c r="F704" i="6"/>
  <c r="E704" i="6"/>
  <c r="D704" i="6"/>
  <c r="C704" i="6"/>
  <c r="B704" i="6"/>
  <c r="A704" i="6"/>
  <c r="AC703" i="6"/>
  <c r="AB703" i="6"/>
  <c r="AA703" i="6"/>
  <c r="Z703" i="6"/>
  <c r="Y703" i="6"/>
  <c r="X703" i="6"/>
  <c r="W703" i="6"/>
  <c r="V703" i="6"/>
  <c r="U703" i="6"/>
  <c r="T703" i="6"/>
  <c r="S703" i="6"/>
  <c r="R703" i="6"/>
  <c r="Q703" i="6"/>
  <c r="P703" i="6"/>
  <c r="O703" i="6"/>
  <c r="N703" i="6"/>
  <c r="M703" i="6"/>
  <c r="L703" i="6"/>
  <c r="K703" i="6"/>
  <c r="J703" i="6"/>
  <c r="H703" i="6"/>
  <c r="G703" i="6"/>
  <c r="F703" i="6"/>
  <c r="E703" i="6"/>
  <c r="D703" i="6"/>
  <c r="C703" i="6"/>
  <c r="B703" i="6"/>
  <c r="A703" i="6"/>
  <c r="AD702" i="6"/>
  <c r="AC702" i="6"/>
  <c r="AB702" i="6"/>
  <c r="AA702" i="6"/>
  <c r="Z702" i="6"/>
  <c r="Y702" i="6"/>
  <c r="X702" i="6"/>
  <c r="W702" i="6"/>
  <c r="V702" i="6"/>
  <c r="U702" i="6"/>
  <c r="T702" i="6"/>
  <c r="S702" i="6"/>
  <c r="R702" i="6"/>
  <c r="Q702" i="6"/>
  <c r="P702" i="6"/>
  <c r="O702" i="6"/>
  <c r="N702" i="6"/>
  <c r="M702" i="6"/>
  <c r="L702" i="6"/>
  <c r="K702" i="6"/>
  <c r="J702" i="6"/>
  <c r="I702" i="6"/>
  <c r="H702" i="6"/>
  <c r="G702" i="6"/>
  <c r="F702" i="6"/>
  <c r="E702" i="6"/>
  <c r="D702" i="6"/>
  <c r="C702" i="6"/>
  <c r="B702" i="6"/>
  <c r="A702" i="6"/>
  <c r="AC701" i="6"/>
  <c r="AB701" i="6"/>
  <c r="AA701" i="6"/>
  <c r="Z701" i="6"/>
  <c r="Y701" i="6"/>
  <c r="X701" i="6"/>
  <c r="W701" i="6"/>
  <c r="V701" i="6"/>
  <c r="U701" i="6"/>
  <c r="T701" i="6"/>
  <c r="S701" i="6"/>
  <c r="R701" i="6"/>
  <c r="Q701" i="6"/>
  <c r="P701" i="6"/>
  <c r="O701" i="6"/>
  <c r="N701" i="6"/>
  <c r="M701" i="6"/>
  <c r="L701" i="6"/>
  <c r="K701" i="6"/>
  <c r="J701" i="6"/>
  <c r="H701" i="6"/>
  <c r="G701" i="6"/>
  <c r="F701" i="6"/>
  <c r="E701" i="6"/>
  <c r="D701" i="6"/>
  <c r="C701" i="6"/>
  <c r="B701" i="6"/>
  <c r="A701" i="6"/>
  <c r="AC700" i="6"/>
  <c r="AB700" i="6"/>
  <c r="AA700" i="6"/>
  <c r="Z700" i="6"/>
  <c r="Y700" i="6"/>
  <c r="X700" i="6"/>
  <c r="W700" i="6"/>
  <c r="V700" i="6"/>
  <c r="U700" i="6"/>
  <c r="T700" i="6"/>
  <c r="S700" i="6"/>
  <c r="R700" i="6"/>
  <c r="Q700" i="6"/>
  <c r="P700" i="6"/>
  <c r="O700" i="6"/>
  <c r="N700" i="6"/>
  <c r="M700" i="6"/>
  <c r="L700" i="6"/>
  <c r="K700" i="6"/>
  <c r="J700" i="6"/>
  <c r="H700" i="6"/>
  <c r="G700" i="6"/>
  <c r="F700" i="6"/>
  <c r="E700" i="6"/>
  <c r="D700" i="6"/>
  <c r="C700" i="6"/>
  <c r="B700" i="6"/>
  <c r="A700" i="6"/>
  <c r="AD699" i="6"/>
  <c r="AC699" i="6"/>
  <c r="AB699" i="6"/>
  <c r="AA699" i="6"/>
  <c r="Z699" i="6"/>
  <c r="Y699" i="6"/>
  <c r="X699" i="6"/>
  <c r="W699" i="6"/>
  <c r="V699" i="6"/>
  <c r="U699" i="6"/>
  <c r="T699" i="6"/>
  <c r="S699" i="6"/>
  <c r="R699" i="6"/>
  <c r="Q699" i="6"/>
  <c r="P699" i="6"/>
  <c r="O699" i="6"/>
  <c r="N699" i="6"/>
  <c r="M699" i="6"/>
  <c r="L699" i="6"/>
  <c r="K699" i="6"/>
  <c r="J699" i="6"/>
  <c r="I699" i="6"/>
  <c r="H699" i="6"/>
  <c r="G699" i="6"/>
  <c r="F699" i="6"/>
  <c r="E699" i="6"/>
  <c r="D699" i="6"/>
  <c r="C699" i="6"/>
  <c r="B699" i="6"/>
  <c r="A699" i="6"/>
  <c r="AD698" i="6"/>
  <c r="AC698" i="6"/>
  <c r="AB698" i="6"/>
  <c r="AA698" i="6"/>
  <c r="Z698" i="6"/>
  <c r="Y698" i="6"/>
  <c r="X698" i="6"/>
  <c r="W698" i="6"/>
  <c r="V698" i="6"/>
  <c r="U698" i="6"/>
  <c r="T698" i="6"/>
  <c r="S698" i="6"/>
  <c r="R698" i="6"/>
  <c r="Q698" i="6"/>
  <c r="P698" i="6"/>
  <c r="O698" i="6"/>
  <c r="N698" i="6"/>
  <c r="M698" i="6"/>
  <c r="L698" i="6"/>
  <c r="K698" i="6"/>
  <c r="J698" i="6"/>
  <c r="I698" i="6"/>
  <c r="H698" i="6"/>
  <c r="G698" i="6"/>
  <c r="F698" i="6"/>
  <c r="E698" i="6"/>
  <c r="D698" i="6"/>
  <c r="C698" i="6"/>
  <c r="B698" i="6"/>
  <c r="A698" i="6"/>
  <c r="AD697" i="6"/>
  <c r="AC697" i="6"/>
  <c r="AB697" i="6"/>
  <c r="AA697" i="6"/>
  <c r="Z697" i="6"/>
  <c r="Y697" i="6"/>
  <c r="X697" i="6"/>
  <c r="W697" i="6"/>
  <c r="V697" i="6"/>
  <c r="U697" i="6"/>
  <c r="T697" i="6"/>
  <c r="S697" i="6"/>
  <c r="R697" i="6"/>
  <c r="Q697" i="6"/>
  <c r="P697" i="6"/>
  <c r="O697" i="6"/>
  <c r="N697" i="6"/>
  <c r="M697" i="6"/>
  <c r="L697" i="6"/>
  <c r="K697" i="6"/>
  <c r="J697" i="6"/>
  <c r="I697" i="6"/>
  <c r="H697" i="6"/>
  <c r="G697" i="6"/>
  <c r="F697" i="6"/>
  <c r="E697" i="6"/>
  <c r="D697" i="6"/>
  <c r="C697" i="6"/>
  <c r="B697" i="6"/>
  <c r="A697" i="6"/>
  <c r="AC696" i="6"/>
  <c r="AB696" i="6"/>
  <c r="AA696" i="6"/>
  <c r="Z696" i="6"/>
  <c r="Y696" i="6"/>
  <c r="X696" i="6"/>
  <c r="W696" i="6"/>
  <c r="V696" i="6"/>
  <c r="U696" i="6"/>
  <c r="T696" i="6"/>
  <c r="S696" i="6"/>
  <c r="R696" i="6"/>
  <c r="Q696" i="6"/>
  <c r="P696" i="6"/>
  <c r="O696" i="6"/>
  <c r="N696" i="6"/>
  <c r="M696" i="6"/>
  <c r="L696" i="6"/>
  <c r="K696" i="6"/>
  <c r="J696" i="6"/>
  <c r="H696" i="6"/>
  <c r="G696" i="6"/>
  <c r="F696" i="6"/>
  <c r="E696" i="6"/>
  <c r="D696" i="6"/>
  <c r="C696" i="6"/>
  <c r="B696" i="6"/>
  <c r="A696" i="6"/>
  <c r="AC695" i="6"/>
  <c r="AB695" i="6"/>
  <c r="AA695" i="6"/>
  <c r="Z695" i="6"/>
  <c r="Y695" i="6"/>
  <c r="X695" i="6"/>
  <c r="W695" i="6"/>
  <c r="V695" i="6"/>
  <c r="U695" i="6"/>
  <c r="T695" i="6"/>
  <c r="S695" i="6"/>
  <c r="R695" i="6"/>
  <c r="Q695" i="6"/>
  <c r="P695" i="6"/>
  <c r="O695" i="6"/>
  <c r="N695" i="6"/>
  <c r="M695" i="6"/>
  <c r="L695" i="6"/>
  <c r="K695" i="6"/>
  <c r="J695" i="6"/>
  <c r="H695" i="6"/>
  <c r="G695" i="6"/>
  <c r="F695" i="6"/>
  <c r="E695" i="6"/>
  <c r="D695" i="6"/>
  <c r="C695" i="6"/>
  <c r="B695" i="6"/>
  <c r="A695" i="6"/>
  <c r="AC694" i="6"/>
  <c r="AB694" i="6"/>
  <c r="AA694" i="6"/>
  <c r="Z694" i="6"/>
  <c r="Y694" i="6"/>
  <c r="X694" i="6"/>
  <c r="W694" i="6"/>
  <c r="V694" i="6"/>
  <c r="U694" i="6"/>
  <c r="T694" i="6"/>
  <c r="S694" i="6"/>
  <c r="R694" i="6"/>
  <c r="Q694" i="6"/>
  <c r="P694" i="6"/>
  <c r="O694" i="6"/>
  <c r="N694" i="6"/>
  <c r="M694" i="6"/>
  <c r="L694" i="6"/>
  <c r="K694" i="6"/>
  <c r="J694" i="6"/>
  <c r="H694" i="6"/>
  <c r="G694" i="6"/>
  <c r="F694" i="6"/>
  <c r="E694" i="6"/>
  <c r="D694" i="6"/>
  <c r="C694" i="6"/>
  <c r="B694" i="6"/>
  <c r="A694" i="6"/>
  <c r="AC693" i="6"/>
  <c r="AB693" i="6"/>
  <c r="AA693" i="6"/>
  <c r="Z693" i="6"/>
  <c r="Y693" i="6"/>
  <c r="X693" i="6"/>
  <c r="W693" i="6"/>
  <c r="V693" i="6"/>
  <c r="U693" i="6"/>
  <c r="T693" i="6"/>
  <c r="S693" i="6"/>
  <c r="R693" i="6"/>
  <c r="Q693" i="6"/>
  <c r="P693" i="6"/>
  <c r="O693" i="6"/>
  <c r="N693" i="6"/>
  <c r="M693" i="6"/>
  <c r="L693" i="6"/>
  <c r="K693" i="6"/>
  <c r="J693" i="6"/>
  <c r="H693" i="6"/>
  <c r="G693" i="6"/>
  <c r="F693" i="6"/>
  <c r="E693" i="6"/>
  <c r="D693" i="6"/>
  <c r="C693" i="6"/>
  <c r="B693" i="6"/>
  <c r="A693" i="6"/>
  <c r="AD692" i="6"/>
  <c r="AC692" i="6"/>
  <c r="AB692" i="6"/>
  <c r="AA692" i="6"/>
  <c r="Z692" i="6"/>
  <c r="Y692" i="6"/>
  <c r="X692" i="6"/>
  <c r="W692" i="6"/>
  <c r="V692" i="6"/>
  <c r="U692" i="6"/>
  <c r="T692" i="6"/>
  <c r="S692" i="6"/>
  <c r="R692" i="6"/>
  <c r="Q692" i="6"/>
  <c r="P692" i="6"/>
  <c r="O692" i="6"/>
  <c r="N692" i="6"/>
  <c r="M692" i="6"/>
  <c r="L692" i="6"/>
  <c r="K692" i="6"/>
  <c r="J692" i="6"/>
  <c r="I692" i="6"/>
  <c r="H692" i="6"/>
  <c r="G692" i="6"/>
  <c r="F692" i="6"/>
  <c r="E692" i="6"/>
  <c r="D692" i="6"/>
  <c r="C692" i="6"/>
  <c r="B692" i="6"/>
  <c r="A692" i="6"/>
  <c r="AD691" i="6"/>
  <c r="AC691" i="6"/>
  <c r="AB691" i="6"/>
  <c r="AA691" i="6"/>
  <c r="Z691" i="6"/>
  <c r="Y691" i="6"/>
  <c r="X691" i="6"/>
  <c r="W691" i="6"/>
  <c r="V691" i="6"/>
  <c r="U691" i="6"/>
  <c r="T691" i="6"/>
  <c r="S691" i="6"/>
  <c r="R691" i="6"/>
  <c r="Q691" i="6"/>
  <c r="P691" i="6"/>
  <c r="O691" i="6"/>
  <c r="N691" i="6"/>
  <c r="M691" i="6"/>
  <c r="L691" i="6"/>
  <c r="K691" i="6"/>
  <c r="J691" i="6"/>
  <c r="I691" i="6"/>
  <c r="H691" i="6"/>
  <c r="G691" i="6"/>
  <c r="F691" i="6"/>
  <c r="E691" i="6"/>
  <c r="D691" i="6"/>
  <c r="C691" i="6"/>
  <c r="B691" i="6"/>
  <c r="A691" i="6"/>
  <c r="AD690" i="6"/>
  <c r="AC690" i="6"/>
  <c r="AB690" i="6"/>
  <c r="AA690" i="6"/>
  <c r="Z690" i="6"/>
  <c r="Y690" i="6"/>
  <c r="X690" i="6"/>
  <c r="W690" i="6"/>
  <c r="V690" i="6"/>
  <c r="U690" i="6"/>
  <c r="T690" i="6"/>
  <c r="S690" i="6"/>
  <c r="R690" i="6"/>
  <c r="Q690" i="6"/>
  <c r="P690" i="6"/>
  <c r="O690" i="6"/>
  <c r="N690" i="6"/>
  <c r="M690" i="6"/>
  <c r="L690" i="6"/>
  <c r="K690" i="6"/>
  <c r="J690" i="6"/>
  <c r="I690" i="6"/>
  <c r="H690" i="6"/>
  <c r="G690" i="6"/>
  <c r="F690" i="6"/>
  <c r="E690" i="6"/>
  <c r="D690" i="6"/>
  <c r="C690" i="6"/>
  <c r="B690" i="6"/>
  <c r="A690" i="6"/>
  <c r="AC689" i="6"/>
  <c r="AB689" i="6"/>
  <c r="AA689" i="6"/>
  <c r="Z689" i="6"/>
  <c r="Y689" i="6"/>
  <c r="X689" i="6"/>
  <c r="W689" i="6"/>
  <c r="V689" i="6"/>
  <c r="U689" i="6"/>
  <c r="T689" i="6"/>
  <c r="S689" i="6"/>
  <c r="R689" i="6"/>
  <c r="Q689" i="6"/>
  <c r="P689" i="6"/>
  <c r="O689" i="6"/>
  <c r="N689" i="6"/>
  <c r="M689" i="6"/>
  <c r="L689" i="6"/>
  <c r="K689" i="6"/>
  <c r="J689" i="6"/>
  <c r="H689" i="6"/>
  <c r="G689" i="6"/>
  <c r="F689" i="6"/>
  <c r="E689" i="6"/>
  <c r="D689" i="6"/>
  <c r="C689" i="6"/>
  <c r="B689" i="6"/>
  <c r="A689" i="6"/>
  <c r="AC688" i="6"/>
  <c r="AB688" i="6"/>
  <c r="AA688" i="6"/>
  <c r="Z688" i="6"/>
  <c r="Y688" i="6"/>
  <c r="X688" i="6"/>
  <c r="W688" i="6"/>
  <c r="V688" i="6"/>
  <c r="U688" i="6"/>
  <c r="T688" i="6"/>
  <c r="S688" i="6"/>
  <c r="R688" i="6"/>
  <c r="Q688" i="6"/>
  <c r="P688" i="6"/>
  <c r="O688" i="6"/>
  <c r="N688" i="6"/>
  <c r="M688" i="6"/>
  <c r="L688" i="6"/>
  <c r="K688" i="6"/>
  <c r="J688" i="6"/>
  <c r="H688" i="6"/>
  <c r="G688" i="6"/>
  <c r="F688" i="6"/>
  <c r="E688" i="6"/>
  <c r="D688" i="6"/>
  <c r="C688" i="6"/>
  <c r="B688" i="6"/>
  <c r="A688" i="6"/>
  <c r="AD687" i="6"/>
  <c r="AC687" i="6"/>
  <c r="AB687" i="6"/>
  <c r="AA687" i="6"/>
  <c r="Z687" i="6"/>
  <c r="Y687" i="6"/>
  <c r="X687" i="6"/>
  <c r="W687" i="6"/>
  <c r="V687" i="6"/>
  <c r="U687" i="6"/>
  <c r="T687" i="6"/>
  <c r="S687" i="6"/>
  <c r="R687" i="6"/>
  <c r="Q687" i="6"/>
  <c r="P687" i="6"/>
  <c r="O687" i="6"/>
  <c r="N687" i="6"/>
  <c r="M687" i="6"/>
  <c r="L687" i="6"/>
  <c r="K687" i="6"/>
  <c r="J687" i="6"/>
  <c r="I687" i="6"/>
  <c r="H687" i="6"/>
  <c r="G687" i="6"/>
  <c r="F687" i="6"/>
  <c r="E687" i="6"/>
  <c r="D687" i="6"/>
  <c r="C687" i="6"/>
  <c r="B687" i="6"/>
  <c r="A687" i="6"/>
  <c r="AC686" i="6"/>
  <c r="AB686" i="6"/>
  <c r="AA686" i="6"/>
  <c r="Z686" i="6"/>
  <c r="Y686" i="6"/>
  <c r="X686" i="6"/>
  <c r="W686" i="6"/>
  <c r="V686" i="6"/>
  <c r="U686" i="6"/>
  <c r="T686" i="6"/>
  <c r="S686" i="6"/>
  <c r="R686" i="6"/>
  <c r="Q686" i="6"/>
  <c r="P686" i="6"/>
  <c r="O686" i="6"/>
  <c r="N686" i="6"/>
  <c r="M686" i="6"/>
  <c r="L686" i="6"/>
  <c r="K686" i="6"/>
  <c r="J686" i="6"/>
  <c r="H686" i="6"/>
  <c r="G686" i="6"/>
  <c r="F686" i="6"/>
  <c r="E686" i="6"/>
  <c r="D686" i="6"/>
  <c r="C686" i="6"/>
  <c r="B686" i="6"/>
  <c r="A686" i="6"/>
  <c r="AC685" i="6"/>
  <c r="AB685" i="6"/>
  <c r="AA685" i="6"/>
  <c r="Z685" i="6"/>
  <c r="Y685" i="6"/>
  <c r="X685" i="6"/>
  <c r="W685" i="6"/>
  <c r="V685" i="6"/>
  <c r="U685" i="6"/>
  <c r="T685" i="6"/>
  <c r="S685" i="6"/>
  <c r="R685" i="6"/>
  <c r="Q685" i="6"/>
  <c r="P685" i="6"/>
  <c r="O685" i="6"/>
  <c r="N685" i="6"/>
  <c r="M685" i="6"/>
  <c r="L685" i="6"/>
  <c r="K685" i="6"/>
  <c r="J685" i="6"/>
  <c r="H685" i="6"/>
  <c r="G685" i="6"/>
  <c r="F685" i="6"/>
  <c r="E685" i="6"/>
  <c r="D685" i="6"/>
  <c r="C685" i="6"/>
  <c r="B685" i="6"/>
  <c r="A685" i="6"/>
  <c r="AD684" i="6"/>
  <c r="AC684" i="6"/>
  <c r="AB684" i="6"/>
  <c r="AA684" i="6"/>
  <c r="Z684" i="6"/>
  <c r="Y684" i="6"/>
  <c r="X684" i="6"/>
  <c r="W684" i="6"/>
  <c r="V684" i="6"/>
  <c r="U684" i="6"/>
  <c r="T684" i="6"/>
  <c r="S684" i="6"/>
  <c r="R684" i="6"/>
  <c r="Q684" i="6"/>
  <c r="P684" i="6"/>
  <c r="O684" i="6"/>
  <c r="N684" i="6"/>
  <c r="M684" i="6"/>
  <c r="L684" i="6"/>
  <c r="K684" i="6"/>
  <c r="J684" i="6"/>
  <c r="I684" i="6"/>
  <c r="H684" i="6"/>
  <c r="G684" i="6"/>
  <c r="F684" i="6"/>
  <c r="E684" i="6"/>
  <c r="D684" i="6"/>
  <c r="C684" i="6"/>
  <c r="B684" i="6"/>
  <c r="A684" i="6"/>
  <c r="AC683" i="6"/>
  <c r="AB683" i="6"/>
  <c r="AA683" i="6"/>
  <c r="Z683" i="6"/>
  <c r="Y683" i="6"/>
  <c r="X683" i="6"/>
  <c r="W683" i="6"/>
  <c r="V683" i="6"/>
  <c r="U683" i="6"/>
  <c r="T683" i="6"/>
  <c r="S683" i="6"/>
  <c r="R683" i="6"/>
  <c r="Q683" i="6"/>
  <c r="P683" i="6"/>
  <c r="O683" i="6"/>
  <c r="N683" i="6"/>
  <c r="M683" i="6"/>
  <c r="L683" i="6"/>
  <c r="K683" i="6"/>
  <c r="J683" i="6"/>
  <c r="H683" i="6"/>
  <c r="G683" i="6"/>
  <c r="F683" i="6"/>
  <c r="E683" i="6"/>
  <c r="D683" i="6"/>
  <c r="C683" i="6"/>
  <c r="B683" i="6"/>
  <c r="A683" i="6"/>
  <c r="AC682" i="6"/>
  <c r="AB682" i="6"/>
  <c r="AA682" i="6"/>
  <c r="Z682" i="6"/>
  <c r="Y682" i="6"/>
  <c r="X682" i="6"/>
  <c r="W682" i="6"/>
  <c r="V682" i="6"/>
  <c r="U682" i="6"/>
  <c r="T682" i="6"/>
  <c r="S682" i="6"/>
  <c r="R682" i="6"/>
  <c r="Q682" i="6"/>
  <c r="P682" i="6"/>
  <c r="O682" i="6"/>
  <c r="N682" i="6"/>
  <c r="M682" i="6"/>
  <c r="L682" i="6"/>
  <c r="K682" i="6"/>
  <c r="J682" i="6"/>
  <c r="H682" i="6"/>
  <c r="G682" i="6"/>
  <c r="F682" i="6"/>
  <c r="E682" i="6"/>
  <c r="D682" i="6"/>
  <c r="C682" i="6"/>
  <c r="B682" i="6"/>
  <c r="A682" i="6"/>
  <c r="AD681" i="6"/>
  <c r="AC681" i="6"/>
  <c r="AB681" i="6"/>
  <c r="AA681" i="6"/>
  <c r="Z681" i="6"/>
  <c r="Y681" i="6"/>
  <c r="X681" i="6"/>
  <c r="W681" i="6"/>
  <c r="V681" i="6"/>
  <c r="U681" i="6"/>
  <c r="T681" i="6"/>
  <c r="S681" i="6"/>
  <c r="R681" i="6"/>
  <c r="Q681" i="6"/>
  <c r="P681" i="6"/>
  <c r="O681" i="6"/>
  <c r="N681" i="6"/>
  <c r="M681" i="6"/>
  <c r="L681" i="6"/>
  <c r="K681" i="6"/>
  <c r="J681" i="6"/>
  <c r="I681" i="6"/>
  <c r="H681" i="6"/>
  <c r="G681" i="6"/>
  <c r="F681" i="6"/>
  <c r="E681" i="6"/>
  <c r="D681" i="6"/>
  <c r="C681" i="6"/>
  <c r="B681" i="6"/>
  <c r="A681" i="6"/>
  <c r="S680" i="6"/>
  <c r="R680" i="6"/>
  <c r="Q680" i="6"/>
  <c r="P680" i="6"/>
  <c r="O680" i="6"/>
  <c r="N680" i="6"/>
  <c r="M680" i="6"/>
  <c r="L680" i="6"/>
  <c r="K680" i="6"/>
  <c r="J680" i="6"/>
  <c r="H680" i="6"/>
  <c r="G680" i="6"/>
  <c r="F680" i="6"/>
  <c r="E680" i="6"/>
  <c r="D680" i="6"/>
  <c r="C680" i="6"/>
  <c r="B680" i="6"/>
  <c r="A680" i="6"/>
  <c r="AC679" i="6"/>
  <c r="AB679" i="6"/>
  <c r="AA679" i="6"/>
  <c r="Z679" i="6"/>
  <c r="Y679" i="6"/>
  <c r="X679" i="6"/>
  <c r="W679" i="6"/>
  <c r="V679" i="6"/>
  <c r="U679" i="6"/>
  <c r="T679" i="6"/>
  <c r="S679" i="6"/>
  <c r="R679" i="6"/>
  <c r="Q679" i="6"/>
  <c r="P679" i="6"/>
  <c r="O679" i="6"/>
  <c r="N679" i="6"/>
  <c r="M679" i="6"/>
  <c r="L679" i="6"/>
  <c r="K679" i="6"/>
  <c r="J679" i="6"/>
  <c r="H679" i="6"/>
  <c r="G679" i="6"/>
  <c r="F679" i="6"/>
  <c r="E679" i="6"/>
  <c r="D679" i="6"/>
  <c r="C679" i="6"/>
  <c r="B679" i="6"/>
  <c r="A679" i="6"/>
  <c r="AC678" i="6"/>
  <c r="AB678" i="6"/>
  <c r="AA678" i="6"/>
  <c r="Z678" i="6"/>
  <c r="Y678" i="6"/>
  <c r="X678" i="6"/>
  <c r="W678" i="6"/>
  <c r="V678" i="6"/>
  <c r="U678" i="6"/>
  <c r="T678" i="6"/>
  <c r="S678" i="6"/>
  <c r="R678" i="6"/>
  <c r="Q678" i="6"/>
  <c r="P678" i="6"/>
  <c r="O678" i="6"/>
  <c r="N678" i="6"/>
  <c r="M678" i="6"/>
  <c r="L678" i="6"/>
  <c r="K678" i="6"/>
  <c r="J678" i="6"/>
  <c r="H678" i="6"/>
  <c r="G678" i="6"/>
  <c r="F678" i="6"/>
  <c r="E678" i="6"/>
  <c r="D678" i="6"/>
  <c r="C678" i="6"/>
  <c r="B678" i="6"/>
  <c r="A678" i="6"/>
  <c r="AC677" i="6"/>
  <c r="AB677" i="6"/>
  <c r="AA677" i="6"/>
  <c r="Z677" i="6"/>
  <c r="Y677" i="6"/>
  <c r="X677" i="6"/>
  <c r="W677" i="6"/>
  <c r="V677" i="6"/>
  <c r="U677" i="6"/>
  <c r="T677" i="6"/>
  <c r="S677" i="6"/>
  <c r="R677" i="6"/>
  <c r="Q677" i="6"/>
  <c r="P677" i="6"/>
  <c r="O677" i="6"/>
  <c r="N677" i="6"/>
  <c r="M677" i="6"/>
  <c r="L677" i="6"/>
  <c r="K677" i="6"/>
  <c r="J677" i="6"/>
  <c r="H677" i="6"/>
  <c r="G677" i="6"/>
  <c r="F677" i="6"/>
  <c r="E677" i="6"/>
  <c r="D677" i="6"/>
  <c r="C677" i="6"/>
  <c r="B677" i="6"/>
  <c r="A677" i="6"/>
  <c r="AC676" i="6"/>
  <c r="AB676" i="6"/>
  <c r="AA676" i="6"/>
  <c r="Z676" i="6"/>
  <c r="Y676" i="6"/>
  <c r="X676" i="6"/>
  <c r="W676" i="6"/>
  <c r="V676" i="6"/>
  <c r="U676" i="6"/>
  <c r="T676" i="6"/>
  <c r="S676" i="6"/>
  <c r="R676" i="6"/>
  <c r="Q676" i="6"/>
  <c r="P676" i="6"/>
  <c r="O676" i="6"/>
  <c r="N676" i="6"/>
  <c r="M676" i="6"/>
  <c r="L676" i="6"/>
  <c r="K676" i="6"/>
  <c r="J676" i="6"/>
  <c r="H676" i="6"/>
  <c r="G676" i="6"/>
  <c r="F676" i="6"/>
  <c r="E676" i="6"/>
  <c r="D676" i="6"/>
  <c r="C676" i="6"/>
  <c r="B676" i="6"/>
  <c r="A676" i="6"/>
  <c r="AC675" i="6"/>
  <c r="AB675" i="6"/>
  <c r="AA675" i="6"/>
  <c r="Z675" i="6"/>
  <c r="Y675" i="6"/>
  <c r="X675" i="6"/>
  <c r="W675" i="6"/>
  <c r="V675" i="6"/>
  <c r="U675" i="6"/>
  <c r="T675" i="6"/>
  <c r="S675" i="6"/>
  <c r="R675" i="6"/>
  <c r="Q675" i="6"/>
  <c r="P675" i="6"/>
  <c r="O675" i="6"/>
  <c r="N675" i="6"/>
  <c r="M675" i="6"/>
  <c r="L675" i="6"/>
  <c r="K675" i="6"/>
  <c r="J675" i="6"/>
  <c r="H675" i="6"/>
  <c r="G675" i="6"/>
  <c r="F675" i="6"/>
  <c r="E675" i="6"/>
  <c r="D675" i="6"/>
  <c r="C675" i="6"/>
  <c r="B675" i="6"/>
  <c r="A675" i="6"/>
  <c r="AD674" i="6"/>
  <c r="AC674" i="6"/>
  <c r="AB674" i="6"/>
  <c r="AA674" i="6"/>
  <c r="Z674" i="6"/>
  <c r="Y674" i="6"/>
  <c r="X674" i="6"/>
  <c r="W674" i="6"/>
  <c r="V674" i="6"/>
  <c r="U674" i="6"/>
  <c r="T674" i="6"/>
  <c r="S674" i="6"/>
  <c r="R674" i="6"/>
  <c r="Q674" i="6"/>
  <c r="P674" i="6"/>
  <c r="O674" i="6"/>
  <c r="N674" i="6"/>
  <c r="M674" i="6"/>
  <c r="L674" i="6"/>
  <c r="K674" i="6"/>
  <c r="J674" i="6"/>
  <c r="I674" i="6"/>
  <c r="H674" i="6"/>
  <c r="G674" i="6"/>
  <c r="F674" i="6"/>
  <c r="E674" i="6"/>
  <c r="D674" i="6"/>
  <c r="C674" i="6"/>
  <c r="B674" i="6"/>
  <c r="A674" i="6"/>
  <c r="AD673" i="6"/>
  <c r="AC673" i="6"/>
  <c r="AB673" i="6"/>
  <c r="AA673" i="6"/>
  <c r="Z673" i="6"/>
  <c r="Y673" i="6"/>
  <c r="X673" i="6"/>
  <c r="W673" i="6"/>
  <c r="V673" i="6"/>
  <c r="U673" i="6"/>
  <c r="T673" i="6"/>
  <c r="S673" i="6"/>
  <c r="R673" i="6"/>
  <c r="Q673" i="6"/>
  <c r="P673" i="6"/>
  <c r="O673" i="6"/>
  <c r="N673" i="6"/>
  <c r="M673" i="6"/>
  <c r="L673" i="6"/>
  <c r="K673" i="6"/>
  <c r="J673" i="6"/>
  <c r="I673" i="6"/>
  <c r="H673" i="6"/>
  <c r="G673" i="6"/>
  <c r="F673" i="6"/>
  <c r="E673" i="6"/>
  <c r="D673" i="6"/>
  <c r="C673" i="6"/>
  <c r="B673" i="6"/>
  <c r="A673" i="6"/>
  <c r="AC672" i="6"/>
  <c r="AB672" i="6"/>
  <c r="AA672" i="6"/>
  <c r="Z672" i="6"/>
  <c r="Y672" i="6"/>
  <c r="X672" i="6"/>
  <c r="W672" i="6"/>
  <c r="V672" i="6"/>
  <c r="U672" i="6"/>
  <c r="T672" i="6"/>
  <c r="S672" i="6"/>
  <c r="R672" i="6"/>
  <c r="Q672" i="6"/>
  <c r="P672" i="6"/>
  <c r="O672" i="6"/>
  <c r="N672" i="6"/>
  <c r="M672" i="6"/>
  <c r="L672" i="6"/>
  <c r="K672" i="6"/>
  <c r="J672" i="6"/>
  <c r="H672" i="6"/>
  <c r="G672" i="6"/>
  <c r="F672" i="6"/>
  <c r="E672" i="6"/>
  <c r="D672" i="6"/>
  <c r="C672" i="6"/>
  <c r="B672" i="6"/>
  <c r="A672" i="6"/>
  <c r="AD671" i="6"/>
  <c r="AC671" i="6"/>
  <c r="AB671" i="6"/>
  <c r="AA671" i="6"/>
  <c r="Z671" i="6"/>
  <c r="Y671" i="6"/>
  <c r="X671" i="6"/>
  <c r="W671" i="6"/>
  <c r="V671" i="6"/>
  <c r="U671" i="6"/>
  <c r="T671" i="6"/>
  <c r="S671" i="6"/>
  <c r="R671" i="6"/>
  <c r="Q671" i="6"/>
  <c r="P671" i="6"/>
  <c r="O671" i="6"/>
  <c r="N671" i="6"/>
  <c r="M671" i="6"/>
  <c r="L671" i="6"/>
  <c r="K671" i="6"/>
  <c r="J671" i="6"/>
  <c r="I671" i="6"/>
  <c r="H671" i="6"/>
  <c r="G671" i="6"/>
  <c r="F671" i="6"/>
  <c r="E671" i="6"/>
  <c r="D671" i="6"/>
  <c r="C671" i="6"/>
  <c r="B671" i="6"/>
  <c r="A671" i="6"/>
  <c r="AD670" i="6"/>
  <c r="AC670" i="6"/>
  <c r="AB670" i="6"/>
  <c r="AA670" i="6"/>
  <c r="Z670" i="6"/>
  <c r="Y670" i="6"/>
  <c r="X670" i="6"/>
  <c r="W670" i="6"/>
  <c r="V670" i="6"/>
  <c r="U670" i="6"/>
  <c r="T670" i="6"/>
  <c r="S670" i="6"/>
  <c r="R670" i="6"/>
  <c r="Q670" i="6"/>
  <c r="P670" i="6"/>
  <c r="O670" i="6"/>
  <c r="N670" i="6"/>
  <c r="M670" i="6"/>
  <c r="L670" i="6"/>
  <c r="K670" i="6"/>
  <c r="J670" i="6"/>
  <c r="H670" i="6"/>
  <c r="G670" i="6"/>
  <c r="F670" i="6"/>
  <c r="E670" i="6"/>
  <c r="D670" i="6"/>
  <c r="C670" i="6"/>
  <c r="B670" i="6"/>
  <c r="A670" i="6"/>
  <c r="AC669" i="6"/>
  <c r="AB669" i="6"/>
  <c r="AA669" i="6"/>
  <c r="Z669" i="6"/>
  <c r="Y669" i="6"/>
  <c r="X669" i="6"/>
  <c r="W669" i="6"/>
  <c r="V669" i="6"/>
  <c r="U669" i="6"/>
  <c r="T669" i="6"/>
  <c r="S669" i="6"/>
  <c r="R669" i="6"/>
  <c r="Q669" i="6"/>
  <c r="P669" i="6"/>
  <c r="O669" i="6"/>
  <c r="N669" i="6"/>
  <c r="M669" i="6"/>
  <c r="L669" i="6"/>
  <c r="K669" i="6"/>
  <c r="J669" i="6"/>
  <c r="H669" i="6"/>
  <c r="G669" i="6"/>
  <c r="F669" i="6"/>
  <c r="E669" i="6"/>
  <c r="D669" i="6"/>
  <c r="C669" i="6"/>
  <c r="B669" i="6"/>
  <c r="A669" i="6"/>
  <c r="AC668" i="6"/>
  <c r="AB668" i="6"/>
  <c r="AA668" i="6"/>
  <c r="Z668" i="6"/>
  <c r="Y668" i="6"/>
  <c r="X668" i="6"/>
  <c r="W668" i="6"/>
  <c r="V668" i="6"/>
  <c r="U668" i="6"/>
  <c r="T668" i="6"/>
  <c r="S668" i="6"/>
  <c r="R668" i="6"/>
  <c r="Q668" i="6"/>
  <c r="P668" i="6"/>
  <c r="O668" i="6"/>
  <c r="N668" i="6"/>
  <c r="M668" i="6"/>
  <c r="L668" i="6"/>
  <c r="K668" i="6"/>
  <c r="J668" i="6"/>
  <c r="H668" i="6"/>
  <c r="G668" i="6"/>
  <c r="F668" i="6"/>
  <c r="E668" i="6"/>
  <c r="D668" i="6"/>
  <c r="C668" i="6"/>
  <c r="B668" i="6"/>
  <c r="A668" i="6"/>
  <c r="AD667" i="6"/>
  <c r="AC667" i="6"/>
  <c r="AB667" i="6"/>
  <c r="AA667" i="6"/>
  <c r="Z667" i="6"/>
  <c r="Y667" i="6"/>
  <c r="X667" i="6"/>
  <c r="W667" i="6"/>
  <c r="V667" i="6"/>
  <c r="U667" i="6"/>
  <c r="T667" i="6"/>
  <c r="S667" i="6"/>
  <c r="R667" i="6"/>
  <c r="Q667" i="6"/>
  <c r="P667" i="6"/>
  <c r="O667" i="6"/>
  <c r="N667" i="6"/>
  <c r="M667" i="6"/>
  <c r="L667" i="6"/>
  <c r="K667" i="6"/>
  <c r="J667" i="6"/>
  <c r="I667" i="6"/>
  <c r="H667" i="6"/>
  <c r="G667" i="6"/>
  <c r="F667" i="6"/>
  <c r="E667" i="6"/>
  <c r="D667" i="6"/>
  <c r="C667" i="6"/>
  <c r="B667" i="6"/>
  <c r="A667" i="6"/>
  <c r="AC666" i="6"/>
  <c r="AB666" i="6"/>
  <c r="AA666" i="6"/>
  <c r="Z666" i="6"/>
  <c r="Y666" i="6"/>
  <c r="X666" i="6"/>
  <c r="W666" i="6"/>
  <c r="V666" i="6"/>
  <c r="U666" i="6"/>
  <c r="T666" i="6"/>
  <c r="S666" i="6"/>
  <c r="R666" i="6"/>
  <c r="Q666" i="6"/>
  <c r="P666" i="6"/>
  <c r="O666" i="6"/>
  <c r="N666" i="6"/>
  <c r="M666" i="6"/>
  <c r="L666" i="6"/>
  <c r="K666" i="6"/>
  <c r="J666" i="6"/>
  <c r="H666" i="6"/>
  <c r="G666" i="6"/>
  <c r="F666" i="6"/>
  <c r="E666" i="6"/>
  <c r="D666" i="6"/>
  <c r="C666" i="6"/>
  <c r="B666" i="6"/>
  <c r="A666" i="6"/>
  <c r="AC665" i="6"/>
  <c r="AB665" i="6"/>
  <c r="AA665" i="6"/>
  <c r="Z665" i="6"/>
  <c r="Y665" i="6"/>
  <c r="X665" i="6"/>
  <c r="W665" i="6"/>
  <c r="V665" i="6"/>
  <c r="U665" i="6"/>
  <c r="T665" i="6"/>
  <c r="S665" i="6"/>
  <c r="R665" i="6"/>
  <c r="Q665" i="6"/>
  <c r="P665" i="6"/>
  <c r="O665" i="6"/>
  <c r="N665" i="6"/>
  <c r="M665" i="6"/>
  <c r="L665" i="6"/>
  <c r="K665" i="6"/>
  <c r="J665" i="6"/>
  <c r="H665" i="6"/>
  <c r="G665" i="6"/>
  <c r="F665" i="6"/>
  <c r="E665" i="6"/>
  <c r="D665" i="6"/>
  <c r="C665" i="6"/>
  <c r="B665" i="6"/>
  <c r="A665" i="6"/>
  <c r="AC664" i="6"/>
  <c r="AB664" i="6"/>
  <c r="AA664" i="6"/>
  <c r="Z664" i="6"/>
  <c r="Y664" i="6"/>
  <c r="X664" i="6"/>
  <c r="W664" i="6"/>
  <c r="V664" i="6"/>
  <c r="U664" i="6"/>
  <c r="T664" i="6"/>
  <c r="S664" i="6"/>
  <c r="R664" i="6"/>
  <c r="Q664" i="6"/>
  <c r="P664" i="6"/>
  <c r="O664" i="6"/>
  <c r="N664" i="6"/>
  <c r="M664" i="6"/>
  <c r="L664" i="6"/>
  <c r="K664" i="6"/>
  <c r="J664" i="6"/>
  <c r="H664" i="6"/>
  <c r="G664" i="6"/>
  <c r="F664" i="6"/>
  <c r="E664" i="6"/>
  <c r="D664" i="6"/>
  <c r="C664" i="6"/>
  <c r="B664" i="6"/>
  <c r="A664" i="6"/>
  <c r="AC663" i="6"/>
  <c r="AB663" i="6"/>
  <c r="AA663" i="6"/>
  <c r="Z663" i="6"/>
  <c r="Y663" i="6"/>
  <c r="X663" i="6"/>
  <c r="W663" i="6"/>
  <c r="V663" i="6"/>
  <c r="U663" i="6"/>
  <c r="T663" i="6"/>
  <c r="S663" i="6"/>
  <c r="R663" i="6"/>
  <c r="Q663" i="6"/>
  <c r="P663" i="6"/>
  <c r="O663" i="6"/>
  <c r="N663" i="6"/>
  <c r="M663" i="6"/>
  <c r="L663" i="6"/>
  <c r="K663" i="6"/>
  <c r="J663" i="6"/>
  <c r="H663" i="6"/>
  <c r="G663" i="6"/>
  <c r="F663" i="6"/>
  <c r="E663" i="6"/>
  <c r="D663" i="6"/>
  <c r="C663" i="6"/>
  <c r="B663" i="6"/>
  <c r="A663" i="6"/>
  <c r="AC662" i="6"/>
  <c r="AB662" i="6"/>
  <c r="AA662" i="6"/>
  <c r="Z662" i="6"/>
  <c r="Y662" i="6"/>
  <c r="X662" i="6"/>
  <c r="W662" i="6"/>
  <c r="V662" i="6"/>
  <c r="U662" i="6"/>
  <c r="T662" i="6"/>
  <c r="S662" i="6"/>
  <c r="R662" i="6"/>
  <c r="Q662" i="6"/>
  <c r="P662" i="6"/>
  <c r="O662" i="6"/>
  <c r="N662" i="6"/>
  <c r="M662" i="6"/>
  <c r="L662" i="6"/>
  <c r="K662" i="6"/>
  <c r="J662" i="6"/>
  <c r="H662" i="6"/>
  <c r="G662" i="6"/>
  <c r="F662" i="6"/>
  <c r="E662" i="6"/>
  <c r="D662" i="6"/>
  <c r="C662" i="6"/>
  <c r="B662" i="6"/>
  <c r="A662" i="6"/>
  <c r="AC661" i="6"/>
  <c r="AB661" i="6"/>
  <c r="AA661" i="6"/>
  <c r="Z661" i="6"/>
  <c r="Y661" i="6"/>
  <c r="X661" i="6"/>
  <c r="W661" i="6"/>
  <c r="V661" i="6"/>
  <c r="U661" i="6"/>
  <c r="T661" i="6"/>
  <c r="S661" i="6"/>
  <c r="R661" i="6"/>
  <c r="Q661" i="6"/>
  <c r="P661" i="6"/>
  <c r="O661" i="6"/>
  <c r="N661" i="6"/>
  <c r="M661" i="6"/>
  <c r="L661" i="6"/>
  <c r="K661" i="6"/>
  <c r="J661" i="6"/>
  <c r="H661" i="6"/>
  <c r="G661" i="6"/>
  <c r="F661" i="6"/>
  <c r="E661" i="6"/>
  <c r="D661" i="6"/>
  <c r="C661" i="6"/>
  <c r="B661" i="6"/>
  <c r="A661" i="6"/>
  <c r="AC660" i="6"/>
  <c r="AB660" i="6"/>
  <c r="AA660" i="6"/>
  <c r="Z660" i="6"/>
  <c r="Y660" i="6"/>
  <c r="X660" i="6"/>
  <c r="W660" i="6"/>
  <c r="V660" i="6"/>
  <c r="U660" i="6"/>
  <c r="T660" i="6"/>
  <c r="S660" i="6"/>
  <c r="R660" i="6"/>
  <c r="Q660" i="6"/>
  <c r="P660" i="6"/>
  <c r="O660" i="6"/>
  <c r="N660" i="6"/>
  <c r="M660" i="6"/>
  <c r="L660" i="6"/>
  <c r="K660" i="6"/>
  <c r="J660" i="6"/>
  <c r="H660" i="6"/>
  <c r="G660" i="6"/>
  <c r="F660" i="6"/>
  <c r="E660" i="6"/>
  <c r="D660" i="6"/>
  <c r="C660" i="6"/>
  <c r="B660" i="6"/>
  <c r="A660" i="6"/>
  <c r="AC659" i="6"/>
  <c r="AB659" i="6"/>
  <c r="AA659" i="6"/>
  <c r="Z659" i="6"/>
  <c r="Y659" i="6"/>
  <c r="X659" i="6"/>
  <c r="W659" i="6"/>
  <c r="V659" i="6"/>
  <c r="U659" i="6"/>
  <c r="T659" i="6"/>
  <c r="S659" i="6"/>
  <c r="R659" i="6"/>
  <c r="Q659" i="6"/>
  <c r="P659" i="6"/>
  <c r="O659" i="6"/>
  <c r="N659" i="6"/>
  <c r="M659" i="6"/>
  <c r="L659" i="6"/>
  <c r="K659" i="6"/>
  <c r="J659" i="6"/>
  <c r="H659" i="6"/>
  <c r="G659" i="6"/>
  <c r="F659" i="6"/>
  <c r="E659" i="6"/>
  <c r="D659" i="6"/>
  <c r="C659" i="6"/>
  <c r="B659" i="6"/>
  <c r="A659" i="6"/>
  <c r="AC658" i="6"/>
  <c r="AB658" i="6"/>
  <c r="AA658" i="6"/>
  <c r="Z658" i="6"/>
  <c r="Y658" i="6"/>
  <c r="X658" i="6"/>
  <c r="W658" i="6"/>
  <c r="V658" i="6"/>
  <c r="U658" i="6"/>
  <c r="T658" i="6"/>
  <c r="S658" i="6"/>
  <c r="R658" i="6"/>
  <c r="Q658" i="6"/>
  <c r="P658" i="6"/>
  <c r="O658" i="6"/>
  <c r="N658" i="6"/>
  <c r="M658" i="6"/>
  <c r="L658" i="6"/>
  <c r="K658" i="6"/>
  <c r="J658" i="6"/>
  <c r="H658" i="6"/>
  <c r="G658" i="6"/>
  <c r="F658" i="6"/>
  <c r="E658" i="6"/>
  <c r="D658" i="6"/>
  <c r="C658" i="6"/>
  <c r="B658" i="6"/>
  <c r="A658" i="6"/>
  <c r="AC657" i="6"/>
  <c r="AB657" i="6"/>
  <c r="AA657" i="6"/>
  <c r="Z657" i="6"/>
  <c r="Y657" i="6"/>
  <c r="X657" i="6"/>
  <c r="W657" i="6"/>
  <c r="V657" i="6"/>
  <c r="U657" i="6"/>
  <c r="T657" i="6"/>
  <c r="S657" i="6"/>
  <c r="R657" i="6"/>
  <c r="Q657" i="6"/>
  <c r="P657" i="6"/>
  <c r="O657" i="6"/>
  <c r="N657" i="6"/>
  <c r="M657" i="6"/>
  <c r="L657" i="6"/>
  <c r="K657" i="6"/>
  <c r="J657" i="6"/>
  <c r="H657" i="6"/>
  <c r="G657" i="6"/>
  <c r="F657" i="6"/>
  <c r="E657" i="6"/>
  <c r="D657" i="6"/>
  <c r="C657" i="6"/>
  <c r="B657" i="6"/>
  <c r="A657" i="6"/>
  <c r="AC656" i="6"/>
  <c r="AB656" i="6"/>
  <c r="AA656" i="6"/>
  <c r="Z656" i="6"/>
  <c r="Y656" i="6"/>
  <c r="X656" i="6"/>
  <c r="W656" i="6"/>
  <c r="V656" i="6"/>
  <c r="U656" i="6"/>
  <c r="T656" i="6"/>
  <c r="S656" i="6"/>
  <c r="R656" i="6"/>
  <c r="Q656" i="6"/>
  <c r="P656" i="6"/>
  <c r="O656" i="6"/>
  <c r="N656" i="6"/>
  <c r="M656" i="6"/>
  <c r="L656" i="6"/>
  <c r="K656" i="6"/>
  <c r="J656" i="6"/>
  <c r="H656" i="6"/>
  <c r="G656" i="6"/>
  <c r="F656" i="6"/>
  <c r="E656" i="6"/>
  <c r="D656" i="6"/>
  <c r="C656" i="6"/>
  <c r="B656" i="6"/>
  <c r="A656" i="6"/>
  <c r="AC655" i="6"/>
  <c r="AB655" i="6"/>
  <c r="AA655" i="6"/>
  <c r="Z655" i="6"/>
  <c r="Y655" i="6"/>
  <c r="X655" i="6"/>
  <c r="W655" i="6"/>
  <c r="V655" i="6"/>
  <c r="U655" i="6"/>
  <c r="T655" i="6"/>
  <c r="S655" i="6"/>
  <c r="R655" i="6"/>
  <c r="Q655" i="6"/>
  <c r="P655" i="6"/>
  <c r="O655" i="6"/>
  <c r="N655" i="6"/>
  <c r="M655" i="6"/>
  <c r="L655" i="6"/>
  <c r="K655" i="6"/>
  <c r="J655" i="6"/>
  <c r="H655" i="6"/>
  <c r="G655" i="6"/>
  <c r="F655" i="6"/>
  <c r="E655" i="6"/>
  <c r="D655" i="6"/>
  <c r="C655" i="6"/>
  <c r="B655" i="6"/>
  <c r="A655" i="6"/>
  <c r="AC654" i="6"/>
  <c r="AB654" i="6"/>
  <c r="AA654" i="6"/>
  <c r="Z654" i="6"/>
  <c r="Y654" i="6"/>
  <c r="X654" i="6"/>
  <c r="W654" i="6"/>
  <c r="V654" i="6"/>
  <c r="U654" i="6"/>
  <c r="T654" i="6"/>
  <c r="S654" i="6"/>
  <c r="R654" i="6"/>
  <c r="Q654" i="6"/>
  <c r="P654" i="6"/>
  <c r="O654" i="6"/>
  <c r="N654" i="6"/>
  <c r="M654" i="6"/>
  <c r="L654" i="6"/>
  <c r="K654" i="6"/>
  <c r="J654" i="6"/>
  <c r="H654" i="6"/>
  <c r="G654" i="6"/>
  <c r="F654" i="6"/>
  <c r="E654" i="6"/>
  <c r="D654" i="6"/>
  <c r="C654" i="6"/>
  <c r="B654" i="6"/>
  <c r="A654" i="6"/>
  <c r="AC653" i="6"/>
  <c r="AB653" i="6"/>
  <c r="AA653" i="6"/>
  <c r="Z653" i="6"/>
  <c r="Y653" i="6"/>
  <c r="X653" i="6"/>
  <c r="W653" i="6"/>
  <c r="V653" i="6"/>
  <c r="U653" i="6"/>
  <c r="T653" i="6"/>
  <c r="S653" i="6"/>
  <c r="R653" i="6"/>
  <c r="Q653" i="6"/>
  <c r="P653" i="6"/>
  <c r="O653" i="6"/>
  <c r="N653" i="6"/>
  <c r="M653" i="6"/>
  <c r="L653" i="6"/>
  <c r="K653" i="6"/>
  <c r="J653" i="6"/>
  <c r="H653" i="6"/>
  <c r="G653" i="6"/>
  <c r="F653" i="6"/>
  <c r="E653" i="6"/>
  <c r="D653" i="6"/>
  <c r="C653" i="6"/>
  <c r="B653" i="6"/>
  <c r="A653" i="6"/>
  <c r="AC652" i="6"/>
  <c r="AB652" i="6"/>
  <c r="AA652" i="6"/>
  <c r="Z652" i="6"/>
  <c r="Y652" i="6"/>
  <c r="X652" i="6"/>
  <c r="W652" i="6"/>
  <c r="V652" i="6"/>
  <c r="U652" i="6"/>
  <c r="T652" i="6"/>
  <c r="S652" i="6"/>
  <c r="R652" i="6"/>
  <c r="Q652" i="6"/>
  <c r="P652" i="6"/>
  <c r="O652" i="6"/>
  <c r="N652" i="6"/>
  <c r="M652" i="6"/>
  <c r="L652" i="6"/>
  <c r="K652" i="6"/>
  <c r="J652" i="6"/>
  <c r="H652" i="6"/>
  <c r="G652" i="6"/>
  <c r="F652" i="6"/>
  <c r="E652" i="6"/>
  <c r="D652" i="6"/>
  <c r="C652" i="6"/>
  <c r="B652" i="6"/>
  <c r="A652" i="6"/>
  <c r="AC651" i="6"/>
  <c r="AB651" i="6"/>
  <c r="AA651" i="6"/>
  <c r="Z651" i="6"/>
  <c r="Y651" i="6"/>
  <c r="X651" i="6"/>
  <c r="W651" i="6"/>
  <c r="V651" i="6"/>
  <c r="U651" i="6"/>
  <c r="T651" i="6"/>
  <c r="S651" i="6"/>
  <c r="R651" i="6"/>
  <c r="Q651" i="6"/>
  <c r="P651" i="6"/>
  <c r="O651" i="6"/>
  <c r="N651" i="6"/>
  <c r="M651" i="6"/>
  <c r="L651" i="6"/>
  <c r="K651" i="6"/>
  <c r="J651" i="6"/>
  <c r="H651" i="6"/>
  <c r="G651" i="6"/>
  <c r="F651" i="6"/>
  <c r="E651" i="6"/>
  <c r="D651" i="6"/>
  <c r="C651" i="6"/>
  <c r="B651" i="6"/>
  <c r="A651" i="6"/>
  <c r="AC650" i="6"/>
  <c r="AB650" i="6"/>
  <c r="AA650" i="6"/>
  <c r="Z650" i="6"/>
  <c r="Y650" i="6"/>
  <c r="X650" i="6"/>
  <c r="W650" i="6"/>
  <c r="V650" i="6"/>
  <c r="U650" i="6"/>
  <c r="T650" i="6"/>
  <c r="S650" i="6"/>
  <c r="R650" i="6"/>
  <c r="Q650" i="6"/>
  <c r="P650" i="6"/>
  <c r="O650" i="6"/>
  <c r="N650" i="6"/>
  <c r="M650" i="6"/>
  <c r="L650" i="6"/>
  <c r="K650" i="6"/>
  <c r="J650" i="6"/>
  <c r="H650" i="6"/>
  <c r="G650" i="6"/>
  <c r="F650" i="6"/>
  <c r="E650" i="6"/>
  <c r="D650" i="6"/>
  <c r="C650" i="6"/>
  <c r="B650" i="6"/>
  <c r="A650" i="6"/>
  <c r="AC649" i="6"/>
  <c r="AB649" i="6"/>
  <c r="AA649" i="6"/>
  <c r="Z649" i="6"/>
  <c r="Y649" i="6"/>
  <c r="X649" i="6"/>
  <c r="W649" i="6"/>
  <c r="V649" i="6"/>
  <c r="U649" i="6"/>
  <c r="T649" i="6"/>
  <c r="S649" i="6"/>
  <c r="R649" i="6"/>
  <c r="Q649" i="6"/>
  <c r="P649" i="6"/>
  <c r="O649" i="6"/>
  <c r="N649" i="6"/>
  <c r="M649" i="6"/>
  <c r="L649" i="6"/>
  <c r="K649" i="6"/>
  <c r="J649" i="6"/>
  <c r="H649" i="6"/>
  <c r="G649" i="6"/>
  <c r="F649" i="6"/>
  <c r="E649" i="6"/>
  <c r="D649" i="6"/>
  <c r="C649" i="6"/>
  <c r="B649" i="6"/>
  <c r="A649" i="6"/>
  <c r="AC648" i="6"/>
  <c r="AB648" i="6"/>
  <c r="AA648" i="6"/>
  <c r="Z648" i="6"/>
  <c r="Y648" i="6"/>
  <c r="X648" i="6"/>
  <c r="W648" i="6"/>
  <c r="V648" i="6"/>
  <c r="U648" i="6"/>
  <c r="T648" i="6"/>
  <c r="S648" i="6"/>
  <c r="R648" i="6"/>
  <c r="Q648" i="6"/>
  <c r="P648" i="6"/>
  <c r="O648" i="6"/>
  <c r="N648" i="6"/>
  <c r="M648" i="6"/>
  <c r="L648" i="6"/>
  <c r="K648" i="6"/>
  <c r="J648" i="6"/>
  <c r="H648" i="6"/>
  <c r="G648" i="6"/>
  <c r="F648" i="6"/>
  <c r="E648" i="6"/>
  <c r="D648" i="6"/>
  <c r="C648" i="6"/>
  <c r="B648" i="6"/>
  <c r="A648" i="6"/>
  <c r="AC647" i="6"/>
  <c r="AB647" i="6"/>
  <c r="AA647" i="6"/>
  <c r="Z647" i="6"/>
  <c r="Y647" i="6"/>
  <c r="X647" i="6"/>
  <c r="W647" i="6"/>
  <c r="V647" i="6"/>
  <c r="U647" i="6"/>
  <c r="T647" i="6"/>
  <c r="S647" i="6"/>
  <c r="R647" i="6"/>
  <c r="Q647" i="6"/>
  <c r="P647" i="6"/>
  <c r="O647" i="6"/>
  <c r="N647" i="6"/>
  <c r="M647" i="6"/>
  <c r="L647" i="6"/>
  <c r="K647" i="6"/>
  <c r="J647" i="6"/>
  <c r="H647" i="6"/>
  <c r="G647" i="6"/>
  <c r="F647" i="6"/>
  <c r="E647" i="6"/>
  <c r="D647" i="6"/>
  <c r="C647" i="6"/>
  <c r="B647" i="6"/>
  <c r="A647" i="6"/>
  <c r="AC646" i="6"/>
  <c r="AB646" i="6"/>
  <c r="AA646" i="6"/>
  <c r="Z646" i="6"/>
  <c r="Y646" i="6"/>
  <c r="X646" i="6"/>
  <c r="W646" i="6"/>
  <c r="V646" i="6"/>
  <c r="U646" i="6"/>
  <c r="T646" i="6"/>
  <c r="S646" i="6"/>
  <c r="R646" i="6"/>
  <c r="Q646" i="6"/>
  <c r="P646" i="6"/>
  <c r="O646" i="6"/>
  <c r="N646" i="6"/>
  <c r="M646" i="6"/>
  <c r="L646" i="6"/>
  <c r="K646" i="6"/>
  <c r="J646" i="6"/>
  <c r="H646" i="6"/>
  <c r="G646" i="6"/>
  <c r="F646" i="6"/>
  <c r="E646" i="6"/>
  <c r="D646" i="6"/>
  <c r="C646" i="6"/>
  <c r="B646" i="6"/>
  <c r="A646" i="6"/>
  <c r="AC645" i="6"/>
  <c r="AB645" i="6"/>
  <c r="AA645" i="6"/>
  <c r="Z645" i="6"/>
  <c r="Y645" i="6"/>
  <c r="X645" i="6"/>
  <c r="W645" i="6"/>
  <c r="V645" i="6"/>
  <c r="U645" i="6"/>
  <c r="T645" i="6"/>
  <c r="S645" i="6"/>
  <c r="R645" i="6"/>
  <c r="Q645" i="6"/>
  <c r="P645" i="6"/>
  <c r="O645" i="6"/>
  <c r="N645" i="6"/>
  <c r="M645" i="6"/>
  <c r="L645" i="6"/>
  <c r="K645" i="6"/>
  <c r="J645" i="6"/>
  <c r="H645" i="6"/>
  <c r="G645" i="6"/>
  <c r="F645" i="6"/>
  <c r="E645" i="6"/>
  <c r="D645" i="6"/>
  <c r="C645" i="6"/>
  <c r="B645" i="6"/>
  <c r="A645" i="6"/>
  <c r="AC644" i="6"/>
  <c r="AB644" i="6"/>
  <c r="AA644" i="6"/>
  <c r="Z644" i="6"/>
  <c r="Y644" i="6"/>
  <c r="X644" i="6"/>
  <c r="W644" i="6"/>
  <c r="V644" i="6"/>
  <c r="U644" i="6"/>
  <c r="T644" i="6"/>
  <c r="S644" i="6"/>
  <c r="R644" i="6"/>
  <c r="Q644" i="6"/>
  <c r="P644" i="6"/>
  <c r="O644" i="6"/>
  <c r="N644" i="6"/>
  <c r="M644" i="6"/>
  <c r="L644" i="6"/>
  <c r="K644" i="6"/>
  <c r="J644" i="6"/>
  <c r="H644" i="6"/>
  <c r="G644" i="6"/>
  <c r="F644" i="6"/>
  <c r="E644" i="6"/>
  <c r="D644" i="6"/>
  <c r="C644" i="6"/>
  <c r="B644" i="6"/>
  <c r="A644" i="6"/>
  <c r="AC643" i="6"/>
  <c r="AB643" i="6"/>
  <c r="AA643" i="6"/>
  <c r="Z643" i="6"/>
  <c r="Y643" i="6"/>
  <c r="X643" i="6"/>
  <c r="W643" i="6"/>
  <c r="V643" i="6"/>
  <c r="U643" i="6"/>
  <c r="T643" i="6"/>
  <c r="S643" i="6"/>
  <c r="R643" i="6"/>
  <c r="Q643" i="6"/>
  <c r="P643" i="6"/>
  <c r="O643" i="6"/>
  <c r="N643" i="6"/>
  <c r="M643" i="6"/>
  <c r="L643" i="6"/>
  <c r="K643" i="6"/>
  <c r="J643" i="6"/>
  <c r="H643" i="6"/>
  <c r="G643" i="6"/>
  <c r="F643" i="6"/>
  <c r="E643" i="6"/>
  <c r="D643" i="6"/>
  <c r="C643" i="6"/>
  <c r="B643" i="6"/>
  <c r="A643" i="6"/>
  <c r="AC642" i="6"/>
  <c r="AB642" i="6"/>
  <c r="AA642" i="6"/>
  <c r="Z642" i="6"/>
  <c r="Y642" i="6"/>
  <c r="X642" i="6"/>
  <c r="W642" i="6"/>
  <c r="V642" i="6"/>
  <c r="U642" i="6"/>
  <c r="T642" i="6"/>
  <c r="S642" i="6"/>
  <c r="R642" i="6"/>
  <c r="Q642" i="6"/>
  <c r="P642" i="6"/>
  <c r="O642" i="6"/>
  <c r="N642" i="6"/>
  <c r="M642" i="6"/>
  <c r="L642" i="6"/>
  <c r="K642" i="6"/>
  <c r="J642" i="6"/>
  <c r="H642" i="6"/>
  <c r="G642" i="6"/>
  <c r="F642" i="6"/>
  <c r="E642" i="6"/>
  <c r="D642" i="6"/>
  <c r="C642" i="6"/>
  <c r="B642" i="6"/>
  <c r="A642" i="6"/>
  <c r="AC641" i="6"/>
  <c r="AB641" i="6"/>
  <c r="AA641" i="6"/>
  <c r="Z641" i="6"/>
  <c r="Y641" i="6"/>
  <c r="X641" i="6"/>
  <c r="W641" i="6"/>
  <c r="V641" i="6"/>
  <c r="U641" i="6"/>
  <c r="T641" i="6"/>
  <c r="S641" i="6"/>
  <c r="R641" i="6"/>
  <c r="Q641" i="6"/>
  <c r="P641" i="6"/>
  <c r="O641" i="6"/>
  <c r="N641" i="6"/>
  <c r="M641" i="6"/>
  <c r="L641" i="6"/>
  <c r="K641" i="6"/>
  <c r="J641" i="6"/>
  <c r="H641" i="6"/>
  <c r="G641" i="6"/>
  <c r="F641" i="6"/>
  <c r="E641" i="6"/>
  <c r="D641" i="6"/>
  <c r="C641" i="6"/>
  <c r="B641" i="6"/>
  <c r="A641" i="6"/>
  <c r="AD640" i="6"/>
  <c r="AC640" i="6"/>
  <c r="AB640" i="6"/>
  <c r="AA640" i="6"/>
  <c r="Z640" i="6"/>
  <c r="Y640" i="6"/>
  <c r="X640" i="6"/>
  <c r="W640" i="6"/>
  <c r="V640" i="6"/>
  <c r="U640" i="6"/>
  <c r="T640" i="6"/>
  <c r="S640" i="6"/>
  <c r="R640" i="6"/>
  <c r="Q640" i="6"/>
  <c r="P640" i="6"/>
  <c r="O640" i="6"/>
  <c r="N640" i="6"/>
  <c r="M640" i="6"/>
  <c r="L640" i="6"/>
  <c r="K640" i="6"/>
  <c r="J640" i="6"/>
  <c r="I640" i="6"/>
  <c r="H640" i="6"/>
  <c r="G640" i="6"/>
  <c r="F640" i="6"/>
  <c r="E640" i="6"/>
  <c r="D640" i="6"/>
  <c r="C640" i="6"/>
  <c r="B640" i="6"/>
  <c r="A640" i="6"/>
  <c r="AD639" i="6"/>
  <c r="AC639" i="6"/>
  <c r="AB639" i="6"/>
  <c r="AA639" i="6"/>
  <c r="Z639" i="6"/>
  <c r="Y639" i="6"/>
  <c r="X639" i="6"/>
  <c r="W639" i="6"/>
  <c r="V639" i="6"/>
  <c r="U639" i="6"/>
  <c r="T639" i="6"/>
  <c r="S639" i="6"/>
  <c r="R639" i="6"/>
  <c r="Q639" i="6"/>
  <c r="P639" i="6"/>
  <c r="O639" i="6"/>
  <c r="N639" i="6"/>
  <c r="M639" i="6"/>
  <c r="L639" i="6"/>
  <c r="K639" i="6"/>
  <c r="J639" i="6"/>
  <c r="I639" i="6"/>
  <c r="H639" i="6"/>
  <c r="G639" i="6"/>
  <c r="F639" i="6"/>
  <c r="E639" i="6"/>
  <c r="D639" i="6"/>
  <c r="C639" i="6"/>
  <c r="B639" i="6"/>
  <c r="A639" i="6"/>
  <c r="AC638" i="6"/>
  <c r="AB638" i="6"/>
  <c r="AA638" i="6"/>
  <c r="Z638" i="6"/>
  <c r="Y638" i="6"/>
  <c r="X638" i="6"/>
  <c r="W638" i="6"/>
  <c r="V638" i="6"/>
  <c r="U638" i="6"/>
  <c r="T638" i="6"/>
  <c r="S638" i="6"/>
  <c r="R638" i="6"/>
  <c r="Q638" i="6"/>
  <c r="P638" i="6"/>
  <c r="O638" i="6"/>
  <c r="N638" i="6"/>
  <c r="M638" i="6"/>
  <c r="L638" i="6"/>
  <c r="K638" i="6"/>
  <c r="J638" i="6"/>
  <c r="H638" i="6"/>
  <c r="G638" i="6"/>
  <c r="F638" i="6"/>
  <c r="E638" i="6"/>
  <c r="D638" i="6"/>
  <c r="C638" i="6"/>
  <c r="B638" i="6"/>
  <c r="A638" i="6"/>
  <c r="AD637" i="6"/>
  <c r="AC637" i="6"/>
  <c r="AB637" i="6"/>
  <c r="AA637" i="6"/>
  <c r="Z637" i="6"/>
  <c r="Y637" i="6"/>
  <c r="X637" i="6"/>
  <c r="W637" i="6"/>
  <c r="V637" i="6"/>
  <c r="U637" i="6"/>
  <c r="T637" i="6"/>
  <c r="S637" i="6"/>
  <c r="R637" i="6"/>
  <c r="Q637" i="6"/>
  <c r="P637" i="6"/>
  <c r="O637" i="6"/>
  <c r="N637" i="6"/>
  <c r="M637" i="6"/>
  <c r="L637" i="6"/>
  <c r="K637" i="6"/>
  <c r="J637" i="6"/>
  <c r="I637" i="6"/>
  <c r="H637" i="6"/>
  <c r="G637" i="6"/>
  <c r="F637" i="6"/>
  <c r="E637" i="6"/>
  <c r="D637" i="6"/>
  <c r="C637" i="6"/>
  <c r="B637" i="6"/>
  <c r="A637" i="6"/>
  <c r="AD636" i="6"/>
  <c r="AC636" i="6"/>
  <c r="AB636" i="6"/>
  <c r="AA636" i="6"/>
  <c r="Z636" i="6"/>
  <c r="Y636" i="6"/>
  <c r="X636" i="6"/>
  <c r="W636" i="6"/>
  <c r="V636" i="6"/>
  <c r="U636" i="6"/>
  <c r="T636" i="6"/>
  <c r="S636" i="6"/>
  <c r="R636" i="6"/>
  <c r="Q636" i="6"/>
  <c r="P636" i="6"/>
  <c r="O636" i="6"/>
  <c r="N636" i="6"/>
  <c r="M636" i="6"/>
  <c r="L636" i="6"/>
  <c r="K636" i="6"/>
  <c r="J636" i="6"/>
  <c r="I636" i="6"/>
  <c r="H636" i="6"/>
  <c r="G636" i="6"/>
  <c r="F636" i="6"/>
  <c r="E636" i="6"/>
  <c r="D636" i="6"/>
  <c r="C636" i="6"/>
  <c r="B636" i="6"/>
  <c r="A636" i="6"/>
  <c r="AD635" i="6"/>
  <c r="AC635" i="6"/>
  <c r="AB635" i="6"/>
  <c r="AA635" i="6"/>
  <c r="Z635" i="6"/>
  <c r="Y635" i="6"/>
  <c r="X635" i="6"/>
  <c r="W635" i="6"/>
  <c r="V635" i="6"/>
  <c r="U635" i="6"/>
  <c r="T635" i="6"/>
  <c r="S635" i="6"/>
  <c r="R635" i="6"/>
  <c r="Q635" i="6"/>
  <c r="P635" i="6"/>
  <c r="O635" i="6"/>
  <c r="N635" i="6"/>
  <c r="M635" i="6"/>
  <c r="L635" i="6"/>
  <c r="K635" i="6"/>
  <c r="J635" i="6"/>
  <c r="I635" i="6"/>
  <c r="H635" i="6"/>
  <c r="G635" i="6"/>
  <c r="F635" i="6"/>
  <c r="E635" i="6"/>
  <c r="D635" i="6"/>
  <c r="C635" i="6"/>
  <c r="B635" i="6"/>
  <c r="A635" i="6"/>
  <c r="AC634" i="6"/>
  <c r="AB634" i="6"/>
  <c r="AA634" i="6"/>
  <c r="Z634" i="6"/>
  <c r="Y634" i="6"/>
  <c r="X634" i="6"/>
  <c r="W634" i="6"/>
  <c r="V634" i="6"/>
  <c r="U634" i="6"/>
  <c r="T634" i="6"/>
  <c r="S634" i="6"/>
  <c r="R634" i="6"/>
  <c r="Q634" i="6"/>
  <c r="P634" i="6"/>
  <c r="O634" i="6"/>
  <c r="N634" i="6"/>
  <c r="M634" i="6"/>
  <c r="L634" i="6"/>
  <c r="K634" i="6"/>
  <c r="J634" i="6"/>
  <c r="H634" i="6"/>
  <c r="G634" i="6"/>
  <c r="F634" i="6"/>
  <c r="E634" i="6"/>
  <c r="D634" i="6"/>
  <c r="C634" i="6"/>
  <c r="B634" i="6"/>
  <c r="A634" i="6"/>
  <c r="AD633" i="6"/>
  <c r="AC633" i="6"/>
  <c r="AB633" i="6"/>
  <c r="AA633" i="6"/>
  <c r="Z633" i="6"/>
  <c r="Y633" i="6"/>
  <c r="X633" i="6"/>
  <c r="W633" i="6"/>
  <c r="V633" i="6"/>
  <c r="U633" i="6"/>
  <c r="T633" i="6"/>
  <c r="S633" i="6"/>
  <c r="R633" i="6"/>
  <c r="Q633" i="6"/>
  <c r="P633" i="6"/>
  <c r="O633" i="6"/>
  <c r="N633" i="6"/>
  <c r="M633" i="6"/>
  <c r="L633" i="6"/>
  <c r="K633" i="6"/>
  <c r="J633" i="6"/>
  <c r="I633" i="6"/>
  <c r="H633" i="6"/>
  <c r="G633" i="6"/>
  <c r="F633" i="6"/>
  <c r="E633" i="6"/>
  <c r="D633" i="6"/>
  <c r="C633" i="6"/>
  <c r="B633" i="6"/>
  <c r="A633" i="6"/>
  <c r="AD632" i="6"/>
  <c r="AC632" i="6"/>
  <c r="AB632" i="6"/>
  <c r="AA632" i="6"/>
  <c r="Z632" i="6"/>
  <c r="Y632" i="6"/>
  <c r="X632" i="6"/>
  <c r="W632" i="6"/>
  <c r="V632" i="6"/>
  <c r="U632" i="6"/>
  <c r="T632" i="6"/>
  <c r="S632" i="6"/>
  <c r="R632" i="6"/>
  <c r="Q632" i="6"/>
  <c r="P632" i="6"/>
  <c r="O632" i="6"/>
  <c r="N632" i="6"/>
  <c r="M632" i="6"/>
  <c r="L632" i="6"/>
  <c r="K632" i="6"/>
  <c r="J632" i="6"/>
  <c r="I632" i="6"/>
  <c r="H632" i="6"/>
  <c r="G632" i="6"/>
  <c r="F632" i="6"/>
  <c r="E632" i="6"/>
  <c r="D632" i="6"/>
  <c r="C632" i="6"/>
  <c r="B632" i="6"/>
  <c r="A632" i="6"/>
  <c r="AC631" i="6"/>
  <c r="AB631" i="6"/>
  <c r="AA631" i="6"/>
  <c r="Z631" i="6"/>
  <c r="Y631" i="6"/>
  <c r="X631" i="6"/>
  <c r="W631" i="6"/>
  <c r="V631" i="6"/>
  <c r="U631" i="6"/>
  <c r="T631" i="6"/>
  <c r="S631" i="6"/>
  <c r="R631" i="6"/>
  <c r="Q631" i="6"/>
  <c r="P631" i="6"/>
  <c r="O631" i="6"/>
  <c r="N631" i="6"/>
  <c r="M631" i="6"/>
  <c r="L631" i="6"/>
  <c r="K631" i="6"/>
  <c r="J631" i="6"/>
  <c r="H631" i="6"/>
  <c r="G631" i="6"/>
  <c r="F631" i="6"/>
  <c r="E631" i="6"/>
  <c r="D631" i="6"/>
  <c r="C631" i="6"/>
  <c r="B631" i="6"/>
  <c r="A631" i="6"/>
  <c r="AD630" i="6"/>
  <c r="AC630" i="6"/>
  <c r="AB630" i="6"/>
  <c r="AA630" i="6"/>
  <c r="Z630" i="6"/>
  <c r="Y630" i="6"/>
  <c r="X630" i="6"/>
  <c r="W630" i="6"/>
  <c r="V630" i="6"/>
  <c r="U630" i="6"/>
  <c r="T630" i="6"/>
  <c r="S630" i="6"/>
  <c r="R630" i="6"/>
  <c r="Q630" i="6"/>
  <c r="P630" i="6"/>
  <c r="O630" i="6"/>
  <c r="N630" i="6"/>
  <c r="M630" i="6"/>
  <c r="L630" i="6"/>
  <c r="K630" i="6"/>
  <c r="J630" i="6"/>
  <c r="I630" i="6"/>
  <c r="H630" i="6"/>
  <c r="G630" i="6"/>
  <c r="F630" i="6"/>
  <c r="E630" i="6"/>
  <c r="D630" i="6"/>
  <c r="C630" i="6"/>
  <c r="B630" i="6"/>
  <c r="A630" i="6"/>
  <c r="AD629" i="6"/>
  <c r="AC629" i="6"/>
  <c r="AB629" i="6"/>
  <c r="AA629" i="6"/>
  <c r="Z629" i="6"/>
  <c r="Y629" i="6"/>
  <c r="X629" i="6"/>
  <c r="W629" i="6"/>
  <c r="V629" i="6"/>
  <c r="U629" i="6"/>
  <c r="T629" i="6"/>
  <c r="S629" i="6"/>
  <c r="R629" i="6"/>
  <c r="Q629" i="6"/>
  <c r="P629" i="6"/>
  <c r="O629" i="6"/>
  <c r="N629" i="6"/>
  <c r="M629" i="6"/>
  <c r="L629" i="6"/>
  <c r="K629" i="6"/>
  <c r="J629" i="6"/>
  <c r="I629" i="6"/>
  <c r="H629" i="6"/>
  <c r="G629" i="6"/>
  <c r="F629" i="6"/>
  <c r="E629" i="6"/>
  <c r="D629" i="6"/>
  <c r="C629" i="6"/>
  <c r="B629" i="6"/>
  <c r="A629" i="6"/>
  <c r="AD628" i="6"/>
  <c r="AC628" i="6"/>
  <c r="AB628" i="6"/>
  <c r="AA628" i="6"/>
  <c r="Z628" i="6"/>
  <c r="Y628" i="6"/>
  <c r="X628" i="6"/>
  <c r="W628" i="6"/>
  <c r="V628" i="6"/>
  <c r="U628" i="6"/>
  <c r="T628" i="6"/>
  <c r="S628" i="6"/>
  <c r="R628" i="6"/>
  <c r="Q628" i="6"/>
  <c r="P628" i="6"/>
  <c r="O628" i="6"/>
  <c r="N628" i="6"/>
  <c r="M628" i="6"/>
  <c r="L628" i="6"/>
  <c r="K628" i="6"/>
  <c r="J628" i="6"/>
  <c r="I628" i="6"/>
  <c r="H628" i="6"/>
  <c r="G628" i="6"/>
  <c r="F628" i="6"/>
  <c r="E628" i="6"/>
  <c r="D628" i="6"/>
  <c r="C628" i="6"/>
  <c r="B628" i="6"/>
  <c r="A628" i="6"/>
  <c r="AD627" i="6"/>
  <c r="AC627" i="6"/>
  <c r="AB627" i="6"/>
  <c r="AA627" i="6"/>
  <c r="Z627" i="6"/>
  <c r="Y627" i="6"/>
  <c r="X627" i="6"/>
  <c r="W627" i="6"/>
  <c r="V627" i="6"/>
  <c r="U627" i="6"/>
  <c r="T627" i="6"/>
  <c r="S627" i="6"/>
  <c r="R627" i="6"/>
  <c r="Q627" i="6"/>
  <c r="P627" i="6"/>
  <c r="O627" i="6"/>
  <c r="N627" i="6"/>
  <c r="M627" i="6"/>
  <c r="L627" i="6"/>
  <c r="K627" i="6"/>
  <c r="J627" i="6"/>
  <c r="I627" i="6"/>
  <c r="H627" i="6"/>
  <c r="G627" i="6"/>
  <c r="F627" i="6"/>
  <c r="E627" i="6"/>
  <c r="D627" i="6"/>
  <c r="C627" i="6"/>
  <c r="B627" i="6"/>
  <c r="A627" i="6"/>
  <c r="AC626" i="6"/>
  <c r="AB626" i="6"/>
  <c r="AA626" i="6"/>
  <c r="Z626" i="6"/>
  <c r="Y626" i="6"/>
  <c r="X626" i="6"/>
  <c r="W626" i="6"/>
  <c r="V626" i="6"/>
  <c r="U626" i="6"/>
  <c r="T626" i="6"/>
  <c r="S626" i="6"/>
  <c r="R626" i="6"/>
  <c r="Q626" i="6"/>
  <c r="P626" i="6"/>
  <c r="O626" i="6"/>
  <c r="N626" i="6"/>
  <c r="M626" i="6"/>
  <c r="L626" i="6"/>
  <c r="K626" i="6"/>
  <c r="J626" i="6"/>
  <c r="H626" i="6"/>
  <c r="G626" i="6"/>
  <c r="F626" i="6"/>
  <c r="E626" i="6"/>
  <c r="D626" i="6"/>
  <c r="C626" i="6"/>
  <c r="B626" i="6"/>
  <c r="A626" i="6"/>
  <c r="AD625" i="6"/>
  <c r="AC625" i="6"/>
  <c r="AB625" i="6"/>
  <c r="AA625" i="6"/>
  <c r="Z625" i="6"/>
  <c r="Y625" i="6"/>
  <c r="X625" i="6"/>
  <c r="W625" i="6"/>
  <c r="V625" i="6"/>
  <c r="U625" i="6"/>
  <c r="T625" i="6"/>
  <c r="S625" i="6"/>
  <c r="R625" i="6"/>
  <c r="Q625" i="6"/>
  <c r="P625" i="6"/>
  <c r="O625" i="6"/>
  <c r="N625" i="6"/>
  <c r="M625" i="6"/>
  <c r="L625" i="6"/>
  <c r="K625" i="6"/>
  <c r="J625" i="6"/>
  <c r="I625" i="6"/>
  <c r="H625" i="6"/>
  <c r="G625" i="6"/>
  <c r="F625" i="6"/>
  <c r="E625" i="6"/>
  <c r="D625" i="6"/>
  <c r="C625" i="6"/>
  <c r="B625" i="6"/>
  <c r="A625" i="6"/>
  <c r="AC624" i="6"/>
  <c r="AB624" i="6"/>
  <c r="AA624" i="6"/>
  <c r="Z624" i="6"/>
  <c r="Y624" i="6"/>
  <c r="X624" i="6"/>
  <c r="W624" i="6"/>
  <c r="V624" i="6"/>
  <c r="U624" i="6"/>
  <c r="T624" i="6"/>
  <c r="S624" i="6"/>
  <c r="R624" i="6"/>
  <c r="Q624" i="6"/>
  <c r="P624" i="6"/>
  <c r="O624" i="6"/>
  <c r="N624" i="6"/>
  <c r="M624" i="6"/>
  <c r="L624" i="6"/>
  <c r="K624" i="6"/>
  <c r="J624" i="6"/>
  <c r="I624" i="6"/>
  <c r="H624" i="6"/>
  <c r="G624" i="6"/>
  <c r="F624" i="6"/>
  <c r="E624" i="6"/>
  <c r="D624" i="6"/>
  <c r="C624" i="6"/>
  <c r="B624" i="6"/>
  <c r="A624" i="6"/>
  <c r="S623" i="6"/>
  <c r="R623" i="6"/>
  <c r="Q623" i="6"/>
  <c r="P623" i="6"/>
  <c r="O623" i="6"/>
  <c r="N623" i="6"/>
  <c r="M623" i="6"/>
  <c r="L623" i="6"/>
  <c r="K623" i="6"/>
  <c r="J623" i="6"/>
  <c r="H623" i="6"/>
  <c r="G623" i="6"/>
  <c r="F623" i="6"/>
  <c r="E623" i="6"/>
  <c r="D623" i="6"/>
  <c r="C623" i="6"/>
  <c r="B623" i="6"/>
  <c r="A623" i="6"/>
  <c r="AC622" i="6"/>
  <c r="AB622" i="6"/>
  <c r="AA622" i="6"/>
  <c r="Z622" i="6"/>
  <c r="Y622" i="6"/>
  <c r="X622" i="6"/>
  <c r="W622" i="6"/>
  <c r="V622" i="6"/>
  <c r="U622" i="6"/>
  <c r="T622" i="6"/>
  <c r="S622" i="6"/>
  <c r="R622" i="6"/>
  <c r="Q622" i="6"/>
  <c r="P622" i="6"/>
  <c r="O622" i="6"/>
  <c r="N622" i="6"/>
  <c r="M622" i="6"/>
  <c r="L622" i="6"/>
  <c r="K622" i="6"/>
  <c r="J622" i="6"/>
  <c r="H622" i="6"/>
  <c r="G622" i="6"/>
  <c r="F622" i="6"/>
  <c r="E622" i="6"/>
  <c r="D622" i="6"/>
  <c r="C622" i="6"/>
  <c r="B622" i="6"/>
  <c r="A622" i="6"/>
  <c r="AC621" i="6"/>
  <c r="AB621" i="6"/>
  <c r="AA621" i="6"/>
  <c r="Z621" i="6"/>
  <c r="Y621" i="6"/>
  <c r="X621" i="6"/>
  <c r="W621" i="6"/>
  <c r="V621" i="6"/>
  <c r="U621" i="6"/>
  <c r="T621" i="6"/>
  <c r="S621" i="6"/>
  <c r="R621" i="6"/>
  <c r="Q621" i="6"/>
  <c r="P621" i="6"/>
  <c r="O621" i="6"/>
  <c r="N621" i="6"/>
  <c r="M621" i="6"/>
  <c r="L621" i="6"/>
  <c r="K621" i="6"/>
  <c r="J621" i="6"/>
  <c r="H621" i="6"/>
  <c r="G621" i="6"/>
  <c r="F621" i="6"/>
  <c r="E621" i="6"/>
  <c r="D621" i="6"/>
  <c r="C621" i="6"/>
  <c r="B621" i="6"/>
  <c r="A621" i="6"/>
  <c r="AD620" i="6"/>
  <c r="AC620" i="6"/>
  <c r="AB620" i="6"/>
  <c r="AA620" i="6"/>
  <c r="Z620" i="6"/>
  <c r="Y620" i="6"/>
  <c r="X620" i="6"/>
  <c r="W620" i="6"/>
  <c r="V620" i="6"/>
  <c r="U620" i="6"/>
  <c r="T620" i="6"/>
  <c r="S620" i="6"/>
  <c r="R620" i="6"/>
  <c r="Q620" i="6"/>
  <c r="P620" i="6"/>
  <c r="O620" i="6"/>
  <c r="N620" i="6"/>
  <c r="M620" i="6"/>
  <c r="L620" i="6"/>
  <c r="K620" i="6"/>
  <c r="J620" i="6"/>
  <c r="I620" i="6"/>
  <c r="H620" i="6"/>
  <c r="G620" i="6"/>
  <c r="F620" i="6"/>
  <c r="E620" i="6"/>
  <c r="D620" i="6"/>
  <c r="C620" i="6"/>
  <c r="B620" i="6"/>
  <c r="A620" i="6"/>
  <c r="AC619" i="6"/>
  <c r="AB619" i="6"/>
  <c r="AA619" i="6"/>
  <c r="Z619" i="6"/>
  <c r="Y619" i="6"/>
  <c r="X619" i="6"/>
  <c r="W619" i="6"/>
  <c r="V619" i="6"/>
  <c r="U619" i="6"/>
  <c r="T619" i="6"/>
  <c r="S619" i="6"/>
  <c r="R619" i="6"/>
  <c r="Q619" i="6"/>
  <c r="P619" i="6"/>
  <c r="O619" i="6"/>
  <c r="N619" i="6"/>
  <c r="L619" i="6"/>
  <c r="K619" i="6"/>
  <c r="J619" i="6"/>
  <c r="H619" i="6"/>
  <c r="G619" i="6"/>
  <c r="F619" i="6"/>
  <c r="E619" i="6"/>
  <c r="D619" i="6"/>
  <c r="C619" i="6"/>
  <c r="B619" i="6"/>
  <c r="A619" i="6"/>
  <c r="AC618" i="6"/>
  <c r="AB618" i="6"/>
  <c r="AA618" i="6"/>
  <c r="Z618" i="6"/>
  <c r="Y618" i="6"/>
  <c r="X618" i="6"/>
  <c r="W618" i="6"/>
  <c r="V618" i="6"/>
  <c r="U618" i="6"/>
  <c r="T618" i="6"/>
  <c r="S618" i="6"/>
  <c r="R618" i="6"/>
  <c r="Q618" i="6"/>
  <c r="P618" i="6"/>
  <c r="O618" i="6"/>
  <c r="N618" i="6"/>
  <c r="M618" i="6"/>
  <c r="L618" i="6"/>
  <c r="K618" i="6"/>
  <c r="J618" i="6"/>
  <c r="H618" i="6"/>
  <c r="G618" i="6"/>
  <c r="F618" i="6"/>
  <c r="E618" i="6"/>
  <c r="D618" i="6"/>
  <c r="C618" i="6"/>
  <c r="B618" i="6"/>
  <c r="A618" i="6"/>
  <c r="AC617" i="6"/>
  <c r="AB617" i="6"/>
  <c r="AA617" i="6"/>
  <c r="Z617" i="6"/>
  <c r="Y617" i="6"/>
  <c r="X617" i="6"/>
  <c r="W617" i="6"/>
  <c r="V617" i="6"/>
  <c r="U617" i="6"/>
  <c r="T617" i="6"/>
  <c r="S617" i="6"/>
  <c r="R617" i="6"/>
  <c r="Q617" i="6"/>
  <c r="P617" i="6"/>
  <c r="O617" i="6"/>
  <c r="N617" i="6"/>
  <c r="M617" i="6"/>
  <c r="L617" i="6"/>
  <c r="K617" i="6"/>
  <c r="J617" i="6"/>
  <c r="H617" i="6"/>
  <c r="G617" i="6"/>
  <c r="F617" i="6"/>
  <c r="E617" i="6"/>
  <c r="D617" i="6"/>
  <c r="C617" i="6"/>
  <c r="B617" i="6"/>
  <c r="A617" i="6"/>
  <c r="AD616" i="6"/>
  <c r="AC616" i="6"/>
  <c r="AB616" i="6"/>
  <c r="AA616" i="6"/>
  <c r="Z616" i="6"/>
  <c r="Y616" i="6"/>
  <c r="X616" i="6"/>
  <c r="W616" i="6"/>
  <c r="V616" i="6"/>
  <c r="U616" i="6"/>
  <c r="T616" i="6"/>
  <c r="S616" i="6"/>
  <c r="R616" i="6"/>
  <c r="Q616" i="6"/>
  <c r="P616" i="6"/>
  <c r="O616" i="6"/>
  <c r="N616" i="6"/>
  <c r="M616" i="6"/>
  <c r="L616" i="6"/>
  <c r="K616" i="6"/>
  <c r="J616" i="6"/>
  <c r="I616" i="6"/>
  <c r="H616" i="6"/>
  <c r="G616" i="6"/>
  <c r="F616" i="6"/>
  <c r="E616" i="6"/>
  <c r="D616" i="6"/>
  <c r="C616" i="6"/>
  <c r="B616" i="6"/>
  <c r="A616" i="6"/>
  <c r="AC615" i="6"/>
  <c r="AB615" i="6"/>
  <c r="AA615" i="6"/>
  <c r="Z615" i="6"/>
  <c r="Y615" i="6"/>
  <c r="X615" i="6"/>
  <c r="W615" i="6"/>
  <c r="V615" i="6"/>
  <c r="U615" i="6"/>
  <c r="T615" i="6"/>
  <c r="S615" i="6"/>
  <c r="R615" i="6"/>
  <c r="Q615" i="6"/>
  <c r="P615" i="6"/>
  <c r="O615" i="6"/>
  <c r="N615" i="6"/>
  <c r="M615" i="6"/>
  <c r="L615" i="6"/>
  <c r="K615" i="6"/>
  <c r="J615" i="6"/>
  <c r="I615" i="6"/>
  <c r="H615" i="6"/>
  <c r="G615" i="6"/>
  <c r="F615" i="6"/>
  <c r="E615" i="6"/>
  <c r="D615" i="6"/>
  <c r="C615" i="6"/>
  <c r="B615" i="6"/>
  <c r="A615" i="6"/>
  <c r="AC614" i="6"/>
  <c r="AB614" i="6"/>
  <c r="AA614" i="6"/>
  <c r="Z614" i="6"/>
  <c r="Y614" i="6"/>
  <c r="X614" i="6"/>
  <c r="W614" i="6"/>
  <c r="V614" i="6"/>
  <c r="U614" i="6"/>
  <c r="T614" i="6"/>
  <c r="S614" i="6"/>
  <c r="R614" i="6"/>
  <c r="Q614" i="6"/>
  <c r="P614" i="6"/>
  <c r="O614" i="6"/>
  <c r="N614" i="6"/>
  <c r="M614" i="6"/>
  <c r="L614" i="6"/>
  <c r="K614" i="6"/>
  <c r="J614" i="6"/>
  <c r="H614" i="6"/>
  <c r="G614" i="6"/>
  <c r="F614" i="6"/>
  <c r="E614" i="6"/>
  <c r="D614" i="6"/>
  <c r="C614" i="6"/>
  <c r="B614" i="6"/>
  <c r="A614" i="6"/>
  <c r="AC613" i="6"/>
  <c r="AB613" i="6"/>
  <c r="AA613" i="6"/>
  <c r="Z613" i="6"/>
  <c r="Y613" i="6"/>
  <c r="X613" i="6"/>
  <c r="W613" i="6"/>
  <c r="V613" i="6"/>
  <c r="U613" i="6"/>
  <c r="T613" i="6"/>
  <c r="S613" i="6"/>
  <c r="R613" i="6"/>
  <c r="Q613" i="6"/>
  <c r="P613" i="6"/>
  <c r="O613" i="6"/>
  <c r="N613" i="6"/>
  <c r="M613" i="6"/>
  <c r="L613" i="6"/>
  <c r="K613" i="6"/>
  <c r="J613" i="6"/>
  <c r="H613" i="6"/>
  <c r="G613" i="6"/>
  <c r="F613" i="6"/>
  <c r="E613" i="6"/>
  <c r="D613" i="6"/>
  <c r="C613" i="6"/>
  <c r="B613" i="6"/>
  <c r="A613" i="6"/>
  <c r="AC612" i="6"/>
  <c r="AB612" i="6"/>
  <c r="AA612" i="6"/>
  <c r="Z612" i="6"/>
  <c r="Y612" i="6"/>
  <c r="X612" i="6"/>
  <c r="W612" i="6"/>
  <c r="V612" i="6"/>
  <c r="U612" i="6"/>
  <c r="T612" i="6"/>
  <c r="S612" i="6"/>
  <c r="R612" i="6"/>
  <c r="Q612" i="6"/>
  <c r="P612" i="6"/>
  <c r="O612" i="6"/>
  <c r="N612" i="6"/>
  <c r="M612" i="6"/>
  <c r="L612" i="6"/>
  <c r="K612" i="6"/>
  <c r="J612" i="6"/>
  <c r="I612" i="6"/>
  <c r="H612" i="6"/>
  <c r="G612" i="6"/>
  <c r="F612" i="6"/>
  <c r="E612" i="6"/>
  <c r="D612" i="6"/>
  <c r="C612" i="6"/>
  <c r="B612" i="6"/>
  <c r="A612" i="6"/>
  <c r="AC611" i="6"/>
  <c r="AB611" i="6"/>
  <c r="AA611" i="6"/>
  <c r="Z611" i="6"/>
  <c r="Y611" i="6"/>
  <c r="X611" i="6"/>
  <c r="W611" i="6"/>
  <c r="V611" i="6"/>
  <c r="U611" i="6"/>
  <c r="T611" i="6"/>
  <c r="S611" i="6"/>
  <c r="R611" i="6"/>
  <c r="Q611" i="6"/>
  <c r="P611" i="6"/>
  <c r="O611" i="6"/>
  <c r="N611" i="6"/>
  <c r="M611" i="6"/>
  <c r="L611" i="6"/>
  <c r="K611" i="6"/>
  <c r="J611" i="6"/>
  <c r="H611" i="6"/>
  <c r="G611" i="6"/>
  <c r="F611" i="6"/>
  <c r="E611" i="6"/>
  <c r="D611" i="6"/>
  <c r="C611" i="6"/>
  <c r="B611" i="6"/>
  <c r="A611" i="6"/>
  <c r="AC610" i="6"/>
  <c r="AB610" i="6"/>
  <c r="AA610" i="6"/>
  <c r="Z610" i="6"/>
  <c r="Y610" i="6"/>
  <c r="X610" i="6"/>
  <c r="W610" i="6"/>
  <c r="V610" i="6"/>
  <c r="U610" i="6"/>
  <c r="T610" i="6"/>
  <c r="S610" i="6"/>
  <c r="R610" i="6"/>
  <c r="Q610" i="6"/>
  <c r="P610" i="6"/>
  <c r="O610" i="6"/>
  <c r="N610" i="6"/>
  <c r="M610" i="6"/>
  <c r="L610" i="6"/>
  <c r="K610" i="6"/>
  <c r="J610" i="6"/>
  <c r="H610" i="6"/>
  <c r="G610" i="6"/>
  <c r="F610" i="6"/>
  <c r="E610" i="6"/>
  <c r="D610" i="6"/>
  <c r="C610" i="6"/>
  <c r="B610" i="6"/>
  <c r="A610" i="6"/>
  <c r="AC609" i="6"/>
  <c r="AB609" i="6"/>
  <c r="AA609" i="6"/>
  <c r="Z609" i="6"/>
  <c r="Y609" i="6"/>
  <c r="X609" i="6"/>
  <c r="W609" i="6"/>
  <c r="V609" i="6"/>
  <c r="U609" i="6"/>
  <c r="T609" i="6"/>
  <c r="S609" i="6"/>
  <c r="R609" i="6"/>
  <c r="Q609" i="6"/>
  <c r="P609" i="6"/>
  <c r="O609" i="6"/>
  <c r="N609" i="6"/>
  <c r="M609" i="6"/>
  <c r="L609" i="6"/>
  <c r="K609" i="6"/>
  <c r="J609" i="6"/>
  <c r="H609" i="6"/>
  <c r="G609" i="6"/>
  <c r="F609" i="6"/>
  <c r="E609" i="6"/>
  <c r="D609" i="6"/>
  <c r="C609" i="6"/>
  <c r="B609" i="6"/>
  <c r="A609" i="6"/>
  <c r="S608" i="6"/>
  <c r="Q608" i="6"/>
  <c r="P608" i="6"/>
  <c r="O608" i="6"/>
  <c r="N608" i="6"/>
  <c r="M608" i="6"/>
  <c r="L608" i="6"/>
  <c r="K608" i="6"/>
  <c r="J608" i="6"/>
  <c r="I608" i="6"/>
  <c r="H608" i="6"/>
  <c r="G608" i="6"/>
  <c r="F608" i="6"/>
  <c r="E608" i="6"/>
  <c r="D608" i="6"/>
  <c r="C608" i="6"/>
  <c r="B608" i="6"/>
  <c r="A608" i="6"/>
  <c r="S607" i="6"/>
  <c r="R607" i="6"/>
  <c r="Q607" i="6"/>
  <c r="P607" i="6"/>
  <c r="O607" i="6"/>
  <c r="N607" i="6"/>
  <c r="M607" i="6"/>
  <c r="L607" i="6"/>
  <c r="K607" i="6"/>
  <c r="J607" i="6"/>
  <c r="I607" i="6"/>
  <c r="H607" i="6"/>
  <c r="G607" i="6"/>
  <c r="F607" i="6"/>
  <c r="E607" i="6"/>
  <c r="D607" i="6"/>
  <c r="C607" i="6"/>
  <c r="B607" i="6"/>
  <c r="A607" i="6"/>
  <c r="S606" i="6"/>
  <c r="R606" i="6"/>
  <c r="Q606" i="6"/>
  <c r="P606" i="6"/>
  <c r="O606" i="6"/>
  <c r="N606" i="6"/>
  <c r="M606" i="6"/>
  <c r="L606" i="6"/>
  <c r="K606" i="6"/>
  <c r="J606" i="6"/>
  <c r="H606" i="6"/>
  <c r="G606" i="6"/>
  <c r="F606" i="6"/>
  <c r="E606" i="6"/>
  <c r="D606" i="6"/>
  <c r="C606" i="6"/>
  <c r="B606" i="6"/>
  <c r="A606" i="6"/>
  <c r="S605" i="6"/>
  <c r="R605" i="6"/>
  <c r="Q605" i="6"/>
  <c r="P605" i="6"/>
  <c r="O605" i="6"/>
  <c r="N605" i="6"/>
  <c r="M605" i="6"/>
  <c r="L605" i="6"/>
  <c r="K605" i="6"/>
  <c r="J605" i="6"/>
  <c r="I605" i="6"/>
  <c r="H605" i="6"/>
  <c r="G605" i="6"/>
  <c r="F605" i="6"/>
  <c r="E605" i="6"/>
  <c r="D605" i="6"/>
  <c r="C605" i="6"/>
  <c r="B605" i="6"/>
  <c r="A605" i="6"/>
  <c r="S604" i="6"/>
  <c r="R604" i="6"/>
  <c r="Q604" i="6"/>
  <c r="P604" i="6"/>
  <c r="O604" i="6"/>
  <c r="N604" i="6"/>
  <c r="M604" i="6"/>
  <c r="L604" i="6"/>
  <c r="K604" i="6"/>
  <c r="J604" i="6"/>
  <c r="I604" i="6"/>
  <c r="H604" i="6"/>
  <c r="G604" i="6"/>
  <c r="F604" i="6"/>
  <c r="E604" i="6"/>
  <c r="D604" i="6"/>
  <c r="C604" i="6"/>
  <c r="B604" i="6"/>
  <c r="A604" i="6"/>
  <c r="AC603" i="6"/>
  <c r="AB603" i="6"/>
  <c r="AA603" i="6"/>
  <c r="Z603" i="6"/>
  <c r="Y603" i="6"/>
  <c r="X603" i="6"/>
  <c r="W603" i="6"/>
  <c r="V603" i="6"/>
  <c r="U603" i="6"/>
  <c r="T603" i="6"/>
  <c r="S603" i="6"/>
  <c r="R603" i="6"/>
  <c r="Q603" i="6"/>
  <c r="P603" i="6"/>
  <c r="O603" i="6"/>
  <c r="N603" i="6"/>
  <c r="M603" i="6"/>
  <c r="L603" i="6"/>
  <c r="K603" i="6"/>
  <c r="J603" i="6"/>
  <c r="H603" i="6"/>
  <c r="G603" i="6"/>
  <c r="F603" i="6"/>
  <c r="E603" i="6"/>
  <c r="D603" i="6"/>
  <c r="C603" i="6"/>
  <c r="B603" i="6"/>
  <c r="A603" i="6"/>
  <c r="AC602" i="6"/>
  <c r="AB602" i="6"/>
  <c r="AA602" i="6"/>
  <c r="Z602" i="6"/>
  <c r="Y602" i="6"/>
  <c r="X602" i="6"/>
  <c r="W602" i="6"/>
  <c r="V602" i="6"/>
  <c r="U602" i="6"/>
  <c r="T602" i="6"/>
  <c r="S602" i="6"/>
  <c r="R602" i="6"/>
  <c r="Q602" i="6"/>
  <c r="P602" i="6"/>
  <c r="O602" i="6"/>
  <c r="N602" i="6"/>
  <c r="M602" i="6"/>
  <c r="L602" i="6"/>
  <c r="K602" i="6"/>
  <c r="J602" i="6"/>
  <c r="H602" i="6"/>
  <c r="G602" i="6"/>
  <c r="F602" i="6"/>
  <c r="E602" i="6"/>
  <c r="D602" i="6"/>
  <c r="C602" i="6"/>
  <c r="B602" i="6"/>
  <c r="A602" i="6"/>
  <c r="AC601" i="6"/>
  <c r="AB601" i="6"/>
  <c r="AA601" i="6"/>
  <c r="Z601" i="6"/>
  <c r="Y601" i="6"/>
  <c r="X601" i="6"/>
  <c r="W601" i="6"/>
  <c r="V601" i="6"/>
  <c r="U601" i="6"/>
  <c r="T601" i="6"/>
  <c r="S601" i="6"/>
  <c r="R601" i="6"/>
  <c r="Q601" i="6"/>
  <c r="P601" i="6"/>
  <c r="O601" i="6"/>
  <c r="N601" i="6"/>
  <c r="M601" i="6"/>
  <c r="L601" i="6"/>
  <c r="K601" i="6"/>
  <c r="J601" i="6"/>
  <c r="H601" i="6"/>
  <c r="G601" i="6"/>
  <c r="F601" i="6"/>
  <c r="E601" i="6"/>
  <c r="D601" i="6"/>
  <c r="C601" i="6"/>
  <c r="B601" i="6"/>
  <c r="A601" i="6"/>
  <c r="AD600" i="6"/>
  <c r="AC600" i="6"/>
  <c r="AB600" i="6"/>
  <c r="AA600" i="6"/>
  <c r="Z600" i="6"/>
  <c r="Y600" i="6"/>
  <c r="X600" i="6"/>
  <c r="W600" i="6"/>
  <c r="V600" i="6"/>
  <c r="U600" i="6"/>
  <c r="T600" i="6"/>
  <c r="S600" i="6"/>
  <c r="R600" i="6"/>
  <c r="Q600" i="6"/>
  <c r="P600" i="6"/>
  <c r="O600" i="6"/>
  <c r="N600" i="6"/>
  <c r="M600" i="6"/>
  <c r="L600" i="6"/>
  <c r="K600" i="6"/>
  <c r="J600" i="6"/>
  <c r="I600" i="6"/>
  <c r="H600" i="6"/>
  <c r="G600" i="6"/>
  <c r="F600" i="6"/>
  <c r="E600" i="6"/>
  <c r="D600" i="6"/>
  <c r="C600" i="6"/>
  <c r="B600" i="6"/>
  <c r="A600" i="6"/>
  <c r="AD599" i="6"/>
  <c r="AC599" i="6"/>
  <c r="AB599" i="6"/>
  <c r="AA599" i="6"/>
  <c r="Z599" i="6"/>
  <c r="Y599" i="6"/>
  <c r="X599" i="6"/>
  <c r="W599" i="6"/>
  <c r="V599" i="6"/>
  <c r="U599" i="6"/>
  <c r="T599" i="6"/>
  <c r="S599" i="6"/>
  <c r="R599" i="6"/>
  <c r="Q599" i="6"/>
  <c r="P599" i="6"/>
  <c r="O599" i="6"/>
  <c r="N599" i="6"/>
  <c r="M599" i="6"/>
  <c r="L599" i="6"/>
  <c r="K599" i="6"/>
  <c r="J599" i="6"/>
  <c r="I599" i="6"/>
  <c r="H599" i="6"/>
  <c r="G599" i="6"/>
  <c r="F599" i="6"/>
  <c r="E599" i="6"/>
  <c r="D599" i="6"/>
  <c r="C599" i="6"/>
  <c r="B599" i="6"/>
  <c r="A599" i="6"/>
  <c r="AC598" i="6"/>
  <c r="AB598" i="6"/>
  <c r="AA598" i="6"/>
  <c r="Z598" i="6"/>
  <c r="Y598" i="6"/>
  <c r="X598" i="6"/>
  <c r="W598" i="6"/>
  <c r="V598" i="6"/>
  <c r="U598" i="6"/>
  <c r="T598" i="6"/>
  <c r="S598" i="6"/>
  <c r="R598" i="6"/>
  <c r="Q598" i="6"/>
  <c r="P598" i="6"/>
  <c r="O598" i="6"/>
  <c r="N598" i="6"/>
  <c r="M598" i="6"/>
  <c r="L598" i="6"/>
  <c r="K598" i="6"/>
  <c r="J598" i="6"/>
  <c r="I598" i="6"/>
  <c r="H598" i="6"/>
  <c r="G598" i="6"/>
  <c r="F598" i="6"/>
  <c r="E598" i="6"/>
  <c r="D598" i="6"/>
  <c r="C598" i="6"/>
  <c r="B598" i="6"/>
  <c r="A598" i="6"/>
  <c r="AD597" i="6"/>
  <c r="AC597" i="6"/>
  <c r="AB597" i="6"/>
  <c r="AA597" i="6"/>
  <c r="Z597" i="6"/>
  <c r="Y597" i="6"/>
  <c r="X597" i="6"/>
  <c r="W597" i="6"/>
  <c r="V597" i="6"/>
  <c r="U597" i="6"/>
  <c r="T597" i="6"/>
  <c r="S597" i="6"/>
  <c r="R597" i="6"/>
  <c r="Q597" i="6"/>
  <c r="P597" i="6"/>
  <c r="O597" i="6"/>
  <c r="N597" i="6"/>
  <c r="M597" i="6"/>
  <c r="L597" i="6"/>
  <c r="K597" i="6"/>
  <c r="J597" i="6"/>
  <c r="I597" i="6"/>
  <c r="H597" i="6"/>
  <c r="G597" i="6"/>
  <c r="F597" i="6"/>
  <c r="E597" i="6"/>
  <c r="D597" i="6"/>
  <c r="C597" i="6"/>
  <c r="B597" i="6"/>
  <c r="A597" i="6"/>
  <c r="AC596" i="6"/>
  <c r="AB596" i="6"/>
  <c r="AA596" i="6"/>
  <c r="Z596" i="6"/>
  <c r="Y596" i="6"/>
  <c r="X596" i="6"/>
  <c r="W596" i="6"/>
  <c r="V596" i="6"/>
  <c r="U596" i="6"/>
  <c r="T596" i="6"/>
  <c r="S596" i="6"/>
  <c r="R596" i="6"/>
  <c r="Q596" i="6"/>
  <c r="P596" i="6"/>
  <c r="O596" i="6"/>
  <c r="N596" i="6"/>
  <c r="M596" i="6"/>
  <c r="L596" i="6"/>
  <c r="K596" i="6"/>
  <c r="J596" i="6"/>
  <c r="H596" i="6"/>
  <c r="G596" i="6"/>
  <c r="F596" i="6"/>
  <c r="E596" i="6"/>
  <c r="D596" i="6"/>
  <c r="C596" i="6"/>
  <c r="B596" i="6"/>
  <c r="A596" i="6"/>
  <c r="AD595" i="6"/>
  <c r="AC595" i="6"/>
  <c r="AB595" i="6"/>
  <c r="AA595" i="6"/>
  <c r="Z595" i="6"/>
  <c r="Y595" i="6"/>
  <c r="X595" i="6"/>
  <c r="W595" i="6"/>
  <c r="V595" i="6"/>
  <c r="U595" i="6"/>
  <c r="T595" i="6"/>
  <c r="S595" i="6"/>
  <c r="R595" i="6"/>
  <c r="Q595" i="6"/>
  <c r="P595" i="6"/>
  <c r="O595" i="6"/>
  <c r="N595" i="6"/>
  <c r="M595" i="6"/>
  <c r="L595" i="6"/>
  <c r="K595" i="6"/>
  <c r="J595" i="6"/>
  <c r="I595" i="6"/>
  <c r="H595" i="6"/>
  <c r="G595" i="6"/>
  <c r="F595" i="6"/>
  <c r="E595" i="6"/>
  <c r="D595" i="6"/>
  <c r="C595" i="6"/>
  <c r="B595" i="6"/>
  <c r="A595" i="6"/>
  <c r="AD594" i="6"/>
  <c r="AC594" i="6"/>
  <c r="AB594" i="6"/>
  <c r="AA594" i="6"/>
  <c r="Z594" i="6"/>
  <c r="Y594" i="6"/>
  <c r="X594" i="6"/>
  <c r="W594" i="6"/>
  <c r="V594" i="6"/>
  <c r="U594" i="6"/>
  <c r="T594" i="6"/>
  <c r="S594" i="6"/>
  <c r="R594" i="6"/>
  <c r="Q594" i="6"/>
  <c r="P594" i="6"/>
  <c r="O594" i="6"/>
  <c r="N594" i="6"/>
  <c r="M594" i="6"/>
  <c r="L594" i="6"/>
  <c r="K594" i="6"/>
  <c r="J594" i="6"/>
  <c r="I594" i="6"/>
  <c r="H594" i="6"/>
  <c r="G594" i="6"/>
  <c r="F594" i="6"/>
  <c r="E594" i="6"/>
  <c r="D594" i="6"/>
  <c r="C594" i="6"/>
  <c r="B594" i="6"/>
  <c r="A594" i="6"/>
  <c r="AD593" i="6"/>
  <c r="AC593" i="6"/>
  <c r="AB593" i="6"/>
  <c r="AA593" i="6"/>
  <c r="Z593" i="6"/>
  <c r="Y593" i="6"/>
  <c r="X593" i="6"/>
  <c r="W593" i="6"/>
  <c r="V593" i="6"/>
  <c r="U593" i="6"/>
  <c r="T593" i="6"/>
  <c r="S593" i="6"/>
  <c r="R593" i="6"/>
  <c r="Q593" i="6"/>
  <c r="P593" i="6"/>
  <c r="O593" i="6"/>
  <c r="N593" i="6"/>
  <c r="M593" i="6"/>
  <c r="L593" i="6"/>
  <c r="K593" i="6"/>
  <c r="J593" i="6"/>
  <c r="I593" i="6"/>
  <c r="H593" i="6"/>
  <c r="G593" i="6"/>
  <c r="F593" i="6"/>
  <c r="E593" i="6"/>
  <c r="D593" i="6"/>
  <c r="C593" i="6"/>
  <c r="B593" i="6"/>
  <c r="A593" i="6"/>
  <c r="AD592" i="6"/>
  <c r="AC592" i="6"/>
  <c r="AB592" i="6"/>
  <c r="AA592" i="6"/>
  <c r="Z592" i="6"/>
  <c r="Y592" i="6"/>
  <c r="X592" i="6"/>
  <c r="W592" i="6"/>
  <c r="V592" i="6"/>
  <c r="U592" i="6"/>
  <c r="T592" i="6"/>
  <c r="S592" i="6"/>
  <c r="R592" i="6"/>
  <c r="Q592" i="6"/>
  <c r="P592" i="6"/>
  <c r="O592" i="6"/>
  <c r="N592" i="6"/>
  <c r="M592" i="6"/>
  <c r="L592" i="6"/>
  <c r="K592" i="6"/>
  <c r="J592" i="6"/>
  <c r="I592" i="6"/>
  <c r="H592" i="6"/>
  <c r="G592" i="6"/>
  <c r="F592" i="6"/>
  <c r="E592" i="6"/>
  <c r="D592" i="6"/>
  <c r="C592" i="6"/>
  <c r="B592" i="6"/>
  <c r="A592" i="6"/>
  <c r="AD591" i="6"/>
  <c r="AC591" i="6"/>
  <c r="AB591" i="6"/>
  <c r="AA591" i="6"/>
  <c r="Z591" i="6"/>
  <c r="Y591" i="6"/>
  <c r="X591" i="6"/>
  <c r="W591" i="6"/>
  <c r="V591" i="6"/>
  <c r="U591" i="6"/>
  <c r="T591" i="6"/>
  <c r="S591" i="6"/>
  <c r="R591" i="6"/>
  <c r="Q591" i="6"/>
  <c r="P591" i="6"/>
  <c r="O591" i="6"/>
  <c r="N591" i="6"/>
  <c r="M591" i="6"/>
  <c r="L591" i="6"/>
  <c r="K591" i="6"/>
  <c r="J591" i="6"/>
  <c r="I591" i="6"/>
  <c r="H591" i="6"/>
  <c r="G591" i="6"/>
  <c r="F591" i="6"/>
  <c r="E591" i="6"/>
  <c r="D591" i="6"/>
  <c r="C591" i="6"/>
  <c r="B591" i="6"/>
  <c r="A591" i="6"/>
  <c r="AD590" i="6"/>
  <c r="AC590" i="6"/>
  <c r="AB590" i="6"/>
  <c r="AA590" i="6"/>
  <c r="Z590" i="6"/>
  <c r="Y590" i="6"/>
  <c r="X590" i="6"/>
  <c r="W590" i="6"/>
  <c r="V590" i="6"/>
  <c r="U590" i="6"/>
  <c r="T590" i="6"/>
  <c r="S590" i="6"/>
  <c r="R590" i="6"/>
  <c r="Q590" i="6"/>
  <c r="P590" i="6"/>
  <c r="O590" i="6"/>
  <c r="N590" i="6"/>
  <c r="M590" i="6"/>
  <c r="L590" i="6"/>
  <c r="K590" i="6"/>
  <c r="J590" i="6"/>
  <c r="I590" i="6"/>
  <c r="H590" i="6"/>
  <c r="G590" i="6"/>
  <c r="F590" i="6"/>
  <c r="E590" i="6"/>
  <c r="D590" i="6"/>
  <c r="C590" i="6"/>
  <c r="B590" i="6"/>
  <c r="A590" i="6"/>
  <c r="AD589" i="6"/>
  <c r="AC589" i="6"/>
  <c r="AB589" i="6"/>
  <c r="AA589" i="6"/>
  <c r="Z589" i="6"/>
  <c r="Y589" i="6"/>
  <c r="X589" i="6"/>
  <c r="W589" i="6"/>
  <c r="V589" i="6"/>
  <c r="U589" i="6"/>
  <c r="T589" i="6"/>
  <c r="S589" i="6"/>
  <c r="R589" i="6"/>
  <c r="Q589" i="6"/>
  <c r="P589" i="6"/>
  <c r="O589" i="6"/>
  <c r="N589" i="6"/>
  <c r="M589" i="6"/>
  <c r="L589" i="6"/>
  <c r="K589" i="6"/>
  <c r="J589" i="6"/>
  <c r="I589" i="6"/>
  <c r="H589" i="6"/>
  <c r="G589" i="6"/>
  <c r="F589" i="6"/>
  <c r="E589" i="6"/>
  <c r="D589" i="6"/>
  <c r="C589" i="6"/>
  <c r="B589" i="6"/>
  <c r="A589" i="6"/>
  <c r="AD588" i="6"/>
  <c r="AC588" i="6"/>
  <c r="AB588" i="6"/>
  <c r="AA588" i="6"/>
  <c r="Z588" i="6"/>
  <c r="Y588" i="6"/>
  <c r="X588" i="6"/>
  <c r="W588" i="6"/>
  <c r="V588" i="6"/>
  <c r="U588" i="6"/>
  <c r="T588" i="6"/>
  <c r="S588" i="6"/>
  <c r="R588" i="6"/>
  <c r="Q588" i="6"/>
  <c r="P588" i="6"/>
  <c r="O588" i="6"/>
  <c r="N588" i="6"/>
  <c r="M588" i="6"/>
  <c r="L588" i="6"/>
  <c r="K588" i="6"/>
  <c r="J588" i="6"/>
  <c r="I588" i="6"/>
  <c r="H588" i="6"/>
  <c r="G588" i="6"/>
  <c r="F588" i="6"/>
  <c r="E588" i="6"/>
  <c r="D588" i="6"/>
  <c r="C588" i="6"/>
  <c r="B588" i="6"/>
  <c r="A588" i="6"/>
  <c r="AD587" i="6"/>
  <c r="AC587" i="6"/>
  <c r="AB587" i="6"/>
  <c r="AA587" i="6"/>
  <c r="Z587" i="6"/>
  <c r="Y587" i="6"/>
  <c r="X587" i="6"/>
  <c r="W587" i="6"/>
  <c r="V587" i="6"/>
  <c r="U587" i="6"/>
  <c r="T587" i="6"/>
  <c r="S587" i="6"/>
  <c r="R587" i="6"/>
  <c r="Q587" i="6"/>
  <c r="P587" i="6"/>
  <c r="O587" i="6"/>
  <c r="N587" i="6"/>
  <c r="M587" i="6"/>
  <c r="L587" i="6"/>
  <c r="K587" i="6"/>
  <c r="J587" i="6"/>
  <c r="I587" i="6"/>
  <c r="H587" i="6"/>
  <c r="G587" i="6"/>
  <c r="F587" i="6"/>
  <c r="E587" i="6"/>
  <c r="D587" i="6"/>
  <c r="C587" i="6"/>
  <c r="B587" i="6"/>
  <c r="A587" i="6"/>
  <c r="AD586" i="6"/>
  <c r="AC586" i="6"/>
  <c r="AB586" i="6"/>
  <c r="AA586" i="6"/>
  <c r="Z586" i="6"/>
  <c r="Y586" i="6"/>
  <c r="X586" i="6"/>
  <c r="W586" i="6"/>
  <c r="V586" i="6"/>
  <c r="U586" i="6"/>
  <c r="T586" i="6"/>
  <c r="S586" i="6"/>
  <c r="R586" i="6"/>
  <c r="Q586" i="6"/>
  <c r="P586" i="6"/>
  <c r="O586" i="6"/>
  <c r="N586" i="6"/>
  <c r="M586" i="6"/>
  <c r="L586" i="6"/>
  <c r="K586" i="6"/>
  <c r="J586" i="6"/>
  <c r="I586" i="6"/>
  <c r="H586" i="6"/>
  <c r="G586" i="6"/>
  <c r="F586" i="6"/>
  <c r="E586" i="6"/>
  <c r="D586" i="6"/>
  <c r="C586" i="6"/>
  <c r="B586" i="6"/>
  <c r="A586" i="6"/>
  <c r="AD585" i="6"/>
  <c r="AC585" i="6"/>
  <c r="AB585" i="6"/>
  <c r="AA585" i="6"/>
  <c r="Z585" i="6"/>
  <c r="Y585" i="6"/>
  <c r="X585" i="6"/>
  <c r="W585" i="6"/>
  <c r="V585" i="6"/>
  <c r="U585" i="6"/>
  <c r="T585" i="6"/>
  <c r="S585" i="6"/>
  <c r="R585" i="6"/>
  <c r="Q585" i="6"/>
  <c r="P585" i="6"/>
  <c r="O585" i="6"/>
  <c r="N585" i="6"/>
  <c r="M585" i="6"/>
  <c r="L585" i="6"/>
  <c r="K585" i="6"/>
  <c r="J585" i="6"/>
  <c r="I585" i="6"/>
  <c r="H585" i="6"/>
  <c r="G585" i="6"/>
  <c r="F585" i="6"/>
  <c r="E585" i="6"/>
  <c r="D585" i="6"/>
  <c r="C585" i="6"/>
  <c r="B585" i="6"/>
  <c r="A585" i="6"/>
  <c r="AC584" i="6"/>
  <c r="AB584" i="6"/>
  <c r="AA584" i="6"/>
  <c r="Z584" i="6"/>
  <c r="Y584" i="6"/>
  <c r="X584" i="6"/>
  <c r="W584" i="6"/>
  <c r="V584" i="6"/>
  <c r="U584" i="6"/>
  <c r="T584" i="6"/>
  <c r="S584" i="6"/>
  <c r="R584" i="6"/>
  <c r="Q584" i="6"/>
  <c r="P584" i="6"/>
  <c r="O584" i="6"/>
  <c r="N584" i="6"/>
  <c r="M584" i="6"/>
  <c r="L584" i="6"/>
  <c r="K584" i="6"/>
  <c r="J584" i="6"/>
  <c r="H584" i="6"/>
  <c r="G584" i="6"/>
  <c r="F584" i="6"/>
  <c r="E584" i="6"/>
  <c r="D584" i="6"/>
  <c r="C584" i="6"/>
  <c r="B584" i="6"/>
  <c r="A584" i="6"/>
  <c r="AD583" i="6"/>
  <c r="AC583" i="6"/>
  <c r="AB583" i="6"/>
  <c r="AA583" i="6"/>
  <c r="Z583" i="6"/>
  <c r="Y583" i="6"/>
  <c r="X583" i="6"/>
  <c r="W583" i="6"/>
  <c r="V583" i="6"/>
  <c r="U583" i="6"/>
  <c r="T583" i="6"/>
  <c r="S583" i="6"/>
  <c r="R583" i="6"/>
  <c r="Q583" i="6"/>
  <c r="P583" i="6"/>
  <c r="O583" i="6"/>
  <c r="N583" i="6"/>
  <c r="M583" i="6"/>
  <c r="L583" i="6"/>
  <c r="K583" i="6"/>
  <c r="J583" i="6"/>
  <c r="I583" i="6"/>
  <c r="H583" i="6"/>
  <c r="G583" i="6"/>
  <c r="F583" i="6"/>
  <c r="E583" i="6"/>
  <c r="D583" i="6"/>
  <c r="C583" i="6"/>
  <c r="B583" i="6"/>
  <c r="A583" i="6"/>
  <c r="AC582" i="6"/>
  <c r="AB582" i="6"/>
  <c r="AA582" i="6"/>
  <c r="Z582" i="6"/>
  <c r="Y582" i="6"/>
  <c r="X582" i="6"/>
  <c r="W582" i="6"/>
  <c r="V582" i="6"/>
  <c r="U582" i="6"/>
  <c r="T582" i="6"/>
  <c r="S582" i="6"/>
  <c r="R582" i="6"/>
  <c r="Q582" i="6"/>
  <c r="P582" i="6"/>
  <c r="O582" i="6"/>
  <c r="N582" i="6"/>
  <c r="M582" i="6"/>
  <c r="L582" i="6"/>
  <c r="K582" i="6"/>
  <c r="J582" i="6"/>
  <c r="I582" i="6"/>
  <c r="H582" i="6"/>
  <c r="G582" i="6"/>
  <c r="F582" i="6"/>
  <c r="E582" i="6"/>
  <c r="D582" i="6"/>
  <c r="C582" i="6"/>
  <c r="B582" i="6"/>
  <c r="A582" i="6"/>
  <c r="AD581" i="6"/>
  <c r="AC581" i="6"/>
  <c r="AB581" i="6"/>
  <c r="AA581" i="6"/>
  <c r="Z581" i="6"/>
  <c r="Y581" i="6"/>
  <c r="X581" i="6"/>
  <c r="W581" i="6"/>
  <c r="V581" i="6"/>
  <c r="U581" i="6"/>
  <c r="T581" i="6"/>
  <c r="S581" i="6"/>
  <c r="R581" i="6"/>
  <c r="Q581" i="6"/>
  <c r="P581" i="6"/>
  <c r="O581" i="6"/>
  <c r="N581" i="6"/>
  <c r="M581" i="6"/>
  <c r="L581" i="6"/>
  <c r="K581" i="6"/>
  <c r="J581" i="6"/>
  <c r="I581" i="6"/>
  <c r="H581" i="6"/>
  <c r="G581" i="6"/>
  <c r="F581" i="6"/>
  <c r="E581" i="6"/>
  <c r="D581" i="6"/>
  <c r="C581" i="6"/>
  <c r="B581" i="6"/>
  <c r="A581" i="6"/>
  <c r="AD580" i="6"/>
  <c r="AC580" i="6"/>
  <c r="AB580" i="6"/>
  <c r="AA580" i="6"/>
  <c r="Z580" i="6"/>
  <c r="Y580" i="6"/>
  <c r="X580" i="6"/>
  <c r="W580" i="6"/>
  <c r="V580" i="6"/>
  <c r="U580" i="6"/>
  <c r="T580" i="6"/>
  <c r="S580" i="6"/>
  <c r="R580" i="6"/>
  <c r="Q580" i="6"/>
  <c r="P580" i="6"/>
  <c r="O580" i="6"/>
  <c r="N580" i="6"/>
  <c r="M580" i="6"/>
  <c r="L580" i="6"/>
  <c r="K580" i="6"/>
  <c r="J580" i="6"/>
  <c r="I580" i="6"/>
  <c r="H580" i="6"/>
  <c r="G580" i="6"/>
  <c r="F580" i="6"/>
  <c r="E580" i="6"/>
  <c r="D580" i="6"/>
  <c r="C580" i="6"/>
  <c r="B580" i="6"/>
  <c r="A580" i="6"/>
  <c r="AC579" i="6"/>
  <c r="AB579" i="6"/>
  <c r="AA579" i="6"/>
  <c r="Z579" i="6"/>
  <c r="Y579" i="6"/>
  <c r="X579" i="6"/>
  <c r="W579" i="6"/>
  <c r="V579" i="6"/>
  <c r="U579" i="6"/>
  <c r="T579" i="6"/>
  <c r="S579" i="6"/>
  <c r="R579" i="6"/>
  <c r="Q579" i="6"/>
  <c r="P579" i="6"/>
  <c r="O579" i="6"/>
  <c r="N579" i="6"/>
  <c r="M579" i="6"/>
  <c r="L579" i="6"/>
  <c r="K579" i="6"/>
  <c r="J579" i="6"/>
  <c r="I579" i="6"/>
  <c r="H579" i="6"/>
  <c r="G579" i="6"/>
  <c r="F579" i="6"/>
  <c r="E579" i="6"/>
  <c r="D579" i="6"/>
  <c r="C579" i="6"/>
  <c r="B579" i="6"/>
  <c r="A579" i="6"/>
  <c r="AC578" i="6"/>
  <c r="AB578" i="6"/>
  <c r="AA578" i="6"/>
  <c r="Z578" i="6"/>
  <c r="Y578" i="6"/>
  <c r="X578" i="6"/>
  <c r="W578" i="6"/>
  <c r="V578" i="6"/>
  <c r="U578" i="6"/>
  <c r="T578" i="6"/>
  <c r="S578" i="6"/>
  <c r="R578" i="6"/>
  <c r="Q578" i="6"/>
  <c r="P578" i="6"/>
  <c r="O578" i="6"/>
  <c r="N578" i="6"/>
  <c r="M578" i="6"/>
  <c r="L578" i="6"/>
  <c r="K578" i="6"/>
  <c r="J578" i="6"/>
  <c r="H578" i="6"/>
  <c r="G578" i="6"/>
  <c r="F578" i="6"/>
  <c r="E578" i="6"/>
  <c r="D578" i="6"/>
  <c r="C578" i="6"/>
  <c r="B578" i="6"/>
  <c r="A578" i="6"/>
  <c r="AD577" i="6"/>
  <c r="AC577" i="6"/>
  <c r="AB577" i="6"/>
  <c r="AA577" i="6"/>
  <c r="Z577" i="6"/>
  <c r="Y577" i="6"/>
  <c r="X577" i="6"/>
  <c r="W577" i="6"/>
  <c r="V577" i="6"/>
  <c r="U577" i="6"/>
  <c r="T577" i="6"/>
  <c r="S577" i="6"/>
  <c r="R577" i="6"/>
  <c r="Q577" i="6"/>
  <c r="P577" i="6"/>
  <c r="O577" i="6"/>
  <c r="N577" i="6"/>
  <c r="M577" i="6"/>
  <c r="L577" i="6"/>
  <c r="K577" i="6"/>
  <c r="J577" i="6"/>
  <c r="I577" i="6"/>
  <c r="H577" i="6"/>
  <c r="G577" i="6"/>
  <c r="F577" i="6"/>
  <c r="E577" i="6"/>
  <c r="D577" i="6"/>
  <c r="C577" i="6"/>
  <c r="B577" i="6"/>
  <c r="A577" i="6"/>
  <c r="AC576" i="6"/>
  <c r="AB576" i="6"/>
  <c r="AA576" i="6"/>
  <c r="Z576" i="6"/>
  <c r="Y576" i="6"/>
  <c r="X576" i="6"/>
  <c r="W576" i="6"/>
  <c r="V576" i="6"/>
  <c r="U576" i="6"/>
  <c r="T576" i="6"/>
  <c r="S576" i="6"/>
  <c r="R576" i="6"/>
  <c r="Q576" i="6"/>
  <c r="P576" i="6"/>
  <c r="O576" i="6"/>
  <c r="N576" i="6"/>
  <c r="M576" i="6"/>
  <c r="L576" i="6"/>
  <c r="K576" i="6"/>
  <c r="J576" i="6"/>
  <c r="H576" i="6"/>
  <c r="G576" i="6"/>
  <c r="F576" i="6"/>
  <c r="E576" i="6"/>
  <c r="D576" i="6"/>
  <c r="C576" i="6"/>
  <c r="B576" i="6"/>
  <c r="A576" i="6"/>
  <c r="AD575" i="6"/>
  <c r="AC575" i="6"/>
  <c r="AB575" i="6"/>
  <c r="AA575" i="6"/>
  <c r="Z575" i="6"/>
  <c r="Y575" i="6"/>
  <c r="X575" i="6"/>
  <c r="W575" i="6"/>
  <c r="V575" i="6"/>
  <c r="U575" i="6"/>
  <c r="T575" i="6"/>
  <c r="S575" i="6"/>
  <c r="R575" i="6"/>
  <c r="Q575" i="6"/>
  <c r="P575" i="6"/>
  <c r="O575" i="6"/>
  <c r="N575" i="6"/>
  <c r="M575" i="6"/>
  <c r="L575" i="6"/>
  <c r="K575" i="6"/>
  <c r="J575" i="6"/>
  <c r="I575" i="6"/>
  <c r="H575" i="6"/>
  <c r="G575" i="6"/>
  <c r="F575" i="6"/>
  <c r="E575" i="6"/>
  <c r="D575" i="6"/>
  <c r="C575" i="6"/>
  <c r="B575" i="6"/>
  <c r="A575" i="6"/>
  <c r="AD574" i="6"/>
  <c r="AC574" i="6"/>
  <c r="AB574" i="6"/>
  <c r="AA574" i="6"/>
  <c r="Z574" i="6"/>
  <c r="Y574" i="6"/>
  <c r="X574" i="6"/>
  <c r="W574" i="6"/>
  <c r="V574" i="6"/>
  <c r="U574" i="6"/>
  <c r="T574" i="6"/>
  <c r="S574" i="6"/>
  <c r="R574" i="6"/>
  <c r="Q574" i="6"/>
  <c r="P574" i="6"/>
  <c r="O574" i="6"/>
  <c r="N574" i="6"/>
  <c r="M574" i="6"/>
  <c r="L574" i="6"/>
  <c r="K574" i="6"/>
  <c r="J574" i="6"/>
  <c r="I574" i="6"/>
  <c r="H574" i="6"/>
  <c r="G574" i="6"/>
  <c r="F574" i="6"/>
  <c r="E574" i="6"/>
  <c r="D574" i="6"/>
  <c r="C574" i="6"/>
  <c r="B574" i="6"/>
  <c r="A574" i="6"/>
  <c r="AD573" i="6"/>
  <c r="AC573" i="6"/>
  <c r="AB573" i="6"/>
  <c r="AA573" i="6"/>
  <c r="Z573" i="6"/>
  <c r="Y573" i="6"/>
  <c r="X573" i="6"/>
  <c r="W573" i="6"/>
  <c r="V573" i="6"/>
  <c r="U573" i="6"/>
  <c r="T573" i="6"/>
  <c r="S573" i="6"/>
  <c r="R573" i="6"/>
  <c r="Q573" i="6"/>
  <c r="P573" i="6"/>
  <c r="O573" i="6"/>
  <c r="N573" i="6"/>
  <c r="M573" i="6"/>
  <c r="L573" i="6"/>
  <c r="K573" i="6"/>
  <c r="J573" i="6"/>
  <c r="I573" i="6"/>
  <c r="H573" i="6"/>
  <c r="G573" i="6"/>
  <c r="F573" i="6"/>
  <c r="E573" i="6"/>
  <c r="D573" i="6"/>
  <c r="C573" i="6"/>
  <c r="B573" i="6"/>
  <c r="A573" i="6"/>
  <c r="AC572" i="6"/>
  <c r="AB572" i="6"/>
  <c r="AA572" i="6"/>
  <c r="Z572" i="6"/>
  <c r="Y572" i="6"/>
  <c r="X572" i="6"/>
  <c r="W572" i="6"/>
  <c r="V572" i="6"/>
  <c r="U572" i="6"/>
  <c r="T572" i="6"/>
  <c r="S572" i="6"/>
  <c r="R572" i="6"/>
  <c r="Q572" i="6"/>
  <c r="P572" i="6"/>
  <c r="O572" i="6"/>
  <c r="N572" i="6"/>
  <c r="M572" i="6"/>
  <c r="L572" i="6"/>
  <c r="K572" i="6"/>
  <c r="J572" i="6"/>
  <c r="H572" i="6"/>
  <c r="G572" i="6"/>
  <c r="F572" i="6"/>
  <c r="E572" i="6"/>
  <c r="D572" i="6"/>
  <c r="C572" i="6"/>
  <c r="B572" i="6"/>
  <c r="A572" i="6"/>
  <c r="AC571" i="6"/>
  <c r="AB571" i="6"/>
  <c r="AA571" i="6"/>
  <c r="Z571" i="6"/>
  <c r="Y571" i="6"/>
  <c r="X571" i="6"/>
  <c r="W571" i="6"/>
  <c r="V571" i="6"/>
  <c r="U571" i="6"/>
  <c r="T571" i="6"/>
  <c r="S571" i="6"/>
  <c r="R571" i="6"/>
  <c r="Q571" i="6"/>
  <c r="P571" i="6"/>
  <c r="O571" i="6"/>
  <c r="N571" i="6"/>
  <c r="M571" i="6"/>
  <c r="L571" i="6"/>
  <c r="K571" i="6"/>
  <c r="J571" i="6"/>
  <c r="H571" i="6"/>
  <c r="G571" i="6"/>
  <c r="F571" i="6"/>
  <c r="E571" i="6"/>
  <c r="D571" i="6"/>
  <c r="C571" i="6"/>
  <c r="B571" i="6"/>
  <c r="A571" i="6"/>
  <c r="AD570" i="6"/>
  <c r="AC570" i="6"/>
  <c r="AB570" i="6"/>
  <c r="AA570" i="6"/>
  <c r="Z570" i="6"/>
  <c r="Y570" i="6"/>
  <c r="X570" i="6"/>
  <c r="W570" i="6"/>
  <c r="V570" i="6"/>
  <c r="U570" i="6"/>
  <c r="T570" i="6"/>
  <c r="S570" i="6"/>
  <c r="R570" i="6"/>
  <c r="Q570" i="6"/>
  <c r="P570" i="6"/>
  <c r="O570" i="6"/>
  <c r="N570" i="6"/>
  <c r="M570" i="6"/>
  <c r="L570" i="6"/>
  <c r="K570" i="6"/>
  <c r="J570" i="6"/>
  <c r="I570" i="6"/>
  <c r="H570" i="6"/>
  <c r="G570" i="6"/>
  <c r="F570" i="6"/>
  <c r="E570" i="6"/>
  <c r="D570" i="6"/>
  <c r="C570" i="6"/>
  <c r="B570" i="6"/>
  <c r="A570" i="6"/>
  <c r="AC569" i="6"/>
  <c r="AB569" i="6"/>
  <c r="AA569" i="6"/>
  <c r="Z569" i="6"/>
  <c r="Y569" i="6"/>
  <c r="X569" i="6"/>
  <c r="W569" i="6"/>
  <c r="V569" i="6"/>
  <c r="U569" i="6"/>
  <c r="T569" i="6"/>
  <c r="S569" i="6"/>
  <c r="R569" i="6"/>
  <c r="Q569" i="6"/>
  <c r="P569" i="6"/>
  <c r="O569" i="6"/>
  <c r="N569" i="6"/>
  <c r="M569" i="6"/>
  <c r="L569" i="6"/>
  <c r="K569" i="6"/>
  <c r="J569" i="6"/>
  <c r="H569" i="6"/>
  <c r="G569" i="6"/>
  <c r="F569" i="6"/>
  <c r="E569" i="6"/>
  <c r="D569" i="6"/>
  <c r="C569" i="6"/>
  <c r="B569" i="6"/>
  <c r="A569" i="6"/>
  <c r="AC568" i="6"/>
  <c r="AB568" i="6"/>
  <c r="AA568" i="6"/>
  <c r="Z568" i="6"/>
  <c r="Y568" i="6"/>
  <c r="X568" i="6"/>
  <c r="W568" i="6"/>
  <c r="V568" i="6"/>
  <c r="U568" i="6"/>
  <c r="T568" i="6"/>
  <c r="S568" i="6"/>
  <c r="R568" i="6"/>
  <c r="Q568" i="6"/>
  <c r="P568" i="6"/>
  <c r="O568" i="6"/>
  <c r="N568" i="6"/>
  <c r="M568" i="6"/>
  <c r="L568" i="6"/>
  <c r="K568" i="6"/>
  <c r="J568" i="6"/>
  <c r="H568" i="6"/>
  <c r="G568" i="6"/>
  <c r="F568" i="6"/>
  <c r="E568" i="6"/>
  <c r="D568" i="6"/>
  <c r="C568" i="6"/>
  <c r="B568" i="6"/>
  <c r="A568" i="6"/>
  <c r="AD567" i="6"/>
  <c r="AC567" i="6"/>
  <c r="AB567" i="6"/>
  <c r="AA567" i="6"/>
  <c r="Z567" i="6"/>
  <c r="Y567" i="6"/>
  <c r="X567" i="6"/>
  <c r="W567" i="6"/>
  <c r="V567" i="6"/>
  <c r="U567" i="6"/>
  <c r="T567" i="6"/>
  <c r="S567" i="6"/>
  <c r="R567" i="6"/>
  <c r="Q567" i="6"/>
  <c r="P567" i="6"/>
  <c r="O567" i="6"/>
  <c r="N567" i="6"/>
  <c r="M567" i="6"/>
  <c r="L567" i="6"/>
  <c r="K567" i="6"/>
  <c r="J567" i="6"/>
  <c r="I567" i="6"/>
  <c r="H567" i="6"/>
  <c r="G567" i="6"/>
  <c r="F567" i="6"/>
  <c r="E567" i="6"/>
  <c r="D567" i="6"/>
  <c r="C567" i="6"/>
  <c r="B567" i="6"/>
  <c r="A567" i="6"/>
  <c r="AC566" i="6"/>
  <c r="AB566" i="6"/>
  <c r="AA566" i="6"/>
  <c r="Z566" i="6"/>
  <c r="Y566" i="6"/>
  <c r="X566" i="6"/>
  <c r="W566" i="6"/>
  <c r="V566" i="6"/>
  <c r="U566" i="6"/>
  <c r="T566" i="6"/>
  <c r="S566" i="6"/>
  <c r="R566" i="6"/>
  <c r="Q566" i="6"/>
  <c r="P566" i="6"/>
  <c r="O566" i="6"/>
  <c r="N566" i="6"/>
  <c r="M566" i="6"/>
  <c r="L566" i="6"/>
  <c r="K566" i="6"/>
  <c r="J566" i="6"/>
  <c r="I566" i="6"/>
  <c r="H566" i="6"/>
  <c r="G566" i="6"/>
  <c r="F566" i="6"/>
  <c r="E566" i="6"/>
  <c r="D566" i="6"/>
  <c r="C566" i="6"/>
  <c r="B566" i="6"/>
  <c r="A566" i="6"/>
  <c r="AC565" i="6"/>
  <c r="AB565" i="6"/>
  <c r="AA565" i="6"/>
  <c r="Z565" i="6"/>
  <c r="Y565" i="6"/>
  <c r="X565" i="6"/>
  <c r="W565" i="6"/>
  <c r="V565" i="6"/>
  <c r="U565" i="6"/>
  <c r="T565" i="6"/>
  <c r="S565" i="6"/>
  <c r="R565" i="6"/>
  <c r="Q565" i="6"/>
  <c r="P565" i="6"/>
  <c r="O565" i="6"/>
  <c r="N565" i="6"/>
  <c r="M565" i="6"/>
  <c r="L565" i="6"/>
  <c r="K565" i="6"/>
  <c r="J565" i="6"/>
  <c r="H565" i="6"/>
  <c r="G565" i="6"/>
  <c r="F565" i="6"/>
  <c r="E565" i="6"/>
  <c r="D565" i="6"/>
  <c r="C565" i="6"/>
  <c r="B565" i="6"/>
  <c r="A565" i="6"/>
  <c r="AD564" i="6"/>
  <c r="AC564" i="6"/>
  <c r="AB564" i="6"/>
  <c r="AA564" i="6"/>
  <c r="Z564" i="6"/>
  <c r="Y564" i="6"/>
  <c r="X564" i="6"/>
  <c r="W564" i="6"/>
  <c r="V564" i="6"/>
  <c r="U564" i="6"/>
  <c r="T564" i="6"/>
  <c r="S564" i="6"/>
  <c r="R564" i="6"/>
  <c r="Q564" i="6"/>
  <c r="P564" i="6"/>
  <c r="O564" i="6"/>
  <c r="N564" i="6"/>
  <c r="M564" i="6"/>
  <c r="L564" i="6"/>
  <c r="K564" i="6"/>
  <c r="J564" i="6"/>
  <c r="I564" i="6"/>
  <c r="H564" i="6"/>
  <c r="G564" i="6"/>
  <c r="F564" i="6"/>
  <c r="E564" i="6"/>
  <c r="D564" i="6"/>
  <c r="C564" i="6"/>
  <c r="B564" i="6"/>
  <c r="A564" i="6"/>
  <c r="AC563" i="6"/>
  <c r="AB563" i="6"/>
  <c r="AA563" i="6"/>
  <c r="Z563" i="6"/>
  <c r="Y563" i="6"/>
  <c r="X563" i="6"/>
  <c r="W563" i="6"/>
  <c r="V563" i="6"/>
  <c r="U563" i="6"/>
  <c r="T563" i="6"/>
  <c r="S563" i="6"/>
  <c r="R563" i="6"/>
  <c r="Q563" i="6"/>
  <c r="P563" i="6"/>
  <c r="O563" i="6"/>
  <c r="N563" i="6"/>
  <c r="M563" i="6"/>
  <c r="L563" i="6"/>
  <c r="K563" i="6"/>
  <c r="J563" i="6"/>
  <c r="H563" i="6"/>
  <c r="G563" i="6"/>
  <c r="F563" i="6"/>
  <c r="E563" i="6"/>
  <c r="D563" i="6"/>
  <c r="C563" i="6"/>
  <c r="B563" i="6"/>
  <c r="A563" i="6"/>
  <c r="AD562" i="6"/>
  <c r="AC562" i="6"/>
  <c r="AB562" i="6"/>
  <c r="AA562" i="6"/>
  <c r="Z562" i="6"/>
  <c r="Y562" i="6"/>
  <c r="X562" i="6"/>
  <c r="W562" i="6"/>
  <c r="V562" i="6"/>
  <c r="U562" i="6"/>
  <c r="T562" i="6"/>
  <c r="S562" i="6"/>
  <c r="R562" i="6"/>
  <c r="Q562" i="6"/>
  <c r="P562" i="6"/>
  <c r="O562" i="6"/>
  <c r="N562" i="6"/>
  <c r="M562" i="6"/>
  <c r="L562" i="6"/>
  <c r="K562" i="6"/>
  <c r="J562" i="6"/>
  <c r="I562" i="6"/>
  <c r="H562" i="6"/>
  <c r="G562" i="6"/>
  <c r="F562" i="6"/>
  <c r="E562" i="6"/>
  <c r="D562" i="6"/>
  <c r="C562" i="6"/>
  <c r="B562" i="6"/>
  <c r="A562" i="6"/>
  <c r="AD561" i="6"/>
  <c r="AC561" i="6"/>
  <c r="AB561" i="6"/>
  <c r="AA561" i="6"/>
  <c r="Z561" i="6"/>
  <c r="Y561" i="6"/>
  <c r="X561" i="6"/>
  <c r="W561" i="6"/>
  <c r="V561" i="6"/>
  <c r="U561" i="6"/>
  <c r="T561" i="6"/>
  <c r="S561" i="6"/>
  <c r="R561" i="6"/>
  <c r="Q561" i="6"/>
  <c r="P561" i="6"/>
  <c r="O561" i="6"/>
  <c r="N561" i="6"/>
  <c r="M561" i="6"/>
  <c r="L561" i="6"/>
  <c r="K561" i="6"/>
  <c r="J561" i="6"/>
  <c r="I561" i="6"/>
  <c r="H561" i="6"/>
  <c r="G561" i="6"/>
  <c r="F561" i="6"/>
  <c r="E561" i="6"/>
  <c r="D561" i="6"/>
  <c r="C561" i="6"/>
  <c r="B561" i="6"/>
  <c r="A561" i="6"/>
  <c r="AD560" i="6"/>
  <c r="AC560" i="6"/>
  <c r="AB560" i="6"/>
  <c r="AA560" i="6"/>
  <c r="Z560" i="6"/>
  <c r="Y560" i="6"/>
  <c r="X560" i="6"/>
  <c r="W560" i="6"/>
  <c r="V560" i="6"/>
  <c r="U560" i="6"/>
  <c r="T560" i="6"/>
  <c r="S560" i="6"/>
  <c r="R560" i="6"/>
  <c r="Q560" i="6"/>
  <c r="P560" i="6"/>
  <c r="O560" i="6"/>
  <c r="N560" i="6"/>
  <c r="M560" i="6"/>
  <c r="L560" i="6"/>
  <c r="K560" i="6"/>
  <c r="J560" i="6"/>
  <c r="I560" i="6"/>
  <c r="H560" i="6"/>
  <c r="G560" i="6"/>
  <c r="F560" i="6"/>
  <c r="E560" i="6"/>
  <c r="D560" i="6"/>
  <c r="C560" i="6"/>
  <c r="B560" i="6"/>
  <c r="A560" i="6"/>
  <c r="AD559" i="6"/>
  <c r="AC559" i="6"/>
  <c r="AB559" i="6"/>
  <c r="AA559" i="6"/>
  <c r="Z559" i="6"/>
  <c r="Y559" i="6"/>
  <c r="X559" i="6"/>
  <c r="W559" i="6"/>
  <c r="V559" i="6"/>
  <c r="U559" i="6"/>
  <c r="T559" i="6"/>
  <c r="S559" i="6"/>
  <c r="R559" i="6"/>
  <c r="Q559" i="6"/>
  <c r="P559" i="6"/>
  <c r="O559" i="6"/>
  <c r="N559" i="6"/>
  <c r="M559" i="6"/>
  <c r="L559" i="6"/>
  <c r="K559" i="6"/>
  <c r="J559" i="6"/>
  <c r="I559" i="6"/>
  <c r="H559" i="6"/>
  <c r="G559" i="6"/>
  <c r="F559" i="6"/>
  <c r="E559" i="6"/>
  <c r="D559" i="6"/>
  <c r="C559" i="6"/>
  <c r="B559" i="6"/>
  <c r="A559" i="6"/>
  <c r="AD558" i="6"/>
  <c r="AC558" i="6"/>
  <c r="AB558" i="6"/>
  <c r="AA558" i="6"/>
  <c r="Z558" i="6"/>
  <c r="Y558" i="6"/>
  <c r="X558" i="6"/>
  <c r="W558" i="6"/>
  <c r="V558" i="6"/>
  <c r="U558" i="6"/>
  <c r="T558" i="6"/>
  <c r="S558" i="6"/>
  <c r="R558" i="6"/>
  <c r="Q558" i="6"/>
  <c r="P558" i="6"/>
  <c r="O558" i="6"/>
  <c r="N558" i="6"/>
  <c r="M558" i="6"/>
  <c r="L558" i="6"/>
  <c r="K558" i="6"/>
  <c r="J558" i="6"/>
  <c r="H558" i="6"/>
  <c r="G558" i="6"/>
  <c r="F558" i="6"/>
  <c r="E558" i="6"/>
  <c r="D558" i="6"/>
  <c r="C558" i="6"/>
  <c r="B558" i="6"/>
  <c r="A558" i="6"/>
  <c r="AC557" i="6"/>
  <c r="AB557" i="6"/>
  <c r="AA557" i="6"/>
  <c r="Z557" i="6"/>
  <c r="Y557" i="6"/>
  <c r="X557" i="6"/>
  <c r="W557" i="6"/>
  <c r="V557" i="6"/>
  <c r="U557" i="6"/>
  <c r="T557" i="6"/>
  <c r="S557" i="6"/>
  <c r="R557" i="6"/>
  <c r="Q557" i="6"/>
  <c r="P557" i="6"/>
  <c r="O557" i="6"/>
  <c r="N557" i="6"/>
  <c r="M557" i="6"/>
  <c r="L557" i="6"/>
  <c r="K557" i="6"/>
  <c r="J557" i="6"/>
  <c r="H557" i="6"/>
  <c r="G557" i="6"/>
  <c r="F557" i="6"/>
  <c r="E557" i="6"/>
  <c r="D557" i="6"/>
  <c r="C557" i="6"/>
  <c r="B557" i="6"/>
  <c r="A557" i="6"/>
  <c r="AD556" i="6"/>
  <c r="AC556" i="6"/>
  <c r="AB556" i="6"/>
  <c r="AA556" i="6"/>
  <c r="Z556" i="6"/>
  <c r="Y556" i="6"/>
  <c r="X556" i="6"/>
  <c r="W556" i="6"/>
  <c r="V556" i="6"/>
  <c r="U556" i="6"/>
  <c r="T556" i="6"/>
  <c r="S556" i="6"/>
  <c r="R556" i="6"/>
  <c r="Q556" i="6"/>
  <c r="P556" i="6"/>
  <c r="O556" i="6"/>
  <c r="N556" i="6"/>
  <c r="M556" i="6"/>
  <c r="L556" i="6"/>
  <c r="K556" i="6"/>
  <c r="J556" i="6"/>
  <c r="I556" i="6"/>
  <c r="H556" i="6"/>
  <c r="G556" i="6"/>
  <c r="F556" i="6"/>
  <c r="E556" i="6"/>
  <c r="D556" i="6"/>
  <c r="C556" i="6"/>
  <c r="B556" i="6"/>
  <c r="A556" i="6"/>
  <c r="AC555" i="6"/>
  <c r="AB555" i="6"/>
  <c r="AA555" i="6"/>
  <c r="Z555" i="6"/>
  <c r="Y555" i="6"/>
  <c r="X555" i="6"/>
  <c r="W555" i="6"/>
  <c r="V555" i="6"/>
  <c r="U555" i="6"/>
  <c r="T555" i="6"/>
  <c r="S555" i="6"/>
  <c r="R555" i="6"/>
  <c r="Q555" i="6"/>
  <c r="P555" i="6"/>
  <c r="O555" i="6"/>
  <c r="N555" i="6"/>
  <c r="M555" i="6"/>
  <c r="L555" i="6"/>
  <c r="K555" i="6"/>
  <c r="J555" i="6"/>
  <c r="H555" i="6"/>
  <c r="G555" i="6"/>
  <c r="F555" i="6"/>
  <c r="E555" i="6"/>
  <c r="D555" i="6"/>
  <c r="C555" i="6"/>
  <c r="B555" i="6"/>
  <c r="A555" i="6"/>
  <c r="AD554" i="6"/>
  <c r="AC554" i="6"/>
  <c r="AB554" i="6"/>
  <c r="AA554" i="6"/>
  <c r="Z554" i="6"/>
  <c r="Y554" i="6"/>
  <c r="X554" i="6"/>
  <c r="W554" i="6"/>
  <c r="V554" i="6"/>
  <c r="U554" i="6"/>
  <c r="T554" i="6"/>
  <c r="S554" i="6"/>
  <c r="R554" i="6"/>
  <c r="Q554" i="6"/>
  <c r="P554" i="6"/>
  <c r="O554" i="6"/>
  <c r="N554" i="6"/>
  <c r="M554" i="6"/>
  <c r="L554" i="6"/>
  <c r="K554" i="6"/>
  <c r="J554" i="6"/>
  <c r="I554" i="6"/>
  <c r="H554" i="6"/>
  <c r="G554" i="6"/>
  <c r="F554" i="6"/>
  <c r="E554" i="6"/>
  <c r="D554" i="6"/>
  <c r="C554" i="6"/>
  <c r="B554" i="6"/>
  <c r="A554" i="6"/>
  <c r="AC553" i="6"/>
  <c r="AB553" i="6"/>
  <c r="AA553" i="6"/>
  <c r="Z553" i="6"/>
  <c r="Y553" i="6"/>
  <c r="X553" i="6"/>
  <c r="W553" i="6"/>
  <c r="V553" i="6"/>
  <c r="U553" i="6"/>
  <c r="T553" i="6"/>
  <c r="S553" i="6"/>
  <c r="R553" i="6"/>
  <c r="Q553" i="6"/>
  <c r="P553" i="6"/>
  <c r="O553" i="6"/>
  <c r="N553" i="6"/>
  <c r="M553" i="6"/>
  <c r="L553" i="6"/>
  <c r="K553" i="6"/>
  <c r="J553" i="6"/>
  <c r="H553" i="6"/>
  <c r="G553" i="6"/>
  <c r="F553" i="6"/>
  <c r="E553" i="6"/>
  <c r="D553" i="6"/>
  <c r="C553" i="6"/>
  <c r="B553" i="6"/>
  <c r="A553" i="6"/>
  <c r="AD552" i="6"/>
  <c r="AC552" i="6"/>
  <c r="AB552" i="6"/>
  <c r="AA552" i="6"/>
  <c r="Z552" i="6"/>
  <c r="Y552" i="6"/>
  <c r="X552" i="6"/>
  <c r="W552" i="6"/>
  <c r="V552" i="6"/>
  <c r="U552" i="6"/>
  <c r="T552" i="6"/>
  <c r="S552" i="6"/>
  <c r="R552" i="6"/>
  <c r="Q552" i="6"/>
  <c r="P552" i="6"/>
  <c r="O552" i="6"/>
  <c r="N552" i="6"/>
  <c r="M552" i="6"/>
  <c r="L552" i="6"/>
  <c r="K552" i="6"/>
  <c r="J552" i="6"/>
  <c r="I552" i="6"/>
  <c r="H552" i="6"/>
  <c r="G552" i="6"/>
  <c r="F552" i="6"/>
  <c r="E552" i="6"/>
  <c r="D552" i="6"/>
  <c r="C552" i="6"/>
  <c r="B552" i="6"/>
  <c r="A552" i="6"/>
  <c r="AD551" i="6"/>
  <c r="AC551" i="6"/>
  <c r="AB551" i="6"/>
  <c r="AA551" i="6"/>
  <c r="Z551" i="6"/>
  <c r="Y551" i="6"/>
  <c r="X551" i="6"/>
  <c r="W551" i="6"/>
  <c r="V551" i="6"/>
  <c r="U551" i="6"/>
  <c r="T551" i="6"/>
  <c r="S551" i="6"/>
  <c r="R551" i="6"/>
  <c r="Q551" i="6"/>
  <c r="P551" i="6"/>
  <c r="O551" i="6"/>
  <c r="N551" i="6"/>
  <c r="M551" i="6"/>
  <c r="L551" i="6"/>
  <c r="K551" i="6"/>
  <c r="J551" i="6"/>
  <c r="I551" i="6"/>
  <c r="H551" i="6"/>
  <c r="G551" i="6"/>
  <c r="F551" i="6"/>
  <c r="E551" i="6"/>
  <c r="D551" i="6"/>
  <c r="C551" i="6"/>
  <c r="B551" i="6"/>
  <c r="A551" i="6"/>
  <c r="AD550" i="6"/>
  <c r="AC550" i="6"/>
  <c r="AB550" i="6"/>
  <c r="AA550" i="6"/>
  <c r="Z550" i="6"/>
  <c r="Y550" i="6"/>
  <c r="X550" i="6"/>
  <c r="W550" i="6"/>
  <c r="V550" i="6"/>
  <c r="U550" i="6"/>
  <c r="T550" i="6"/>
  <c r="S550" i="6"/>
  <c r="R550" i="6"/>
  <c r="Q550" i="6"/>
  <c r="P550" i="6"/>
  <c r="O550" i="6"/>
  <c r="N550" i="6"/>
  <c r="M550" i="6"/>
  <c r="L550" i="6"/>
  <c r="K550" i="6"/>
  <c r="J550" i="6"/>
  <c r="I550" i="6"/>
  <c r="H550" i="6"/>
  <c r="G550" i="6"/>
  <c r="F550" i="6"/>
  <c r="E550" i="6"/>
  <c r="D550" i="6"/>
  <c r="C550" i="6"/>
  <c r="B550" i="6"/>
  <c r="A550" i="6"/>
  <c r="AD549" i="6"/>
  <c r="AC549" i="6"/>
  <c r="AB549" i="6"/>
  <c r="AA549" i="6"/>
  <c r="Z549" i="6"/>
  <c r="Y549" i="6"/>
  <c r="X549" i="6"/>
  <c r="W549" i="6"/>
  <c r="V549" i="6"/>
  <c r="U549" i="6"/>
  <c r="T549" i="6"/>
  <c r="S549" i="6"/>
  <c r="R549" i="6"/>
  <c r="Q549" i="6"/>
  <c r="P549" i="6"/>
  <c r="O549" i="6"/>
  <c r="N549" i="6"/>
  <c r="M549" i="6"/>
  <c r="L549" i="6"/>
  <c r="K549" i="6"/>
  <c r="J549" i="6"/>
  <c r="I549" i="6"/>
  <c r="H549" i="6"/>
  <c r="G549" i="6"/>
  <c r="F549" i="6"/>
  <c r="E549" i="6"/>
  <c r="D549" i="6"/>
  <c r="C549" i="6"/>
  <c r="B549" i="6"/>
  <c r="A549" i="6"/>
  <c r="AD548" i="6"/>
  <c r="AC548" i="6"/>
  <c r="AB548" i="6"/>
  <c r="AA548" i="6"/>
  <c r="Z548" i="6"/>
  <c r="Y548" i="6"/>
  <c r="X548" i="6"/>
  <c r="W548" i="6"/>
  <c r="V548" i="6"/>
  <c r="U548" i="6"/>
  <c r="T548" i="6"/>
  <c r="S548" i="6"/>
  <c r="R548" i="6"/>
  <c r="Q548" i="6"/>
  <c r="P548" i="6"/>
  <c r="O548" i="6"/>
  <c r="N548" i="6"/>
  <c r="M548" i="6"/>
  <c r="L548" i="6"/>
  <c r="K548" i="6"/>
  <c r="J548" i="6"/>
  <c r="I548" i="6"/>
  <c r="H548" i="6"/>
  <c r="G548" i="6"/>
  <c r="F548" i="6"/>
  <c r="E548" i="6"/>
  <c r="D548" i="6"/>
  <c r="C548" i="6"/>
  <c r="B548" i="6"/>
  <c r="A548" i="6"/>
  <c r="AD547" i="6"/>
  <c r="AC547" i="6"/>
  <c r="AB547" i="6"/>
  <c r="AA547" i="6"/>
  <c r="Z547" i="6"/>
  <c r="Y547" i="6"/>
  <c r="X547" i="6"/>
  <c r="W547" i="6"/>
  <c r="V547" i="6"/>
  <c r="U547" i="6"/>
  <c r="T547" i="6"/>
  <c r="S547" i="6"/>
  <c r="R547" i="6"/>
  <c r="Q547" i="6"/>
  <c r="P547" i="6"/>
  <c r="O547" i="6"/>
  <c r="N547" i="6"/>
  <c r="M547" i="6"/>
  <c r="L547" i="6"/>
  <c r="K547" i="6"/>
  <c r="J547" i="6"/>
  <c r="I547" i="6"/>
  <c r="H547" i="6"/>
  <c r="G547" i="6"/>
  <c r="F547" i="6"/>
  <c r="E547" i="6"/>
  <c r="D547" i="6"/>
  <c r="C547" i="6"/>
  <c r="B547" i="6"/>
  <c r="A547" i="6"/>
  <c r="AC546" i="6"/>
  <c r="AB546" i="6"/>
  <c r="AA546" i="6"/>
  <c r="Z546" i="6"/>
  <c r="Y546" i="6"/>
  <c r="X546" i="6"/>
  <c r="W546" i="6"/>
  <c r="V546" i="6"/>
  <c r="U546" i="6"/>
  <c r="T546" i="6"/>
  <c r="S546" i="6"/>
  <c r="R546" i="6"/>
  <c r="Q546" i="6"/>
  <c r="P546" i="6"/>
  <c r="O546" i="6"/>
  <c r="N546" i="6"/>
  <c r="M546" i="6"/>
  <c r="L546" i="6"/>
  <c r="K546" i="6"/>
  <c r="J546" i="6"/>
  <c r="H546" i="6"/>
  <c r="G546" i="6"/>
  <c r="F546" i="6"/>
  <c r="E546" i="6"/>
  <c r="D546" i="6"/>
  <c r="C546" i="6"/>
  <c r="B546" i="6"/>
  <c r="A546" i="6"/>
  <c r="AC545" i="6"/>
  <c r="AB545" i="6"/>
  <c r="AA545" i="6"/>
  <c r="Z545" i="6"/>
  <c r="Y545" i="6"/>
  <c r="X545" i="6"/>
  <c r="W545" i="6"/>
  <c r="V545" i="6"/>
  <c r="U545" i="6"/>
  <c r="T545" i="6"/>
  <c r="S545" i="6"/>
  <c r="R545" i="6"/>
  <c r="Q545" i="6"/>
  <c r="P545" i="6"/>
  <c r="O545" i="6"/>
  <c r="N545" i="6"/>
  <c r="M545" i="6"/>
  <c r="L545" i="6"/>
  <c r="K545" i="6"/>
  <c r="J545" i="6"/>
  <c r="H545" i="6"/>
  <c r="G545" i="6"/>
  <c r="F545" i="6"/>
  <c r="E545" i="6"/>
  <c r="D545" i="6"/>
  <c r="C545" i="6"/>
  <c r="B545" i="6"/>
  <c r="A545" i="6"/>
  <c r="AC544" i="6"/>
  <c r="AB544" i="6"/>
  <c r="AA544" i="6"/>
  <c r="Z544" i="6"/>
  <c r="Y544" i="6"/>
  <c r="X544" i="6"/>
  <c r="W544" i="6"/>
  <c r="V544" i="6"/>
  <c r="U544" i="6"/>
  <c r="T544" i="6"/>
  <c r="S544" i="6"/>
  <c r="R544" i="6"/>
  <c r="Q544" i="6"/>
  <c r="P544" i="6"/>
  <c r="O544" i="6"/>
  <c r="N544" i="6"/>
  <c r="M544" i="6"/>
  <c r="L544" i="6"/>
  <c r="K544" i="6"/>
  <c r="J544" i="6"/>
  <c r="H544" i="6"/>
  <c r="G544" i="6"/>
  <c r="F544" i="6"/>
  <c r="E544" i="6"/>
  <c r="D544" i="6"/>
  <c r="C544" i="6"/>
  <c r="B544" i="6"/>
  <c r="A544" i="6"/>
  <c r="AC543" i="6"/>
  <c r="AB543" i="6"/>
  <c r="AA543" i="6"/>
  <c r="Z543" i="6"/>
  <c r="Y543" i="6"/>
  <c r="X543" i="6"/>
  <c r="W543" i="6"/>
  <c r="V543" i="6"/>
  <c r="U543" i="6"/>
  <c r="T543" i="6"/>
  <c r="S543" i="6"/>
  <c r="R543" i="6"/>
  <c r="Q543" i="6"/>
  <c r="P543" i="6"/>
  <c r="O543" i="6"/>
  <c r="N543" i="6"/>
  <c r="M543" i="6"/>
  <c r="L543" i="6"/>
  <c r="K543" i="6"/>
  <c r="J543" i="6"/>
  <c r="H543" i="6"/>
  <c r="G543" i="6"/>
  <c r="F543" i="6"/>
  <c r="E543" i="6"/>
  <c r="D543" i="6"/>
  <c r="C543" i="6"/>
  <c r="B543" i="6"/>
  <c r="A543" i="6"/>
  <c r="AC542" i="6"/>
  <c r="AB542" i="6"/>
  <c r="AA542" i="6"/>
  <c r="Z542" i="6"/>
  <c r="Y542" i="6"/>
  <c r="X542" i="6"/>
  <c r="W542" i="6"/>
  <c r="V542" i="6"/>
  <c r="U542" i="6"/>
  <c r="T542" i="6"/>
  <c r="S542" i="6"/>
  <c r="R542" i="6"/>
  <c r="Q542" i="6"/>
  <c r="P542" i="6"/>
  <c r="O542" i="6"/>
  <c r="N542" i="6"/>
  <c r="M542" i="6"/>
  <c r="L542" i="6"/>
  <c r="K542" i="6"/>
  <c r="J542" i="6"/>
  <c r="H542" i="6"/>
  <c r="G542" i="6"/>
  <c r="F542" i="6"/>
  <c r="E542" i="6"/>
  <c r="D542" i="6"/>
  <c r="C542" i="6"/>
  <c r="B542" i="6"/>
  <c r="A542" i="6"/>
  <c r="AC541" i="6"/>
  <c r="AB541" i="6"/>
  <c r="AA541" i="6"/>
  <c r="Z541" i="6"/>
  <c r="Y541" i="6"/>
  <c r="X541" i="6"/>
  <c r="W541" i="6"/>
  <c r="V541" i="6"/>
  <c r="U541" i="6"/>
  <c r="T541" i="6"/>
  <c r="S541" i="6"/>
  <c r="R541" i="6"/>
  <c r="Q541" i="6"/>
  <c r="P541" i="6"/>
  <c r="O541" i="6"/>
  <c r="N541" i="6"/>
  <c r="M541" i="6"/>
  <c r="L541" i="6"/>
  <c r="K541" i="6"/>
  <c r="J541" i="6"/>
  <c r="H541" i="6"/>
  <c r="G541" i="6"/>
  <c r="F541" i="6"/>
  <c r="E541" i="6"/>
  <c r="D541" i="6"/>
  <c r="C541" i="6"/>
  <c r="B541" i="6"/>
  <c r="A541" i="6"/>
  <c r="AC540" i="6"/>
  <c r="AB540" i="6"/>
  <c r="AA540" i="6"/>
  <c r="Z540" i="6"/>
  <c r="Y540" i="6"/>
  <c r="X540" i="6"/>
  <c r="W540" i="6"/>
  <c r="V540" i="6"/>
  <c r="U540" i="6"/>
  <c r="T540" i="6"/>
  <c r="S540" i="6"/>
  <c r="R540" i="6"/>
  <c r="Q540" i="6"/>
  <c r="P540" i="6"/>
  <c r="O540" i="6"/>
  <c r="N540" i="6"/>
  <c r="M540" i="6"/>
  <c r="L540" i="6"/>
  <c r="K540" i="6"/>
  <c r="J540" i="6"/>
  <c r="H540" i="6"/>
  <c r="G540" i="6"/>
  <c r="F540" i="6"/>
  <c r="E540" i="6"/>
  <c r="D540" i="6"/>
  <c r="C540" i="6"/>
  <c r="B540" i="6"/>
  <c r="A540" i="6"/>
  <c r="AC539" i="6"/>
  <c r="AB539" i="6"/>
  <c r="AA539" i="6"/>
  <c r="Z539" i="6"/>
  <c r="Y539" i="6"/>
  <c r="X539" i="6"/>
  <c r="W539" i="6"/>
  <c r="V539" i="6"/>
  <c r="U539" i="6"/>
  <c r="T539" i="6"/>
  <c r="S539" i="6"/>
  <c r="R539" i="6"/>
  <c r="Q539" i="6"/>
  <c r="P539" i="6"/>
  <c r="O539" i="6"/>
  <c r="N539" i="6"/>
  <c r="M539" i="6"/>
  <c r="L539" i="6"/>
  <c r="K539" i="6"/>
  <c r="J539" i="6"/>
  <c r="H539" i="6"/>
  <c r="G539" i="6"/>
  <c r="F539" i="6"/>
  <c r="E539" i="6"/>
  <c r="D539" i="6"/>
  <c r="C539" i="6"/>
  <c r="B539" i="6"/>
  <c r="A539" i="6"/>
  <c r="AC538" i="6"/>
  <c r="AB538" i="6"/>
  <c r="AA538" i="6"/>
  <c r="Z538" i="6"/>
  <c r="Y538" i="6"/>
  <c r="X538" i="6"/>
  <c r="W538" i="6"/>
  <c r="V538" i="6"/>
  <c r="U538" i="6"/>
  <c r="T538" i="6"/>
  <c r="S538" i="6"/>
  <c r="R538" i="6"/>
  <c r="Q538" i="6"/>
  <c r="P538" i="6"/>
  <c r="O538" i="6"/>
  <c r="N538" i="6"/>
  <c r="M538" i="6"/>
  <c r="L538" i="6"/>
  <c r="K538" i="6"/>
  <c r="J538" i="6"/>
  <c r="H538" i="6"/>
  <c r="G538" i="6"/>
  <c r="F538" i="6"/>
  <c r="E538" i="6"/>
  <c r="D538" i="6"/>
  <c r="C538" i="6"/>
  <c r="B538" i="6"/>
  <c r="A538" i="6"/>
  <c r="AC537" i="6"/>
  <c r="AB537" i="6"/>
  <c r="AA537" i="6"/>
  <c r="Z537" i="6"/>
  <c r="Y537" i="6"/>
  <c r="X537" i="6"/>
  <c r="W537" i="6"/>
  <c r="V537" i="6"/>
  <c r="U537" i="6"/>
  <c r="T537" i="6"/>
  <c r="S537" i="6"/>
  <c r="R537" i="6"/>
  <c r="Q537" i="6"/>
  <c r="P537" i="6"/>
  <c r="O537" i="6"/>
  <c r="N537" i="6"/>
  <c r="M537" i="6"/>
  <c r="L537" i="6"/>
  <c r="K537" i="6"/>
  <c r="J537" i="6"/>
  <c r="H537" i="6"/>
  <c r="G537" i="6"/>
  <c r="F537" i="6"/>
  <c r="E537" i="6"/>
  <c r="D537" i="6"/>
  <c r="C537" i="6"/>
  <c r="B537" i="6"/>
  <c r="A537" i="6"/>
  <c r="AC536" i="6"/>
  <c r="AB536" i="6"/>
  <c r="AA536" i="6"/>
  <c r="Z536" i="6"/>
  <c r="Y536" i="6"/>
  <c r="X536" i="6"/>
  <c r="W536" i="6"/>
  <c r="V536" i="6"/>
  <c r="U536" i="6"/>
  <c r="T536" i="6"/>
  <c r="S536" i="6"/>
  <c r="R536" i="6"/>
  <c r="Q536" i="6"/>
  <c r="P536" i="6"/>
  <c r="O536" i="6"/>
  <c r="N536" i="6"/>
  <c r="M536" i="6"/>
  <c r="L536" i="6"/>
  <c r="K536" i="6"/>
  <c r="J536" i="6"/>
  <c r="H536" i="6"/>
  <c r="G536" i="6"/>
  <c r="F536" i="6"/>
  <c r="E536" i="6"/>
  <c r="D536" i="6"/>
  <c r="C536" i="6"/>
  <c r="B536" i="6"/>
  <c r="A536" i="6"/>
  <c r="AC535" i="6"/>
  <c r="AB535" i="6"/>
  <c r="AA535" i="6"/>
  <c r="Z535" i="6"/>
  <c r="Y535" i="6"/>
  <c r="X535" i="6"/>
  <c r="W535" i="6"/>
  <c r="V535" i="6"/>
  <c r="U535" i="6"/>
  <c r="T535" i="6"/>
  <c r="S535" i="6"/>
  <c r="R535" i="6"/>
  <c r="Q535" i="6"/>
  <c r="P535" i="6"/>
  <c r="O535" i="6"/>
  <c r="N535" i="6"/>
  <c r="M535" i="6"/>
  <c r="L535" i="6"/>
  <c r="K535" i="6"/>
  <c r="J535" i="6"/>
  <c r="H535" i="6"/>
  <c r="G535" i="6"/>
  <c r="F535" i="6"/>
  <c r="E535" i="6"/>
  <c r="D535" i="6"/>
  <c r="C535" i="6"/>
  <c r="B535" i="6"/>
  <c r="A535" i="6"/>
  <c r="AC534" i="6"/>
  <c r="AB534" i="6"/>
  <c r="AA534" i="6"/>
  <c r="Z534" i="6"/>
  <c r="Y534" i="6"/>
  <c r="X534" i="6"/>
  <c r="W534" i="6"/>
  <c r="V534" i="6"/>
  <c r="U534" i="6"/>
  <c r="T534" i="6"/>
  <c r="S534" i="6"/>
  <c r="R534" i="6"/>
  <c r="Q534" i="6"/>
  <c r="P534" i="6"/>
  <c r="O534" i="6"/>
  <c r="N534" i="6"/>
  <c r="M534" i="6"/>
  <c r="L534" i="6"/>
  <c r="K534" i="6"/>
  <c r="J534" i="6"/>
  <c r="H534" i="6"/>
  <c r="G534" i="6"/>
  <c r="F534" i="6"/>
  <c r="E534" i="6"/>
  <c r="D534" i="6"/>
  <c r="C534" i="6"/>
  <c r="B534" i="6"/>
  <c r="A534" i="6"/>
  <c r="AD533" i="6"/>
  <c r="AC533" i="6"/>
  <c r="AB533" i="6"/>
  <c r="AA533" i="6"/>
  <c r="Z533" i="6"/>
  <c r="Y533" i="6"/>
  <c r="X533" i="6"/>
  <c r="W533" i="6"/>
  <c r="V533" i="6"/>
  <c r="U533" i="6"/>
  <c r="T533" i="6"/>
  <c r="S533" i="6"/>
  <c r="R533" i="6"/>
  <c r="Q533" i="6"/>
  <c r="P533" i="6"/>
  <c r="O533" i="6"/>
  <c r="N533" i="6"/>
  <c r="M533" i="6"/>
  <c r="L533" i="6"/>
  <c r="K533" i="6"/>
  <c r="J533" i="6"/>
  <c r="I533" i="6"/>
  <c r="H533" i="6"/>
  <c r="G533" i="6"/>
  <c r="F533" i="6"/>
  <c r="E533" i="6"/>
  <c r="D533" i="6"/>
  <c r="C533" i="6"/>
  <c r="B533" i="6"/>
  <c r="A533" i="6"/>
  <c r="AD532" i="6"/>
  <c r="AC532" i="6"/>
  <c r="AB532" i="6"/>
  <c r="AA532" i="6"/>
  <c r="Z532" i="6"/>
  <c r="Y532" i="6"/>
  <c r="X532" i="6"/>
  <c r="W532" i="6"/>
  <c r="V532" i="6"/>
  <c r="U532" i="6"/>
  <c r="T532" i="6"/>
  <c r="S532" i="6"/>
  <c r="R532" i="6"/>
  <c r="Q532" i="6"/>
  <c r="P532" i="6"/>
  <c r="O532" i="6"/>
  <c r="N532" i="6"/>
  <c r="M532" i="6"/>
  <c r="L532" i="6"/>
  <c r="K532" i="6"/>
  <c r="J532" i="6"/>
  <c r="I532" i="6"/>
  <c r="H532" i="6"/>
  <c r="G532" i="6"/>
  <c r="F532" i="6"/>
  <c r="E532" i="6"/>
  <c r="D532" i="6"/>
  <c r="C532" i="6"/>
  <c r="B532" i="6"/>
  <c r="A532" i="6"/>
  <c r="AD531" i="6"/>
  <c r="AC531" i="6"/>
  <c r="AB531" i="6"/>
  <c r="AA531" i="6"/>
  <c r="Z531" i="6"/>
  <c r="Y531" i="6"/>
  <c r="X531" i="6"/>
  <c r="W531" i="6"/>
  <c r="V531" i="6"/>
  <c r="U531" i="6"/>
  <c r="T531" i="6"/>
  <c r="S531" i="6"/>
  <c r="R531" i="6"/>
  <c r="Q531" i="6"/>
  <c r="P531" i="6"/>
  <c r="O531" i="6"/>
  <c r="N531" i="6"/>
  <c r="M531" i="6"/>
  <c r="L531" i="6"/>
  <c r="K531" i="6"/>
  <c r="J531" i="6"/>
  <c r="I531" i="6"/>
  <c r="H531" i="6"/>
  <c r="G531" i="6"/>
  <c r="F531" i="6"/>
  <c r="E531" i="6"/>
  <c r="D531" i="6"/>
  <c r="C531" i="6"/>
  <c r="B531" i="6"/>
  <c r="A531" i="6"/>
  <c r="AC530" i="6"/>
  <c r="AB530" i="6"/>
  <c r="AA530" i="6"/>
  <c r="Z530" i="6"/>
  <c r="Y530" i="6"/>
  <c r="X530" i="6"/>
  <c r="W530" i="6"/>
  <c r="V530" i="6"/>
  <c r="U530" i="6"/>
  <c r="T530" i="6"/>
  <c r="S530" i="6"/>
  <c r="R530" i="6"/>
  <c r="Q530" i="6"/>
  <c r="P530" i="6"/>
  <c r="O530" i="6"/>
  <c r="N530" i="6"/>
  <c r="M530" i="6"/>
  <c r="L530" i="6"/>
  <c r="K530" i="6"/>
  <c r="J530" i="6"/>
  <c r="H530" i="6"/>
  <c r="G530" i="6"/>
  <c r="F530" i="6"/>
  <c r="E530" i="6"/>
  <c r="D530" i="6"/>
  <c r="C530" i="6"/>
  <c r="B530" i="6"/>
  <c r="A530" i="6"/>
  <c r="AC529" i="6"/>
  <c r="AB529" i="6"/>
  <c r="AA529" i="6"/>
  <c r="Z529" i="6"/>
  <c r="Y529" i="6"/>
  <c r="X529" i="6"/>
  <c r="W529" i="6"/>
  <c r="V529" i="6"/>
  <c r="U529" i="6"/>
  <c r="T529" i="6"/>
  <c r="S529" i="6"/>
  <c r="R529" i="6"/>
  <c r="Q529" i="6"/>
  <c r="P529" i="6"/>
  <c r="O529" i="6"/>
  <c r="N529" i="6"/>
  <c r="M529" i="6"/>
  <c r="L529" i="6"/>
  <c r="K529" i="6"/>
  <c r="J529" i="6"/>
  <c r="H529" i="6"/>
  <c r="G529" i="6"/>
  <c r="F529" i="6"/>
  <c r="E529" i="6"/>
  <c r="D529" i="6"/>
  <c r="C529" i="6"/>
  <c r="B529" i="6"/>
  <c r="A529" i="6"/>
  <c r="AD528" i="6"/>
  <c r="AC528" i="6"/>
  <c r="AB528" i="6"/>
  <c r="AA528" i="6"/>
  <c r="Z528" i="6"/>
  <c r="Y528" i="6"/>
  <c r="X528" i="6"/>
  <c r="W528" i="6"/>
  <c r="V528" i="6"/>
  <c r="U528" i="6"/>
  <c r="T528" i="6"/>
  <c r="S528" i="6"/>
  <c r="R528" i="6"/>
  <c r="Q528" i="6"/>
  <c r="P528" i="6"/>
  <c r="O528" i="6"/>
  <c r="N528" i="6"/>
  <c r="M528" i="6"/>
  <c r="L528" i="6"/>
  <c r="K528" i="6"/>
  <c r="J528" i="6"/>
  <c r="I528" i="6"/>
  <c r="H528" i="6"/>
  <c r="G528" i="6"/>
  <c r="F528" i="6"/>
  <c r="E528" i="6"/>
  <c r="D528" i="6"/>
  <c r="C528" i="6"/>
  <c r="B528" i="6"/>
  <c r="A528" i="6"/>
  <c r="AD527" i="6"/>
  <c r="AC527" i="6"/>
  <c r="AB527" i="6"/>
  <c r="AA527" i="6"/>
  <c r="Z527" i="6"/>
  <c r="Y527" i="6"/>
  <c r="X527" i="6"/>
  <c r="W527" i="6"/>
  <c r="V527" i="6"/>
  <c r="U527" i="6"/>
  <c r="T527" i="6"/>
  <c r="S527" i="6"/>
  <c r="R527" i="6"/>
  <c r="Q527" i="6"/>
  <c r="P527" i="6"/>
  <c r="O527" i="6"/>
  <c r="N527" i="6"/>
  <c r="M527" i="6"/>
  <c r="L527" i="6"/>
  <c r="K527" i="6"/>
  <c r="J527" i="6"/>
  <c r="I527" i="6"/>
  <c r="H527" i="6"/>
  <c r="G527" i="6"/>
  <c r="F527" i="6"/>
  <c r="E527" i="6"/>
  <c r="D527" i="6"/>
  <c r="C527" i="6"/>
  <c r="B527" i="6"/>
  <c r="A527" i="6"/>
  <c r="AD526" i="6"/>
  <c r="AC526" i="6"/>
  <c r="AB526" i="6"/>
  <c r="AA526" i="6"/>
  <c r="Z526" i="6"/>
  <c r="Y526" i="6"/>
  <c r="X526" i="6"/>
  <c r="W526" i="6"/>
  <c r="V526" i="6"/>
  <c r="U526" i="6"/>
  <c r="T526" i="6"/>
  <c r="S526" i="6"/>
  <c r="R526" i="6"/>
  <c r="Q526" i="6"/>
  <c r="P526" i="6"/>
  <c r="O526" i="6"/>
  <c r="N526" i="6"/>
  <c r="M526" i="6"/>
  <c r="L526" i="6"/>
  <c r="K526" i="6"/>
  <c r="J526" i="6"/>
  <c r="I526" i="6"/>
  <c r="H526" i="6"/>
  <c r="G526" i="6"/>
  <c r="F526" i="6"/>
  <c r="E526" i="6"/>
  <c r="D526" i="6"/>
  <c r="C526" i="6"/>
  <c r="B526" i="6"/>
  <c r="A526" i="6"/>
  <c r="AC525" i="6"/>
  <c r="AB525" i="6"/>
  <c r="AA525" i="6"/>
  <c r="Z525" i="6"/>
  <c r="Y525" i="6"/>
  <c r="X525" i="6"/>
  <c r="W525" i="6"/>
  <c r="V525" i="6"/>
  <c r="U525" i="6"/>
  <c r="T525" i="6"/>
  <c r="S525" i="6"/>
  <c r="R525" i="6"/>
  <c r="Q525" i="6"/>
  <c r="P525" i="6"/>
  <c r="O525" i="6"/>
  <c r="N525" i="6"/>
  <c r="M525" i="6"/>
  <c r="L525" i="6"/>
  <c r="K525" i="6"/>
  <c r="J525" i="6"/>
  <c r="H525" i="6"/>
  <c r="G525" i="6"/>
  <c r="F525" i="6"/>
  <c r="E525" i="6"/>
  <c r="D525" i="6"/>
  <c r="C525" i="6"/>
  <c r="B525" i="6"/>
  <c r="A525" i="6"/>
  <c r="AD524" i="6"/>
  <c r="AC524" i="6"/>
  <c r="AB524" i="6"/>
  <c r="AA524" i="6"/>
  <c r="Z524" i="6"/>
  <c r="Y524" i="6"/>
  <c r="X524" i="6"/>
  <c r="W524" i="6"/>
  <c r="V524" i="6"/>
  <c r="U524" i="6"/>
  <c r="T524" i="6"/>
  <c r="S524" i="6"/>
  <c r="R524" i="6"/>
  <c r="Q524" i="6"/>
  <c r="P524" i="6"/>
  <c r="O524" i="6"/>
  <c r="N524" i="6"/>
  <c r="M524" i="6"/>
  <c r="L524" i="6"/>
  <c r="K524" i="6"/>
  <c r="J524" i="6"/>
  <c r="I524" i="6"/>
  <c r="H524" i="6"/>
  <c r="G524" i="6"/>
  <c r="F524" i="6"/>
  <c r="E524" i="6"/>
  <c r="D524" i="6"/>
  <c r="C524" i="6"/>
  <c r="B524" i="6"/>
  <c r="A524" i="6"/>
  <c r="AD523" i="6"/>
  <c r="AC523" i="6"/>
  <c r="AB523" i="6"/>
  <c r="AA523" i="6"/>
  <c r="Z523" i="6"/>
  <c r="Y523" i="6"/>
  <c r="X523" i="6"/>
  <c r="W523" i="6"/>
  <c r="V523" i="6"/>
  <c r="U523" i="6"/>
  <c r="T523" i="6"/>
  <c r="S523" i="6"/>
  <c r="R523" i="6"/>
  <c r="Q523" i="6"/>
  <c r="P523" i="6"/>
  <c r="O523" i="6"/>
  <c r="N523" i="6"/>
  <c r="M523" i="6"/>
  <c r="L523" i="6"/>
  <c r="K523" i="6"/>
  <c r="J523" i="6"/>
  <c r="I523" i="6"/>
  <c r="H523" i="6"/>
  <c r="G523" i="6"/>
  <c r="F523" i="6"/>
  <c r="E523" i="6"/>
  <c r="D523" i="6"/>
  <c r="C523" i="6"/>
  <c r="B523" i="6"/>
  <c r="A523" i="6"/>
  <c r="AC522" i="6"/>
  <c r="AB522" i="6"/>
  <c r="AA522" i="6"/>
  <c r="Z522" i="6"/>
  <c r="Y522" i="6"/>
  <c r="X522" i="6"/>
  <c r="W522" i="6"/>
  <c r="V522" i="6"/>
  <c r="U522" i="6"/>
  <c r="T522" i="6"/>
  <c r="S522" i="6"/>
  <c r="R522" i="6"/>
  <c r="Q522" i="6"/>
  <c r="P522" i="6"/>
  <c r="O522" i="6"/>
  <c r="N522" i="6"/>
  <c r="M522" i="6"/>
  <c r="L522" i="6"/>
  <c r="K522" i="6"/>
  <c r="J522" i="6"/>
  <c r="H522" i="6"/>
  <c r="G522" i="6"/>
  <c r="F522" i="6"/>
  <c r="E522" i="6"/>
  <c r="D522" i="6"/>
  <c r="C522" i="6"/>
  <c r="B522" i="6"/>
  <c r="A522" i="6"/>
  <c r="AD521" i="6"/>
  <c r="AC521" i="6"/>
  <c r="AB521" i="6"/>
  <c r="AA521" i="6"/>
  <c r="Z521" i="6"/>
  <c r="Y521" i="6"/>
  <c r="X521" i="6"/>
  <c r="W521" i="6"/>
  <c r="V521" i="6"/>
  <c r="U521" i="6"/>
  <c r="T521" i="6"/>
  <c r="S521" i="6"/>
  <c r="R521" i="6"/>
  <c r="Q521" i="6"/>
  <c r="P521" i="6"/>
  <c r="O521" i="6"/>
  <c r="N521" i="6"/>
  <c r="M521" i="6"/>
  <c r="L521" i="6"/>
  <c r="K521" i="6"/>
  <c r="J521" i="6"/>
  <c r="I521" i="6"/>
  <c r="H521" i="6"/>
  <c r="G521" i="6"/>
  <c r="F521" i="6"/>
  <c r="E521" i="6"/>
  <c r="D521" i="6"/>
  <c r="C521" i="6"/>
  <c r="B521" i="6"/>
  <c r="A521" i="6"/>
  <c r="AD520" i="6"/>
  <c r="AC520" i="6"/>
  <c r="AB520" i="6"/>
  <c r="AA520" i="6"/>
  <c r="Z520" i="6"/>
  <c r="Y520" i="6"/>
  <c r="X520" i="6"/>
  <c r="W520" i="6"/>
  <c r="V520" i="6"/>
  <c r="U520" i="6"/>
  <c r="T520" i="6"/>
  <c r="S520" i="6"/>
  <c r="R520" i="6"/>
  <c r="Q520" i="6"/>
  <c r="P520" i="6"/>
  <c r="O520" i="6"/>
  <c r="N520" i="6"/>
  <c r="M520" i="6"/>
  <c r="L520" i="6"/>
  <c r="K520" i="6"/>
  <c r="J520" i="6"/>
  <c r="I520" i="6"/>
  <c r="H520" i="6"/>
  <c r="G520" i="6"/>
  <c r="F520" i="6"/>
  <c r="E520" i="6"/>
  <c r="D520" i="6"/>
  <c r="C520" i="6"/>
  <c r="B520" i="6"/>
  <c r="A520" i="6"/>
  <c r="AD519" i="6"/>
  <c r="AC519" i="6"/>
  <c r="AB519" i="6"/>
  <c r="AA519" i="6"/>
  <c r="Z519" i="6"/>
  <c r="Y519" i="6"/>
  <c r="X519" i="6"/>
  <c r="W519" i="6"/>
  <c r="V519" i="6"/>
  <c r="U519" i="6"/>
  <c r="T519" i="6"/>
  <c r="S519" i="6"/>
  <c r="R519" i="6"/>
  <c r="Q519" i="6"/>
  <c r="P519" i="6"/>
  <c r="O519" i="6"/>
  <c r="N519" i="6"/>
  <c r="M519" i="6"/>
  <c r="L519" i="6"/>
  <c r="K519" i="6"/>
  <c r="J519" i="6"/>
  <c r="I519" i="6"/>
  <c r="H519" i="6"/>
  <c r="G519" i="6"/>
  <c r="F519" i="6"/>
  <c r="E519" i="6"/>
  <c r="D519" i="6"/>
  <c r="C519" i="6"/>
  <c r="B519" i="6"/>
  <c r="A519" i="6"/>
  <c r="AD518" i="6"/>
  <c r="AC518" i="6"/>
  <c r="AB518" i="6"/>
  <c r="AA518" i="6"/>
  <c r="Z518" i="6"/>
  <c r="Y518" i="6"/>
  <c r="X518" i="6"/>
  <c r="W518" i="6"/>
  <c r="V518" i="6"/>
  <c r="U518" i="6"/>
  <c r="T518" i="6"/>
  <c r="S518" i="6"/>
  <c r="R518" i="6"/>
  <c r="Q518" i="6"/>
  <c r="P518" i="6"/>
  <c r="O518" i="6"/>
  <c r="N518" i="6"/>
  <c r="M518" i="6"/>
  <c r="L518" i="6"/>
  <c r="K518" i="6"/>
  <c r="J518" i="6"/>
  <c r="I518" i="6"/>
  <c r="H518" i="6"/>
  <c r="G518" i="6"/>
  <c r="F518" i="6"/>
  <c r="E518" i="6"/>
  <c r="D518" i="6"/>
  <c r="C518" i="6"/>
  <c r="B518" i="6"/>
  <c r="A518" i="6"/>
  <c r="AD517" i="6"/>
  <c r="AC517" i="6"/>
  <c r="AB517" i="6"/>
  <c r="AA517" i="6"/>
  <c r="Z517" i="6"/>
  <c r="Y517" i="6"/>
  <c r="X517" i="6"/>
  <c r="W517" i="6"/>
  <c r="V517" i="6"/>
  <c r="U517" i="6"/>
  <c r="T517" i="6"/>
  <c r="S517" i="6"/>
  <c r="R517" i="6"/>
  <c r="Q517" i="6"/>
  <c r="P517" i="6"/>
  <c r="O517" i="6"/>
  <c r="N517" i="6"/>
  <c r="M517" i="6"/>
  <c r="L517" i="6"/>
  <c r="K517" i="6"/>
  <c r="J517" i="6"/>
  <c r="I517" i="6"/>
  <c r="H517" i="6"/>
  <c r="G517" i="6"/>
  <c r="F517" i="6"/>
  <c r="E517" i="6"/>
  <c r="D517" i="6"/>
  <c r="C517" i="6"/>
  <c r="B517" i="6"/>
  <c r="A517" i="6"/>
  <c r="AC516" i="6"/>
  <c r="AB516" i="6"/>
  <c r="AA516" i="6"/>
  <c r="Z516" i="6"/>
  <c r="Y516" i="6"/>
  <c r="X516" i="6"/>
  <c r="W516" i="6"/>
  <c r="V516" i="6"/>
  <c r="U516" i="6"/>
  <c r="T516" i="6"/>
  <c r="S516" i="6"/>
  <c r="R516" i="6"/>
  <c r="Q516" i="6"/>
  <c r="P516" i="6"/>
  <c r="O516" i="6"/>
  <c r="N516" i="6"/>
  <c r="M516" i="6"/>
  <c r="L516" i="6"/>
  <c r="K516" i="6"/>
  <c r="J516" i="6"/>
  <c r="H516" i="6"/>
  <c r="G516" i="6"/>
  <c r="F516" i="6"/>
  <c r="E516" i="6"/>
  <c r="D516" i="6"/>
  <c r="C516" i="6"/>
  <c r="B516" i="6"/>
  <c r="A516" i="6"/>
  <c r="AC515" i="6"/>
  <c r="AB515" i="6"/>
  <c r="AA515" i="6"/>
  <c r="Z515" i="6"/>
  <c r="Y515" i="6"/>
  <c r="X515" i="6"/>
  <c r="W515" i="6"/>
  <c r="V515" i="6"/>
  <c r="U515" i="6"/>
  <c r="T515" i="6"/>
  <c r="S515" i="6"/>
  <c r="R515" i="6"/>
  <c r="Q515" i="6"/>
  <c r="P515" i="6"/>
  <c r="O515" i="6"/>
  <c r="N515" i="6"/>
  <c r="M515" i="6"/>
  <c r="L515" i="6"/>
  <c r="K515" i="6"/>
  <c r="J515" i="6"/>
  <c r="H515" i="6"/>
  <c r="G515" i="6"/>
  <c r="F515" i="6"/>
  <c r="E515" i="6"/>
  <c r="D515" i="6"/>
  <c r="C515" i="6"/>
  <c r="B515" i="6"/>
  <c r="A515" i="6"/>
  <c r="AD514" i="6"/>
  <c r="AC514" i="6"/>
  <c r="AB514" i="6"/>
  <c r="AA514" i="6"/>
  <c r="Z514" i="6"/>
  <c r="Y514" i="6"/>
  <c r="X514" i="6"/>
  <c r="W514" i="6"/>
  <c r="V514" i="6"/>
  <c r="U514" i="6"/>
  <c r="T514" i="6"/>
  <c r="S514" i="6"/>
  <c r="R514" i="6"/>
  <c r="Q514" i="6"/>
  <c r="P514" i="6"/>
  <c r="O514" i="6"/>
  <c r="N514" i="6"/>
  <c r="M514" i="6"/>
  <c r="L514" i="6"/>
  <c r="K514" i="6"/>
  <c r="J514" i="6"/>
  <c r="I514" i="6"/>
  <c r="H514" i="6"/>
  <c r="G514" i="6"/>
  <c r="F514" i="6"/>
  <c r="E514" i="6"/>
  <c r="D514" i="6"/>
  <c r="C514" i="6"/>
  <c r="B514" i="6"/>
  <c r="A514" i="6"/>
  <c r="AD513" i="6"/>
  <c r="AC513" i="6"/>
  <c r="AB513" i="6"/>
  <c r="AA513" i="6"/>
  <c r="Z513" i="6"/>
  <c r="Y513" i="6"/>
  <c r="X513" i="6"/>
  <c r="W513" i="6"/>
  <c r="V513" i="6"/>
  <c r="U513" i="6"/>
  <c r="T513" i="6"/>
  <c r="S513" i="6"/>
  <c r="R513" i="6"/>
  <c r="Q513" i="6"/>
  <c r="P513" i="6"/>
  <c r="O513" i="6"/>
  <c r="N513" i="6"/>
  <c r="M513" i="6"/>
  <c r="L513" i="6"/>
  <c r="K513" i="6"/>
  <c r="J513" i="6"/>
  <c r="I513" i="6"/>
  <c r="H513" i="6"/>
  <c r="G513" i="6"/>
  <c r="F513" i="6"/>
  <c r="E513" i="6"/>
  <c r="D513" i="6"/>
  <c r="C513" i="6"/>
  <c r="B513" i="6"/>
  <c r="A513" i="6"/>
  <c r="AD512" i="6"/>
  <c r="AC512" i="6"/>
  <c r="AB512" i="6"/>
  <c r="AA512" i="6"/>
  <c r="Z512" i="6"/>
  <c r="Y512" i="6"/>
  <c r="X512" i="6"/>
  <c r="W512" i="6"/>
  <c r="V512" i="6"/>
  <c r="U512" i="6"/>
  <c r="T512" i="6"/>
  <c r="S512" i="6"/>
  <c r="R512" i="6"/>
  <c r="Q512" i="6"/>
  <c r="P512" i="6"/>
  <c r="O512" i="6"/>
  <c r="N512" i="6"/>
  <c r="M512" i="6"/>
  <c r="L512" i="6"/>
  <c r="K512" i="6"/>
  <c r="J512" i="6"/>
  <c r="I512" i="6"/>
  <c r="H512" i="6"/>
  <c r="G512" i="6"/>
  <c r="F512" i="6"/>
  <c r="E512" i="6"/>
  <c r="D512" i="6"/>
  <c r="C512" i="6"/>
  <c r="B512" i="6"/>
  <c r="A512" i="6"/>
  <c r="AD511" i="6"/>
  <c r="AC511" i="6"/>
  <c r="AB511" i="6"/>
  <c r="AA511" i="6"/>
  <c r="Z511" i="6"/>
  <c r="Y511" i="6"/>
  <c r="X511" i="6"/>
  <c r="W511" i="6"/>
  <c r="V511" i="6"/>
  <c r="U511" i="6"/>
  <c r="T511" i="6"/>
  <c r="S511" i="6"/>
  <c r="R511" i="6"/>
  <c r="Q511" i="6"/>
  <c r="P511" i="6"/>
  <c r="O511" i="6"/>
  <c r="N511" i="6"/>
  <c r="M511" i="6"/>
  <c r="L511" i="6"/>
  <c r="K511" i="6"/>
  <c r="J511" i="6"/>
  <c r="I511" i="6"/>
  <c r="H511" i="6"/>
  <c r="G511" i="6"/>
  <c r="F511" i="6"/>
  <c r="E511" i="6"/>
  <c r="D511" i="6"/>
  <c r="C511" i="6"/>
  <c r="B511" i="6"/>
  <c r="A511" i="6"/>
  <c r="AD510" i="6"/>
  <c r="AC510" i="6"/>
  <c r="AB510" i="6"/>
  <c r="AA510" i="6"/>
  <c r="Z510" i="6"/>
  <c r="Y510" i="6"/>
  <c r="X510" i="6"/>
  <c r="W510" i="6"/>
  <c r="V510" i="6"/>
  <c r="U510" i="6"/>
  <c r="T510" i="6"/>
  <c r="S510" i="6"/>
  <c r="R510" i="6"/>
  <c r="Q510" i="6"/>
  <c r="P510" i="6"/>
  <c r="O510" i="6"/>
  <c r="N510" i="6"/>
  <c r="M510" i="6"/>
  <c r="L510" i="6"/>
  <c r="K510" i="6"/>
  <c r="J510" i="6"/>
  <c r="I510" i="6"/>
  <c r="H510" i="6"/>
  <c r="G510" i="6"/>
  <c r="F510" i="6"/>
  <c r="E510" i="6"/>
  <c r="D510" i="6"/>
  <c r="C510" i="6"/>
  <c r="B510" i="6"/>
  <c r="A510" i="6"/>
  <c r="AD509" i="6"/>
  <c r="AC509" i="6"/>
  <c r="AB509" i="6"/>
  <c r="AA509" i="6"/>
  <c r="Z509" i="6"/>
  <c r="Y509" i="6"/>
  <c r="X509" i="6"/>
  <c r="W509" i="6"/>
  <c r="V509" i="6"/>
  <c r="U509" i="6"/>
  <c r="T509" i="6"/>
  <c r="S509" i="6"/>
  <c r="R509" i="6"/>
  <c r="Q509" i="6"/>
  <c r="P509" i="6"/>
  <c r="O509" i="6"/>
  <c r="N509" i="6"/>
  <c r="M509" i="6"/>
  <c r="L509" i="6"/>
  <c r="K509" i="6"/>
  <c r="J509" i="6"/>
  <c r="I509" i="6"/>
  <c r="H509" i="6"/>
  <c r="G509" i="6"/>
  <c r="F509" i="6"/>
  <c r="E509" i="6"/>
  <c r="D509" i="6"/>
  <c r="C509" i="6"/>
  <c r="B509" i="6"/>
  <c r="A509" i="6"/>
  <c r="AD508" i="6"/>
  <c r="AC508" i="6"/>
  <c r="AB508" i="6"/>
  <c r="AA508" i="6"/>
  <c r="Z508" i="6"/>
  <c r="Y508" i="6"/>
  <c r="X508" i="6"/>
  <c r="W508" i="6"/>
  <c r="V508" i="6"/>
  <c r="U508" i="6"/>
  <c r="T508" i="6"/>
  <c r="S508" i="6"/>
  <c r="R508" i="6"/>
  <c r="Q508" i="6"/>
  <c r="P508" i="6"/>
  <c r="O508" i="6"/>
  <c r="N508" i="6"/>
  <c r="M508" i="6"/>
  <c r="L508" i="6"/>
  <c r="K508" i="6"/>
  <c r="J508" i="6"/>
  <c r="I508" i="6"/>
  <c r="H508" i="6"/>
  <c r="G508" i="6"/>
  <c r="F508" i="6"/>
  <c r="E508" i="6"/>
  <c r="D508" i="6"/>
  <c r="C508" i="6"/>
  <c r="B508" i="6"/>
  <c r="A508" i="6"/>
  <c r="AD507" i="6"/>
  <c r="AC507" i="6"/>
  <c r="AB507" i="6"/>
  <c r="AA507" i="6"/>
  <c r="Z507" i="6"/>
  <c r="Y507" i="6"/>
  <c r="X507" i="6"/>
  <c r="W507" i="6"/>
  <c r="V507" i="6"/>
  <c r="U507" i="6"/>
  <c r="T507" i="6"/>
  <c r="S507" i="6"/>
  <c r="R507" i="6"/>
  <c r="Q507" i="6"/>
  <c r="P507" i="6"/>
  <c r="O507" i="6"/>
  <c r="N507" i="6"/>
  <c r="M507" i="6"/>
  <c r="L507" i="6"/>
  <c r="K507" i="6"/>
  <c r="J507" i="6"/>
  <c r="I507" i="6"/>
  <c r="H507" i="6"/>
  <c r="G507" i="6"/>
  <c r="F507" i="6"/>
  <c r="E507" i="6"/>
  <c r="D507" i="6"/>
  <c r="C507" i="6"/>
  <c r="B507" i="6"/>
  <c r="A507" i="6"/>
  <c r="AD506" i="6"/>
  <c r="AC506" i="6"/>
  <c r="AB506" i="6"/>
  <c r="AA506" i="6"/>
  <c r="Z506" i="6"/>
  <c r="Y506" i="6"/>
  <c r="X506" i="6"/>
  <c r="W506" i="6"/>
  <c r="V506" i="6"/>
  <c r="U506" i="6"/>
  <c r="T506" i="6"/>
  <c r="S506" i="6"/>
  <c r="R506" i="6"/>
  <c r="Q506" i="6"/>
  <c r="P506" i="6"/>
  <c r="O506" i="6"/>
  <c r="N506" i="6"/>
  <c r="M506" i="6"/>
  <c r="L506" i="6"/>
  <c r="K506" i="6"/>
  <c r="J506" i="6"/>
  <c r="I506" i="6"/>
  <c r="H506" i="6"/>
  <c r="G506" i="6"/>
  <c r="F506" i="6"/>
  <c r="E506" i="6"/>
  <c r="D506" i="6"/>
  <c r="C506" i="6"/>
  <c r="B506" i="6"/>
  <c r="A506" i="6"/>
  <c r="AD505" i="6"/>
  <c r="AC505" i="6"/>
  <c r="AB505" i="6"/>
  <c r="AA505" i="6"/>
  <c r="Z505" i="6"/>
  <c r="Y505" i="6"/>
  <c r="X505" i="6"/>
  <c r="W505" i="6"/>
  <c r="V505" i="6"/>
  <c r="U505" i="6"/>
  <c r="T505" i="6"/>
  <c r="S505" i="6"/>
  <c r="R505" i="6"/>
  <c r="Q505" i="6"/>
  <c r="P505" i="6"/>
  <c r="O505" i="6"/>
  <c r="N505" i="6"/>
  <c r="M505" i="6"/>
  <c r="L505" i="6"/>
  <c r="K505" i="6"/>
  <c r="J505" i="6"/>
  <c r="I505" i="6"/>
  <c r="H505" i="6"/>
  <c r="G505" i="6"/>
  <c r="F505" i="6"/>
  <c r="E505" i="6"/>
  <c r="D505" i="6"/>
  <c r="C505" i="6"/>
  <c r="B505" i="6"/>
  <c r="A505" i="6"/>
  <c r="AD504" i="6"/>
  <c r="AC504" i="6"/>
  <c r="AB504" i="6"/>
  <c r="AA504" i="6"/>
  <c r="Z504" i="6"/>
  <c r="Y504" i="6"/>
  <c r="X504" i="6"/>
  <c r="W504" i="6"/>
  <c r="V504" i="6"/>
  <c r="U504" i="6"/>
  <c r="T504" i="6"/>
  <c r="S504" i="6"/>
  <c r="R504" i="6"/>
  <c r="Q504" i="6"/>
  <c r="P504" i="6"/>
  <c r="O504" i="6"/>
  <c r="N504" i="6"/>
  <c r="M504" i="6"/>
  <c r="L504" i="6"/>
  <c r="K504" i="6"/>
  <c r="J504" i="6"/>
  <c r="I504" i="6"/>
  <c r="H504" i="6"/>
  <c r="G504" i="6"/>
  <c r="F504" i="6"/>
  <c r="E504" i="6"/>
  <c r="D504" i="6"/>
  <c r="C504" i="6"/>
  <c r="B504" i="6"/>
  <c r="A504" i="6"/>
  <c r="AD503" i="6"/>
  <c r="AC503" i="6"/>
  <c r="AB503" i="6"/>
  <c r="AA503" i="6"/>
  <c r="Z503" i="6"/>
  <c r="Y503" i="6"/>
  <c r="X503" i="6"/>
  <c r="W503" i="6"/>
  <c r="V503" i="6"/>
  <c r="U503" i="6"/>
  <c r="T503" i="6"/>
  <c r="S503" i="6"/>
  <c r="R503" i="6"/>
  <c r="Q503" i="6"/>
  <c r="P503" i="6"/>
  <c r="O503" i="6"/>
  <c r="N503" i="6"/>
  <c r="M503" i="6"/>
  <c r="L503" i="6"/>
  <c r="K503" i="6"/>
  <c r="J503" i="6"/>
  <c r="I503" i="6"/>
  <c r="H503" i="6"/>
  <c r="G503" i="6"/>
  <c r="F503" i="6"/>
  <c r="E503" i="6"/>
  <c r="D503" i="6"/>
  <c r="C503" i="6"/>
  <c r="B503" i="6"/>
  <c r="A503" i="6"/>
  <c r="AD502" i="6"/>
  <c r="AC502" i="6"/>
  <c r="AB502" i="6"/>
  <c r="AA502" i="6"/>
  <c r="Z502" i="6"/>
  <c r="Y502" i="6"/>
  <c r="X502" i="6"/>
  <c r="W502" i="6"/>
  <c r="V502" i="6"/>
  <c r="U502" i="6"/>
  <c r="T502" i="6"/>
  <c r="S502" i="6"/>
  <c r="R502" i="6"/>
  <c r="Q502" i="6"/>
  <c r="P502" i="6"/>
  <c r="O502" i="6"/>
  <c r="N502" i="6"/>
  <c r="M502" i="6"/>
  <c r="L502" i="6"/>
  <c r="K502" i="6"/>
  <c r="J502" i="6"/>
  <c r="I502" i="6"/>
  <c r="H502" i="6"/>
  <c r="G502" i="6"/>
  <c r="F502" i="6"/>
  <c r="E502" i="6"/>
  <c r="D502" i="6"/>
  <c r="C502" i="6"/>
  <c r="B502" i="6"/>
  <c r="A502" i="6"/>
  <c r="AC501" i="6"/>
  <c r="AB501" i="6"/>
  <c r="AA501" i="6"/>
  <c r="Z501" i="6"/>
  <c r="Y501" i="6"/>
  <c r="X501" i="6"/>
  <c r="W501" i="6"/>
  <c r="V501" i="6"/>
  <c r="U501" i="6"/>
  <c r="T501" i="6"/>
  <c r="S501" i="6"/>
  <c r="R501" i="6"/>
  <c r="Q501" i="6"/>
  <c r="P501" i="6"/>
  <c r="O501" i="6"/>
  <c r="N501" i="6"/>
  <c r="M501" i="6"/>
  <c r="L501" i="6"/>
  <c r="K501" i="6"/>
  <c r="J501" i="6"/>
  <c r="H501" i="6"/>
  <c r="G501" i="6"/>
  <c r="F501" i="6"/>
  <c r="E501" i="6"/>
  <c r="D501" i="6"/>
  <c r="C501" i="6"/>
  <c r="B501" i="6"/>
  <c r="A501" i="6"/>
  <c r="AC500" i="6"/>
  <c r="AB500" i="6"/>
  <c r="AA500" i="6"/>
  <c r="Z500" i="6"/>
  <c r="Y500" i="6"/>
  <c r="X500" i="6"/>
  <c r="W500" i="6"/>
  <c r="V500" i="6"/>
  <c r="U500" i="6"/>
  <c r="T500" i="6"/>
  <c r="S500" i="6"/>
  <c r="R500" i="6"/>
  <c r="Q500" i="6"/>
  <c r="P500" i="6"/>
  <c r="O500" i="6"/>
  <c r="N500" i="6"/>
  <c r="M500" i="6"/>
  <c r="L500" i="6"/>
  <c r="K500" i="6"/>
  <c r="J500" i="6"/>
  <c r="H500" i="6"/>
  <c r="G500" i="6"/>
  <c r="F500" i="6"/>
  <c r="E500" i="6"/>
  <c r="D500" i="6"/>
  <c r="C500" i="6"/>
  <c r="B500" i="6"/>
  <c r="A500" i="6"/>
  <c r="AC499" i="6"/>
  <c r="AB499" i="6"/>
  <c r="AA499" i="6"/>
  <c r="Z499" i="6"/>
  <c r="Y499" i="6"/>
  <c r="X499" i="6"/>
  <c r="W499" i="6"/>
  <c r="V499" i="6"/>
  <c r="U499" i="6"/>
  <c r="T499" i="6"/>
  <c r="S499" i="6"/>
  <c r="R499" i="6"/>
  <c r="Q499" i="6"/>
  <c r="P499" i="6"/>
  <c r="O499" i="6"/>
  <c r="N499" i="6"/>
  <c r="M499" i="6"/>
  <c r="L499" i="6"/>
  <c r="K499" i="6"/>
  <c r="J499" i="6"/>
  <c r="H499" i="6"/>
  <c r="G499" i="6"/>
  <c r="F499" i="6"/>
  <c r="E499" i="6"/>
  <c r="D499" i="6"/>
  <c r="C499" i="6"/>
  <c r="B499" i="6"/>
  <c r="A499" i="6"/>
  <c r="AC498" i="6"/>
  <c r="AB498" i="6"/>
  <c r="AA498" i="6"/>
  <c r="Z498" i="6"/>
  <c r="Y498" i="6"/>
  <c r="X498" i="6"/>
  <c r="W498" i="6"/>
  <c r="V498" i="6"/>
  <c r="U498" i="6"/>
  <c r="T498" i="6"/>
  <c r="S498" i="6"/>
  <c r="R498" i="6"/>
  <c r="Q498" i="6"/>
  <c r="P498" i="6"/>
  <c r="O498" i="6"/>
  <c r="N498" i="6"/>
  <c r="M498" i="6"/>
  <c r="L498" i="6"/>
  <c r="K498" i="6"/>
  <c r="J498" i="6"/>
  <c r="H498" i="6"/>
  <c r="G498" i="6"/>
  <c r="F498" i="6"/>
  <c r="E498" i="6"/>
  <c r="D498" i="6"/>
  <c r="C498" i="6"/>
  <c r="B498" i="6"/>
  <c r="A498" i="6"/>
  <c r="AC497" i="6"/>
  <c r="AB497" i="6"/>
  <c r="AA497" i="6"/>
  <c r="Z497" i="6"/>
  <c r="Y497" i="6"/>
  <c r="X497" i="6"/>
  <c r="W497" i="6"/>
  <c r="V497" i="6"/>
  <c r="U497" i="6"/>
  <c r="T497" i="6"/>
  <c r="S497" i="6"/>
  <c r="R497" i="6"/>
  <c r="Q497" i="6"/>
  <c r="P497" i="6"/>
  <c r="O497" i="6"/>
  <c r="N497" i="6"/>
  <c r="M497" i="6"/>
  <c r="L497" i="6"/>
  <c r="K497" i="6"/>
  <c r="J497" i="6"/>
  <c r="H497" i="6"/>
  <c r="G497" i="6"/>
  <c r="F497" i="6"/>
  <c r="E497" i="6"/>
  <c r="D497" i="6"/>
  <c r="C497" i="6"/>
  <c r="B497" i="6"/>
  <c r="A497" i="6"/>
  <c r="AC496" i="6"/>
  <c r="AB496" i="6"/>
  <c r="AA496" i="6"/>
  <c r="Z496" i="6"/>
  <c r="Y496" i="6"/>
  <c r="X496" i="6"/>
  <c r="W496" i="6"/>
  <c r="V496" i="6"/>
  <c r="U496" i="6"/>
  <c r="T496" i="6"/>
  <c r="S496" i="6"/>
  <c r="R496" i="6"/>
  <c r="Q496" i="6"/>
  <c r="P496" i="6"/>
  <c r="O496" i="6"/>
  <c r="N496" i="6"/>
  <c r="M496" i="6"/>
  <c r="L496" i="6"/>
  <c r="K496" i="6"/>
  <c r="J496" i="6"/>
  <c r="H496" i="6"/>
  <c r="G496" i="6"/>
  <c r="F496" i="6"/>
  <c r="E496" i="6"/>
  <c r="D496" i="6"/>
  <c r="C496" i="6"/>
  <c r="B496" i="6"/>
  <c r="A496" i="6"/>
  <c r="AC495" i="6"/>
  <c r="AB495" i="6"/>
  <c r="AA495" i="6"/>
  <c r="Z495" i="6"/>
  <c r="Y495" i="6"/>
  <c r="X495" i="6"/>
  <c r="W495" i="6"/>
  <c r="V495" i="6"/>
  <c r="U495" i="6"/>
  <c r="T495" i="6"/>
  <c r="S495" i="6"/>
  <c r="R495" i="6"/>
  <c r="Q495" i="6"/>
  <c r="P495" i="6"/>
  <c r="O495" i="6"/>
  <c r="N495" i="6"/>
  <c r="M495" i="6"/>
  <c r="L495" i="6"/>
  <c r="K495" i="6"/>
  <c r="J495" i="6"/>
  <c r="H495" i="6"/>
  <c r="G495" i="6"/>
  <c r="F495" i="6"/>
  <c r="E495" i="6"/>
  <c r="D495" i="6"/>
  <c r="C495" i="6"/>
  <c r="B495" i="6"/>
  <c r="A495" i="6"/>
  <c r="AC494" i="6"/>
  <c r="AB494" i="6"/>
  <c r="AA494" i="6"/>
  <c r="Z494" i="6"/>
  <c r="Y494" i="6"/>
  <c r="X494" i="6"/>
  <c r="W494" i="6"/>
  <c r="V494" i="6"/>
  <c r="U494" i="6"/>
  <c r="T494" i="6"/>
  <c r="S494" i="6"/>
  <c r="R494" i="6"/>
  <c r="Q494" i="6"/>
  <c r="P494" i="6"/>
  <c r="O494" i="6"/>
  <c r="N494" i="6"/>
  <c r="M494" i="6"/>
  <c r="L494" i="6"/>
  <c r="K494" i="6"/>
  <c r="J494" i="6"/>
  <c r="H494" i="6"/>
  <c r="G494" i="6"/>
  <c r="F494" i="6"/>
  <c r="E494" i="6"/>
  <c r="D494" i="6"/>
  <c r="C494" i="6"/>
  <c r="B494" i="6"/>
  <c r="A494" i="6"/>
  <c r="AC493" i="6"/>
  <c r="AB493" i="6"/>
  <c r="AA493" i="6"/>
  <c r="Z493" i="6"/>
  <c r="Y493" i="6"/>
  <c r="X493" i="6"/>
  <c r="W493" i="6"/>
  <c r="V493" i="6"/>
  <c r="U493" i="6"/>
  <c r="T493" i="6"/>
  <c r="S493" i="6"/>
  <c r="R493" i="6"/>
  <c r="Q493" i="6"/>
  <c r="P493" i="6"/>
  <c r="O493" i="6"/>
  <c r="N493" i="6"/>
  <c r="M493" i="6"/>
  <c r="L493" i="6"/>
  <c r="K493" i="6"/>
  <c r="J493" i="6"/>
  <c r="H493" i="6"/>
  <c r="G493" i="6"/>
  <c r="F493" i="6"/>
  <c r="E493" i="6"/>
  <c r="D493" i="6"/>
  <c r="C493" i="6"/>
  <c r="B493" i="6"/>
  <c r="A493" i="6"/>
  <c r="AC492" i="6"/>
  <c r="AB492" i="6"/>
  <c r="AA492" i="6"/>
  <c r="Z492" i="6"/>
  <c r="Y492" i="6"/>
  <c r="X492" i="6"/>
  <c r="W492" i="6"/>
  <c r="V492" i="6"/>
  <c r="U492" i="6"/>
  <c r="T492" i="6"/>
  <c r="S492" i="6"/>
  <c r="R492" i="6"/>
  <c r="Q492" i="6"/>
  <c r="P492" i="6"/>
  <c r="O492" i="6"/>
  <c r="N492" i="6"/>
  <c r="M492" i="6"/>
  <c r="L492" i="6"/>
  <c r="K492" i="6"/>
  <c r="J492" i="6"/>
  <c r="H492" i="6"/>
  <c r="G492" i="6"/>
  <c r="F492" i="6"/>
  <c r="E492" i="6"/>
  <c r="D492" i="6"/>
  <c r="C492" i="6"/>
  <c r="B492" i="6"/>
  <c r="A492" i="6"/>
  <c r="AC491" i="6"/>
  <c r="AB491" i="6"/>
  <c r="AA491" i="6"/>
  <c r="Z491" i="6"/>
  <c r="Y491" i="6"/>
  <c r="X491" i="6"/>
  <c r="W491" i="6"/>
  <c r="V491" i="6"/>
  <c r="U491" i="6"/>
  <c r="T491" i="6"/>
  <c r="S491" i="6"/>
  <c r="R491" i="6"/>
  <c r="Q491" i="6"/>
  <c r="P491" i="6"/>
  <c r="O491" i="6"/>
  <c r="N491" i="6"/>
  <c r="M491" i="6"/>
  <c r="L491" i="6"/>
  <c r="K491" i="6"/>
  <c r="J491" i="6"/>
  <c r="H491" i="6"/>
  <c r="G491" i="6"/>
  <c r="F491" i="6"/>
  <c r="E491" i="6"/>
  <c r="D491" i="6"/>
  <c r="C491" i="6"/>
  <c r="B491" i="6"/>
  <c r="A491" i="6"/>
  <c r="AC490" i="6"/>
  <c r="AB490" i="6"/>
  <c r="AA490" i="6"/>
  <c r="Z490" i="6"/>
  <c r="Y490" i="6"/>
  <c r="X490" i="6"/>
  <c r="W490" i="6"/>
  <c r="V490" i="6"/>
  <c r="U490" i="6"/>
  <c r="T490" i="6"/>
  <c r="S490" i="6"/>
  <c r="R490" i="6"/>
  <c r="Q490" i="6"/>
  <c r="P490" i="6"/>
  <c r="O490" i="6"/>
  <c r="N490" i="6"/>
  <c r="M490" i="6"/>
  <c r="L490" i="6"/>
  <c r="K490" i="6"/>
  <c r="J490" i="6"/>
  <c r="H490" i="6"/>
  <c r="G490" i="6"/>
  <c r="F490" i="6"/>
  <c r="E490" i="6"/>
  <c r="D490" i="6"/>
  <c r="C490" i="6"/>
  <c r="B490" i="6"/>
  <c r="A490" i="6"/>
  <c r="AC489" i="6"/>
  <c r="AB489" i="6"/>
  <c r="AA489" i="6"/>
  <c r="Z489" i="6"/>
  <c r="Y489" i="6"/>
  <c r="X489" i="6"/>
  <c r="W489" i="6"/>
  <c r="V489" i="6"/>
  <c r="U489" i="6"/>
  <c r="T489" i="6"/>
  <c r="S489" i="6"/>
  <c r="R489" i="6"/>
  <c r="Q489" i="6"/>
  <c r="P489" i="6"/>
  <c r="O489" i="6"/>
  <c r="N489" i="6"/>
  <c r="M489" i="6"/>
  <c r="L489" i="6"/>
  <c r="K489" i="6"/>
  <c r="J489" i="6"/>
  <c r="H489" i="6"/>
  <c r="G489" i="6"/>
  <c r="F489" i="6"/>
  <c r="E489" i="6"/>
  <c r="D489" i="6"/>
  <c r="C489" i="6"/>
  <c r="B489" i="6"/>
  <c r="A489" i="6"/>
  <c r="AC488" i="6"/>
  <c r="AB488" i="6"/>
  <c r="AA488" i="6"/>
  <c r="Z488" i="6"/>
  <c r="Y488" i="6"/>
  <c r="X488" i="6"/>
  <c r="W488" i="6"/>
  <c r="V488" i="6"/>
  <c r="U488" i="6"/>
  <c r="T488" i="6"/>
  <c r="S488" i="6"/>
  <c r="R488" i="6"/>
  <c r="Q488" i="6"/>
  <c r="P488" i="6"/>
  <c r="O488" i="6"/>
  <c r="N488" i="6"/>
  <c r="M488" i="6"/>
  <c r="L488" i="6"/>
  <c r="K488" i="6"/>
  <c r="J488" i="6"/>
  <c r="H488" i="6"/>
  <c r="G488" i="6"/>
  <c r="F488" i="6"/>
  <c r="E488" i="6"/>
  <c r="D488" i="6"/>
  <c r="C488" i="6"/>
  <c r="B488" i="6"/>
  <c r="A488" i="6"/>
  <c r="AC487" i="6"/>
  <c r="AB487" i="6"/>
  <c r="AA487" i="6"/>
  <c r="Z487" i="6"/>
  <c r="Y487" i="6"/>
  <c r="X487" i="6"/>
  <c r="W487" i="6"/>
  <c r="V487" i="6"/>
  <c r="U487" i="6"/>
  <c r="T487" i="6"/>
  <c r="S487" i="6"/>
  <c r="R487" i="6"/>
  <c r="Q487" i="6"/>
  <c r="P487" i="6"/>
  <c r="O487" i="6"/>
  <c r="N487" i="6"/>
  <c r="M487" i="6"/>
  <c r="L487" i="6"/>
  <c r="K487" i="6"/>
  <c r="J487" i="6"/>
  <c r="H487" i="6"/>
  <c r="G487" i="6"/>
  <c r="F487" i="6"/>
  <c r="E487" i="6"/>
  <c r="D487" i="6"/>
  <c r="C487" i="6"/>
  <c r="B487" i="6"/>
  <c r="A487" i="6"/>
  <c r="AC486" i="6"/>
  <c r="AB486" i="6"/>
  <c r="AA486" i="6"/>
  <c r="Z486" i="6"/>
  <c r="Y486" i="6"/>
  <c r="X486" i="6"/>
  <c r="W486" i="6"/>
  <c r="V486" i="6"/>
  <c r="U486" i="6"/>
  <c r="T486" i="6"/>
  <c r="S486" i="6"/>
  <c r="R486" i="6"/>
  <c r="Q486" i="6"/>
  <c r="P486" i="6"/>
  <c r="O486" i="6"/>
  <c r="N486" i="6"/>
  <c r="M486" i="6"/>
  <c r="L486" i="6"/>
  <c r="K486" i="6"/>
  <c r="J486" i="6"/>
  <c r="H486" i="6"/>
  <c r="G486" i="6"/>
  <c r="F486" i="6"/>
  <c r="E486" i="6"/>
  <c r="D486" i="6"/>
  <c r="C486" i="6"/>
  <c r="B486" i="6"/>
  <c r="A486" i="6"/>
  <c r="AC485" i="6"/>
  <c r="AB485" i="6"/>
  <c r="AA485" i="6"/>
  <c r="Z485" i="6"/>
  <c r="Y485" i="6"/>
  <c r="X485" i="6"/>
  <c r="W485" i="6"/>
  <c r="V485" i="6"/>
  <c r="U485" i="6"/>
  <c r="T485" i="6"/>
  <c r="S485" i="6"/>
  <c r="R485" i="6"/>
  <c r="Q485" i="6"/>
  <c r="P485" i="6"/>
  <c r="O485" i="6"/>
  <c r="N485" i="6"/>
  <c r="M485" i="6"/>
  <c r="L485" i="6"/>
  <c r="K485" i="6"/>
  <c r="J485" i="6"/>
  <c r="H485" i="6"/>
  <c r="G485" i="6"/>
  <c r="F485" i="6"/>
  <c r="E485" i="6"/>
  <c r="D485" i="6"/>
  <c r="C485" i="6"/>
  <c r="B485" i="6"/>
  <c r="A485" i="6"/>
  <c r="AC484" i="6"/>
  <c r="AB484" i="6"/>
  <c r="AA484" i="6"/>
  <c r="Z484" i="6"/>
  <c r="Y484" i="6"/>
  <c r="X484" i="6"/>
  <c r="W484" i="6"/>
  <c r="V484" i="6"/>
  <c r="U484" i="6"/>
  <c r="T484" i="6"/>
  <c r="S484" i="6"/>
  <c r="R484" i="6"/>
  <c r="Q484" i="6"/>
  <c r="P484" i="6"/>
  <c r="O484" i="6"/>
  <c r="N484" i="6"/>
  <c r="M484" i="6"/>
  <c r="L484" i="6"/>
  <c r="K484" i="6"/>
  <c r="J484" i="6"/>
  <c r="H484" i="6"/>
  <c r="G484" i="6"/>
  <c r="F484" i="6"/>
  <c r="E484" i="6"/>
  <c r="D484" i="6"/>
  <c r="C484" i="6"/>
  <c r="B484" i="6"/>
  <c r="A484" i="6"/>
  <c r="AC483" i="6"/>
  <c r="AB483" i="6"/>
  <c r="AA483" i="6"/>
  <c r="Z483" i="6"/>
  <c r="Y483" i="6"/>
  <c r="X483" i="6"/>
  <c r="W483" i="6"/>
  <c r="V483" i="6"/>
  <c r="U483" i="6"/>
  <c r="T483" i="6"/>
  <c r="S483" i="6"/>
  <c r="R483" i="6"/>
  <c r="Q483" i="6"/>
  <c r="P483" i="6"/>
  <c r="O483" i="6"/>
  <c r="N483" i="6"/>
  <c r="M483" i="6"/>
  <c r="L483" i="6"/>
  <c r="K483" i="6"/>
  <c r="J483" i="6"/>
  <c r="H483" i="6"/>
  <c r="G483" i="6"/>
  <c r="F483" i="6"/>
  <c r="E483" i="6"/>
  <c r="D483" i="6"/>
  <c r="C483" i="6"/>
  <c r="B483" i="6"/>
  <c r="A483" i="6"/>
  <c r="AC482" i="6"/>
  <c r="AB482" i="6"/>
  <c r="AA482" i="6"/>
  <c r="Z482" i="6"/>
  <c r="Y482" i="6"/>
  <c r="X482" i="6"/>
  <c r="W482" i="6"/>
  <c r="V482" i="6"/>
  <c r="U482" i="6"/>
  <c r="T482" i="6"/>
  <c r="S482" i="6"/>
  <c r="R482" i="6"/>
  <c r="Q482" i="6"/>
  <c r="P482" i="6"/>
  <c r="O482" i="6"/>
  <c r="N482" i="6"/>
  <c r="M482" i="6"/>
  <c r="L482" i="6"/>
  <c r="K482" i="6"/>
  <c r="J482" i="6"/>
  <c r="H482" i="6"/>
  <c r="G482" i="6"/>
  <c r="F482" i="6"/>
  <c r="E482" i="6"/>
  <c r="D482" i="6"/>
  <c r="C482" i="6"/>
  <c r="B482" i="6"/>
  <c r="A482" i="6"/>
  <c r="AC481" i="6"/>
  <c r="AB481" i="6"/>
  <c r="AA481" i="6"/>
  <c r="Z481" i="6"/>
  <c r="Y481" i="6"/>
  <c r="X481" i="6"/>
  <c r="W481" i="6"/>
  <c r="V481" i="6"/>
  <c r="U481" i="6"/>
  <c r="T481" i="6"/>
  <c r="S481" i="6"/>
  <c r="R481" i="6"/>
  <c r="Q481" i="6"/>
  <c r="P481" i="6"/>
  <c r="O481" i="6"/>
  <c r="N481" i="6"/>
  <c r="M481" i="6"/>
  <c r="L481" i="6"/>
  <c r="K481" i="6"/>
  <c r="J481" i="6"/>
  <c r="H481" i="6"/>
  <c r="G481" i="6"/>
  <c r="F481" i="6"/>
  <c r="E481" i="6"/>
  <c r="D481" i="6"/>
  <c r="C481" i="6"/>
  <c r="B481" i="6"/>
  <c r="A481" i="6"/>
  <c r="AC480" i="6"/>
  <c r="AB480" i="6"/>
  <c r="AA480" i="6"/>
  <c r="Z480" i="6"/>
  <c r="Y480" i="6"/>
  <c r="X480" i="6"/>
  <c r="W480" i="6"/>
  <c r="V480" i="6"/>
  <c r="U480" i="6"/>
  <c r="T480" i="6"/>
  <c r="S480" i="6"/>
  <c r="R480" i="6"/>
  <c r="Q480" i="6"/>
  <c r="P480" i="6"/>
  <c r="O480" i="6"/>
  <c r="N480" i="6"/>
  <c r="M480" i="6"/>
  <c r="L480" i="6"/>
  <c r="K480" i="6"/>
  <c r="J480" i="6"/>
  <c r="H480" i="6"/>
  <c r="G480" i="6"/>
  <c r="F480" i="6"/>
  <c r="E480" i="6"/>
  <c r="D480" i="6"/>
  <c r="C480" i="6"/>
  <c r="B480" i="6"/>
  <c r="A480" i="6"/>
  <c r="AC479" i="6"/>
  <c r="AB479" i="6"/>
  <c r="AA479" i="6"/>
  <c r="Z479" i="6"/>
  <c r="Y479" i="6"/>
  <c r="X479" i="6"/>
  <c r="W479" i="6"/>
  <c r="V479" i="6"/>
  <c r="U479" i="6"/>
  <c r="T479" i="6"/>
  <c r="S479" i="6"/>
  <c r="R479" i="6"/>
  <c r="Q479" i="6"/>
  <c r="P479" i="6"/>
  <c r="O479" i="6"/>
  <c r="N479" i="6"/>
  <c r="M479" i="6"/>
  <c r="L479" i="6"/>
  <c r="K479" i="6"/>
  <c r="J479" i="6"/>
  <c r="H479" i="6"/>
  <c r="G479" i="6"/>
  <c r="F479" i="6"/>
  <c r="E479" i="6"/>
  <c r="D479" i="6"/>
  <c r="C479" i="6"/>
  <c r="B479" i="6"/>
  <c r="A479" i="6"/>
  <c r="AC478" i="6"/>
  <c r="AB478" i="6"/>
  <c r="AA478" i="6"/>
  <c r="Z478" i="6"/>
  <c r="Y478" i="6"/>
  <c r="X478" i="6"/>
  <c r="W478" i="6"/>
  <c r="V478" i="6"/>
  <c r="U478" i="6"/>
  <c r="T478" i="6"/>
  <c r="S478" i="6"/>
  <c r="R478" i="6"/>
  <c r="Q478" i="6"/>
  <c r="P478" i="6"/>
  <c r="O478" i="6"/>
  <c r="N478" i="6"/>
  <c r="M478" i="6"/>
  <c r="L478" i="6"/>
  <c r="K478" i="6"/>
  <c r="J478" i="6"/>
  <c r="H478" i="6"/>
  <c r="G478" i="6"/>
  <c r="F478" i="6"/>
  <c r="E478" i="6"/>
  <c r="D478" i="6"/>
  <c r="C478" i="6"/>
  <c r="B478" i="6"/>
  <c r="A478" i="6"/>
  <c r="AC477" i="6"/>
  <c r="AB477" i="6"/>
  <c r="AA477" i="6"/>
  <c r="Z477" i="6"/>
  <c r="Y477" i="6"/>
  <c r="X477" i="6"/>
  <c r="W477" i="6"/>
  <c r="V477" i="6"/>
  <c r="U477" i="6"/>
  <c r="T477" i="6"/>
  <c r="S477" i="6"/>
  <c r="R477" i="6"/>
  <c r="Q477" i="6"/>
  <c r="P477" i="6"/>
  <c r="O477" i="6"/>
  <c r="N477" i="6"/>
  <c r="M477" i="6"/>
  <c r="L477" i="6"/>
  <c r="K477" i="6"/>
  <c r="J477" i="6"/>
  <c r="H477" i="6"/>
  <c r="G477" i="6"/>
  <c r="F477" i="6"/>
  <c r="E477" i="6"/>
  <c r="D477" i="6"/>
  <c r="C477" i="6"/>
  <c r="B477" i="6"/>
  <c r="A477" i="6"/>
  <c r="AC476" i="6"/>
  <c r="AB476" i="6"/>
  <c r="AA476" i="6"/>
  <c r="Z476" i="6"/>
  <c r="Y476" i="6"/>
  <c r="X476" i="6"/>
  <c r="W476" i="6"/>
  <c r="V476" i="6"/>
  <c r="U476" i="6"/>
  <c r="T476" i="6"/>
  <c r="S476" i="6"/>
  <c r="R476" i="6"/>
  <c r="Q476" i="6"/>
  <c r="P476" i="6"/>
  <c r="O476" i="6"/>
  <c r="N476" i="6"/>
  <c r="M476" i="6"/>
  <c r="L476" i="6"/>
  <c r="K476" i="6"/>
  <c r="J476" i="6"/>
  <c r="H476" i="6"/>
  <c r="G476" i="6"/>
  <c r="F476" i="6"/>
  <c r="E476" i="6"/>
  <c r="D476" i="6"/>
  <c r="C476" i="6"/>
  <c r="B476" i="6"/>
  <c r="A476" i="6"/>
  <c r="AC475" i="6"/>
  <c r="AB475" i="6"/>
  <c r="AA475" i="6"/>
  <c r="Z475" i="6"/>
  <c r="Y475" i="6"/>
  <c r="X475" i="6"/>
  <c r="W475" i="6"/>
  <c r="V475" i="6"/>
  <c r="U475" i="6"/>
  <c r="T475" i="6"/>
  <c r="S475" i="6"/>
  <c r="R475" i="6"/>
  <c r="Q475" i="6"/>
  <c r="P475" i="6"/>
  <c r="O475" i="6"/>
  <c r="N475" i="6"/>
  <c r="M475" i="6"/>
  <c r="L475" i="6"/>
  <c r="K475" i="6"/>
  <c r="J475" i="6"/>
  <c r="H475" i="6"/>
  <c r="G475" i="6"/>
  <c r="F475" i="6"/>
  <c r="E475" i="6"/>
  <c r="D475" i="6"/>
  <c r="C475" i="6"/>
  <c r="B475" i="6"/>
  <c r="A475" i="6"/>
  <c r="AC474" i="6"/>
  <c r="AB474" i="6"/>
  <c r="AA474" i="6"/>
  <c r="Z474" i="6"/>
  <c r="Y474" i="6"/>
  <c r="X474" i="6"/>
  <c r="W474" i="6"/>
  <c r="V474" i="6"/>
  <c r="U474" i="6"/>
  <c r="T474" i="6"/>
  <c r="S474" i="6"/>
  <c r="R474" i="6"/>
  <c r="Q474" i="6"/>
  <c r="P474" i="6"/>
  <c r="O474" i="6"/>
  <c r="N474" i="6"/>
  <c r="M474" i="6"/>
  <c r="L474" i="6"/>
  <c r="K474" i="6"/>
  <c r="J474" i="6"/>
  <c r="H474" i="6"/>
  <c r="G474" i="6"/>
  <c r="F474" i="6"/>
  <c r="E474" i="6"/>
  <c r="D474" i="6"/>
  <c r="C474" i="6"/>
  <c r="B474" i="6"/>
  <c r="A474" i="6"/>
  <c r="AC473" i="6"/>
  <c r="AB473" i="6"/>
  <c r="AA473" i="6"/>
  <c r="Z473" i="6"/>
  <c r="Y473" i="6"/>
  <c r="X473" i="6"/>
  <c r="W473" i="6"/>
  <c r="V473" i="6"/>
  <c r="U473" i="6"/>
  <c r="T473" i="6"/>
  <c r="S473" i="6"/>
  <c r="R473" i="6"/>
  <c r="Q473" i="6"/>
  <c r="P473" i="6"/>
  <c r="O473" i="6"/>
  <c r="N473" i="6"/>
  <c r="M473" i="6"/>
  <c r="L473" i="6"/>
  <c r="K473" i="6"/>
  <c r="J473" i="6"/>
  <c r="H473" i="6"/>
  <c r="G473" i="6"/>
  <c r="F473" i="6"/>
  <c r="E473" i="6"/>
  <c r="D473" i="6"/>
  <c r="C473" i="6"/>
  <c r="B473" i="6"/>
  <c r="A473" i="6"/>
  <c r="AC472" i="6"/>
  <c r="AB472" i="6"/>
  <c r="AA472" i="6"/>
  <c r="Z472" i="6"/>
  <c r="Y472" i="6"/>
  <c r="X472" i="6"/>
  <c r="W472" i="6"/>
  <c r="V472" i="6"/>
  <c r="U472" i="6"/>
  <c r="T472" i="6"/>
  <c r="S472" i="6"/>
  <c r="R472" i="6"/>
  <c r="Q472" i="6"/>
  <c r="P472" i="6"/>
  <c r="O472" i="6"/>
  <c r="N472" i="6"/>
  <c r="M472" i="6"/>
  <c r="L472" i="6"/>
  <c r="K472" i="6"/>
  <c r="J472" i="6"/>
  <c r="H472" i="6"/>
  <c r="G472" i="6"/>
  <c r="F472" i="6"/>
  <c r="E472" i="6"/>
  <c r="D472" i="6"/>
  <c r="C472" i="6"/>
  <c r="B472" i="6"/>
  <c r="A472" i="6"/>
  <c r="AC471" i="6"/>
  <c r="AB471" i="6"/>
  <c r="AA471" i="6"/>
  <c r="Z471" i="6"/>
  <c r="Y471" i="6"/>
  <c r="X471" i="6"/>
  <c r="W471" i="6"/>
  <c r="V471" i="6"/>
  <c r="U471" i="6"/>
  <c r="T471" i="6"/>
  <c r="S471" i="6"/>
  <c r="R471" i="6"/>
  <c r="Q471" i="6"/>
  <c r="P471" i="6"/>
  <c r="O471" i="6"/>
  <c r="N471" i="6"/>
  <c r="M471" i="6"/>
  <c r="L471" i="6"/>
  <c r="K471" i="6"/>
  <c r="J471" i="6"/>
  <c r="H471" i="6"/>
  <c r="G471" i="6"/>
  <c r="F471" i="6"/>
  <c r="E471" i="6"/>
  <c r="D471" i="6"/>
  <c r="C471" i="6"/>
  <c r="B471" i="6"/>
  <c r="A471" i="6"/>
  <c r="AC470" i="6"/>
  <c r="AB470" i="6"/>
  <c r="AA470" i="6"/>
  <c r="Z470" i="6"/>
  <c r="Y470" i="6"/>
  <c r="X470" i="6"/>
  <c r="W470" i="6"/>
  <c r="V470" i="6"/>
  <c r="U470" i="6"/>
  <c r="T470" i="6"/>
  <c r="S470" i="6"/>
  <c r="R470" i="6"/>
  <c r="Q470" i="6"/>
  <c r="P470" i="6"/>
  <c r="O470" i="6"/>
  <c r="N470" i="6"/>
  <c r="M470" i="6"/>
  <c r="L470" i="6"/>
  <c r="K470" i="6"/>
  <c r="J470" i="6"/>
  <c r="H470" i="6"/>
  <c r="G470" i="6"/>
  <c r="F470" i="6"/>
  <c r="E470" i="6"/>
  <c r="D470" i="6"/>
  <c r="C470" i="6"/>
  <c r="B470" i="6"/>
  <c r="A470" i="6"/>
  <c r="AC469" i="6"/>
  <c r="AB469" i="6"/>
  <c r="AA469" i="6"/>
  <c r="Z469" i="6"/>
  <c r="Y469" i="6"/>
  <c r="X469" i="6"/>
  <c r="W469" i="6"/>
  <c r="V469" i="6"/>
  <c r="U469" i="6"/>
  <c r="T469" i="6"/>
  <c r="S469" i="6"/>
  <c r="R469" i="6"/>
  <c r="Q469" i="6"/>
  <c r="P469" i="6"/>
  <c r="O469" i="6"/>
  <c r="N469" i="6"/>
  <c r="M469" i="6"/>
  <c r="L469" i="6"/>
  <c r="K469" i="6"/>
  <c r="J469" i="6"/>
  <c r="H469" i="6"/>
  <c r="G469" i="6"/>
  <c r="F469" i="6"/>
  <c r="E469" i="6"/>
  <c r="D469" i="6"/>
  <c r="C469" i="6"/>
  <c r="B469" i="6"/>
  <c r="A469" i="6"/>
  <c r="AC468" i="6"/>
  <c r="AB468" i="6"/>
  <c r="AA468" i="6"/>
  <c r="Z468" i="6"/>
  <c r="Y468" i="6"/>
  <c r="X468" i="6"/>
  <c r="W468" i="6"/>
  <c r="V468" i="6"/>
  <c r="U468" i="6"/>
  <c r="T468" i="6"/>
  <c r="S468" i="6"/>
  <c r="R468" i="6"/>
  <c r="Q468" i="6"/>
  <c r="P468" i="6"/>
  <c r="O468" i="6"/>
  <c r="N468" i="6"/>
  <c r="M468" i="6"/>
  <c r="L468" i="6"/>
  <c r="K468" i="6"/>
  <c r="J468" i="6"/>
  <c r="H468" i="6"/>
  <c r="G468" i="6"/>
  <c r="F468" i="6"/>
  <c r="E468" i="6"/>
  <c r="D468" i="6"/>
  <c r="C468" i="6"/>
  <c r="B468" i="6"/>
  <c r="A468" i="6"/>
  <c r="AC467" i="6"/>
  <c r="AB467" i="6"/>
  <c r="AA467" i="6"/>
  <c r="Z467" i="6"/>
  <c r="Y467" i="6"/>
  <c r="X467" i="6"/>
  <c r="W467" i="6"/>
  <c r="V467" i="6"/>
  <c r="U467" i="6"/>
  <c r="T467" i="6"/>
  <c r="S467" i="6"/>
  <c r="R467" i="6"/>
  <c r="Q467" i="6"/>
  <c r="P467" i="6"/>
  <c r="O467" i="6"/>
  <c r="N467" i="6"/>
  <c r="M467" i="6"/>
  <c r="L467" i="6"/>
  <c r="K467" i="6"/>
  <c r="J467" i="6"/>
  <c r="H467" i="6"/>
  <c r="G467" i="6"/>
  <c r="F467" i="6"/>
  <c r="E467" i="6"/>
  <c r="D467" i="6"/>
  <c r="C467" i="6"/>
  <c r="B467" i="6"/>
  <c r="A467" i="6"/>
  <c r="AC466" i="6"/>
  <c r="AB466" i="6"/>
  <c r="AA466" i="6"/>
  <c r="Z466" i="6"/>
  <c r="Y466" i="6"/>
  <c r="X466" i="6"/>
  <c r="W466" i="6"/>
  <c r="V466" i="6"/>
  <c r="U466" i="6"/>
  <c r="T466" i="6"/>
  <c r="S466" i="6"/>
  <c r="R466" i="6"/>
  <c r="Q466" i="6"/>
  <c r="P466" i="6"/>
  <c r="O466" i="6"/>
  <c r="N466" i="6"/>
  <c r="M466" i="6"/>
  <c r="L466" i="6"/>
  <c r="K466" i="6"/>
  <c r="J466" i="6"/>
  <c r="H466" i="6"/>
  <c r="G466" i="6"/>
  <c r="F466" i="6"/>
  <c r="E466" i="6"/>
  <c r="D466" i="6"/>
  <c r="C466" i="6"/>
  <c r="B466" i="6"/>
  <c r="A466" i="6"/>
  <c r="AC465" i="6"/>
  <c r="AB465" i="6"/>
  <c r="AA465" i="6"/>
  <c r="Z465" i="6"/>
  <c r="Y465" i="6"/>
  <c r="X465" i="6"/>
  <c r="W465" i="6"/>
  <c r="V465" i="6"/>
  <c r="U465" i="6"/>
  <c r="T465" i="6"/>
  <c r="S465" i="6"/>
  <c r="R465" i="6"/>
  <c r="Q465" i="6"/>
  <c r="P465" i="6"/>
  <c r="O465" i="6"/>
  <c r="N465" i="6"/>
  <c r="M465" i="6"/>
  <c r="L465" i="6"/>
  <c r="K465" i="6"/>
  <c r="J465" i="6"/>
  <c r="H465" i="6"/>
  <c r="G465" i="6"/>
  <c r="F465" i="6"/>
  <c r="E465" i="6"/>
  <c r="D465" i="6"/>
  <c r="C465" i="6"/>
  <c r="B465" i="6"/>
  <c r="A465" i="6"/>
  <c r="AC464" i="6"/>
  <c r="AB464" i="6"/>
  <c r="AA464" i="6"/>
  <c r="Z464" i="6"/>
  <c r="Y464" i="6"/>
  <c r="X464" i="6"/>
  <c r="W464" i="6"/>
  <c r="V464" i="6"/>
  <c r="U464" i="6"/>
  <c r="T464" i="6"/>
  <c r="S464" i="6"/>
  <c r="R464" i="6"/>
  <c r="Q464" i="6"/>
  <c r="P464" i="6"/>
  <c r="O464" i="6"/>
  <c r="N464" i="6"/>
  <c r="M464" i="6"/>
  <c r="L464" i="6"/>
  <c r="K464" i="6"/>
  <c r="J464" i="6"/>
  <c r="H464" i="6"/>
  <c r="G464" i="6"/>
  <c r="F464" i="6"/>
  <c r="E464" i="6"/>
  <c r="D464" i="6"/>
  <c r="C464" i="6"/>
  <c r="B464" i="6"/>
  <c r="A464" i="6"/>
  <c r="AC463" i="6"/>
  <c r="AB463" i="6"/>
  <c r="AA463" i="6"/>
  <c r="Z463" i="6"/>
  <c r="Y463" i="6"/>
  <c r="X463" i="6"/>
  <c r="W463" i="6"/>
  <c r="V463" i="6"/>
  <c r="U463" i="6"/>
  <c r="T463" i="6"/>
  <c r="S463" i="6"/>
  <c r="R463" i="6"/>
  <c r="Q463" i="6"/>
  <c r="P463" i="6"/>
  <c r="O463" i="6"/>
  <c r="N463" i="6"/>
  <c r="M463" i="6"/>
  <c r="L463" i="6"/>
  <c r="K463" i="6"/>
  <c r="J463" i="6"/>
  <c r="H463" i="6"/>
  <c r="G463" i="6"/>
  <c r="F463" i="6"/>
  <c r="E463" i="6"/>
  <c r="D463" i="6"/>
  <c r="C463" i="6"/>
  <c r="B463" i="6"/>
  <c r="A463" i="6"/>
  <c r="AC462" i="6"/>
  <c r="AB462" i="6"/>
  <c r="AA462" i="6"/>
  <c r="Z462" i="6"/>
  <c r="Y462" i="6"/>
  <c r="X462" i="6"/>
  <c r="W462" i="6"/>
  <c r="V462" i="6"/>
  <c r="U462" i="6"/>
  <c r="T462" i="6"/>
  <c r="S462" i="6"/>
  <c r="R462" i="6"/>
  <c r="Q462" i="6"/>
  <c r="P462" i="6"/>
  <c r="O462" i="6"/>
  <c r="N462" i="6"/>
  <c r="M462" i="6"/>
  <c r="L462" i="6"/>
  <c r="K462" i="6"/>
  <c r="J462" i="6"/>
  <c r="H462" i="6"/>
  <c r="G462" i="6"/>
  <c r="F462" i="6"/>
  <c r="E462" i="6"/>
  <c r="D462" i="6"/>
  <c r="C462" i="6"/>
  <c r="B462" i="6"/>
  <c r="A462" i="6"/>
  <c r="AC461" i="6"/>
  <c r="AB461" i="6"/>
  <c r="AA461" i="6"/>
  <c r="Z461" i="6"/>
  <c r="Y461" i="6"/>
  <c r="X461" i="6"/>
  <c r="W461" i="6"/>
  <c r="V461" i="6"/>
  <c r="U461" i="6"/>
  <c r="T461" i="6"/>
  <c r="S461" i="6"/>
  <c r="R461" i="6"/>
  <c r="Q461" i="6"/>
  <c r="P461" i="6"/>
  <c r="O461" i="6"/>
  <c r="N461" i="6"/>
  <c r="M461" i="6"/>
  <c r="L461" i="6"/>
  <c r="K461" i="6"/>
  <c r="J461" i="6"/>
  <c r="H461" i="6"/>
  <c r="G461" i="6"/>
  <c r="F461" i="6"/>
  <c r="E461" i="6"/>
  <c r="D461" i="6"/>
  <c r="C461" i="6"/>
  <c r="B461" i="6"/>
  <c r="A461" i="6"/>
  <c r="AC460" i="6"/>
  <c r="AB460" i="6"/>
  <c r="AA460" i="6"/>
  <c r="Z460" i="6"/>
  <c r="Y460" i="6"/>
  <c r="X460" i="6"/>
  <c r="W460" i="6"/>
  <c r="V460" i="6"/>
  <c r="U460" i="6"/>
  <c r="T460" i="6"/>
  <c r="S460" i="6"/>
  <c r="R460" i="6"/>
  <c r="Q460" i="6"/>
  <c r="P460" i="6"/>
  <c r="O460" i="6"/>
  <c r="N460" i="6"/>
  <c r="M460" i="6"/>
  <c r="L460" i="6"/>
  <c r="K460" i="6"/>
  <c r="J460" i="6"/>
  <c r="H460" i="6"/>
  <c r="G460" i="6"/>
  <c r="F460" i="6"/>
  <c r="E460" i="6"/>
  <c r="D460" i="6"/>
  <c r="C460" i="6"/>
  <c r="B460" i="6"/>
  <c r="A460" i="6"/>
  <c r="AC459" i="6"/>
  <c r="AB459" i="6"/>
  <c r="AA459" i="6"/>
  <c r="Z459" i="6"/>
  <c r="Y459" i="6"/>
  <c r="X459" i="6"/>
  <c r="W459" i="6"/>
  <c r="V459" i="6"/>
  <c r="U459" i="6"/>
  <c r="T459" i="6"/>
  <c r="S459" i="6"/>
  <c r="R459" i="6"/>
  <c r="Q459" i="6"/>
  <c r="P459" i="6"/>
  <c r="O459" i="6"/>
  <c r="N459" i="6"/>
  <c r="M459" i="6"/>
  <c r="L459" i="6"/>
  <c r="K459" i="6"/>
  <c r="J459" i="6"/>
  <c r="H459" i="6"/>
  <c r="G459" i="6"/>
  <c r="F459" i="6"/>
  <c r="E459" i="6"/>
  <c r="D459" i="6"/>
  <c r="C459" i="6"/>
  <c r="B459" i="6"/>
  <c r="A459" i="6"/>
  <c r="AC458" i="6"/>
  <c r="AB458" i="6"/>
  <c r="AA458" i="6"/>
  <c r="Z458" i="6"/>
  <c r="Y458" i="6"/>
  <c r="X458" i="6"/>
  <c r="W458" i="6"/>
  <c r="V458" i="6"/>
  <c r="U458" i="6"/>
  <c r="T458" i="6"/>
  <c r="S458" i="6"/>
  <c r="R458" i="6"/>
  <c r="Q458" i="6"/>
  <c r="P458" i="6"/>
  <c r="O458" i="6"/>
  <c r="N458" i="6"/>
  <c r="M458" i="6"/>
  <c r="L458" i="6"/>
  <c r="K458" i="6"/>
  <c r="J458" i="6"/>
  <c r="H458" i="6"/>
  <c r="G458" i="6"/>
  <c r="F458" i="6"/>
  <c r="E458" i="6"/>
  <c r="D458" i="6"/>
  <c r="C458" i="6"/>
  <c r="B458" i="6"/>
  <c r="A458" i="6"/>
  <c r="AC457" i="6"/>
  <c r="AB457" i="6"/>
  <c r="AA457" i="6"/>
  <c r="Z457" i="6"/>
  <c r="Y457" i="6"/>
  <c r="X457" i="6"/>
  <c r="W457" i="6"/>
  <c r="V457" i="6"/>
  <c r="U457" i="6"/>
  <c r="T457" i="6"/>
  <c r="S457" i="6"/>
  <c r="R457" i="6"/>
  <c r="Q457" i="6"/>
  <c r="P457" i="6"/>
  <c r="O457" i="6"/>
  <c r="N457" i="6"/>
  <c r="M457" i="6"/>
  <c r="L457" i="6"/>
  <c r="K457" i="6"/>
  <c r="J457" i="6"/>
  <c r="H457" i="6"/>
  <c r="G457" i="6"/>
  <c r="F457" i="6"/>
  <c r="E457" i="6"/>
  <c r="D457" i="6"/>
  <c r="C457" i="6"/>
  <c r="B457" i="6"/>
  <c r="A457" i="6"/>
  <c r="AC456" i="6"/>
  <c r="AB456" i="6"/>
  <c r="AA456" i="6"/>
  <c r="Z456" i="6"/>
  <c r="Y456" i="6"/>
  <c r="X456" i="6"/>
  <c r="W456" i="6"/>
  <c r="V456" i="6"/>
  <c r="U456" i="6"/>
  <c r="T456" i="6"/>
  <c r="S456" i="6"/>
  <c r="R456" i="6"/>
  <c r="Q456" i="6"/>
  <c r="P456" i="6"/>
  <c r="O456" i="6"/>
  <c r="N456" i="6"/>
  <c r="M456" i="6"/>
  <c r="L456" i="6"/>
  <c r="K456" i="6"/>
  <c r="J456" i="6"/>
  <c r="H456" i="6"/>
  <c r="G456" i="6"/>
  <c r="F456" i="6"/>
  <c r="E456" i="6"/>
  <c r="D456" i="6"/>
  <c r="C456" i="6"/>
  <c r="B456" i="6"/>
  <c r="A456" i="6"/>
  <c r="AC455" i="6"/>
  <c r="AB455" i="6"/>
  <c r="AA455" i="6"/>
  <c r="Z455" i="6"/>
  <c r="Y455" i="6"/>
  <c r="X455" i="6"/>
  <c r="W455" i="6"/>
  <c r="V455" i="6"/>
  <c r="U455" i="6"/>
  <c r="T455" i="6"/>
  <c r="S455" i="6"/>
  <c r="R455" i="6"/>
  <c r="Q455" i="6"/>
  <c r="P455" i="6"/>
  <c r="O455" i="6"/>
  <c r="N455" i="6"/>
  <c r="M455" i="6"/>
  <c r="L455" i="6"/>
  <c r="K455" i="6"/>
  <c r="J455" i="6"/>
  <c r="H455" i="6"/>
  <c r="G455" i="6"/>
  <c r="F455" i="6"/>
  <c r="E455" i="6"/>
  <c r="D455" i="6"/>
  <c r="C455" i="6"/>
  <c r="B455" i="6"/>
  <c r="A455" i="6"/>
  <c r="AC454" i="6"/>
  <c r="AB454" i="6"/>
  <c r="AA454" i="6"/>
  <c r="Z454" i="6"/>
  <c r="Y454" i="6"/>
  <c r="X454" i="6"/>
  <c r="W454" i="6"/>
  <c r="V454" i="6"/>
  <c r="U454" i="6"/>
  <c r="T454" i="6"/>
  <c r="S454" i="6"/>
  <c r="R454" i="6"/>
  <c r="Q454" i="6"/>
  <c r="P454" i="6"/>
  <c r="O454" i="6"/>
  <c r="N454" i="6"/>
  <c r="M454" i="6"/>
  <c r="L454" i="6"/>
  <c r="K454" i="6"/>
  <c r="J454" i="6"/>
  <c r="H454" i="6"/>
  <c r="G454" i="6"/>
  <c r="F454" i="6"/>
  <c r="E454" i="6"/>
  <c r="D454" i="6"/>
  <c r="C454" i="6"/>
  <c r="B454" i="6"/>
  <c r="A454" i="6"/>
  <c r="AC453" i="6"/>
  <c r="AB453" i="6"/>
  <c r="AA453" i="6"/>
  <c r="Z453" i="6"/>
  <c r="Y453" i="6"/>
  <c r="X453" i="6"/>
  <c r="W453" i="6"/>
  <c r="V453" i="6"/>
  <c r="U453" i="6"/>
  <c r="T453" i="6"/>
  <c r="S453" i="6"/>
  <c r="R453" i="6"/>
  <c r="Q453" i="6"/>
  <c r="P453" i="6"/>
  <c r="O453" i="6"/>
  <c r="N453" i="6"/>
  <c r="M453" i="6"/>
  <c r="L453" i="6"/>
  <c r="K453" i="6"/>
  <c r="J453" i="6"/>
  <c r="H453" i="6"/>
  <c r="G453" i="6"/>
  <c r="F453" i="6"/>
  <c r="E453" i="6"/>
  <c r="D453" i="6"/>
  <c r="C453" i="6"/>
  <c r="B453" i="6"/>
  <c r="A453" i="6"/>
  <c r="AC452" i="6"/>
  <c r="AB452" i="6"/>
  <c r="AA452" i="6"/>
  <c r="Z452" i="6"/>
  <c r="Y452" i="6"/>
  <c r="X452" i="6"/>
  <c r="W452" i="6"/>
  <c r="V452" i="6"/>
  <c r="U452" i="6"/>
  <c r="T452" i="6"/>
  <c r="S452" i="6"/>
  <c r="R452" i="6"/>
  <c r="Q452" i="6"/>
  <c r="P452" i="6"/>
  <c r="O452" i="6"/>
  <c r="N452" i="6"/>
  <c r="M452" i="6"/>
  <c r="L452" i="6"/>
  <c r="K452" i="6"/>
  <c r="J452" i="6"/>
  <c r="H452" i="6"/>
  <c r="G452" i="6"/>
  <c r="F452" i="6"/>
  <c r="E452" i="6"/>
  <c r="D452" i="6"/>
  <c r="C452" i="6"/>
  <c r="B452" i="6"/>
  <c r="A452" i="6"/>
  <c r="AC451" i="6"/>
  <c r="AB451" i="6"/>
  <c r="AA451" i="6"/>
  <c r="Z451" i="6"/>
  <c r="Y451" i="6"/>
  <c r="X451" i="6"/>
  <c r="W451" i="6"/>
  <c r="V451" i="6"/>
  <c r="U451" i="6"/>
  <c r="T451" i="6"/>
  <c r="S451" i="6"/>
  <c r="R451" i="6"/>
  <c r="Q451" i="6"/>
  <c r="P451" i="6"/>
  <c r="O451" i="6"/>
  <c r="N451" i="6"/>
  <c r="M451" i="6"/>
  <c r="L451" i="6"/>
  <c r="K451" i="6"/>
  <c r="J451" i="6"/>
  <c r="H451" i="6"/>
  <c r="G451" i="6"/>
  <c r="F451" i="6"/>
  <c r="E451" i="6"/>
  <c r="D451" i="6"/>
  <c r="C451" i="6"/>
  <c r="B451" i="6"/>
  <c r="A451" i="6"/>
  <c r="AC450" i="6"/>
  <c r="AB450" i="6"/>
  <c r="AA450" i="6"/>
  <c r="Z450" i="6"/>
  <c r="Y450" i="6"/>
  <c r="X450" i="6"/>
  <c r="W450" i="6"/>
  <c r="V450" i="6"/>
  <c r="U450" i="6"/>
  <c r="T450" i="6"/>
  <c r="S450" i="6"/>
  <c r="R450" i="6"/>
  <c r="Q450" i="6"/>
  <c r="P450" i="6"/>
  <c r="O450" i="6"/>
  <c r="N450" i="6"/>
  <c r="M450" i="6"/>
  <c r="L450" i="6"/>
  <c r="K450" i="6"/>
  <c r="J450" i="6"/>
  <c r="H450" i="6"/>
  <c r="G450" i="6"/>
  <c r="F450" i="6"/>
  <c r="E450" i="6"/>
  <c r="D450" i="6"/>
  <c r="C450" i="6"/>
  <c r="B450" i="6"/>
  <c r="A450" i="6"/>
  <c r="AC449" i="6"/>
  <c r="AB449" i="6"/>
  <c r="AA449" i="6"/>
  <c r="Z449" i="6"/>
  <c r="Y449" i="6"/>
  <c r="X449" i="6"/>
  <c r="W449" i="6"/>
  <c r="V449" i="6"/>
  <c r="U449" i="6"/>
  <c r="T449" i="6"/>
  <c r="S449" i="6"/>
  <c r="R449" i="6"/>
  <c r="Q449" i="6"/>
  <c r="P449" i="6"/>
  <c r="O449" i="6"/>
  <c r="N449" i="6"/>
  <c r="M449" i="6"/>
  <c r="L449" i="6"/>
  <c r="K449" i="6"/>
  <c r="J449" i="6"/>
  <c r="H449" i="6"/>
  <c r="G449" i="6"/>
  <c r="F449" i="6"/>
  <c r="E449" i="6"/>
  <c r="D449" i="6"/>
  <c r="C449" i="6"/>
  <c r="B449" i="6"/>
  <c r="A449" i="6"/>
  <c r="AC448" i="6"/>
  <c r="AB448" i="6"/>
  <c r="AA448" i="6"/>
  <c r="Z448" i="6"/>
  <c r="Y448" i="6"/>
  <c r="X448" i="6"/>
  <c r="W448" i="6"/>
  <c r="V448" i="6"/>
  <c r="U448" i="6"/>
  <c r="T448" i="6"/>
  <c r="S448" i="6"/>
  <c r="R448" i="6"/>
  <c r="Q448" i="6"/>
  <c r="P448" i="6"/>
  <c r="O448" i="6"/>
  <c r="N448" i="6"/>
  <c r="M448" i="6"/>
  <c r="L448" i="6"/>
  <c r="K448" i="6"/>
  <c r="J448" i="6"/>
  <c r="H448" i="6"/>
  <c r="G448" i="6"/>
  <c r="F448" i="6"/>
  <c r="E448" i="6"/>
  <c r="D448" i="6"/>
  <c r="C448" i="6"/>
  <c r="B448" i="6"/>
  <c r="A448" i="6"/>
  <c r="AC447" i="6"/>
  <c r="AB447" i="6"/>
  <c r="AA447" i="6"/>
  <c r="Z447" i="6"/>
  <c r="Y447" i="6"/>
  <c r="X447" i="6"/>
  <c r="W447" i="6"/>
  <c r="V447" i="6"/>
  <c r="U447" i="6"/>
  <c r="T447" i="6"/>
  <c r="S447" i="6"/>
  <c r="R447" i="6"/>
  <c r="Q447" i="6"/>
  <c r="P447" i="6"/>
  <c r="O447" i="6"/>
  <c r="N447" i="6"/>
  <c r="M447" i="6"/>
  <c r="L447" i="6"/>
  <c r="K447" i="6"/>
  <c r="J447" i="6"/>
  <c r="H447" i="6"/>
  <c r="G447" i="6"/>
  <c r="F447" i="6"/>
  <c r="E447" i="6"/>
  <c r="D447" i="6"/>
  <c r="C447" i="6"/>
  <c r="B447" i="6"/>
  <c r="A447" i="6"/>
  <c r="AC446" i="6"/>
  <c r="AB446" i="6"/>
  <c r="AA446" i="6"/>
  <c r="Z446" i="6"/>
  <c r="Y446" i="6"/>
  <c r="X446" i="6"/>
  <c r="W446" i="6"/>
  <c r="V446" i="6"/>
  <c r="U446" i="6"/>
  <c r="T446" i="6"/>
  <c r="S446" i="6"/>
  <c r="R446" i="6"/>
  <c r="Q446" i="6"/>
  <c r="P446" i="6"/>
  <c r="O446" i="6"/>
  <c r="N446" i="6"/>
  <c r="M446" i="6"/>
  <c r="L446" i="6"/>
  <c r="K446" i="6"/>
  <c r="J446" i="6"/>
  <c r="H446" i="6"/>
  <c r="G446" i="6"/>
  <c r="F446" i="6"/>
  <c r="E446" i="6"/>
  <c r="D446" i="6"/>
  <c r="C446" i="6"/>
  <c r="B446" i="6"/>
  <c r="A446" i="6"/>
  <c r="AC445" i="6"/>
  <c r="AB445" i="6"/>
  <c r="AA445" i="6"/>
  <c r="Z445" i="6"/>
  <c r="Y445" i="6"/>
  <c r="X445" i="6"/>
  <c r="W445" i="6"/>
  <c r="V445" i="6"/>
  <c r="U445" i="6"/>
  <c r="T445" i="6"/>
  <c r="S445" i="6"/>
  <c r="R445" i="6"/>
  <c r="Q445" i="6"/>
  <c r="P445" i="6"/>
  <c r="O445" i="6"/>
  <c r="N445" i="6"/>
  <c r="M445" i="6"/>
  <c r="L445" i="6"/>
  <c r="K445" i="6"/>
  <c r="J445" i="6"/>
  <c r="H445" i="6"/>
  <c r="G445" i="6"/>
  <c r="F445" i="6"/>
  <c r="E445" i="6"/>
  <c r="D445" i="6"/>
  <c r="C445" i="6"/>
  <c r="B445" i="6"/>
  <c r="A445" i="6"/>
  <c r="AC444" i="6"/>
  <c r="AB444" i="6"/>
  <c r="AA444" i="6"/>
  <c r="Z444" i="6"/>
  <c r="Y444" i="6"/>
  <c r="X444" i="6"/>
  <c r="W444" i="6"/>
  <c r="V444" i="6"/>
  <c r="U444" i="6"/>
  <c r="T444" i="6"/>
  <c r="S444" i="6"/>
  <c r="R444" i="6"/>
  <c r="Q444" i="6"/>
  <c r="P444" i="6"/>
  <c r="O444" i="6"/>
  <c r="N444" i="6"/>
  <c r="M444" i="6"/>
  <c r="L444" i="6"/>
  <c r="K444" i="6"/>
  <c r="J444" i="6"/>
  <c r="H444" i="6"/>
  <c r="G444" i="6"/>
  <c r="F444" i="6"/>
  <c r="E444" i="6"/>
  <c r="D444" i="6"/>
  <c r="C444" i="6"/>
  <c r="B444" i="6"/>
  <c r="A444" i="6"/>
  <c r="AC443" i="6"/>
  <c r="AB443" i="6"/>
  <c r="AA443" i="6"/>
  <c r="Z443" i="6"/>
  <c r="Y443" i="6"/>
  <c r="X443" i="6"/>
  <c r="W443" i="6"/>
  <c r="V443" i="6"/>
  <c r="U443" i="6"/>
  <c r="T443" i="6"/>
  <c r="S443" i="6"/>
  <c r="R443" i="6"/>
  <c r="Q443" i="6"/>
  <c r="P443" i="6"/>
  <c r="O443" i="6"/>
  <c r="N443" i="6"/>
  <c r="M443" i="6"/>
  <c r="L443" i="6"/>
  <c r="K443" i="6"/>
  <c r="J443" i="6"/>
  <c r="H443" i="6"/>
  <c r="G443" i="6"/>
  <c r="F443" i="6"/>
  <c r="E443" i="6"/>
  <c r="D443" i="6"/>
  <c r="C443" i="6"/>
  <c r="B443" i="6"/>
  <c r="A443" i="6"/>
  <c r="AC442" i="6"/>
  <c r="AB442" i="6"/>
  <c r="AA442" i="6"/>
  <c r="Z442" i="6"/>
  <c r="Y442" i="6"/>
  <c r="X442" i="6"/>
  <c r="W442" i="6"/>
  <c r="V442" i="6"/>
  <c r="U442" i="6"/>
  <c r="T442" i="6"/>
  <c r="S442" i="6"/>
  <c r="R442" i="6"/>
  <c r="Q442" i="6"/>
  <c r="P442" i="6"/>
  <c r="O442" i="6"/>
  <c r="N442" i="6"/>
  <c r="M442" i="6"/>
  <c r="L442" i="6"/>
  <c r="K442" i="6"/>
  <c r="J442" i="6"/>
  <c r="H442" i="6"/>
  <c r="G442" i="6"/>
  <c r="F442" i="6"/>
  <c r="E442" i="6"/>
  <c r="D442" i="6"/>
  <c r="C442" i="6"/>
  <c r="B442" i="6"/>
  <c r="A442" i="6"/>
  <c r="AC441" i="6"/>
  <c r="AB441" i="6"/>
  <c r="AA441" i="6"/>
  <c r="Z441" i="6"/>
  <c r="Y441" i="6"/>
  <c r="X441" i="6"/>
  <c r="W441" i="6"/>
  <c r="V441" i="6"/>
  <c r="U441" i="6"/>
  <c r="T441" i="6"/>
  <c r="S441" i="6"/>
  <c r="R441" i="6"/>
  <c r="Q441" i="6"/>
  <c r="P441" i="6"/>
  <c r="O441" i="6"/>
  <c r="N441" i="6"/>
  <c r="M441" i="6"/>
  <c r="L441" i="6"/>
  <c r="K441" i="6"/>
  <c r="J441" i="6"/>
  <c r="H441" i="6"/>
  <c r="G441" i="6"/>
  <c r="F441" i="6"/>
  <c r="E441" i="6"/>
  <c r="D441" i="6"/>
  <c r="C441" i="6"/>
  <c r="B441" i="6"/>
  <c r="A441" i="6"/>
  <c r="AC440" i="6"/>
  <c r="AB440" i="6"/>
  <c r="AA440" i="6"/>
  <c r="Z440" i="6"/>
  <c r="Y440" i="6"/>
  <c r="X440" i="6"/>
  <c r="W440" i="6"/>
  <c r="V440" i="6"/>
  <c r="U440" i="6"/>
  <c r="T440" i="6"/>
  <c r="S440" i="6"/>
  <c r="R440" i="6"/>
  <c r="Q440" i="6"/>
  <c r="P440" i="6"/>
  <c r="O440" i="6"/>
  <c r="N440" i="6"/>
  <c r="M440" i="6"/>
  <c r="L440" i="6"/>
  <c r="K440" i="6"/>
  <c r="J440" i="6"/>
  <c r="H440" i="6"/>
  <c r="G440" i="6"/>
  <c r="F440" i="6"/>
  <c r="E440" i="6"/>
  <c r="D440" i="6"/>
  <c r="C440" i="6"/>
  <c r="B440" i="6"/>
  <c r="A440" i="6"/>
  <c r="AC439" i="6"/>
  <c r="AB439" i="6"/>
  <c r="AA439" i="6"/>
  <c r="Z439" i="6"/>
  <c r="Y439" i="6"/>
  <c r="X439" i="6"/>
  <c r="W439" i="6"/>
  <c r="V439" i="6"/>
  <c r="U439" i="6"/>
  <c r="T439" i="6"/>
  <c r="S439" i="6"/>
  <c r="R439" i="6"/>
  <c r="Q439" i="6"/>
  <c r="P439" i="6"/>
  <c r="O439" i="6"/>
  <c r="N439" i="6"/>
  <c r="M439" i="6"/>
  <c r="L439" i="6"/>
  <c r="K439" i="6"/>
  <c r="J439" i="6"/>
  <c r="H439" i="6"/>
  <c r="G439" i="6"/>
  <c r="F439" i="6"/>
  <c r="E439" i="6"/>
  <c r="D439" i="6"/>
  <c r="C439" i="6"/>
  <c r="B439" i="6"/>
  <c r="A439" i="6"/>
  <c r="AC438" i="6"/>
  <c r="AB438" i="6"/>
  <c r="AA438" i="6"/>
  <c r="Z438" i="6"/>
  <c r="Y438" i="6"/>
  <c r="X438" i="6"/>
  <c r="W438" i="6"/>
  <c r="V438" i="6"/>
  <c r="U438" i="6"/>
  <c r="T438" i="6"/>
  <c r="S438" i="6"/>
  <c r="R438" i="6"/>
  <c r="Q438" i="6"/>
  <c r="P438" i="6"/>
  <c r="O438" i="6"/>
  <c r="N438" i="6"/>
  <c r="M438" i="6"/>
  <c r="L438" i="6"/>
  <c r="K438" i="6"/>
  <c r="J438" i="6"/>
  <c r="H438" i="6"/>
  <c r="G438" i="6"/>
  <c r="F438" i="6"/>
  <c r="E438" i="6"/>
  <c r="D438" i="6"/>
  <c r="C438" i="6"/>
  <c r="B438" i="6"/>
  <c r="A438" i="6"/>
  <c r="AC437" i="6"/>
  <c r="AB437" i="6"/>
  <c r="AA437" i="6"/>
  <c r="Z437" i="6"/>
  <c r="Y437" i="6"/>
  <c r="X437" i="6"/>
  <c r="W437" i="6"/>
  <c r="V437" i="6"/>
  <c r="U437" i="6"/>
  <c r="T437" i="6"/>
  <c r="S437" i="6"/>
  <c r="R437" i="6"/>
  <c r="Q437" i="6"/>
  <c r="P437" i="6"/>
  <c r="O437" i="6"/>
  <c r="N437" i="6"/>
  <c r="M437" i="6"/>
  <c r="L437" i="6"/>
  <c r="K437" i="6"/>
  <c r="J437" i="6"/>
  <c r="H437" i="6"/>
  <c r="G437" i="6"/>
  <c r="F437" i="6"/>
  <c r="E437" i="6"/>
  <c r="D437" i="6"/>
  <c r="C437" i="6"/>
  <c r="B437" i="6"/>
  <c r="A437" i="6"/>
  <c r="AC436" i="6"/>
  <c r="AB436" i="6"/>
  <c r="AA436" i="6"/>
  <c r="Z436" i="6"/>
  <c r="Y436" i="6"/>
  <c r="X436" i="6"/>
  <c r="W436" i="6"/>
  <c r="V436" i="6"/>
  <c r="U436" i="6"/>
  <c r="T436" i="6"/>
  <c r="S436" i="6"/>
  <c r="R436" i="6"/>
  <c r="Q436" i="6"/>
  <c r="P436" i="6"/>
  <c r="O436" i="6"/>
  <c r="N436" i="6"/>
  <c r="M436" i="6"/>
  <c r="L436" i="6"/>
  <c r="K436" i="6"/>
  <c r="J436" i="6"/>
  <c r="H436" i="6"/>
  <c r="G436" i="6"/>
  <c r="F436" i="6"/>
  <c r="E436" i="6"/>
  <c r="D436" i="6"/>
  <c r="C436" i="6"/>
  <c r="B436" i="6"/>
  <c r="A436" i="6"/>
  <c r="AC435" i="6"/>
  <c r="AB435" i="6"/>
  <c r="AA435" i="6"/>
  <c r="Z435" i="6"/>
  <c r="Y435" i="6"/>
  <c r="X435" i="6"/>
  <c r="W435" i="6"/>
  <c r="V435" i="6"/>
  <c r="U435" i="6"/>
  <c r="T435" i="6"/>
  <c r="S435" i="6"/>
  <c r="R435" i="6"/>
  <c r="Q435" i="6"/>
  <c r="P435" i="6"/>
  <c r="O435" i="6"/>
  <c r="N435" i="6"/>
  <c r="M435" i="6"/>
  <c r="L435" i="6"/>
  <c r="K435" i="6"/>
  <c r="J435" i="6"/>
  <c r="H435" i="6"/>
  <c r="G435" i="6"/>
  <c r="F435" i="6"/>
  <c r="E435" i="6"/>
  <c r="D435" i="6"/>
  <c r="C435" i="6"/>
  <c r="B435" i="6"/>
  <c r="A435" i="6"/>
  <c r="AC434" i="6"/>
  <c r="AB434" i="6"/>
  <c r="AA434" i="6"/>
  <c r="Z434" i="6"/>
  <c r="Y434" i="6"/>
  <c r="X434" i="6"/>
  <c r="W434" i="6"/>
  <c r="V434" i="6"/>
  <c r="U434" i="6"/>
  <c r="T434" i="6"/>
  <c r="S434" i="6"/>
  <c r="R434" i="6"/>
  <c r="Q434" i="6"/>
  <c r="P434" i="6"/>
  <c r="O434" i="6"/>
  <c r="N434" i="6"/>
  <c r="M434" i="6"/>
  <c r="L434" i="6"/>
  <c r="K434" i="6"/>
  <c r="J434" i="6"/>
  <c r="H434" i="6"/>
  <c r="G434" i="6"/>
  <c r="F434" i="6"/>
  <c r="E434" i="6"/>
  <c r="D434" i="6"/>
  <c r="C434" i="6"/>
  <c r="B434" i="6"/>
  <c r="A434" i="6"/>
  <c r="AD433" i="6"/>
  <c r="AC433" i="6"/>
  <c r="AB433" i="6"/>
  <c r="AA433" i="6"/>
  <c r="Z433" i="6"/>
  <c r="Y433" i="6"/>
  <c r="X433" i="6"/>
  <c r="W433" i="6"/>
  <c r="V433" i="6"/>
  <c r="U433" i="6"/>
  <c r="T433" i="6"/>
  <c r="S433" i="6"/>
  <c r="R433" i="6"/>
  <c r="Q433" i="6"/>
  <c r="P433" i="6"/>
  <c r="O433" i="6"/>
  <c r="N433" i="6"/>
  <c r="M433" i="6"/>
  <c r="L433" i="6"/>
  <c r="K433" i="6"/>
  <c r="J433" i="6"/>
  <c r="I433" i="6"/>
  <c r="H433" i="6"/>
  <c r="G433" i="6"/>
  <c r="F433" i="6"/>
  <c r="E433" i="6"/>
  <c r="D433" i="6"/>
  <c r="C433" i="6"/>
  <c r="B433" i="6"/>
  <c r="A433" i="6"/>
  <c r="AC432" i="6"/>
  <c r="AB432" i="6"/>
  <c r="AA432" i="6"/>
  <c r="Z432" i="6"/>
  <c r="Y432" i="6"/>
  <c r="X432" i="6"/>
  <c r="W432" i="6"/>
  <c r="V432" i="6"/>
  <c r="U432" i="6"/>
  <c r="T432" i="6"/>
  <c r="S432" i="6"/>
  <c r="R432" i="6"/>
  <c r="Q432" i="6"/>
  <c r="P432" i="6"/>
  <c r="O432" i="6"/>
  <c r="N432" i="6"/>
  <c r="M432" i="6"/>
  <c r="L432" i="6"/>
  <c r="K432" i="6"/>
  <c r="J432" i="6"/>
  <c r="H432" i="6"/>
  <c r="G432" i="6"/>
  <c r="F432" i="6"/>
  <c r="E432" i="6"/>
  <c r="D432" i="6"/>
  <c r="C432" i="6"/>
  <c r="B432" i="6"/>
  <c r="A432" i="6"/>
  <c r="AC431" i="6"/>
  <c r="AB431" i="6"/>
  <c r="AA431" i="6"/>
  <c r="Z431" i="6"/>
  <c r="Y431" i="6"/>
  <c r="X431" i="6"/>
  <c r="W431" i="6"/>
  <c r="V431" i="6"/>
  <c r="U431" i="6"/>
  <c r="T431" i="6"/>
  <c r="S431" i="6"/>
  <c r="R431" i="6"/>
  <c r="Q431" i="6"/>
  <c r="P431" i="6"/>
  <c r="O431" i="6"/>
  <c r="N431" i="6"/>
  <c r="M431" i="6"/>
  <c r="L431" i="6"/>
  <c r="K431" i="6"/>
  <c r="J431" i="6"/>
  <c r="H431" i="6"/>
  <c r="G431" i="6"/>
  <c r="F431" i="6"/>
  <c r="E431" i="6"/>
  <c r="D431" i="6"/>
  <c r="C431" i="6"/>
  <c r="B431" i="6"/>
  <c r="A431" i="6"/>
  <c r="AC430" i="6"/>
  <c r="AB430" i="6"/>
  <c r="AA430" i="6"/>
  <c r="Z430" i="6"/>
  <c r="Y430" i="6"/>
  <c r="X430" i="6"/>
  <c r="W430" i="6"/>
  <c r="V430" i="6"/>
  <c r="U430" i="6"/>
  <c r="T430" i="6"/>
  <c r="S430" i="6"/>
  <c r="R430" i="6"/>
  <c r="Q430" i="6"/>
  <c r="P430" i="6"/>
  <c r="O430" i="6"/>
  <c r="N430" i="6"/>
  <c r="M430" i="6"/>
  <c r="L430" i="6"/>
  <c r="K430" i="6"/>
  <c r="J430" i="6"/>
  <c r="H430" i="6"/>
  <c r="G430" i="6"/>
  <c r="F430" i="6"/>
  <c r="E430" i="6"/>
  <c r="D430" i="6"/>
  <c r="C430" i="6"/>
  <c r="B430" i="6"/>
  <c r="A430" i="6"/>
  <c r="AD429" i="6"/>
  <c r="AC429" i="6"/>
  <c r="AB429" i="6"/>
  <c r="AA429" i="6"/>
  <c r="Z429" i="6"/>
  <c r="Y429" i="6"/>
  <c r="X429" i="6"/>
  <c r="W429" i="6"/>
  <c r="V429" i="6"/>
  <c r="U429" i="6"/>
  <c r="T429" i="6"/>
  <c r="S429" i="6"/>
  <c r="R429" i="6"/>
  <c r="Q429" i="6"/>
  <c r="P429" i="6"/>
  <c r="O429" i="6"/>
  <c r="N429" i="6"/>
  <c r="M429" i="6"/>
  <c r="L429" i="6"/>
  <c r="K429" i="6"/>
  <c r="J429" i="6"/>
  <c r="I429" i="6"/>
  <c r="H429" i="6"/>
  <c r="G429" i="6"/>
  <c r="F429" i="6"/>
  <c r="E429" i="6"/>
  <c r="D429" i="6"/>
  <c r="C429" i="6"/>
  <c r="B429" i="6"/>
  <c r="A429" i="6"/>
  <c r="AC428" i="6"/>
  <c r="AB428" i="6"/>
  <c r="AA428" i="6"/>
  <c r="Z428" i="6"/>
  <c r="Y428" i="6"/>
  <c r="X428" i="6"/>
  <c r="W428" i="6"/>
  <c r="V428" i="6"/>
  <c r="U428" i="6"/>
  <c r="T428" i="6"/>
  <c r="S428" i="6"/>
  <c r="R428" i="6"/>
  <c r="Q428" i="6"/>
  <c r="P428" i="6"/>
  <c r="O428" i="6"/>
  <c r="N428" i="6"/>
  <c r="M428" i="6"/>
  <c r="L428" i="6"/>
  <c r="K428" i="6"/>
  <c r="J428" i="6"/>
  <c r="H428" i="6"/>
  <c r="G428" i="6"/>
  <c r="F428" i="6"/>
  <c r="E428" i="6"/>
  <c r="D428" i="6"/>
  <c r="C428" i="6"/>
  <c r="B428" i="6"/>
  <c r="A428" i="6"/>
  <c r="AC427" i="6"/>
  <c r="AB427" i="6"/>
  <c r="AA427" i="6"/>
  <c r="Z427" i="6"/>
  <c r="Y427" i="6"/>
  <c r="X427" i="6"/>
  <c r="W427" i="6"/>
  <c r="V427" i="6"/>
  <c r="U427" i="6"/>
  <c r="T427" i="6"/>
  <c r="S427" i="6"/>
  <c r="R427" i="6"/>
  <c r="Q427" i="6"/>
  <c r="P427" i="6"/>
  <c r="O427" i="6"/>
  <c r="N427" i="6"/>
  <c r="M427" i="6"/>
  <c r="L427" i="6"/>
  <c r="K427" i="6"/>
  <c r="J427" i="6"/>
  <c r="H427" i="6"/>
  <c r="G427" i="6"/>
  <c r="F427" i="6"/>
  <c r="E427" i="6"/>
  <c r="D427" i="6"/>
  <c r="C427" i="6"/>
  <c r="B427" i="6"/>
  <c r="A427" i="6"/>
  <c r="AD426" i="6"/>
  <c r="AC426" i="6"/>
  <c r="AB426" i="6"/>
  <c r="AA426" i="6"/>
  <c r="Z426" i="6"/>
  <c r="Y426" i="6"/>
  <c r="X426" i="6"/>
  <c r="W426" i="6"/>
  <c r="V426" i="6"/>
  <c r="U426" i="6"/>
  <c r="T426" i="6"/>
  <c r="S426" i="6"/>
  <c r="R426" i="6"/>
  <c r="Q426" i="6"/>
  <c r="P426" i="6"/>
  <c r="O426" i="6"/>
  <c r="N426" i="6"/>
  <c r="M426" i="6"/>
  <c r="L426" i="6"/>
  <c r="K426" i="6"/>
  <c r="J426" i="6"/>
  <c r="H426" i="6"/>
  <c r="G426" i="6"/>
  <c r="F426" i="6"/>
  <c r="E426" i="6"/>
  <c r="D426" i="6"/>
  <c r="C426" i="6"/>
  <c r="B426" i="6"/>
  <c r="A426" i="6"/>
  <c r="AD425" i="6"/>
  <c r="AC425" i="6"/>
  <c r="AB425" i="6"/>
  <c r="AA425" i="6"/>
  <c r="Z425" i="6"/>
  <c r="Y425" i="6"/>
  <c r="X425" i="6"/>
  <c r="W425" i="6"/>
  <c r="V425" i="6"/>
  <c r="U425" i="6"/>
  <c r="T425" i="6"/>
  <c r="S425" i="6"/>
  <c r="R425" i="6"/>
  <c r="Q425" i="6"/>
  <c r="P425" i="6"/>
  <c r="O425" i="6"/>
  <c r="N425" i="6"/>
  <c r="M425" i="6"/>
  <c r="L425" i="6"/>
  <c r="K425" i="6"/>
  <c r="J425" i="6"/>
  <c r="I425" i="6"/>
  <c r="H425" i="6"/>
  <c r="G425" i="6"/>
  <c r="F425" i="6"/>
  <c r="E425" i="6"/>
  <c r="D425" i="6"/>
  <c r="C425" i="6"/>
  <c r="B425" i="6"/>
  <c r="A425" i="6"/>
  <c r="AC424" i="6"/>
  <c r="AB424" i="6"/>
  <c r="AA424" i="6"/>
  <c r="Z424" i="6"/>
  <c r="Y424" i="6"/>
  <c r="X424" i="6"/>
  <c r="W424" i="6"/>
  <c r="V424" i="6"/>
  <c r="U424" i="6"/>
  <c r="T424" i="6"/>
  <c r="S424" i="6"/>
  <c r="R424" i="6"/>
  <c r="Q424" i="6"/>
  <c r="P424" i="6"/>
  <c r="O424" i="6"/>
  <c r="N424" i="6"/>
  <c r="M424" i="6"/>
  <c r="L424" i="6"/>
  <c r="K424" i="6"/>
  <c r="J424" i="6"/>
  <c r="H424" i="6"/>
  <c r="G424" i="6"/>
  <c r="F424" i="6"/>
  <c r="E424" i="6"/>
  <c r="D424" i="6"/>
  <c r="C424" i="6"/>
  <c r="B424" i="6"/>
  <c r="A424" i="6"/>
  <c r="AC423" i="6"/>
  <c r="AB423" i="6"/>
  <c r="AA423" i="6"/>
  <c r="Z423" i="6"/>
  <c r="Y423" i="6"/>
  <c r="X423" i="6"/>
  <c r="W423" i="6"/>
  <c r="V423" i="6"/>
  <c r="U423" i="6"/>
  <c r="T423" i="6"/>
  <c r="S423" i="6"/>
  <c r="R423" i="6"/>
  <c r="Q423" i="6"/>
  <c r="P423" i="6"/>
  <c r="O423" i="6"/>
  <c r="N423" i="6"/>
  <c r="M423" i="6"/>
  <c r="L423" i="6"/>
  <c r="K423" i="6"/>
  <c r="J423" i="6"/>
  <c r="H423" i="6"/>
  <c r="G423" i="6"/>
  <c r="F423" i="6"/>
  <c r="E423" i="6"/>
  <c r="D423" i="6"/>
  <c r="C423" i="6"/>
  <c r="B423" i="6"/>
  <c r="A423" i="6"/>
  <c r="AD422" i="6"/>
  <c r="AC422" i="6"/>
  <c r="AB422" i="6"/>
  <c r="AA422" i="6"/>
  <c r="Z422" i="6"/>
  <c r="Y422" i="6"/>
  <c r="X422" i="6"/>
  <c r="W422" i="6"/>
  <c r="V422" i="6"/>
  <c r="U422" i="6"/>
  <c r="T422" i="6"/>
  <c r="S422" i="6"/>
  <c r="R422" i="6"/>
  <c r="Q422" i="6"/>
  <c r="P422" i="6"/>
  <c r="O422" i="6"/>
  <c r="N422" i="6"/>
  <c r="M422" i="6"/>
  <c r="L422" i="6"/>
  <c r="K422" i="6"/>
  <c r="J422" i="6"/>
  <c r="I422" i="6"/>
  <c r="H422" i="6"/>
  <c r="G422" i="6"/>
  <c r="F422" i="6"/>
  <c r="E422" i="6"/>
  <c r="D422" i="6"/>
  <c r="C422" i="6"/>
  <c r="B422" i="6"/>
  <c r="A422" i="6"/>
  <c r="AD421" i="6"/>
  <c r="AC421" i="6"/>
  <c r="AB421" i="6"/>
  <c r="AA421" i="6"/>
  <c r="Z421" i="6"/>
  <c r="Y421" i="6"/>
  <c r="X421" i="6"/>
  <c r="W421" i="6"/>
  <c r="V421" i="6"/>
  <c r="U421" i="6"/>
  <c r="T421" i="6"/>
  <c r="S421" i="6"/>
  <c r="R421" i="6"/>
  <c r="Q421" i="6"/>
  <c r="P421" i="6"/>
  <c r="O421" i="6"/>
  <c r="N421" i="6"/>
  <c r="M421" i="6"/>
  <c r="L421" i="6"/>
  <c r="K421" i="6"/>
  <c r="J421" i="6"/>
  <c r="I421" i="6"/>
  <c r="H421" i="6"/>
  <c r="G421" i="6"/>
  <c r="F421" i="6"/>
  <c r="E421" i="6"/>
  <c r="D421" i="6"/>
  <c r="C421" i="6"/>
  <c r="B421" i="6"/>
  <c r="A421" i="6"/>
  <c r="AC420" i="6"/>
  <c r="AB420" i="6"/>
  <c r="AA420" i="6"/>
  <c r="Z420" i="6"/>
  <c r="Y420" i="6"/>
  <c r="X420" i="6"/>
  <c r="W420" i="6"/>
  <c r="V420" i="6"/>
  <c r="U420" i="6"/>
  <c r="T420" i="6"/>
  <c r="S420" i="6"/>
  <c r="R420" i="6"/>
  <c r="Q420" i="6"/>
  <c r="P420" i="6"/>
  <c r="O420" i="6"/>
  <c r="N420" i="6"/>
  <c r="M420" i="6"/>
  <c r="L420" i="6"/>
  <c r="K420" i="6"/>
  <c r="J420" i="6"/>
  <c r="H420" i="6"/>
  <c r="G420" i="6"/>
  <c r="F420" i="6"/>
  <c r="E420" i="6"/>
  <c r="D420" i="6"/>
  <c r="C420" i="6"/>
  <c r="B420" i="6"/>
  <c r="A420" i="6"/>
  <c r="AD419" i="6"/>
  <c r="AC419" i="6"/>
  <c r="AB419" i="6"/>
  <c r="AA419" i="6"/>
  <c r="Z419" i="6"/>
  <c r="Y419" i="6"/>
  <c r="X419" i="6"/>
  <c r="W419" i="6"/>
  <c r="V419" i="6"/>
  <c r="U419" i="6"/>
  <c r="T419" i="6"/>
  <c r="S419" i="6"/>
  <c r="R419" i="6"/>
  <c r="Q419" i="6"/>
  <c r="P419" i="6"/>
  <c r="O419" i="6"/>
  <c r="N419" i="6"/>
  <c r="M419" i="6"/>
  <c r="L419" i="6"/>
  <c r="K419" i="6"/>
  <c r="J419" i="6"/>
  <c r="I419" i="6"/>
  <c r="H419" i="6"/>
  <c r="G419" i="6"/>
  <c r="F419" i="6"/>
  <c r="E419" i="6"/>
  <c r="D419" i="6"/>
  <c r="C419" i="6"/>
  <c r="B419" i="6"/>
  <c r="A419" i="6"/>
  <c r="AC418" i="6"/>
  <c r="AB418" i="6"/>
  <c r="AA418" i="6"/>
  <c r="Z418" i="6"/>
  <c r="Y418" i="6"/>
  <c r="X418" i="6"/>
  <c r="W418" i="6"/>
  <c r="V418" i="6"/>
  <c r="U418" i="6"/>
  <c r="T418" i="6"/>
  <c r="S418" i="6"/>
  <c r="R418" i="6"/>
  <c r="Q418" i="6"/>
  <c r="P418" i="6"/>
  <c r="O418" i="6"/>
  <c r="N418" i="6"/>
  <c r="M418" i="6"/>
  <c r="L418" i="6"/>
  <c r="K418" i="6"/>
  <c r="J418" i="6"/>
  <c r="H418" i="6"/>
  <c r="G418" i="6"/>
  <c r="F418" i="6"/>
  <c r="E418" i="6"/>
  <c r="D418" i="6"/>
  <c r="C418" i="6"/>
  <c r="B418" i="6"/>
  <c r="A418" i="6"/>
  <c r="AC417" i="6"/>
  <c r="AB417" i="6"/>
  <c r="AA417" i="6"/>
  <c r="Z417" i="6"/>
  <c r="Y417" i="6"/>
  <c r="X417" i="6"/>
  <c r="W417" i="6"/>
  <c r="V417" i="6"/>
  <c r="U417" i="6"/>
  <c r="T417" i="6"/>
  <c r="S417" i="6"/>
  <c r="R417" i="6"/>
  <c r="Q417" i="6"/>
  <c r="P417" i="6"/>
  <c r="O417" i="6"/>
  <c r="N417" i="6"/>
  <c r="M417" i="6"/>
  <c r="L417" i="6"/>
  <c r="K417" i="6"/>
  <c r="J417" i="6"/>
  <c r="H417" i="6"/>
  <c r="G417" i="6"/>
  <c r="F417" i="6"/>
  <c r="E417" i="6"/>
  <c r="D417" i="6"/>
  <c r="C417" i="6"/>
  <c r="B417" i="6"/>
  <c r="A417" i="6"/>
  <c r="AC416" i="6"/>
  <c r="AB416" i="6"/>
  <c r="AA416" i="6"/>
  <c r="Z416" i="6"/>
  <c r="Y416" i="6"/>
  <c r="X416" i="6"/>
  <c r="W416" i="6"/>
  <c r="V416" i="6"/>
  <c r="U416" i="6"/>
  <c r="T416" i="6"/>
  <c r="S416" i="6"/>
  <c r="R416" i="6"/>
  <c r="Q416" i="6"/>
  <c r="P416" i="6"/>
  <c r="O416" i="6"/>
  <c r="N416" i="6"/>
  <c r="M416" i="6"/>
  <c r="L416" i="6"/>
  <c r="K416" i="6"/>
  <c r="J416" i="6"/>
  <c r="H416" i="6"/>
  <c r="G416" i="6"/>
  <c r="F416" i="6"/>
  <c r="E416" i="6"/>
  <c r="D416" i="6"/>
  <c r="C416" i="6"/>
  <c r="B416" i="6"/>
  <c r="A416" i="6"/>
  <c r="AC415" i="6"/>
  <c r="AB415" i="6"/>
  <c r="AA415" i="6"/>
  <c r="Z415" i="6"/>
  <c r="Y415" i="6"/>
  <c r="X415" i="6"/>
  <c r="W415" i="6"/>
  <c r="V415" i="6"/>
  <c r="U415" i="6"/>
  <c r="T415" i="6"/>
  <c r="S415" i="6"/>
  <c r="R415" i="6"/>
  <c r="Q415" i="6"/>
  <c r="P415" i="6"/>
  <c r="O415" i="6"/>
  <c r="N415" i="6"/>
  <c r="M415" i="6"/>
  <c r="L415" i="6"/>
  <c r="K415" i="6"/>
  <c r="J415" i="6"/>
  <c r="H415" i="6"/>
  <c r="G415" i="6"/>
  <c r="F415" i="6"/>
  <c r="E415" i="6"/>
  <c r="D415" i="6"/>
  <c r="C415" i="6"/>
  <c r="B415" i="6"/>
  <c r="A415" i="6"/>
  <c r="AD414" i="6"/>
  <c r="AC414" i="6"/>
  <c r="AB414" i="6"/>
  <c r="AA414" i="6"/>
  <c r="Z414" i="6"/>
  <c r="Y414" i="6"/>
  <c r="X414" i="6"/>
  <c r="W414" i="6"/>
  <c r="V414" i="6"/>
  <c r="U414" i="6"/>
  <c r="T414" i="6"/>
  <c r="S414" i="6"/>
  <c r="R414" i="6"/>
  <c r="Q414" i="6"/>
  <c r="P414" i="6"/>
  <c r="O414" i="6"/>
  <c r="N414" i="6"/>
  <c r="M414" i="6"/>
  <c r="L414" i="6"/>
  <c r="K414" i="6"/>
  <c r="J414" i="6"/>
  <c r="I414" i="6"/>
  <c r="H414" i="6"/>
  <c r="G414" i="6"/>
  <c r="F414" i="6"/>
  <c r="E414" i="6"/>
  <c r="D414" i="6"/>
  <c r="C414" i="6"/>
  <c r="B414" i="6"/>
  <c r="A414" i="6"/>
  <c r="AD413" i="6"/>
  <c r="AC413" i="6"/>
  <c r="AB413" i="6"/>
  <c r="AA413" i="6"/>
  <c r="Z413" i="6"/>
  <c r="Y413" i="6"/>
  <c r="X413" i="6"/>
  <c r="W413" i="6"/>
  <c r="V413" i="6"/>
  <c r="U413" i="6"/>
  <c r="T413" i="6"/>
  <c r="S413" i="6"/>
  <c r="R413" i="6"/>
  <c r="Q413" i="6"/>
  <c r="P413" i="6"/>
  <c r="O413" i="6"/>
  <c r="N413" i="6"/>
  <c r="M413" i="6"/>
  <c r="L413" i="6"/>
  <c r="K413" i="6"/>
  <c r="J413" i="6"/>
  <c r="I413" i="6"/>
  <c r="H413" i="6"/>
  <c r="G413" i="6"/>
  <c r="F413" i="6"/>
  <c r="E413" i="6"/>
  <c r="D413" i="6"/>
  <c r="C413" i="6"/>
  <c r="B413" i="6"/>
  <c r="A413" i="6"/>
  <c r="AC412" i="6"/>
  <c r="AB412" i="6"/>
  <c r="AA412" i="6"/>
  <c r="Z412" i="6"/>
  <c r="Y412" i="6"/>
  <c r="X412" i="6"/>
  <c r="W412" i="6"/>
  <c r="V412" i="6"/>
  <c r="U412" i="6"/>
  <c r="T412" i="6"/>
  <c r="S412" i="6"/>
  <c r="R412" i="6"/>
  <c r="Q412" i="6"/>
  <c r="P412" i="6"/>
  <c r="O412" i="6"/>
  <c r="N412" i="6"/>
  <c r="M412" i="6"/>
  <c r="L412" i="6"/>
  <c r="K412" i="6"/>
  <c r="J412" i="6"/>
  <c r="H412" i="6"/>
  <c r="G412" i="6"/>
  <c r="F412" i="6"/>
  <c r="E412" i="6"/>
  <c r="D412" i="6"/>
  <c r="C412" i="6"/>
  <c r="B412" i="6"/>
  <c r="A412" i="6"/>
  <c r="AD411" i="6"/>
  <c r="AC411" i="6"/>
  <c r="AB411" i="6"/>
  <c r="AA411" i="6"/>
  <c r="Z411" i="6"/>
  <c r="Y411" i="6"/>
  <c r="X411" i="6"/>
  <c r="W411" i="6"/>
  <c r="V411" i="6"/>
  <c r="U411" i="6"/>
  <c r="T411" i="6"/>
  <c r="S411" i="6"/>
  <c r="R411" i="6"/>
  <c r="Q411" i="6"/>
  <c r="P411" i="6"/>
  <c r="O411" i="6"/>
  <c r="N411" i="6"/>
  <c r="M411" i="6"/>
  <c r="L411" i="6"/>
  <c r="K411" i="6"/>
  <c r="J411" i="6"/>
  <c r="I411" i="6"/>
  <c r="H411" i="6"/>
  <c r="G411" i="6"/>
  <c r="F411" i="6"/>
  <c r="E411" i="6"/>
  <c r="D411" i="6"/>
  <c r="C411" i="6"/>
  <c r="B411" i="6"/>
  <c r="A411" i="6"/>
  <c r="AD410" i="6"/>
  <c r="AC410" i="6"/>
  <c r="AB410" i="6"/>
  <c r="AA410" i="6"/>
  <c r="Z410" i="6"/>
  <c r="Y410" i="6"/>
  <c r="X410" i="6"/>
  <c r="W410" i="6"/>
  <c r="V410" i="6"/>
  <c r="U410" i="6"/>
  <c r="T410" i="6"/>
  <c r="S410" i="6"/>
  <c r="R410" i="6"/>
  <c r="Q410" i="6"/>
  <c r="P410" i="6"/>
  <c r="O410" i="6"/>
  <c r="N410" i="6"/>
  <c r="M410" i="6"/>
  <c r="L410" i="6"/>
  <c r="K410" i="6"/>
  <c r="J410" i="6"/>
  <c r="I410" i="6"/>
  <c r="H410" i="6"/>
  <c r="G410" i="6"/>
  <c r="F410" i="6"/>
  <c r="E410" i="6"/>
  <c r="D410" i="6"/>
  <c r="C410" i="6"/>
  <c r="B410" i="6"/>
  <c r="A410" i="6"/>
  <c r="AC409" i="6"/>
  <c r="AB409" i="6"/>
  <c r="AA409" i="6"/>
  <c r="Z409" i="6"/>
  <c r="Y409" i="6"/>
  <c r="X409" i="6"/>
  <c r="W409" i="6"/>
  <c r="V409" i="6"/>
  <c r="U409" i="6"/>
  <c r="T409" i="6"/>
  <c r="S409" i="6"/>
  <c r="R409" i="6"/>
  <c r="Q409" i="6"/>
  <c r="P409" i="6"/>
  <c r="O409" i="6"/>
  <c r="N409" i="6"/>
  <c r="M409" i="6"/>
  <c r="L409" i="6"/>
  <c r="K409" i="6"/>
  <c r="J409" i="6"/>
  <c r="H409" i="6"/>
  <c r="G409" i="6"/>
  <c r="F409" i="6"/>
  <c r="E409" i="6"/>
  <c r="D409" i="6"/>
  <c r="C409" i="6"/>
  <c r="B409" i="6"/>
  <c r="A409" i="6"/>
  <c r="AD408" i="6"/>
  <c r="AC408" i="6"/>
  <c r="AB408" i="6"/>
  <c r="AA408" i="6"/>
  <c r="Z408" i="6"/>
  <c r="Y408" i="6"/>
  <c r="X408" i="6"/>
  <c r="W408" i="6"/>
  <c r="V408" i="6"/>
  <c r="U408" i="6"/>
  <c r="T408" i="6"/>
  <c r="S408" i="6"/>
  <c r="R408" i="6"/>
  <c r="Q408" i="6"/>
  <c r="P408" i="6"/>
  <c r="O408" i="6"/>
  <c r="N408" i="6"/>
  <c r="M408" i="6"/>
  <c r="L408" i="6"/>
  <c r="K408" i="6"/>
  <c r="J408" i="6"/>
  <c r="I408" i="6"/>
  <c r="H408" i="6"/>
  <c r="G408" i="6"/>
  <c r="F408" i="6"/>
  <c r="E408" i="6"/>
  <c r="D408" i="6"/>
  <c r="C408" i="6"/>
  <c r="B408" i="6"/>
  <c r="A408" i="6"/>
  <c r="AC407" i="6"/>
  <c r="AB407" i="6"/>
  <c r="AA407" i="6"/>
  <c r="Z407" i="6"/>
  <c r="Y407" i="6"/>
  <c r="X407" i="6"/>
  <c r="W407" i="6"/>
  <c r="V407" i="6"/>
  <c r="U407" i="6"/>
  <c r="T407" i="6"/>
  <c r="S407" i="6"/>
  <c r="R407" i="6"/>
  <c r="Q407" i="6"/>
  <c r="P407" i="6"/>
  <c r="O407" i="6"/>
  <c r="N407" i="6"/>
  <c r="M407" i="6"/>
  <c r="L407" i="6"/>
  <c r="K407" i="6"/>
  <c r="J407" i="6"/>
  <c r="H407" i="6"/>
  <c r="G407" i="6"/>
  <c r="F407" i="6"/>
  <c r="E407" i="6"/>
  <c r="D407" i="6"/>
  <c r="C407" i="6"/>
  <c r="B407" i="6"/>
  <c r="A407" i="6"/>
  <c r="AC406" i="6"/>
  <c r="AB406" i="6"/>
  <c r="AA406" i="6"/>
  <c r="Z406" i="6"/>
  <c r="Y406" i="6"/>
  <c r="X406" i="6"/>
  <c r="W406" i="6"/>
  <c r="V406" i="6"/>
  <c r="U406" i="6"/>
  <c r="T406" i="6"/>
  <c r="S406" i="6"/>
  <c r="R406" i="6"/>
  <c r="Q406" i="6"/>
  <c r="P406" i="6"/>
  <c r="O406" i="6"/>
  <c r="N406" i="6"/>
  <c r="M406" i="6"/>
  <c r="L406" i="6"/>
  <c r="K406" i="6"/>
  <c r="J406" i="6"/>
  <c r="H406" i="6"/>
  <c r="G406" i="6"/>
  <c r="F406" i="6"/>
  <c r="E406" i="6"/>
  <c r="D406" i="6"/>
  <c r="C406" i="6"/>
  <c r="B406" i="6"/>
  <c r="A406" i="6"/>
  <c r="AD405" i="6"/>
  <c r="AC405" i="6"/>
  <c r="AB405" i="6"/>
  <c r="AA405" i="6"/>
  <c r="Z405" i="6"/>
  <c r="Y405" i="6"/>
  <c r="X405" i="6"/>
  <c r="W405" i="6"/>
  <c r="V405" i="6"/>
  <c r="U405" i="6"/>
  <c r="T405" i="6"/>
  <c r="S405" i="6"/>
  <c r="R405" i="6"/>
  <c r="Q405" i="6"/>
  <c r="P405" i="6"/>
  <c r="O405" i="6"/>
  <c r="N405" i="6"/>
  <c r="M405" i="6"/>
  <c r="L405" i="6"/>
  <c r="K405" i="6"/>
  <c r="J405" i="6"/>
  <c r="I405" i="6"/>
  <c r="H405" i="6"/>
  <c r="G405" i="6"/>
  <c r="F405" i="6"/>
  <c r="E405" i="6"/>
  <c r="D405" i="6"/>
  <c r="C405" i="6"/>
  <c r="B405" i="6"/>
  <c r="A405" i="6"/>
  <c r="AC404" i="6"/>
  <c r="AB404" i="6"/>
  <c r="AA404" i="6"/>
  <c r="Z404" i="6"/>
  <c r="Y404" i="6"/>
  <c r="X404" i="6"/>
  <c r="W404" i="6"/>
  <c r="V404" i="6"/>
  <c r="U404" i="6"/>
  <c r="T404" i="6"/>
  <c r="S404" i="6"/>
  <c r="R404" i="6"/>
  <c r="Q404" i="6"/>
  <c r="P404" i="6"/>
  <c r="O404" i="6"/>
  <c r="N404" i="6"/>
  <c r="M404" i="6"/>
  <c r="L404" i="6"/>
  <c r="K404" i="6"/>
  <c r="J404" i="6"/>
  <c r="H404" i="6"/>
  <c r="G404" i="6"/>
  <c r="F404" i="6"/>
  <c r="E404" i="6"/>
  <c r="D404" i="6"/>
  <c r="C404" i="6"/>
  <c r="B404" i="6"/>
  <c r="A404" i="6"/>
  <c r="AD403" i="6"/>
  <c r="AC403" i="6"/>
  <c r="AB403" i="6"/>
  <c r="AA403" i="6"/>
  <c r="Z403" i="6"/>
  <c r="Y403" i="6"/>
  <c r="X403" i="6"/>
  <c r="W403" i="6"/>
  <c r="V403" i="6"/>
  <c r="U403" i="6"/>
  <c r="T403" i="6"/>
  <c r="S403" i="6"/>
  <c r="R403" i="6"/>
  <c r="Q403" i="6"/>
  <c r="P403" i="6"/>
  <c r="O403" i="6"/>
  <c r="N403" i="6"/>
  <c r="M403" i="6"/>
  <c r="L403" i="6"/>
  <c r="K403" i="6"/>
  <c r="J403" i="6"/>
  <c r="I403" i="6"/>
  <c r="H403" i="6"/>
  <c r="G403" i="6"/>
  <c r="F403" i="6"/>
  <c r="E403" i="6"/>
  <c r="D403" i="6"/>
  <c r="C403" i="6"/>
  <c r="B403" i="6"/>
  <c r="A403" i="6"/>
  <c r="AC402" i="6"/>
  <c r="AB402" i="6"/>
  <c r="AA402" i="6"/>
  <c r="Z402" i="6"/>
  <c r="Y402" i="6"/>
  <c r="X402" i="6"/>
  <c r="W402" i="6"/>
  <c r="V402" i="6"/>
  <c r="U402" i="6"/>
  <c r="T402" i="6"/>
  <c r="S402" i="6"/>
  <c r="R402" i="6"/>
  <c r="Q402" i="6"/>
  <c r="P402" i="6"/>
  <c r="O402" i="6"/>
  <c r="N402" i="6"/>
  <c r="M402" i="6"/>
  <c r="L402" i="6"/>
  <c r="K402" i="6"/>
  <c r="J402" i="6"/>
  <c r="H402" i="6"/>
  <c r="G402" i="6"/>
  <c r="F402" i="6"/>
  <c r="E402" i="6"/>
  <c r="D402" i="6"/>
  <c r="C402" i="6"/>
  <c r="B402" i="6"/>
  <c r="A402" i="6"/>
  <c r="AC401" i="6"/>
  <c r="AB401" i="6"/>
  <c r="AA401" i="6"/>
  <c r="Z401" i="6"/>
  <c r="Y401" i="6"/>
  <c r="X401" i="6"/>
  <c r="W401" i="6"/>
  <c r="V401" i="6"/>
  <c r="U401" i="6"/>
  <c r="T401" i="6"/>
  <c r="S401" i="6"/>
  <c r="R401" i="6"/>
  <c r="Q401" i="6"/>
  <c r="P401" i="6"/>
  <c r="O401" i="6"/>
  <c r="N401" i="6"/>
  <c r="M401" i="6"/>
  <c r="L401" i="6"/>
  <c r="K401" i="6"/>
  <c r="J401" i="6"/>
  <c r="H401" i="6"/>
  <c r="G401" i="6"/>
  <c r="F401" i="6"/>
  <c r="E401" i="6"/>
  <c r="D401" i="6"/>
  <c r="C401" i="6"/>
  <c r="B401" i="6"/>
  <c r="A401" i="6"/>
  <c r="AC400" i="6"/>
  <c r="AB400" i="6"/>
  <c r="AA400" i="6"/>
  <c r="Z400" i="6"/>
  <c r="Y400" i="6"/>
  <c r="X400" i="6"/>
  <c r="W400" i="6"/>
  <c r="V400" i="6"/>
  <c r="U400" i="6"/>
  <c r="T400" i="6"/>
  <c r="S400" i="6"/>
  <c r="R400" i="6"/>
  <c r="Q400" i="6"/>
  <c r="P400" i="6"/>
  <c r="O400" i="6"/>
  <c r="N400" i="6"/>
  <c r="M400" i="6"/>
  <c r="L400" i="6"/>
  <c r="K400" i="6"/>
  <c r="J400" i="6"/>
  <c r="H400" i="6"/>
  <c r="G400" i="6"/>
  <c r="F400" i="6"/>
  <c r="E400" i="6"/>
  <c r="D400" i="6"/>
  <c r="C400" i="6"/>
  <c r="B400" i="6"/>
  <c r="A400" i="6"/>
  <c r="AC399" i="6"/>
  <c r="AB399" i="6"/>
  <c r="AA399" i="6"/>
  <c r="Z399" i="6"/>
  <c r="Y399" i="6"/>
  <c r="X399" i="6"/>
  <c r="W399" i="6"/>
  <c r="V399" i="6"/>
  <c r="U399" i="6"/>
  <c r="T399" i="6"/>
  <c r="S399" i="6"/>
  <c r="R399" i="6"/>
  <c r="Q399" i="6"/>
  <c r="P399" i="6"/>
  <c r="O399" i="6"/>
  <c r="N399" i="6"/>
  <c r="M399" i="6"/>
  <c r="L399" i="6"/>
  <c r="K399" i="6"/>
  <c r="J399" i="6"/>
  <c r="H399" i="6"/>
  <c r="G399" i="6"/>
  <c r="F399" i="6"/>
  <c r="E399" i="6"/>
  <c r="D399" i="6"/>
  <c r="C399" i="6"/>
  <c r="B399" i="6"/>
  <c r="A399" i="6"/>
  <c r="AC398" i="6"/>
  <c r="AB398" i="6"/>
  <c r="AA398" i="6"/>
  <c r="Z398" i="6"/>
  <c r="Y398" i="6"/>
  <c r="X398" i="6"/>
  <c r="W398" i="6"/>
  <c r="V398" i="6"/>
  <c r="U398" i="6"/>
  <c r="T398" i="6"/>
  <c r="S398" i="6"/>
  <c r="R398" i="6"/>
  <c r="Q398" i="6"/>
  <c r="P398" i="6"/>
  <c r="O398" i="6"/>
  <c r="N398" i="6"/>
  <c r="M398" i="6"/>
  <c r="L398" i="6"/>
  <c r="K398" i="6"/>
  <c r="J398" i="6"/>
  <c r="H398" i="6"/>
  <c r="G398" i="6"/>
  <c r="F398" i="6"/>
  <c r="E398" i="6"/>
  <c r="D398" i="6"/>
  <c r="C398" i="6"/>
  <c r="B398" i="6"/>
  <c r="A398" i="6"/>
  <c r="AC397" i="6"/>
  <c r="AB397" i="6"/>
  <c r="AA397" i="6"/>
  <c r="Z397" i="6"/>
  <c r="Y397" i="6"/>
  <c r="X397" i="6"/>
  <c r="W397" i="6"/>
  <c r="V397" i="6"/>
  <c r="U397" i="6"/>
  <c r="T397" i="6"/>
  <c r="S397" i="6"/>
  <c r="R397" i="6"/>
  <c r="Q397" i="6"/>
  <c r="P397" i="6"/>
  <c r="O397" i="6"/>
  <c r="N397" i="6"/>
  <c r="M397" i="6"/>
  <c r="L397" i="6"/>
  <c r="K397" i="6"/>
  <c r="J397" i="6"/>
  <c r="H397" i="6"/>
  <c r="G397" i="6"/>
  <c r="F397" i="6"/>
  <c r="E397" i="6"/>
  <c r="D397" i="6"/>
  <c r="C397" i="6"/>
  <c r="B397" i="6"/>
  <c r="A397" i="6"/>
  <c r="AC396" i="6"/>
  <c r="AB396" i="6"/>
  <c r="AA396" i="6"/>
  <c r="Z396" i="6"/>
  <c r="Y396" i="6"/>
  <c r="X396" i="6"/>
  <c r="W396" i="6"/>
  <c r="V396" i="6"/>
  <c r="U396" i="6"/>
  <c r="T396" i="6"/>
  <c r="S396" i="6"/>
  <c r="R396" i="6"/>
  <c r="Q396" i="6"/>
  <c r="P396" i="6"/>
  <c r="O396" i="6"/>
  <c r="N396" i="6"/>
  <c r="M396" i="6"/>
  <c r="L396" i="6"/>
  <c r="K396" i="6"/>
  <c r="J396" i="6"/>
  <c r="I396" i="6"/>
  <c r="H396" i="6"/>
  <c r="G396" i="6"/>
  <c r="F396" i="6"/>
  <c r="E396" i="6"/>
  <c r="D396" i="6"/>
  <c r="C396" i="6"/>
  <c r="B396" i="6"/>
  <c r="A396" i="6"/>
  <c r="AC395" i="6"/>
  <c r="AB395" i="6"/>
  <c r="AA395" i="6"/>
  <c r="Z395" i="6"/>
  <c r="Y395" i="6"/>
  <c r="X395" i="6"/>
  <c r="W395" i="6"/>
  <c r="V395" i="6"/>
  <c r="U395" i="6"/>
  <c r="T395" i="6"/>
  <c r="S395" i="6"/>
  <c r="R395" i="6"/>
  <c r="Q395" i="6"/>
  <c r="P395" i="6"/>
  <c r="O395" i="6"/>
  <c r="N395" i="6"/>
  <c r="M395" i="6"/>
  <c r="L395" i="6"/>
  <c r="K395" i="6"/>
  <c r="J395" i="6"/>
  <c r="H395" i="6"/>
  <c r="G395" i="6"/>
  <c r="F395" i="6"/>
  <c r="E395" i="6"/>
  <c r="D395" i="6"/>
  <c r="C395" i="6"/>
  <c r="B395" i="6"/>
  <c r="A395" i="6"/>
  <c r="AC394" i="6"/>
  <c r="AB394" i="6"/>
  <c r="AA394" i="6"/>
  <c r="Z394" i="6"/>
  <c r="Y394" i="6"/>
  <c r="X394" i="6"/>
  <c r="W394" i="6"/>
  <c r="V394" i="6"/>
  <c r="U394" i="6"/>
  <c r="T394" i="6"/>
  <c r="S394" i="6"/>
  <c r="R394" i="6"/>
  <c r="Q394" i="6"/>
  <c r="P394" i="6"/>
  <c r="O394" i="6"/>
  <c r="N394" i="6"/>
  <c r="M394" i="6"/>
  <c r="L394" i="6"/>
  <c r="K394" i="6"/>
  <c r="J394" i="6"/>
  <c r="H394" i="6"/>
  <c r="G394" i="6"/>
  <c r="F394" i="6"/>
  <c r="E394" i="6"/>
  <c r="D394" i="6"/>
  <c r="C394" i="6"/>
  <c r="B394" i="6"/>
  <c r="A394" i="6"/>
  <c r="AD393" i="6"/>
  <c r="AC393" i="6"/>
  <c r="AB393" i="6"/>
  <c r="AA393" i="6"/>
  <c r="Z393" i="6"/>
  <c r="Y393" i="6"/>
  <c r="X393" i="6"/>
  <c r="W393" i="6"/>
  <c r="V393" i="6"/>
  <c r="U393" i="6"/>
  <c r="T393" i="6"/>
  <c r="S393" i="6"/>
  <c r="R393" i="6"/>
  <c r="Q393" i="6"/>
  <c r="P393" i="6"/>
  <c r="O393" i="6"/>
  <c r="N393" i="6"/>
  <c r="M393" i="6"/>
  <c r="L393" i="6"/>
  <c r="K393" i="6"/>
  <c r="J393" i="6"/>
  <c r="I393" i="6"/>
  <c r="H393" i="6"/>
  <c r="G393" i="6"/>
  <c r="F393" i="6"/>
  <c r="E393" i="6"/>
  <c r="D393" i="6"/>
  <c r="C393" i="6"/>
  <c r="B393" i="6"/>
  <c r="A393" i="6"/>
  <c r="AD392" i="6"/>
  <c r="AC392" i="6"/>
  <c r="AB392" i="6"/>
  <c r="AA392" i="6"/>
  <c r="Z392" i="6"/>
  <c r="Y392" i="6"/>
  <c r="X392" i="6"/>
  <c r="W392" i="6"/>
  <c r="V392" i="6"/>
  <c r="U392" i="6"/>
  <c r="T392" i="6"/>
  <c r="S392" i="6"/>
  <c r="R392" i="6"/>
  <c r="Q392" i="6"/>
  <c r="P392" i="6"/>
  <c r="O392" i="6"/>
  <c r="N392" i="6"/>
  <c r="M392" i="6"/>
  <c r="L392" i="6"/>
  <c r="K392" i="6"/>
  <c r="J392" i="6"/>
  <c r="I392" i="6"/>
  <c r="H392" i="6"/>
  <c r="G392" i="6"/>
  <c r="F392" i="6"/>
  <c r="E392" i="6"/>
  <c r="D392" i="6"/>
  <c r="C392" i="6"/>
  <c r="B392" i="6"/>
  <c r="A392" i="6"/>
  <c r="AC391" i="6"/>
  <c r="AB391" i="6"/>
  <c r="AA391" i="6"/>
  <c r="Z391" i="6"/>
  <c r="Y391" i="6"/>
  <c r="X391" i="6"/>
  <c r="W391" i="6"/>
  <c r="V391" i="6"/>
  <c r="U391" i="6"/>
  <c r="T391" i="6"/>
  <c r="S391" i="6"/>
  <c r="R391" i="6"/>
  <c r="Q391" i="6"/>
  <c r="P391" i="6"/>
  <c r="O391" i="6"/>
  <c r="N391" i="6"/>
  <c r="M391" i="6"/>
  <c r="L391" i="6"/>
  <c r="K391" i="6"/>
  <c r="J391" i="6"/>
  <c r="H391" i="6"/>
  <c r="G391" i="6"/>
  <c r="F391" i="6"/>
  <c r="E391" i="6"/>
  <c r="D391" i="6"/>
  <c r="C391" i="6"/>
  <c r="B391" i="6"/>
  <c r="A391" i="6"/>
  <c r="AC390" i="6"/>
  <c r="AB390" i="6"/>
  <c r="AA390" i="6"/>
  <c r="Z390" i="6"/>
  <c r="Y390" i="6"/>
  <c r="X390" i="6"/>
  <c r="W390" i="6"/>
  <c r="V390" i="6"/>
  <c r="U390" i="6"/>
  <c r="T390" i="6"/>
  <c r="S390" i="6"/>
  <c r="R390" i="6"/>
  <c r="Q390" i="6"/>
  <c r="P390" i="6"/>
  <c r="O390" i="6"/>
  <c r="N390" i="6"/>
  <c r="M390" i="6"/>
  <c r="L390" i="6"/>
  <c r="K390" i="6"/>
  <c r="J390" i="6"/>
  <c r="H390" i="6"/>
  <c r="G390" i="6"/>
  <c r="F390" i="6"/>
  <c r="E390" i="6"/>
  <c r="D390" i="6"/>
  <c r="C390" i="6"/>
  <c r="B390" i="6"/>
  <c r="A390" i="6"/>
  <c r="AC389" i="6"/>
  <c r="AB389" i="6"/>
  <c r="AA389" i="6"/>
  <c r="Z389" i="6"/>
  <c r="Y389" i="6"/>
  <c r="X389" i="6"/>
  <c r="W389" i="6"/>
  <c r="V389" i="6"/>
  <c r="U389" i="6"/>
  <c r="T389" i="6"/>
  <c r="S389" i="6"/>
  <c r="R389" i="6"/>
  <c r="Q389" i="6"/>
  <c r="P389" i="6"/>
  <c r="O389" i="6"/>
  <c r="N389" i="6"/>
  <c r="M389" i="6"/>
  <c r="L389" i="6"/>
  <c r="K389" i="6"/>
  <c r="J389" i="6"/>
  <c r="H389" i="6"/>
  <c r="G389" i="6"/>
  <c r="F389" i="6"/>
  <c r="E389" i="6"/>
  <c r="D389" i="6"/>
  <c r="C389" i="6"/>
  <c r="B389" i="6"/>
  <c r="A389" i="6"/>
  <c r="AC388" i="6"/>
  <c r="AB388" i="6"/>
  <c r="AA388" i="6"/>
  <c r="Z388" i="6"/>
  <c r="Y388" i="6"/>
  <c r="X388" i="6"/>
  <c r="W388" i="6"/>
  <c r="V388" i="6"/>
  <c r="U388" i="6"/>
  <c r="T388" i="6"/>
  <c r="S388" i="6"/>
  <c r="R388" i="6"/>
  <c r="Q388" i="6"/>
  <c r="P388" i="6"/>
  <c r="O388" i="6"/>
  <c r="N388" i="6"/>
  <c r="M388" i="6"/>
  <c r="L388" i="6"/>
  <c r="K388" i="6"/>
  <c r="J388" i="6"/>
  <c r="H388" i="6"/>
  <c r="G388" i="6"/>
  <c r="F388" i="6"/>
  <c r="E388" i="6"/>
  <c r="D388" i="6"/>
  <c r="C388" i="6"/>
  <c r="B388" i="6"/>
  <c r="A388" i="6"/>
  <c r="AC387" i="6"/>
  <c r="AB387" i="6"/>
  <c r="AA387" i="6"/>
  <c r="Z387" i="6"/>
  <c r="Y387" i="6"/>
  <c r="X387" i="6"/>
  <c r="W387" i="6"/>
  <c r="V387" i="6"/>
  <c r="U387" i="6"/>
  <c r="T387" i="6"/>
  <c r="S387" i="6"/>
  <c r="R387" i="6"/>
  <c r="Q387" i="6"/>
  <c r="P387" i="6"/>
  <c r="O387" i="6"/>
  <c r="N387" i="6"/>
  <c r="M387" i="6"/>
  <c r="L387" i="6"/>
  <c r="K387" i="6"/>
  <c r="J387" i="6"/>
  <c r="H387" i="6"/>
  <c r="G387" i="6"/>
  <c r="F387" i="6"/>
  <c r="E387" i="6"/>
  <c r="D387" i="6"/>
  <c r="C387" i="6"/>
  <c r="B387" i="6"/>
  <c r="A387" i="6"/>
  <c r="AC386" i="6"/>
  <c r="AB386" i="6"/>
  <c r="AA386" i="6"/>
  <c r="Z386" i="6"/>
  <c r="Y386" i="6"/>
  <c r="X386" i="6"/>
  <c r="W386" i="6"/>
  <c r="V386" i="6"/>
  <c r="U386" i="6"/>
  <c r="T386" i="6"/>
  <c r="S386" i="6"/>
  <c r="R386" i="6"/>
  <c r="Q386" i="6"/>
  <c r="P386" i="6"/>
  <c r="O386" i="6"/>
  <c r="N386" i="6"/>
  <c r="M386" i="6"/>
  <c r="L386" i="6"/>
  <c r="K386" i="6"/>
  <c r="J386" i="6"/>
  <c r="H386" i="6"/>
  <c r="G386" i="6"/>
  <c r="F386" i="6"/>
  <c r="E386" i="6"/>
  <c r="D386" i="6"/>
  <c r="C386" i="6"/>
  <c r="B386" i="6"/>
  <c r="A386" i="6"/>
  <c r="AD385" i="6"/>
  <c r="AC385" i="6"/>
  <c r="AB385" i="6"/>
  <c r="AA385" i="6"/>
  <c r="Z385" i="6"/>
  <c r="Y385" i="6"/>
  <c r="X385" i="6"/>
  <c r="W385" i="6"/>
  <c r="V385" i="6"/>
  <c r="U385" i="6"/>
  <c r="T385" i="6"/>
  <c r="S385" i="6"/>
  <c r="R385" i="6"/>
  <c r="Q385" i="6"/>
  <c r="P385" i="6"/>
  <c r="O385" i="6"/>
  <c r="N385" i="6"/>
  <c r="M385" i="6"/>
  <c r="L385" i="6"/>
  <c r="K385" i="6"/>
  <c r="J385" i="6"/>
  <c r="I385" i="6"/>
  <c r="H385" i="6"/>
  <c r="G385" i="6"/>
  <c r="F385" i="6"/>
  <c r="E385" i="6"/>
  <c r="D385" i="6"/>
  <c r="C385" i="6"/>
  <c r="B385" i="6"/>
  <c r="A385" i="6"/>
  <c r="AD384" i="6"/>
  <c r="AC384" i="6"/>
  <c r="AB384" i="6"/>
  <c r="AA384" i="6"/>
  <c r="Z384" i="6"/>
  <c r="Y384" i="6"/>
  <c r="X384" i="6"/>
  <c r="W384" i="6"/>
  <c r="V384" i="6"/>
  <c r="U384" i="6"/>
  <c r="T384" i="6"/>
  <c r="S384" i="6"/>
  <c r="R384" i="6"/>
  <c r="Q384" i="6"/>
  <c r="P384" i="6"/>
  <c r="O384" i="6"/>
  <c r="N384" i="6"/>
  <c r="M384" i="6"/>
  <c r="L384" i="6"/>
  <c r="K384" i="6"/>
  <c r="J384" i="6"/>
  <c r="I384" i="6"/>
  <c r="H384" i="6"/>
  <c r="G384" i="6"/>
  <c r="F384" i="6"/>
  <c r="E384" i="6"/>
  <c r="D384" i="6"/>
  <c r="C384" i="6"/>
  <c r="B384" i="6"/>
  <c r="A384" i="6"/>
  <c r="AD383" i="6"/>
  <c r="AC383" i="6"/>
  <c r="AB383" i="6"/>
  <c r="AA383" i="6"/>
  <c r="Z383" i="6"/>
  <c r="Y383" i="6"/>
  <c r="X383" i="6"/>
  <c r="W383" i="6"/>
  <c r="V383" i="6"/>
  <c r="U383" i="6"/>
  <c r="T383" i="6"/>
  <c r="S383" i="6"/>
  <c r="R383" i="6"/>
  <c r="Q383" i="6"/>
  <c r="P383" i="6"/>
  <c r="O383" i="6"/>
  <c r="N383" i="6"/>
  <c r="M383" i="6"/>
  <c r="L383" i="6"/>
  <c r="K383" i="6"/>
  <c r="J383" i="6"/>
  <c r="I383" i="6"/>
  <c r="H383" i="6"/>
  <c r="G383" i="6"/>
  <c r="F383" i="6"/>
  <c r="E383" i="6"/>
  <c r="D383" i="6"/>
  <c r="C383" i="6"/>
  <c r="B383" i="6"/>
  <c r="A383" i="6"/>
  <c r="AC382" i="6"/>
  <c r="AB382" i="6"/>
  <c r="AA382" i="6"/>
  <c r="Z382" i="6"/>
  <c r="Y382" i="6"/>
  <c r="X382" i="6"/>
  <c r="W382" i="6"/>
  <c r="V382" i="6"/>
  <c r="U382" i="6"/>
  <c r="T382" i="6"/>
  <c r="S382" i="6"/>
  <c r="R382" i="6"/>
  <c r="Q382" i="6"/>
  <c r="P382" i="6"/>
  <c r="O382" i="6"/>
  <c r="N382" i="6"/>
  <c r="M382" i="6"/>
  <c r="L382" i="6"/>
  <c r="K382" i="6"/>
  <c r="J382" i="6"/>
  <c r="H382" i="6"/>
  <c r="G382" i="6"/>
  <c r="F382" i="6"/>
  <c r="E382" i="6"/>
  <c r="D382" i="6"/>
  <c r="C382" i="6"/>
  <c r="B382" i="6"/>
  <c r="A382" i="6"/>
  <c r="AD381" i="6"/>
  <c r="AC381" i="6"/>
  <c r="AB381" i="6"/>
  <c r="AA381" i="6"/>
  <c r="Z381" i="6"/>
  <c r="Y381" i="6"/>
  <c r="X381" i="6"/>
  <c r="W381" i="6"/>
  <c r="V381" i="6"/>
  <c r="U381" i="6"/>
  <c r="T381" i="6"/>
  <c r="S381" i="6"/>
  <c r="R381" i="6"/>
  <c r="Q381" i="6"/>
  <c r="P381" i="6"/>
  <c r="O381" i="6"/>
  <c r="N381" i="6"/>
  <c r="M381" i="6"/>
  <c r="L381" i="6"/>
  <c r="K381" i="6"/>
  <c r="J381" i="6"/>
  <c r="I381" i="6"/>
  <c r="H381" i="6"/>
  <c r="G381" i="6"/>
  <c r="F381" i="6"/>
  <c r="E381" i="6"/>
  <c r="D381" i="6"/>
  <c r="C381" i="6"/>
  <c r="B381" i="6"/>
  <c r="A381" i="6"/>
  <c r="AD380" i="6"/>
  <c r="AC380" i="6"/>
  <c r="AB380" i="6"/>
  <c r="AA380" i="6"/>
  <c r="Z380" i="6"/>
  <c r="Y380" i="6"/>
  <c r="X380" i="6"/>
  <c r="W380" i="6"/>
  <c r="V380" i="6"/>
  <c r="U380" i="6"/>
  <c r="T380" i="6"/>
  <c r="S380" i="6"/>
  <c r="R380" i="6"/>
  <c r="Q380" i="6"/>
  <c r="P380" i="6"/>
  <c r="O380" i="6"/>
  <c r="N380" i="6"/>
  <c r="M380" i="6"/>
  <c r="L380" i="6"/>
  <c r="K380" i="6"/>
  <c r="J380" i="6"/>
  <c r="I380" i="6"/>
  <c r="H380" i="6"/>
  <c r="G380" i="6"/>
  <c r="F380" i="6"/>
  <c r="E380" i="6"/>
  <c r="D380" i="6"/>
  <c r="C380" i="6"/>
  <c r="B380" i="6"/>
  <c r="A380" i="6"/>
  <c r="AC379" i="6"/>
  <c r="AB379" i="6"/>
  <c r="AA379" i="6"/>
  <c r="Z379" i="6"/>
  <c r="Y379" i="6"/>
  <c r="X379" i="6"/>
  <c r="W379" i="6"/>
  <c r="V379" i="6"/>
  <c r="U379" i="6"/>
  <c r="T379" i="6"/>
  <c r="S379" i="6"/>
  <c r="R379" i="6"/>
  <c r="Q379" i="6"/>
  <c r="P379" i="6"/>
  <c r="O379" i="6"/>
  <c r="N379" i="6"/>
  <c r="M379" i="6"/>
  <c r="L379" i="6"/>
  <c r="K379" i="6"/>
  <c r="J379" i="6"/>
  <c r="H379" i="6"/>
  <c r="G379" i="6"/>
  <c r="F379" i="6"/>
  <c r="E379" i="6"/>
  <c r="D379" i="6"/>
  <c r="C379" i="6"/>
  <c r="B379" i="6"/>
  <c r="A379" i="6"/>
  <c r="AD378" i="6"/>
  <c r="AC378" i="6"/>
  <c r="AB378" i="6"/>
  <c r="AA378" i="6"/>
  <c r="Z378" i="6"/>
  <c r="Y378" i="6"/>
  <c r="X378" i="6"/>
  <c r="W378" i="6"/>
  <c r="V378" i="6"/>
  <c r="U378" i="6"/>
  <c r="T378" i="6"/>
  <c r="S378" i="6"/>
  <c r="R378" i="6"/>
  <c r="Q378" i="6"/>
  <c r="P378" i="6"/>
  <c r="O378" i="6"/>
  <c r="N378" i="6"/>
  <c r="M378" i="6"/>
  <c r="L378" i="6"/>
  <c r="K378" i="6"/>
  <c r="J378" i="6"/>
  <c r="I378" i="6"/>
  <c r="H378" i="6"/>
  <c r="G378" i="6"/>
  <c r="F378" i="6"/>
  <c r="E378" i="6"/>
  <c r="D378" i="6"/>
  <c r="C378" i="6"/>
  <c r="B378" i="6"/>
  <c r="A378" i="6"/>
  <c r="AC377" i="6"/>
  <c r="AB377" i="6"/>
  <c r="AA377" i="6"/>
  <c r="Z377" i="6"/>
  <c r="Y377" i="6"/>
  <c r="X377" i="6"/>
  <c r="W377" i="6"/>
  <c r="V377" i="6"/>
  <c r="U377" i="6"/>
  <c r="T377" i="6"/>
  <c r="S377" i="6"/>
  <c r="R377" i="6"/>
  <c r="Q377" i="6"/>
  <c r="P377" i="6"/>
  <c r="O377" i="6"/>
  <c r="N377" i="6"/>
  <c r="M377" i="6"/>
  <c r="L377" i="6"/>
  <c r="K377" i="6"/>
  <c r="J377" i="6"/>
  <c r="H377" i="6"/>
  <c r="G377" i="6"/>
  <c r="F377" i="6"/>
  <c r="E377" i="6"/>
  <c r="D377" i="6"/>
  <c r="C377" i="6"/>
  <c r="B377" i="6"/>
  <c r="A377" i="6"/>
  <c r="AC376" i="6"/>
  <c r="AB376" i="6"/>
  <c r="AA376" i="6"/>
  <c r="Z376" i="6"/>
  <c r="Y376" i="6"/>
  <c r="X376" i="6"/>
  <c r="W376" i="6"/>
  <c r="V376" i="6"/>
  <c r="U376" i="6"/>
  <c r="T376" i="6"/>
  <c r="S376" i="6"/>
  <c r="R376" i="6"/>
  <c r="Q376" i="6"/>
  <c r="P376" i="6"/>
  <c r="O376" i="6"/>
  <c r="N376" i="6"/>
  <c r="M376" i="6"/>
  <c r="L376" i="6"/>
  <c r="K376" i="6"/>
  <c r="J376" i="6"/>
  <c r="H376" i="6"/>
  <c r="G376" i="6"/>
  <c r="F376" i="6"/>
  <c r="E376" i="6"/>
  <c r="D376" i="6"/>
  <c r="C376" i="6"/>
  <c r="B376" i="6"/>
  <c r="A376" i="6"/>
  <c r="AD375" i="6"/>
  <c r="AC375" i="6"/>
  <c r="AB375" i="6"/>
  <c r="AA375" i="6"/>
  <c r="Z375" i="6"/>
  <c r="Y375" i="6"/>
  <c r="X375" i="6"/>
  <c r="W375" i="6"/>
  <c r="V375" i="6"/>
  <c r="U375" i="6"/>
  <c r="T375" i="6"/>
  <c r="S375" i="6"/>
  <c r="R375" i="6"/>
  <c r="Q375" i="6"/>
  <c r="P375" i="6"/>
  <c r="O375" i="6"/>
  <c r="N375" i="6"/>
  <c r="M375" i="6"/>
  <c r="L375" i="6"/>
  <c r="K375" i="6"/>
  <c r="J375" i="6"/>
  <c r="I375" i="6"/>
  <c r="H375" i="6"/>
  <c r="G375" i="6"/>
  <c r="F375" i="6"/>
  <c r="E375" i="6"/>
  <c r="D375" i="6"/>
  <c r="C375" i="6"/>
  <c r="B375" i="6"/>
  <c r="A375" i="6"/>
  <c r="AD374" i="6"/>
  <c r="AC374" i="6"/>
  <c r="AB374" i="6"/>
  <c r="AA374" i="6"/>
  <c r="Z374" i="6"/>
  <c r="Y374" i="6"/>
  <c r="X374" i="6"/>
  <c r="W374" i="6"/>
  <c r="V374" i="6"/>
  <c r="U374" i="6"/>
  <c r="T374" i="6"/>
  <c r="S374" i="6"/>
  <c r="R374" i="6"/>
  <c r="Q374" i="6"/>
  <c r="P374" i="6"/>
  <c r="O374" i="6"/>
  <c r="N374" i="6"/>
  <c r="M374" i="6"/>
  <c r="L374" i="6"/>
  <c r="K374" i="6"/>
  <c r="J374" i="6"/>
  <c r="I374" i="6"/>
  <c r="H374" i="6"/>
  <c r="G374" i="6"/>
  <c r="F374" i="6"/>
  <c r="E374" i="6"/>
  <c r="D374" i="6"/>
  <c r="C374" i="6"/>
  <c r="B374" i="6"/>
  <c r="A374" i="6"/>
  <c r="AD373" i="6"/>
  <c r="AC373" i="6"/>
  <c r="AB373" i="6"/>
  <c r="AA373" i="6"/>
  <c r="Z373" i="6"/>
  <c r="Y373" i="6"/>
  <c r="X373" i="6"/>
  <c r="W373" i="6"/>
  <c r="V373" i="6"/>
  <c r="U373" i="6"/>
  <c r="T373" i="6"/>
  <c r="S373" i="6"/>
  <c r="R373" i="6"/>
  <c r="Q373" i="6"/>
  <c r="P373" i="6"/>
  <c r="O373" i="6"/>
  <c r="N373" i="6"/>
  <c r="M373" i="6"/>
  <c r="L373" i="6"/>
  <c r="K373" i="6"/>
  <c r="J373" i="6"/>
  <c r="I373" i="6"/>
  <c r="H373" i="6"/>
  <c r="G373" i="6"/>
  <c r="F373" i="6"/>
  <c r="E373" i="6"/>
  <c r="D373" i="6"/>
  <c r="C373" i="6"/>
  <c r="B373" i="6"/>
  <c r="A373" i="6"/>
  <c r="AD372" i="6"/>
  <c r="AC372" i="6"/>
  <c r="AB372" i="6"/>
  <c r="AA372" i="6"/>
  <c r="Z372" i="6"/>
  <c r="Y372" i="6"/>
  <c r="X372" i="6"/>
  <c r="W372" i="6"/>
  <c r="V372" i="6"/>
  <c r="U372" i="6"/>
  <c r="T372" i="6"/>
  <c r="S372" i="6"/>
  <c r="R372" i="6"/>
  <c r="Q372" i="6"/>
  <c r="P372" i="6"/>
  <c r="O372" i="6"/>
  <c r="N372" i="6"/>
  <c r="M372" i="6"/>
  <c r="L372" i="6"/>
  <c r="K372" i="6"/>
  <c r="J372" i="6"/>
  <c r="I372" i="6"/>
  <c r="H372" i="6"/>
  <c r="G372" i="6"/>
  <c r="F372" i="6"/>
  <c r="E372" i="6"/>
  <c r="D372" i="6"/>
  <c r="C372" i="6"/>
  <c r="B372" i="6"/>
  <c r="A372" i="6"/>
  <c r="AD371" i="6"/>
  <c r="AC371" i="6"/>
  <c r="AB371" i="6"/>
  <c r="AA371" i="6"/>
  <c r="Z371" i="6"/>
  <c r="Y371" i="6"/>
  <c r="X371" i="6"/>
  <c r="W371" i="6"/>
  <c r="V371" i="6"/>
  <c r="U371" i="6"/>
  <c r="T371" i="6"/>
  <c r="S371" i="6"/>
  <c r="R371" i="6"/>
  <c r="Q371" i="6"/>
  <c r="P371" i="6"/>
  <c r="O371" i="6"/>
  <c r="N371" i="6"/>
  <c r="M371" i="6"/>
  <c r="L371" i="6"/>
  <c r="K371" i="6"/>
  <c r="J371" i="6"/>
  <c r="I371" i="6"/>
  <c r="H371" i="6"/>
  <c r="G371" i="6"/>
  <c r="F371" i="6"/>
  <c r="E371" i="6"/>
  <c r="D371" i="6"/>
  <c r="C371" i="6"/>
  <c r="B371" i="6"/>
  <c r="A371" i="6"/>
  <c r="AC370" i="6"/>
  <c r="AB370" i="6"/>
  <c r="AA370" i="6"/>
  <c r="Z370" i="6"/>
  <c r="Y370" i="6"/>
  <c r="X370" i="6"/>
  <c r="W370" i="6"/>
  <c r="V370" i="6"/>
  <c r="U370" i="6"/>
  <c r="T370" i="6"/>
  <c r="S370" i="6"/>
  <c r="R370" i="6"/>
  <c r="Q370" i="6"/>
  <c r="P370" i="6"/>
  <c r="O370" i="6"/>
  <c r="N370" i="6"/>
  <c r="M370" i="6"/>
  <c r="L370" i="6"/>
  <c r="K370" i="6"/>
  <c r="J370" i="6"/>
  <c r="H370" i="6"/>
  <c r="G370" i="6"/>
  <c r="F370" i="6"/>
  <c r="E370" i="6"/>
  <c r="D370" i="6"/>
  <c r="C370" i="6"/>
  <c r="B370" i="6"/>
  <c r="A370" i="6"/>
  <c r="AC369" i="6"/>
  <c r="AB369" i="6"/>
  <c r="AA369" i="6"/>
  <c r="Z369" i="6"/>
  <c r="Y369" i="6"/>
  <c r="X369" i="6"/>
  <c r="W369" i="6"/>
  <c r="V369" i="6"/>
  <c r="U369" i="6"/>
  <c r="T369" i="6"/>
  <c r="S369" i="6"/>
  <c r="R369" i="6"/>
  <c r="Q369" i="6"/>
  <c r="P369" i="6"/>
  <c r="O369" i="6"/>
  <c r="N369" i="6"/>
  <c r="M369" i="6"/>
  <c r="L369" i="6"/>
  <c r="K369" i="6"/>
  <c r="J369" i="6"/>
  <c r="H369" i="6"/>
  <c r="G369" i="6"/>
  <c r="F369" i="6"/>
  <c r="E369" i="6"/>
  <c r="D369" i="6"/>
  <c r="C369" i="6"/>
  <c r="B369" i="6"/>
  <c r="A369" i="6"/>
  <c r="AC368" i="6"/>
  <c r="AB368" i="6"/>
  <c r="AA368" i="6"/>
  <c r="Z368" i="6"/>
  <c r="Y368" i="6"/>
  <c r="X368" i="6"/>
  <c r="W368" i="6"/>
  <c r="V368" i="6"/>
  <c r="U368" i="6"/>
  <c r="T368" i="6"/>
  <c r="S368" i="6"/>
  <c r="R368" i="6"/>
  <c r="Q368" i="6"/>
  <c r="P368" i="6"/>
  <c r="O368" i="6"/>
  <c r="N368" i="6"/>
  <c r="M368" i="6"/>
  <c r="L368" i="6"/>
  <c r="K368" i="6"/>
  <c r="J368" i="6"/>
  <c r="H368" i="6"/>
  <c r="G368" i="6"/>
  <c r="F368" i="6"/>
  <c r="E368" i="6"/>
  <c r="D368" i="6"/>
  <c r="C368" i="6"/>
  <c r="B368" i="6"/>
  <c r="A368" i="6"/>
  <c r="AD367" i="6"/>
  <c r="AC367" i="6"/>
  <c r="AB367" i="6"/>
  <c r="AA367" i="6"/>
  <c r="Z367" i="6"/>
  <c r="Y367" i="6"/>
  <c r="X367" i="6"/>
  <c r="W367" i="6"/>
  <c r="V367" i="6"/>
  <c r="U367" i="6"/>
  <c r="T367" i="6"/>
  <c r="S367" i="6"/>
  <c r="R367" i="6"/>
  <c r="Q367" i="6"/>
  <c r="P367" i="6"/>
  <c r="O367" i="6"/>
  <c r="N367" i="6"/>
  <c r="M367" i="6"/>
  <c r="L367" i="6"/>
  <c r="K367" i="6"/>
  <c r="J367" i="6"/>
  <c r="I367" i="6"/>
  <c r="H367" i="6"/>
  <c r="G367" i="6"/>
  <c r="F367" i="6"/>
  <c r="E367" i="6"/>
  <c r="D367" i="6"/>
  <c r="C367" i="6"/>
  <c r="B367" i="6"/>
  <c r="A367" i="6"/>
  <c r="AD366" i="6"/>
  <c r="AC366" i="6"/>
  <c r="AB366" i="6"/>
  <c r="AA366" i="6"/>
  <c r="Z366" i="6"/>
  <c r="Y366" i="6"/>
  <c r="X366" i="6"/>
  <c r="W366" i="6"/>
  <c r="V366" i="6"/>
  <c r="U366" i="6"/>
  <c r="T366" i="6"/>
  <c r="S366" i="6"/>
  <c r="R366" i="6"/>
  <c r="Q366" i="6"/>
  <c r="P366" i="6"/>
  <c r="O366" i="6"/>
  <c r="N366" i="6"/>
  <c r="M366" i="6"/>
  <c r="L366" i="6"/>
  <c r="K366" i="6"/>
  <c r="J366" i="6"/>
  <c r="I366" i="6"/>
  <c r="H366" i="6"/>
  <c r="G366" i="6"/>
  <c r="F366" i="6"/>
  <c r="E366" i="6"/>
  <c r="D366" i="6"/>
  <c r="C366" i="6"/>
  <c r="B366" i="6"/>
  <c r="A366" i="6"/>
  <c r="AD365" i="6"/>
  <c r="AC365" i="6"/>
  <c r="AB365" i="6"/>
  <c r="AA365" i="6"/>
  <c r="Z365" i="6"/>
  <c r="Y365" i="6"/>
  <c r="X365" i="6"/>
  <c r="W365" i="6"/>
  <c r="V365" i="6"/>
  <c r="U365" i="6"/>
  <c r="T365" i="6"/>
  <c r="S365" i="6"/>
  <c r="R365" i="6"/>
  <c r="Q365" i="6"/>
  <c r="P365" i="6"/>
  <c r="O365" i="6"/>
  <c r="N365" i="6"/>
  <c r="M365" i="6"/>
  <c r="L365" i="6"/>
  <c r="K365" i="6"/>
  <c r="J365" i="6"/>
  <c r="I365" i="6"/>
  <c r="H365" i="6"/>
  <c r="G365" i="6"/>
  <c r="F365" i="6"/>
  <c r="E365" i="6"/>
  <c r="D365" i="6"/>
  <c r="C365" i="6"/>
  <c r="B365" i="6"/>
  <c r="A365" i="6"/>
  <c r="AD364" i="6"/>
  <c r="AC364" i="6"/>
  <c r="AB364" i="6"/>
  <c r="AA364" i="6"/>
  <c r="Z364" i="6"/>
  <c r="Y364" i="6"/>
  <c r="X364" i="6"/>
  <c r="W364" i="6"/>
  <c r="V364" i="6"/>
  <c r="U364" i="6"/>
  <c r="T364" i="6"/>
  <c r="S364" i="6"/>
  <c r="R364" i="6"/>
  <c r="Q364" i="6"/>
  <c r="P364" i="6"/>
  <c r="O364" i="6"/>
  <c r="N364" i="6"/>
  <c r="M364" i="6"/>
  <c r="L364" i="6"/>
  <c r="K364" i="6"/>
  <c r="J364" i="6"/>
  <c r="I364" i="6"/>
  <c r="H364" i="6"/>
  <c r="G364" i="6"/>
  <c r="F364" i="6"/>
  <c r="E364" i="6"/>
  <c r="D364" i="6"/>
  <c r="C364" i="6"/>
  <c r="B364" i="6"/>
  <c r="A364" i="6"/>
  <c r="AD363" i="6"/>
  <c r="AC363" i="6"/>
  <c r="AB363" i="6"/>
  <c r="AA363" i="6"/>
  <c r="Z363" i="6"/>
  <c r="Y363" i="6"/>
  <c r="X363" i="6"/>
  <c r="W363" i="6"/>
  <c r="V363" i="6"/>
  <c r="U363" i="6"/>
  <c r="T363" i="6"/>
  <c r="S363" i="6"/>
  <c r="R363" i="6"/>
  <c r="Q363" i="6"/>
  <c r="P363" i="6"/>
  <c r="O363" i="6"/>
  <c r="N363" i="6"/>
  <c r="M363" i="6"/>
  <c r="L363" i="6"/>
  <c r="K363" i="6"/>
  <c r="J363" i="6"/>
  <c r="I363" i="6"/>
  <c r="H363" i="6"/>
  <c r="G363" i="6"/>
  <c r="F363" i="6"/>
  <c r="E363" i="6"/>
  <c r="D363" i="6"/>
  <c r="C363" i="6"/>
  <c r="B363" i="6"/>
  <c r="A363" i="6"/>
  <c r="AD362" i="6"/>
  <c r="AC362" i="6"/>
  <c r="AB362" i="6"/>
  <c r="AA362" i="6"/>
  <c r="Z362" i="6"/>
  <c r="Y362" i="6"/>
  <c r="X362" i="6"/>
  <c r="W362" i="6"/>
  <c r="V362" i="6"/>
  <c r="U362" i="6"/>
  <c r="T362" i="6"/>
  <c r="S362" i="6"/>
  <c r="R362" i="6"/>
  <c r="Q362" i="6"/>
  <c r="P362" i="6"/>
  <c r="O362" i="6"/>
  <c r="N362" i="6"/>
  <c r="M362" i="6"/>
  <c r="L362" i="6"/>
  <c r="K362" i="6"/>
  <c r="J362" i="6"/>
  <c r="I362" i="6"/>
  <c r="H362" i="6"/>
  <c r="G362" i="6"/>
  <c r="F362" i="6"/>
  <c r="E362" i="6"/>
  <c r="D362" i="6"/>
  <c r="C362" i="6"/>
  <c r="B362" i="6"/>
  <c r="A362" i="6"/>
  <c r="AD361" i="6"/>
  <c r="AC361" i="6"/>
  <c r="AB361" i="6"/>
  <c r="AA361" i="6"/>
  <c r="Z361" i="6"/>
  <c r="Y361" i="6"/>
  <c r="X361" i="6"/>
  <c r="W361" i="6"/>
  <c r="V361" i="6"/>
  <c r="U361" i="6"/>
  <c r="T361" i="6"/>
  <c r="S361" i="6"/>
  <c r="R361" i="6"/>
  <c r="Q361" i="6"/>
  <c r="P361" i="6"/>
  <c r="O361" i="6"/>
  <c r="N361" i="6"/>
  <c r="M361" i="6"/>
  <c r="L361" i="6"/>
  <c r="K361" i="6"/>
  <c r="J361" i="6"/>
  <c r="I361" i="6"/>
  <c r="H361" i="6"/>
  <c r="G361" i="6"/>
  <c r="F361" i="6"/>
  <c r="E361" i="6"/>
  <c r="D361" i="6"/>
  <c r="C361" i="6"/>
  <c r="B361" i="6"/>
  <c r="A361" i="6"/>
  <c r="AD360" i="6"/>
  <c r="AC360" i="6"/>
  <c r="AB360" i="6"/>
  <c r="AA360" i="6"/>
  <c r="Z360" i="6"/>
  <c r="Y360" i="6"/>
  <c r="X360" i="6"/>
  <c r="W360" i="6"/>
  <c r="V360" i="6"/>
  <c r="U360" i="6"/>
  <c r="T360" i="6"/>
  <c r="S360" i="6"/>
  <c r="R360" i="6"/>
  <c r="Q360" i="6"/>
  <c r="P360" i="6"/>
  <c r="O360" i="6"/>
  <c r="N360" i="6"/>
  <c r="M360" i="6"/>
  <c r="L360" i="6"/>
  <c r="K360" i="6"/>
  <c r="J360" i="6"/>
  <c r="I360" i="6"/>
  <c r="H360" i="6"/>
  <c r="G360" i="6"/>
  <c r="F360" i="6"/>
  <c r="E360" i="6"/>
  <c r="D360" i="6"/>
  <c r="C360" i="6"/>
  <c r="B360" i="6"/>
  <c r="A360" i="6"/>
  <c r="AC359" i="6"/>
  <c r="AB359" i="6"/>
  <c r="AA359" i="6"/>
  <c r="Z359" i="6"/>
  <c r="Y359" i="6"/>
  <c r="X359" i="6"/>
  <c r="W359" i="6"/>
  <c r="V359" i="6"/>
  <c r="U359" i="6"/>
  <c r="T359" i="6"/>
  <c r="S359" i="6"/>
  <c r="R359" i="6"/>
  <c r="Q359" i="6"/>
  <c r="P359" i="6"/>
  <c r="O359" i="6"/>
  <c r="N359" i="6"/>
  <c r="M359" i="6"/>
  <c r="L359" i="6"/>
  <c r="K359" i="6"/>
  <c r="J359" i="6"/>
  <c r="H359" i="6"/>
  <c r="G359" i="6"/>
  <c r="F359" i="6"/>
  <c r="E359" i="6"/>
  <c r="D359" i="6"/>
  <c r="C359" i="6"/>
  <c r="B359" i="6"/>
  <c r="A359" i="6"/>
  <c r="AD358" i="6"/>
  <c r="AC358" i="6"/>
  <c r="AB358" i="6"/>
  <c r="AA358" i="6"/>
  <c r="Z358" i="6"/>
  <c r="Y358" i="6"/>
  <c r="X358" i="6"/>
  <c r="W358" i="6"/>
  <c r="V358" i="6"/>
  <c r="U358" i="6"/>
  <c r="T358" i="6"/>
  <c r="S358" i="6"/>
  <c r="R358" i="6"/>
  <c r="Q358" i="6"/>
  <c r="P358" i="6"/>
  <c r="O358" i="6"/>
  <c r="N358" i="6"/>
  <c r="M358" i="6"/>
  <c r="L358" i="6"/>
  <c r="K358" i="6"/>
  <c r="J358" i="6"/>
  <c r="I358" i="6"/>
  <c r="H358" i="6"/>
  <c r="G358" i="6"/>
  <c r="F358" i="6"/>
  <c r="E358" i="6"/>
  <c r="D358" i="6"/>
  <c r="C358" i="6"/>
  <c r="B358" i="6"/>
  <c r="A358" i="6"/>
  <c r="AD357" i="6"/>
  <c r="AC357" i="6"/>
  <c r="AB357" i="6"/>
  <c r="AA357" i="6"/>
  <c r="Z357" i="6"/>
  <c r="Y357" i="6"/>
  <c r="X357" i="6"/>
  <c r="W357" i="6"/>
  <c r="V357" i="6"/>
  <c r="U357" i="6"/>
  <c r="T357" i="6"/>
  <c r="S357" i="6"/>
  <c r="R357" i="6"/>
  <c r="Q357" i="6"/>
  <c r="P357" i="6"/>
  <c r="O357" i="6"/>
  <c r="N357" i="6"/>
  <c r="M357" i="6"/>
  <c r="L357" i="6"/>
  <c r="K357" i="6"/>
  <c r="J357" i="6"/>
  <c r="I357" i="6"/>
  <c r="H357" i="6"/>
  <c r="G357" i="6"/>
  <c r="F357" i="6"/>
  <c r="E357" i="6"/>
  <c r="D357" i="6"/>
  <c r="C357" i="6"/>
  <c r="B357" i="6"/>
  <c r="A357" i="6"/>
  <c r="AD356" i="6"/>
  <c r="AC356" i="6"/>
  <c r="AB356" i="6"/>
  <c r="AA356" i="6"/>
  <c r="Z356" i="6"/>
  <c r="Y356" i="6"/>
  <c r="X356" i="6"/>
  <c r="W356" i="6"/>
  <c r="V356" i="6"/>
  <c r="U356" i="6"/>
  <c r="T356" i="6"/>
  <c r="S356" i="6"/>
  <c r="R356" i="6"/>
  <c r="Q356" i="6"/>
  <c r="P356" i="6"/>
  <c r="O356" i="6"/>
  <c r="N356" i="6"/>
  <c r="M356" i="6"/>
  <c r="L356" i="6"/>
  <c r="K356" i="6"/>
  <c r="J356" i="6"/>
  <c r="I356" i="6"/>
  <c r="H356" i="6"/>
  <c r="G356" i="6"/>
  <c r="F356" i="6"/>
  <c r="E356" i="6"/>
  <c r="D356" i="6"/>
  <c r="C356" i="6"/>
  <c r="B356" i="6"/>
  <c r="A356" i="6"/>
  <c r="AC355" i="6"/>
  <c r="AB355" i="6"/>
  <c r="AA355" i="6"/>
  <c r="Z355" i="6"/>
  <c r="Y355" i="6"/>
  <c r="X355" i="6"/>
  <c r="W355" i="6"/>
  <c r="V355" i="6"/>
  <c r="U355" i="6"/>
  <c r="T355" i="6"/>
  <c r="S355" i="6"/>
  <c r="R355" i="6"/>
  <c r="Q355" i="6"/>
  <c r="P355" i="6"/>
  <c r="O355" i="6"/>
  <c r="N355" i="6"/>
  <c r="M355" i="6"/>
  <c r="L355" i="6"/>
  <c r="K355" i="6"/>
  <c r="J355" i="6"/>
  <c r="H355" i="6"/>
  <c r="G355" i="6"/>
  <c r="F355" i="6"/>
  <c r="E355" i="6"/>
  <c r="D355" i="6"/>
  <c r="C355" i="6"/>
  <c r="B355" i="6"/>
  <c r="A355" i="6"/>
  <c r="AD354" i="6"/>
  <c r="AC354" i="6"/>
  <c r="AB354" i="6"/>
  <c r="AA354" i="6"/>
  <c r="Z354" i="6"/>
  <c r="Y354" i="6"/>
  <c r="X354" i="6"/>
  <c r="W354" i="6"/>
  <c r="V354" i="6"/>
  <c r="U354" i="6"/>
  <c r="T354" i="6"/>
  <c r="S354" i="6"/>
  <c r="R354" i="6"/>
  <c r="Q354" i="6"/>
  <c r="P354" i="6"/>
  <c r="O354" i="6"/>
  <c r="N354" i="6"/>
  <c r="M354" i="6"/>
  <c r="L354" i="6"/>
  <c r="K354" i="6"/>
  <c r="J354" i="6"/>
  <c r="I354" i="6"/>
  <c r="H354" i="6"/>
  <c r="G354" i="6"/>
  <c r="F354" i="6"/>
  <c r="E354" i="6"/>
  <c r="D354" i="6"/>
  <c r="C354" i="6"/>
  <c r="B354" i="6"/>
  <c r="A354" i="6"/>
  <c r="AC353" i="6"/>
  <c r="AB353" i="6"/>
  <c r="AA353" i="6"/>
  <c r="Z353" i="6"/>
  <c r="Y353" i="6"/>
  <c r="X353" i="6"/>
  <c r="W353" i="6"/>
  <c r="V353" i="6"/>
  <c r="U353" i="6"/>
  <c r="T353" i="6"/>
  <c r="S353" i="6"/>
  <c r="R353" i="6"/>
  <c r="Q353" i="6"/>
  <c r="P353" i="6"/>
  <c r="O353" i="6"/>
  <c r="N353" i="6"/>
  <c r="M353" i="6"/>
  <c r="L353" i="6"/>
  <c r="K353" i="6"/>
  <c r="J353" i="6"/>
  <c r="I353" i="6"/>
  <c r="H353" i="6"/>
  <c r="G353" i="6"/>
  <c r="F353" i="6"/>
  <c r="E353" i="6"/>
  <c r="D353" i="6"/>
  <c r="C353" i="6"/>
  <c r="B353" i="6"/>
  <c r="A353" i="6"/>
  <c r="AD352" i="6"/>
  <c r="AC352" i="6"/>
  <c r="AB352" i="6"/>
  <c r="AA352" i="6"/>
  <c r="Z352" i="6"/>
  <c r="Y352" i="6"/>
  <c r="X352" i="6"/>
  <c r="W352" i="6"/>
  <c r="V352" i="6"/>
  <c r="U352" i="6"/>
  <c r="T352" i="6"/>
  <c r="S352" i="6"/>
  <c r="R352" i="6"/>
  <c r="Q352" i="6"/>
  <c r="P352" i="6"/>
  <c r="O352" i="6"/>
  <c r="N352" i="6"/>
  <c r="M352" i="6"/>
  <c r="L352" i="6"/>
  <c r="K352" i="6"/>
  <c r="J352" i="6"/>
  <c r="I352" i="6"/>
  <c r="H352" i="6"/>
  <c r="G352" i="6"/>
  <c r="F352" i="6"/>
  <c r="E352" i="6"/>
  <c r="D352" i="6"/>
  <c r="C352" i="6"/>
  <c r="B352" i="6"/>
  <c r="A352" i="6"/>
  <c r="AC351" i="6"/>
  <c r="AB351" i="6"/>
  <c r="AA351" i="6"/>
  <c r="Z351" i="6"/>
  <c r="Y351" i="6"/>
  <c r="X351" i="6"/>
  <c r="W351" i="6"/>
  <c r="V351" i="6"/>
  <c r="U351" i="6"/>
  <c r="T351" i="6"/>
  <c r="S351" i="6"/>
  <c r="R351" i="6"/>
  <c r="Q351" i="6"/>
  <c r="P351" i="6"/>
  <c r="O351" i="6"/>
  <c r="N351" i="6"/>
  <c r="M351" i="6"/>
  <c r="L351" i="6"/>
  <c r="K351" i="6"/>
  <c r="J351" i="6"/>
  <c r="H351" i="6"/>
  <c r="G351" i="6"/>
  <c r="F351" i="6"/>
  <c r="E351" i="6"/>
  <c r="D351" i="6"/>
  <c r="C351" i="6"/>
  <c r="B351" i="6"/>
  <c r="A351" i="6"/>
  <c r="AD350" i="6"/>
  <c r="AC350" i="6"/>
  <c r="AB350" i="6"/>
  <c r="AA350" i="6"/>
  <c r="Z350" i="6"/>
  <c r="Y350" i="6"/>
  <c r="X350" i="6"/>
  <c r="W350" i="6"/>
  <c r="V350" i="6"/>
  <c r="U350" i="6"/>
  <c r="T350" i="6"/>
  <c r="S350" i="6"/>
  <c r="R350" i="6"/>
  <c r="Q350" i="6"/>
  <c r="P350" i="6"/>
  <c r="O350" i="6"/>
  <c r="N350" i="6"/>
  <c r="M350" i="6"/>
  <c r="L350" i="6"/>
  <c r="K350" i="6"/>
  <c r="J350" i="6"/>
  <c r="I350" i="6"/>
  <c r="H350" i="6"/>
  <c r="G350" i="6"/>
  <c r="F350" i="6"/>
  <c r="E350" i="6"/>
  <c r="D350" i="6"/>
  <c r="C350" i="6"/>
  <c r="B350" i="6"/>
  <c r="A350" i="6"/>
  <c r="AC349" i="6"/>
  <c r="AB349" i="6"/>
  <c r="AA349" i="6"/>
  <c r="Z349" i="6"/>
  <c r="Y349" i="6"/>
  <c r="X349" i="6"/>
  <c r="W349" i="6"/>
  <c r="V349" i="6"/>
  <c r="U349" i="6"/>
  <c r="T349" i="6"/>
  <c r="S349" i="6"/>
  <c r="R349" i="6"/>
  <c r="Q349" i="6"/>
  <c r="P349" i="6"/>
  <c r="O349" i="6"/>
  <c r="N349" i="6"/>
  <c r="M349" i="6"/>
  <c r="L349" i="6"/>
  <c r="K349" i="6"/>
  <c r="J349" i="6"/>
  <c r="H349" i="6"/>
  <c r="G349" i="6"/>
  <c r="F349" i="6"/>
  <c r="E349" i="6"/>
  <c r="D349" i="6"/>
  <c r="C349" i="6"/>
  <c r="B349" i="6"/>
  <c r="A349" i="6"/>
  <c r="AD348" i="6"/>
  <c r="AC348" i="6"/>
  <c r="AB348" i="6"/>
  <c r="AA348" i="6"/>
  <c r="Z348" i="6"/>
  <c r="Y348" i="6"/>
  <c r="X348" i="6"/>
  <c r="W348" i="6"/>
  <c r="V348" i="6"/>
  <c r="U348" i="6"/>
  <c r="T348" i="6"/>
  <c r="S348" i="6"/>
  <c r="R348" i="6"/>
  <c r="Q348" i="6"/>
  <c r="P348" i="6"/>
  <c r="O348" i="6"/>
  <c r="N348" i="6"/>
  <c r="M348" i="6"/>
  <c r="L348" i="6"/>
  <c r="K348" i="6"/>
  <c r="J348" i="6"/>
  <c r="I348" i="6"/>
  <c r="H348" i="6"/>
  <c r="G348" i="6"/>
  <c r="F348" i="6"/>
  <c r="E348" i="6"/>
  <c r="D348" i="6"/>
  <c r="C348" i="6"/>
  <c r="B348" i="6"/>
  <c r="A348" i="6"/>
  <c r="AC347" i="6"/>
  <c r="AB347" i="6"/>
  <c r="AA347" i="6"/>
  <c r="Z347" i="6"/>
  <c r="Y347" i="6"/>
  <c r="X347" i="6"/>
  <c r="W347" i="6"/>
  <c r="V347" i="6"/>
  <c r="U347" i="6"/>
  <c r="T347" i="6"/>
  <c r="S347" i="6"/>
  <c r="R347" i="6"/>
  <c r="Q347" i="6"/>
  <c r="P347" i="6"/>
  <c r="O347" i="6"/>
  <c r="N347" i="6"/>
  <c r="M347" i="6"/>
  <c r="L347" i="6"/>
  <c r="K347" i="6"/>
  <c r="J347" i="6"/>
  <c r="H347" i="6"/>
  <c r="G347" i="6"/>
  <c r="F347" i="6"/>
  <c r="E347" i="6"/>
  <c r="D347" i="6"/>
  <c r="C347" i="6"/>
  <c r="B347" i="6"/>
  <c r="A347" i="6"/>
  <c r="AD346" i="6"/>
  <c r="AC346" i="6"/>
  <c r="AB346" i="6"/>
  <c r="AA346" i="6"/>
  <c r="Z346" i="6"/>
  <c r="Y346" i="6"/>
  <c r="X346" i="6"/>
  <c r="W346" i="6"/>
  <c r="V346" i="6"/>
  <c r="U346" i="6"/>
  <c r="T346" i="6"/>
  <c r="S346" i="6"/>
  <c r="R346" i="6"/>
  <c r="Q346" i="6"/>
  <c r="P346" i="6"/>
  <c r="O346" i="6"/>
  <c r="N346" i="6"/>
  <c r="M346" i="6"/>
  <c r="L346" i="6"/>
  <c r="K346" i="6"/>
  <c r="J346" i="6"/>
  <c r="I346" i="6"/>
  <c r="H346" i="6"/>
  <c r="G346" i="6"/>
  <c r="F346" i="6"/>
  <c r="E346" i="6"/>
  <c r="D346" i="6"/>
  <c r="C346" i="6"/>
  <c r="B346" i="6"/>
  <c r="A346" i="6"/>
  <c r="AD345" i="6"/>
  <c r="AC345" i="6"/>
  <c r="AB345" i="6"/>
  <c r="AA345" i="6"/>
  <c r="Z345" i="6"/>
  <c r="Y345" i="6"/>
  <c r="X345" i="6"/>
  <c r="W345" i="6"/>
  <c r="V345" i="6"/>
  <c r="U345" i="6"/>
  <c r="T345" i="6"/>
  <c r="S345" i="6"/>
  <c r="R345" i="6"/>
  <c r="Q345" i="6"/>
  <c r="P345" i="6"/>
  <c r="O345" i="6"/>
  <c r="N345" i="6"/>
  <c r="M345" i="6"/>
  <c r="L345" i="6"/>
  <c r="K345" i="6"/>
  <c r="J345" i="6"/>
  <c r="I345" i="6"/>
  <c r="H345" i="6"/>
  <c r="G345" i="6"/>
  <c r="F345" i="6"/>
  <c r="E345" i="6"/>
  <c r="D345" i="6"/>
  <c r="C345" i="6"/>
  <c r="B345" i="6"/>
  <c r="A345" i="6"/>
  <c r="AD344" i="6"/>
  <c r="AC344" i="6"/>
  <c r="AB344" i="6"/>
  <c r="AA344" i="6"/>
  <c r="Z344" i="6"/>
  <c r="Y344" i="6"/>
  <c r="X344" i="6"/>
  <c r="W344" i="6"/>
  <c r="V344" i="6"/>
  <c r="U344" i="6"/>
  <c r="T344" i="6"/>
  <c r="S344" i="6"/>
  <c r="R344" i="6"/>
  <c r="Q344" i="6"/>
  <c r="P344" i="6"/>
  <c r="O344" i="6"/>
  <c r="N344" i="6"/>
  <c r="M344" i="6"/>
  <c r="L344" i="6"/>
  <c r="K344" i="6"/>
  <c r="J344" i="6"/>
  <c r="I344" i="6"/>
  <c r="H344" i="6"/>
  <c r="G344" i="6"/>
  <c r="F344" i="6"/>
  <c r="E344" i="6"/>
  <c r="D344" i="6"/>
  <c r="C344" i="6"/>
  <c r="B344" i="6"/>
  <c r="A344" i="6"/>
  <c r="AD343" i="6"/>
  <c r="AC343" i="6"/>
  <c r="AB343" i="6"/>
  <c r="AA343" i="6"/>
  <c r="Z343" i="6"/>
  <c r="Y343" i="6"/>
  <c r="X343" i="6"/>
  <c r="W343" i="6"/>
  <c r="V343" i="6"/>
  <c r="U343" i="6"/>
  <c r="T343" i="6"/>
  <c r="S343" i="6"/>
  <c r="R343" i="6"/>
  <c r="Q343" i="6"/>
  <c r="P343" i="6"/>
  <c r="O343" i="6"/>
  <c r="N343" i="6"/>
  <c r="M343" i="6"/>
  <c r="L343" i="6"/>
  <c r="K343" i="6"/>
  <c r="J343" i="6"/>
  <c r="H343" i="6"/>
  <c r="G343" i="6"/>
  <c r="F343" i="6"/>
  <c r="E343" i="6"/>
  <c r="D343" i="6"/>
  <c r="C343" i="6"/>
  <c r="B343" i="6"/>
  <c r="A343" i="6"/>
  <c r="AD342" i="6"/>
  <c r="AC342" i="6"/>
  <c r="AB342" i="6"/>
  <c r="AA342" i="6"/>
  <c r="Z342" i="6"/>
  <c r="Y342" i="6"/>
  <c r="X342" i="6"/>
  <c r="W342" i="6"/>
  <c r="V342" i="6"/>
  <c r="U342" i="6"/>
  <c r="T342" i="6"/>
  <c r="S342" i="6"/>
  <c r="R342" i="6"/>
  <c r="Q342" i="6"/>
  <c r="P342" i="6"/>
  <c r="O342" i="6"/>
  <c r="N342" i="6"/>
  <c r="M342" i="6"/>
  <c r="L342" i="6"/>
  <c r="K342" i="6"/>
  <c r="J342" i="6"/>
  <c r="I342" i="6"/>
  <c r="H342" i="6"/>
  <c r="G342" i="6"/>
  <c r="F342" i="6"/>
  <c r="E342" i="6"/>
  <c r="D342" i="6"/>
  <c r="C342" i="6"/>
  <c r="B342" i="6"/>
  <c r="A342" i="6"/>
  <c r="AD341" i="6"/>
  <c r="AC341" i="6"/>
  <c r="AB341" i="6"/>
  <c r="AA341" i="6"/>
  <c r="Z341" i="6"/>
  <c r="Y341" i="6"/>
  <c r="X341" i="6"/>
  <c r="W341" i="6"/>
  <c r="V341" i="6"/>
  <c r="U341" i="6"/>
  <c r="T341" i="6"/>
  <c r="S341" i="6"/>
  <c r="R341" i="6"/>
  <c r="Q341" i="6"/>
  <c r="P341" i="6"/>
  <c r="O341" i="6"/>
  <c r="N341" i="6"/>
  <c r="M341" i="6"/>
  <c r="L341" i="6"/>
  <c r="K341" i="6"/>
  <c r="J341" i="6"/>
  <c r="I341" i="6"/>
  <c r="H341" i="6"/>
  <c r="G341" i="6"/>
  <c r="F341" i="6"/>
  <c r="E341" i="6"/>
  <c r="D341" i="6"/>
  <c r="C341" i="6"/>
  <c r="B341" i="6"/>
  <c r="A341" i="6"/>
  <c r="AD340" i="6"/>
  <c r="AC340" i="6"/>
  <c r="AB340" i="6"/>
  <c r="AA340" i="6"/>
  <c r="Z340" i="6"/>
  <c r="Y340" i="6"/>
  <c r="X340" i="6"/>
  <c r="W340" i="6"/>
  <c r="V340" i="6"/>
  <c r="U340" i="6"/>
  <c r="T340" i="6"/>
  <c r="S340" i="6"/>
  <c r="R340" i="6"/>
  <c r="Q340" i="6"/>
  <c r="P340" i="6"/>
  <c r="O340" i="6"/>
  <c r="N340" i="6"/>
  <c r="M340" i="6"/>
  <c r="L340" i="6"/>
  <c r="K340" i="6"/>
  <c r="J340" i="6"/>
  <c r="I340" i="6"/>
  <c r="H340" i="6"/>
  <c r="G340" i="6"/>
  <c r="F340" i="6"/>
  <c r="E340" i="6"/>
  <c r="D340" i="6"/>
  <c r="C340" i="6"/>
  <c r="B340" i="6"/>
  <c r="A340" i="6"/>
  <c r="AD339" i="6"/>
  <c r="AC339" i="6"/>
  <c r="AB339" i="6"/>
  <c r="AA339" i="6"/>
  <c r="Z339" i="6"/>
  <c r="Y339" i="6"/>
  <c r="X339" i="6"/>
  <c r="W339" i="6"/>
  <c r="V339" i="6"/>
  <c r="U339" i="6"/>
  <c r="T339" i="6"/>
  <c r="S339" i="6"/>
  <c r="R339" i="6"/>
  <c r="Q339" i="6"/>
  <c r="P339" i="6"/>
  <c r="O339" i="6"/>
  <c r="N339" i="6"/>
  <c r="M339" i="6"/>
  <c r="L339" i="6"/>
  <c r="K339" i="6"/>
  <c r="J339" i="6"/>
  <c r="I339" i="6"/>
  <c r="H339" i="6"/>
  <c r="G339" i="6"/>
  <c r="F339" i="6"/>
  <c r="E339" i="6"/>
  <c r="D339" i="6"/>
  <c r="C339" i="6"/>
  <c r="B339" i="6"/>
  <c r="A339" i="6"/>
  <c r="AC338" i="6"/>
  <c r="AB338" i="6"/>
  <c r="AA338" i="6"/>
  <c r="Z338" i="6"/>
  <c r="Y338" i="6"/>
  <c r="X338" i="6"/>
  <c r="W338" i="6"/>
  <c r="V338" i="6"/>
  <c r="U338" i="6"/>
  <c r="T338" i="6"/>
  <c r="S338" i="6"/>
  <c r="R338" i="6"/>
  <c r="Q338" i="6"/>
  <c r="P338" i="6"/>
  <c r="O338" i="6"/>
  <c r="N338" i="6"/>
  <c r="M338" i="6"/>
  <c r="L338" i="6"/>
  <c r="K338" i="6"/>
  <c r="J338" i="6"/>
  <c r="H338" i="6"/>
  <c r="G338" i="6"/>
  <c r="F338" i="6"/>
  <c r="E338" i="6"/>
  <c r="D338" i="6"/>
  <c r="C338" i="6"/>
  <c r="B338" i="6"/>
  <c r="A338" i="6"/>
  <c r="AD337" i="6"/>
  <c r="AC337" i="6"/>
  <c r="AB337" i="6"/>
  <c r="AA337" i="6"/>
  <c r="Z337" i="6"/>
  <c r="Y337" i="6"/>
  <c r="X337" i="6"/>
  <c r="W337" i="6"/>
  <c r="V337" i="6"/>
  <c r="U337" i="6"/>
  <c r="T337" i="6"/>
  <c r="S337" i="6"/>
  <c r="R337" i="6"/>
  <c r="Q337" i="6"/>
  <c r="P337" i="6"/>
  <c r="O337" i="6"/>
  <c r="N337" i="6"/>
  <c r="M337" i="6"/>
  <c r="L337" i="6"/>
  <c r="K337" i="6"/>
  <c r="J337" i="6"/>
  <c r="I337" i="6"/>
  <c r="H337" i="6"/>
  <c r="G337" i="6"/>
  <c r="F337" i="6"/>
  <c r="E337" i="6"/>
  <c r="D337" i="6"/>
  <c r="C337" i="6"/>
  <c r="B337" i="6"/>
  <c r="A337" i="6"/>
  <c r="AC336" i="6"/>
  <c r="AB336" i="6"/>
  <c r="AA336" i="6"/>
  <c r="Z336" i="6"/>
  <c r="Y336" i="6"/>
  <c r="X336" i="6"/>
  <c r="W336" i="6"/>
  <c r="V336" i="6"/>
  <c r="U336" i="6"/>
  <c r="T336" i="6"/>
  <c r="S336" i="6"/>
  <c r="R336" i="6"/>
  <c r="Q336" i="6"/>
  <c r="P336" i="6"/>
  <c r="O336" i="6"/>
  <c r="N336" i="6"/>
  <c r="M336" i="6"/>
  <c r="L336" i="6"/>
  <c r="K336" i="6"/>
  <c r="J336" i="6"/>
  <c r="H336" i="6"/>
  <c r="G336" i="6"/>
  <c r="F336" i="6"/>
  <c r="E336" i="6"/>
  <c r="D336" i="6"/>
  <c r="C336" i="6"/>
  <c r="B336" i="6"/>
  <c r="A336" i="6"/>
  <c r="AC335" i="6"/>
  <c r="AB335" i="6"/>
  <c r="AA335" i="6"/>
  <c r="Z335" i="6"/>
  <c r="Y335" i="6"/>
  <c r="X335" i="6"/>
  <c r="W335" i="6"/>
  <c r="V335" i="6"/>
  <c r="U335" i="6"/>
  <c r="T335" i="6"/>
  <c r="S335" i="6"/>
  <c r="R335" i="6"/>
  <c r="Q335" i="6"/>
  <c r="P335" i="6"/>
  <c r="O335" i="6"/>
  <c r="N335" i="6"/>
  <c r="M335" i="6"/>
  <c r="L335" i="6"/>
  <c r="K335" i="6"/>
  <c r="J335" i="6"/>
  <c r="H335" i="6"/>
  <c r="G335" i="6"/>
  <c r="F335" i="6"/>
  <c r="E335" i="6"/>
  <c r="D335" i="6"/>
  <c r="C335" i="6"/>
  <c r="B335" i="6"/>
  <c r="A335" i="6"/>
  <c r="AC334" i="6"/>
  <c r="AB334" i="6"/>
  <c r="AA334" i="6"/>
  <c r="Z334" i="6"/>
  <c r="Y334" i="6"/>
  <c r="X334" i="6"/>
  <c r="W334" i="6"/>
  <c r="V334" i="6"/>
  <c r="U334" i="6"/>
  <c r="T334" i="6"/>
  <c r="S334" i="6"/>
  <c r="R334" i="6"/>
  <c r="Q334" i="6"/>
  <c r="P334" i="6"/>
  <c r="O334" i="6"/>
  <c r="N334" i="6"/>
  <c r="M334" i="6"/>
  <c r="L334" i="6"/>
  <c r="K334" i="6"/>
  <c r="J334" i="6"/>
  <c r="H334" i="6"/>
  <c r="G334" i="6"/>
  <c r="F334" i="6"/>
  <c r="E334" i="6"/>
  <c r="D334" i="6"/>
  <c r="C334" i="6"/>
  <c r="B334" i="6"/>
  <c r="A334" i="6"/>
  <c r="AC333" i="6"/>
  <c r="AB333" i="6"/>
  <c r="AA333" i="6"/>
  <c r="Z333" i="6"/>
  <c r="Y333" i="6"/>
  <c r="X333" i="6"/>
  <c r="W333" i="6"/>
  <c r="V333" i="6"/>
  <c r="U333" i="6"/>
  <c r="T333" i="6"/>
  <c r="S333" i="6"/>
  <c r="R333" i="6"/>
  <c r="Q333" i="6"/>
  <c r="P333" i="6"/>
  <c r="O333" i="6"/>
  <c r="N333" i="6"/>
  <c r="M333" i="6"/>
  <c r="L333" i="6"/>
  <c r="K333" i="6"/>
  <c r="J333" i="6"/>
  <c r="H333" i="6"/>
  <c r="G333" i="6"/>
  <c r="F333" i="6"/>
  <c r="E333" i="6"/>
  <c r="D333" i="6"/>
  <c r="C333" i="6"/>
  <c r="B333" i="6"/>
  <c r="A333" i="6"/>
  <c r="AD332" i="6"/>
  <c r="AC332" i="6"/>
  <c r="AB332" i="6"/>
  <c r="AA332" i="6"/>
  <c r="Z332" i="6"/>
  <c r="Y332" i="6"/>
  <c r="X332" i="6"/>
  <c r="W332" i="6"/>
  <c r="V332" i="6"/>
  <c r="U332" i="6"/>
  <c r="T332" i="6"/>
  <c r="S332" i="6"/>
  <c r="R332" i="6"/>
  <c r="Q332" i="6"/>
  <c r="P332" i="6"/>
  <c r="O332" i="6"/>
  <c r="N332" i="6"/>
  <c r="M332" i="6"/>
  <c r="L332" i="6"/>
  <c r="K332" i="6"/>
  <c r="J332" i="6"/>
  <c r="I332" i="6"/>
  <c r="H332" i="6"/>
  <c r="G332" i="6"/>
  <c r="F332" i="6"/>
  <c r="E332" i="6"/>
  <c r="D332" i="6"/>
  <c r="C332" i="6"/>
  <c r="B332" i="6"/>
  <c r="A332" i="6"/>
  <c r="AD331" i="6"/>
  <c r="AC331" i="6"/>
  <c r="AB331" i="6"/>
  <c r="AA331" i="6"/>
  <c r="Z331" i="6"/>
  <c r="Y331" i="6"/>
  <c r="X331" i="6"/>
  <c r="W331" i="6"/>
  <c r="V331" i="6"/>
  <c r="U331" i="6"/>
  <c r="T331" i="6"/>
  <c r="S331" i="6"/>
  <c r="R331" i="6"/>
  <c r="Q331" i="6"/>
  <c r="P331" i="6"/>
  <c r="O331" i="6"/>
  <c r="N331" i="6"/>
  <c r="M331" i="6"/>
  <c r="L331" i="6"/>
  <c r="K331" i="6"/>
  <c r="J331" i="6"/>
  <c r="I331" i="6"/>
  <c r="H331" i="6"/>
  <c r="G331" i="6"/>
  <c r="F331" i="6"/>
  <c r="E331" i="6"/>
  <c r="D331" i="6"/>
  <c r="C331" i="6"/>
  <c r="B331" i="6"/>
  <c r="A331" i="6"/>
  <c r="AC330" i="6"/>
  <c r="AB330" i="6"/>
  <c r="AA330" i="6"/>
  <c r="Z330" i="6"/>
  <c r="Y330" i="6"/>
  <c r="X330" i="6"/>
  <c r="W330" i="6"/>
  <c r="V330" i="6"/>
  <c r="U330" i="6"/>
  <c r="T330" i="6"/>
  <c r="S330" i="6"/>
  <c r="R330" i="6"/>
  <c r="Q330" i="6"/>
  <c r="P330" i="6"/>
  <c r="O330" i="6"/>
  <c r="N330" i="6"/>
  <c r="M330" i="6"/>
  <c r="L330" i="6"/>
  <c r="K330" i="6"/>
  <c r="J330" i="6"/>
  <c r="I330" i="6"/>
  <c r="H330" i="6"/>
  <c r="G330" i="6"/>
  <c r="F330" i="6"/>
  <c r="E330" i="6"/>
  <c r="D330" i="6"/>
  <c r="C330" i="6"/>
  <c r="B330" i="6"/>
  <c r="A330" i="6"/>
  <c r="AD329" i="6"/>
  <c r="AC329" i="6"/>
  <c r="AB329" i="6"/>
  <c r="AA329" i="6"/>
  <c r="Z329" i="6"/>
  <c r="Y329" i="6"/>
  <c r="X329" i="6"/>
  <c r="W329" i="6"/>
  <c r="V329" i="6"/>
  <c r="U329" i="6"/>
  <c r="T329" i="6"/>
  <c r="S329" i="6"/>
  <c r="R329" i="6"/>
  <c r="Q329" i="6"/>
  <c r="P329" i="6"/>
  <c r="O329" i="6"/>
  <c r="N329" i="6"/>
  <c r="M329" i="6"/>
  <c r="L329" i="6"/>
  <c r="K329" i="6"/>
  <c r="J329" i="6"/>
  <c r="I329" i="6"/>
  <c r="H329" i="6"/>
  <c r="G329" i="6"/>
  <c r="F329" i="6"/>
  <c r="E329" i="6"/>
  <c r="D329" i="6"/>
  <c r="C329" i="6"/>
  <c r="B329" i="6"/>
  <c r="A329" i="6"/>
  <c r="AC328" i="6"/>
  <c r="AB328" i="6"/>
  <c r="AA328" i="6"/>
  <c r="Z328" i="6"/>
  <c r="Y328" i="6"/>
  <c r="X328" i="6"/>
  <c r="W328" i="6"/>
  <c r="V328" i="6"/>
  <c r="U328" i="6"/>
  <c r="T328" i="6"/>
  <c r="S328" i="6"/>
  <c r="R328" i="6"/>
  <c r="Q328" i="6"/>
  <c r="P328" i="6"/>
  <c r="O328" i="6"/>
  <c r="N328" i="6"/>
  <c r="M328" i="6"/>
  <c r="L328" i="6"/>
  <c r="K328" i="6"/>
  <c r="J328" i="6"/>
  <c r="H328" i="6"/>
  <c r="G328" i="6"/>
  <c r="F328" i="6"/>
  <c r="E328" i="6"/>
  <c r="D328" i="6"/>
  <c r="C328" i="6"/>
  <c r="B328" i="6"/>
  <c r="A328" i="6"/>
  <c r="AC327" i="6"/>
  <c r="AB327" i="6"/>
  <c r="AA327" i="6"/>
  <c r="Z327" i="6"/>
  <c r="Y327" i="6"/>
  <c r="X327" i="6"/>
  <c r="W327" i="6"/>
  <c r="V327" i="6"/>
  <c r="U327" i="6"/>
  <c r="T327" i="6"/>
  <c r="S327" i="6"/>
  <c r="R327" i="6"/>
  <c r="Q327" i="6"/>
  <c r="P327" i="6"/>
  <c r="O327" i="6"/>
  <c r="N327" i="6"/>
  <c r="M327" i="6"/>
  <c r="L327" i="6"/>
  <c r="K327" i="6"/>
  <c r="J327" i="6"/>
  <c r="H327" i="6"/>
  <c r="G327" i="6"/>
  <c r="F327" i="6"/>
  <c r="E327" i="6"/>
  <c r="D327" i="6"/>
  <c r="C327" i="6"/>
  <c r="B327" i="6"/>
  <c r="A327" i="6"/>
  <c r="AD326" i="6"/>
  <c r="AC326" i="6"/>
  <c r="AB326" i="6"/>
  <c r="AA326" i="6"/>
  <c r="Z326" i="6"/>
  <c r="Y326" i="6"/>
  <c r="X326" i="6"/>
  <c r="W326" i="6"/>
  <c r="V326" i="6"/>
  <c r="U326" i="6"/>
  <c r="T326" i="6"/>
  <c r="S326" i="6"/>
  <c r="R326" i="6"/>
  <c r="Q326" i="6"/>
  <c r="P326" i="6"/>
  <c r="O326" i="6"/>
  <c r="N326" i="6"/>
  <c r="M326" i="6"/>
  <c r="L326" i="6"/>
  <c r="K326" i="6"/>
  <c r="J326" i="6"/>
  <c r="I326" i="6"/>
  <c r="H326" i="6"/>
  <c r="G326" i="6"/>
  <c r="F326" i="6"/>
  <c r="E326" i="6"/>
  <c r="D326" i="6"/>
  <c r="C326" i="6"/>
  <c r="B326" i="6"/>
  <c r="A326" i="6"/>
  <c r="AD325" i="6"/>
  <c r="AC325" i="6"/>
  <c r="AB325" i="6"/>
  <c r="AA325" i="6"/>
  <c r="Z325" i="6"/>
  <c r="Y325" i="6"/>
  <c r="X325" i="6"/>
  <c r="W325" i="6"/>
  <c r="V325" i="6"/>
  <c r="U325" i="6"/>
  <c r="T325" i="6"/>
  <c r="S325" i="6"/>
  <c r="R325" i="6"/>
  <c r="Q325" i="6"/>
  <c r="P325" i="6"/>
  <c r="O325" i="6"/>
  <c r="N325" i="6"/>
  <c r="M325" i="6"/>
  <c r="L325" i="6"/>
  <c r="K325" i="6"/>
  <c r="J325" i="6"/>
  <c r="I325" i="6"/>
  <c r="H325" i="6"/>
  <c r="G325" i="6"/>
  <c r="F325" i="6"/>
  <c r="E325" i="6"/>
  <c r="D325" i="6"/>
  <c r="C325" i="6"/>
  <c r="B325" i="6"/>
  <c r="A325" i="6"/>
  <c r="AD324" i="6"/>
  <c r="AC324" i="6"/>
  <c r="AB324" i="6"/>
  <c r="AA324" i="6"/>
  <c r="Z324" i="6"/>
  <c r="Y324" i="6"/>
  <c r="X324" i="6"/>
  <c r="W324" i="6"/>
  <c r="V324" i="6"/>
  <c r="U324" i="6"/>
  <c r="T324" i="6"/>
  <c r="S324" i="6"/>
  <c r="R324" i="6"/>
  <c r="Q324" i="6"/>
  <c r="P324" i="6"/>
  <c r="O324" i="6"/>
  <c r="N324" i="6"/>
  <c r="M324" i="6"/>
  <c r="L324" i="6"/>
  <c r="K324" i="6"/>
  <c r="J324" i="6"/>
  <c r="I324" i="6"/>
  <c r="H324" i="6"/>
  <c r="G324" i="6"/>
  <c r="F324" i="6"/>
  <c r="E324" i="6"/>
  <c r="D324" i="6"/>
  <c r="C324" i="6"/>
  <c r="B324" i="6"/>
  <c r="A324" i="6"/>
  <c r="AD323" i="6"/>
  <c r="AC323" i="6"/>
  <c r="AB323" i="6"/>
  <c r="AA323" i="6"/>
  <c r="Z323" i="6"/>
  <c r="Y323" i="6"/>
  <c r="X323" i="6"/>
  <c r="W323" i="6"/>
  <c r="V323" i="6"/>
  <c r="U323" i="6"/>
  <c r="T323" i="6"/>
  <c r="S323" i="6"/>
  <c r="R323" i="6"/>
  <c r="Q323" i="6"/>
  <c r="P323" i="6"/>
  <c r="O323" i="6"/>
  <c r="N323" i="6"/>
  <c r="M323" i="6"/>
  <c r="L323" i="6"/>
  <c r="K323" i="6"/>
  <c r="J323" i="6"/>
  <c r="I323" i="6"/>
  <c r="H323" i="6"/>
  <c r="G323" i="6"/>
  <c r="F323" i="6"/>
  <c r="E323" i="6"/>
  <c r="D323" i="6"/>
  <c r="C323" i="6"/>
  <c r="B323" i="6"/>
  <c r="A323" i="6"/>
  <c r="AD322" i="6"/>
  <c r="AC322" i="6"/>
  <c r="AB322" i="6"/>
  <c r="AA322" i="6"/>
  <c r="Z322" i="6"/>
  <c r="Y322" i="6"/>
  <c r="X322" i="6"/>
  <c r="W322" i="6"/>
  <c r="V322" i="6"/>
  <c r="U322" i="6"/>
  <c r="T322" i="6"/>
  <c r="S322" i="6"/>
  <c r="R322" i="6"/>
  <c r="Q322" i="6"/>
  <c r="P322" i="6"/>
  <c r="O322" i="6"/>
  <c r="N322" i="6"/>
  <c r="M322" i="6"/>
  <c r="L322" i="6"/>
  <c r="K322" i="6"/>
  <c r="J322" i="6"/>
  <c r="I322" i="6"/>
  <c r="H322" i="6"/>
  <c r="G322" i="6"/>
  <c r="F322" i="6"/>
  <c r="E322" i="6"/>
  <c r="D322" i="6"/>
  <c r="C322" i="6"/>
  <c r="B322" i="6"/>
  <c r="A322" i="6"/>
  <c r="AC321" i="6"/>
  <c r="AB321" i="6"/>
  <c r="AA321" i="6"/>
  <c r="Z321" i="6"/>
  <c r="Y321" i="6"/>
  <c r="X321" i="6"/>
  <c r="W321" i="6"/>
  <c r="V321" i="6"/>
  <c r="U321" i="6"/>
  <c r="T321" i="6"/>
  <c r="S321" i="6"/>
  <c r="R321" i="6"/>
  <c r="Q321" i="6"/>
  <c r="P321" i="6"/>
  <c r="O321" i="6"/>
  <c r="N321" i="6"/>
  <c r="M321" i="6"/>
  <c r="L321" i="6"/>
  <c r="K321" i="6"/>
  <c r="J321" i="6"/>
  <c r="I321" i="6"/>
  <c r="H321" i="6"/>
  <c r="G321" i="6"/>
  <c r="F321" i="6"/>
  <c r="E321" i="6"/>
  <c r="D321" i="6"/>
  <c r="C321" i="6"/>
  <c r="B321" i="6"/>
  <c r="A321" i="6"/>
  <c r="AD320" i="6"/>
  <c r="AC320" i="6"/>
  <c r="AB320" i="6"/>
  <c r="AA320" i="6"/>
  <c r="Z320" i="6"/>
  <c r="Y320" i="6"/>
  <c r="X320" i="6"/>
  <c r="W320" i="6"/>
  <c r="V320" i="6"/>
  <c r="U320" i="6"/>
  <c r="T320" i="6"/>
  <c r="S320" i="6"/>
  <c r="R320" i="6"/>
  <c r="Q320" i="6"/>
  <c r="P320" i="6"/>
  <c r="O320" i="6"/>
  <c r="N320" i="6"/>
  <c r="M320" i="6"/>
  <c r="L320" i="6"/>
  <c r="K320" i="6"/>
  <c r="J320" i="6"/>
  <c r="I320" i="6"/>
  <c r="H320" i="6"/>
  <c r="G320" i="6"/>
  <c r="F320" i="6"/>
  <c r="E320" i="6"/>
  <c r="D320" i="6"/>
  <c r="C320" i="6"/>
  <c r="B320" i="6"/>
  <c r="A320" i="6"/>
  <c r="AC319" i="6"/>
  <c r="AB319" i="6"/>
  <c r="AA319" i="6"/>
  <c r="Z319" i="6"/>
  <c r="Y319" i="6"/>
  <c r="X319" i="6"/>
  <c r="W319" i="6"/>
  <c r="V319" i="6"/>
  <c r="U319" i="6"/>
  <c r="T319" i="6"/>
  <c r="S319" i="6"/>
  <c r="R319" i="6"/>
  <c r="Q319" i="6"/>
  <c r="P319" i="6"/>
  <c r="O319" i="6"/>
  <c r="N319" i="6"/>
  <c r="M319" i="6"/>
  <c r="L319" i="6"/>
  <c r="K319" i="6"/>
  <c r="J319" i="6"/>
  <c r="H319" i="6"/>
  <c r="G319" i="6"/>
  <c r="F319" i="6"/>
  <c r="E319" i="6"/>
  <c r="D319" i="6"/>
  <c r="C319" i="6"/>
  <c r="B319" i="6"/>
  <c r="A319" i="6"/>
  <c r="AC318" i="6"/>
  <c r="AB318" i="6"/>
  <c r="AA318" i="6"/>
  <c r="Z318" i="6"/>
  <c r="Y318" i="6"/>
  <c r="X318" i="6"/>
  <c r="W318" i="6"/>
  <c r="V318" i="6"/>
  <c r="U318" i="6"/>
  <c r="T318" i="6"/>
  <c r="S318" i="6"/>
  <c r="R318" i="6"/>
  <c r="Q318" i="6"/>
  <c r="P318" i="6"/>
  <c r="O318" i="6"/>
  <c r="N318" i="6"/>
  <c r="M318" i="6"/>
  <c r="L318" i="6"/>
  <c r="K318" i="6"/>
  <c r="J318" i="6"/>
  <c r="H318" i="6"/>
  <c r="G318" i="6"/>
  <c r="F318" i="6"/>
  <c r="E318" i="6"/>
  <c r="D318" i="6"/>
  <c r="C318" i="6"/>
  <c r="B318" i="6"/>
  <c r="A318" i="6"/>
  <c r="AD317" i="6"/>
  <c r="AC317" i="6"/>
  <c r="AB317" i="6"/>
  <c r="AA317" i="6"/>
  <c r="Z317" i="6"/>
  <c r="Y317" i="6"/>
  <c r="X317" i="6"/>
  <c r="W317" i="6"/>
  <c r="V317" i="6"/>
  <c r="U317" i="6"/>
  <c r="T317" i="6"/>
  <c r="S317" i="6"/>
  <c r="R317" i="6"/>
  <c r="Q317" i="6"/>
  <c r="P317" i="6"/>
  <c r="O317" i="6"/>
  <c r="N317" i="6"/>
  <c r="M317" i="6"/>
  <c r="L317" i="6"/>
  <c r="K317" i="6"/>
  <c r="J317" i="6"/>
  <c r="I317" i="6"/>
  <c r="H317" i="6"/>
  <c r="G317" i="6"/>
  <c r="F317" i="6"/>
  <c r="E317" i="6"/>
  <c r="D317" i="6"/>
  <c r="C317" i="6"/>
  <c r="B317" i="6"/>
  <c r="A317" i="6"/>
  <c r="AC316" i="6"/>
  <c r="AB316" i="6"/>
  <c r="AA316" i="6"/>
  <c r="Z316" i="6"/>
  <c r="Y316" i="6"/>
  <c r="X316" i="6"/>
  <c r="W316" i="6"/>
  <c r="V316" i="6"/>
  <c r="U316" i="6"/>
  <c r="T316" i="6"/>
  <c r="S316" i="6"/>
  <c r="R316" i="6"/>
  <c r="Q316" i="6"/>
  <c r="P316" i="6"/>
  <c r="O316" i="6"/>
  <c r="N316" i="6"/>
  <c r="M316" i="6"/>
  <c r="L316" i="6"/>
  <c r="K316" i="6"/>
  <c r="J316" i="6"/>
  <c r="H316" i="6"/>
  <c r="G316" i="6"/>
  <c r="F316" i="6"/>
  <c r="E316" i="6"/>
  <c r="D316" i="6"/>
  <c r="C316" i="6"/>
  <c r="B316" i="6"/>
  <c r="A316" i="6"/>
  <c r="AD315" i="6"/>
  <c r="AC315" i="6"/>
  <c r="AB315" i="6"/>
  <c r="AA315" i="6"/>
  <c r="Z315" i="6"/>
  <c r="Y315" i="6"/>
  <c r="X315" i="6"/>
  <c r="W315" i="6"/>
  <c r="V315" i="6"/>
  <c r="U315" i="6"/>
  <c r="T315" i="6"/>
  <c r="S315" i="6"/>
  <c r="R315" i="6"/>
  <c r="Q315" i="6"/>
  <c r="P315" i="6"/>
  <c r="O315" i="6"/>
  <c r="N315" i="6"/>
  <c r="M315" i="6"/>
  <c r="L315" i="6"/>
  <c r="K315" i="6"/>
  <c r="J315" i="6"/>
  <c r="I315" i="6"/>
  <c r="H315" i="6"/>
  <c r="G315" i="6"/>
  <c r="F315" i="6"/>
  <c r="E315" i="6"/>
  <c r="D315" i="6"/>
  <c r="C315" i="6"/>
  <c r="B315" i="6"/>
  <c r="A315" i="6"/>
  <c r="AD314" i="6"/>
  <c r="AC314" i="6"/>
  <c r="AB314" i="6"/>
  <c r="AA314" i="6"/>
  <c r="Z314" i="6"/>
  <c r="Y314" i="6"/>
  <c r="X314" i="6"/>
  <c r="W314" i="6"/>
  <c r="V314" i="6"/>
  <c r="U314" i="6"/>
  <c r="T314" i="6"/>
  <c r="S314" i="6"/>
  <c r="R314" i="6"/>
  <c r="Q314" i="6"/>
  <c r="P314" i="6"/>
  <c r="O314" i="6"/>
  <c r="N314" i="6"/>
  <c r="M314" i="6"/>
  <c r="L314" i="6"/>
  <c r="K314" i="6"/>
  <c r="J314" i="6"/>
  <c r="I314" i="6"/>
  <c r="H314" i="6"/>
  <c r="G314" i="6"/>
  <c r="F314" i="6"/>
  <c r="E314" i="6"/>
  <c r="D314" i="6"/>
  <c r="C314" i="6"/>
  <c r="B314" i="6"/>
  <c r="A314" i="6"/>
  <c r="AD313" i="6"/>
  <c r="AC313" i="6"/>
  <c r="AB313" i="6"/>
  <c r="AA313" i="6"/>
  <c r="Z313" i="6"/>
  <c r="Y313" i="6"/>
  <c r="X313" i="6"/>
  <c r="W313" i="6"/>
  <c r="V313" i="6"/>
  <c r="U313" i="6"/>
  <c r="T313" i="6"/>
  <c r="S313" i="6"/>
  <c r="R313" i="6"/>
  <c r="Q313" i="6"/>
  <c r="P313" i="6"/>
  <c r="O313" i="6"/>
  <c r="N313" i="6"/>
  <c r="M313" i="6"/>
  <c r="L313" i="6"/>
  <c r="K313" i="6"/>
  <c r="J313" i="6"/>
  <c r="I313" i="6"/>
  <c r="H313" i="6"/>
  <c r="G313" i="6"/>
  <c r="F313" i="6"/>
  <c r="E313" i="6"/>
  <c r="D313" i="6"/>
  <c r="C313" i="6"/>
  <c r="B313" i="6"/>
  <c r="A313" i="6"/>
  <c r="AD312" i="6"/>
  <c r="AC312" i="6"/>
  <c r="AB312" i="6"/>
  <c r="AA312" i="6"/>
  <c r="Z312" i="6"/>
  <c r="Y312" i="6"/>
  <c r="X312" i="6"/>
  <c r="W312" i="6"/>
  <c r="V312" i="6"/>
  <c r="U312" i="6"/>
  <c r="T312" i="6"/>
  <c r="S312" i="6"/>
  <c r="R312" i="6"/>
  <c r="Q312" i="6"/>
  <c r="P312" i="6"/>
  <c r="O312" i="6"/>
  <c r="N312" i="6"/>
  <c r="M312" i="6"/>
  <c r="L312" i="6"/>
  <c r="K312" i="6"/>
  <c r="J312" i="6"/>
  <c r="I312" i="6"/>
  <c r="H312" i="6"/>
  <c r="G312" i="6"/>
  <c r="F312" i="6"/>
  <c r="E312" i="6"/>
  <c r="D312" i="6"/>
  <c r="C312" i="6"/>
  <c r="B312" i="6"/>
  <c r="A312" i="6"/>
  <c r="AC311" i="6"/>
  <c r="AB311" i="6"/>
  <c r="AA311" i="6"/>
  <c r="Z311" i="6"/>
  <c r="Y311" i="6"/>
  <c r="X311" i="6"/>
  <c r="W311" i="6"/>
  <c r="V311" i="6"/>
  <c r="U311" i="6"/>
  <c r="T311" i="6"/>
  <c r="S311" i="6"/>
  <c r="R311" i="6"/>
  <c r="Q311" i="6"/>
  <c r="P311" i="6"/>
  <c r="O311" i="6"/>
  <c r="N311" i="6"/>
  <c r="M311" i="6"/>
  <c r="L311" i="6"/>
  <c r="K311" i="6"/>
  <c r="J311" i="6"/>
  <c r="H311" i="6"/>
  <c r="G311" i="6"/>
  <c r="F311" i="6"/>
  <c r="E311" i="6"/>
  <c r="D311" i="6"/>
  <c r="C311" i="6"/>
  <c r="B311" i="6"/>
  <c r="A311" i="6"/>
  <c r="AC310" i="6"/>
  <c r="AB310" i="6"/>
  <c r="AA310" i="6"/>
  <c r="Z310" i="6"/>
  <c r="Y310" i="6"/>
  <c r="X310" i="6"/>
  <c r="W310" i="6"/>
  <c r="V310" i="6"/>
  <c r="U310" i="6"/>
  <c r="T310" i="6"/>
  <c r="S310" i="6"/>
  <c r="R310" i="6"/>
  <c r="Q310" i="6"/>
  <c r="P310" i="6"/>
  <c r="O310" i="6"/>
  <c r="N310" i="6"/>
  <c r="M310" i="6"/>
  <c r="L310" i="6"/>
  <c r="K310" i="6"/>
  <c r="J310" i="6"/>
  <c r="H310" i="6"/>
  <c r="G310" i="6"/>
  <c r="F310" i="6"/>
  <c r="E310" i="6"/>
  <c r="D310" i="6"/>
  <c r="C310" i="6"/>
  <c r="B310" i="6"/>
  <c r="A310" i="6"/>
  <c r="AC309" i="6"/>
  <c r="AB309" i="6"/>
  <c r="AA309" i="6"/>
  <c r="Z309" i="6"/>
  <c r="Y309" i="6"/>
  <c r="X309" i="6"/>
  <c r="W309" i="6"/>
  <c r="V309" i="6"/>
  <c r="U309" i="6"/>
  <c r="T309" i="6"/>
  <c r="S309" i="6"/>
  <c r="R309" i="6"/>
  <c r="Q309" i="6"/>
  <c r="P309" i="6"/>
  <c r="O309" i="6"/>
  <c r="N309" i="6"/>
  <c r="M309" i="6"/>
  <c r="L309" i="6"/>
  <c r="K309" i="6"/>
  <c r="J309" i="6"/>
  <c r="H309" i="6"/>
  <c r="G309" i="6"/>
  <c r="F309" i="6"/>
  <c r="E309" i="6"/>
  <c r="D309" i="6"/>
  <c r="C309" i="6"/>
  <c r="B309" i="6"/>
  <c r="A309" i="6"/>
  <c r="AD308" i="6"/>
  <c r="AC308" i="6"/>
  <c r="AB308" i="6"/>
  <c r="AA308" i="6"/>
  <c r="Z308" i="6"/>
  <c r="Y308" i="6"/>
  <c r="X308" i="6"/>
  <c r="W308" i="6"/>
  <c r="V308" i="6"/>
  <c r="U308" i="6"/>
  <c r="T308" i="6"/>
  <c r="S308" i="6"/>
  <c r="R308" i="6"/>
  <c r="Q308" i="6"/>
  <c r="P308" i="6"/>
  <c r="O308" i="6"/>
  <c r="N308" i="6"/>
  <c r="M308" i="6"/>
  <c r="L308" i="6"/>
  <c r="K308" i="6"/>
  <c r="J308" i="6"/>
  <c r="I308" i="6"/>
  <c r="H308" i="6"/>
  <c r="G308" i="6"/>
  <c r="F308" i="6"/>
  <c r="E308" i="6"/>
  <c r="D308" i="6"/>
  <c r="C308" i="6"/>
  <c r="B308" i="6"/>
  <c r="A308" i="6"/>
  <c r="AC307" i="6"/>
  <c r="AB307" i="6"/>
  <c r="AA307" i="6"/>
  <c r="Z307" i="6"/>
  <c r="Y307" i="6"/>
  <c r="X307" i="6"/>
  <c r="W307" i="6"/>
  <c r="V307" i="6"/>
  <c r="U307" i="6"/>
  <c r="T307" i="6"/>
  <c r="S307" i="6"/>
  <c r="R307" i="6"/>
  <c r="Q307" i="6"/>
  <c r="P307" i="6"/>
  <c r="O307" i="6"/>
  <c r="N307" i="6"/>
  <c r="M307" i="6"/>
  <c r="L307" i="6"/>
  <c r="K307" i="6"/>
  <c r="J307" i="6"/>
  <c r="H307" i="6"/>
  <c r="G307" i="6"/>
  <c r="F307" i="6"/>
  <c r="E307" i="6"/>
  <c r="D307" i="6"/>
  <c r="C307" i="6"/>
  <c r="B307" i="6"/>
  <c r="A307" i="6"/>
  <c r="AC306" i="6"/>
  <c r="AB306" i="6"/>
  <c r="AA306" i="6"/>
  <c r="Z306" i="6"/>
  <c r="Y306" i="6"/>
  <c r="X306" i="6"/>
  <c r="W306" i="6"/>
  <c r="V306" i="6"/>
  <c r="U306" i="6"/>
  <c r="T306" i="6"/>
  <c r="S306" i="6"/>
  <c r="R306" i="6"/>
  <c r="Q306" i="6"/>
  <c r="P306" i="6"/>
  <c r="O306" i="6"/>
  <c r="N306" i="6"/>
  <c r="M306" i="6"/>
  <c r="L306" i="6"/>
  <c r="K306" i="6"/>
  <c r="J306" i="6"/>
  <c r="H306" i="6"/>
  <c r="G306" i="6"/>
  <c r="F306" i="6"/>
  <c r="E306" i="6"/>
  <c r="D306" i="6"/>
  <c r="C306" i="6"/>
  <c r="B306" i="6"/>
  <c r="A306" i="6"/>
  <c r="AC305" i="6"/>
  <c r="AB305" i="6"/>
  <c r="AA305" i="6"/>
  <c r="Z305" i="6"/>
  <c r="Y305" i="6"/>
  <c r="X305" i="6"/>
  <c r="W305" i="6"/>
  <c r="V305" i="6"/>
  <c r="U305" i="6"/>
  <c r="T305" i="6"/>
  <c r="S305" i="6"/>
  <c r="R305" i="6"/>
  <c r="Q305" i="6"/>
  <c r="P305" i="6"/>
  <c r="O305" i="6"/>
  <c r="N305" i="6"/>
  <c r="M305" i="6"/>
  <c r="L305" i="6"/>
  <c r="K305" i="6"/>
  <c r="J305" i="6"/>
  <c r="H305" i="6"/>
  <c r="G305" i="6"/>
  <c r="F305" i="6"/>
  <c r="E305" i="6"/>
  <c r="D305" i="6"/>
  <c r="C305" i="6"/>
  <c r="B305" i="6"/>
  <c r="A305" i="6"/>
  <c r="AD304" i="6"/>
  <c r="AC304" i="6"/>
  <c r="AB304" i="6"/>
  <c r="AA304" i="6"/>
  <c r="Z304" i="6"/>
  <c r="Y304" i="6"/>
  <c r="X304" i="6"/>
  <c r="W304" i="6"/>
  <c r="V304" i="6"/>
  <c r="U304" i="6"/>
  <c r="T304" i="6"/>
  <c r="S304" i="6"/>
  <c r="R304" i="6"/>
  <c r="Q304" i="6"/>
  <c r="P304" i="6"/>
  <c r="O304" i="6"/>
  <c r="N304" i="6"/>
  <c r="M304" i="6"/>
  <c r="L304" i="6"/>
  <c r="K304" i="6"/>
  <c r="J304" i="6"/>
  <c r="I304" i="6"/>
  <c r="H304" i="6"/>
  <c r="G304" i="6"/>
  <c r="F304" i="6"/>
  <c r="E304" i="6"/>
  <c r="D304" i="6"/>
  <c r="C304" i="6"/>
  <c r="B304" i="6"/>
  <c r="A304" i="6"/>
  <c r="AC303" i="6"/>
  <c r="AB303" i="6"/>
  <c r="AA303" i="6"/>
  <c r="Z303" i="6"/>
  <c r="Y303" i="6"/>
  <c r="X303" i="6"/>
  <c r="W303" i="6"/>
  <c r="V303" i="6"/>
  <c r="U303" i="6"/>
  <c r="T303" i="6"/>
  <c r="S303" i="6"/>
  <c r="R303" i="6"/>
  <c r="Q303" i="6"/>
  <c r="P303" i="6"/>
  <c r="O303" i="6"/>
  <c r="N303" i="6"/>
  <c r="M303" i="6"/>
  <c r="L303" i="6"/>
  <c r="K303" i="6"/>
  <c r="J303" i="6"/>
  <c r="H303" i="6"/>
  <c r="G303" i="6"/>
  <c r="F303" i="6"/>
  <c r="E303" i="6"/>
  <c r="D303" i="6"/>
  <c r="C303" i="6"/>
  <c r="B303" i="6"/>
  <c r="A303" i="6"/>
  <c r="AD302" i="6"/>
  <c r="AC302" i="6"/>
  <c r="AB302" i="6"/>
  <c r="AA302" i="6"/>
  <c r="Z302" i="6"/>
  <c r="Y302" i="6"/>
  <c r="X302" i="6"/>
  <c r="W302" i="6"/>
  <c r="V302" i="6"/>
  <c r="U302" i="6"/>
  <c r="T302" i="6"/>
  <c r="S302" i="6"/>
  <c r="R302" i="6"/>
  <c r="Q302" i="6"/>
  <c r="P302" i="6"/>
  <c r="O302" i="6"/>
  <c r="N302" i="6"/>
  <c r="M302" i="6"/>
  <c r="L302" i="6"/>
  <c r="K302" i="6"/>
  <c r="J302" i="6"/>
  <c r="I302" i="6"/>
  <c r="H302" i="6"/>
  <c r="G302" i="6"/>
  <c r="F302" i="6"/>
  <c r="E302" i="6"/>
  <c r="D302" i="6"/>
  <c r="C302" i="6"/>
  <c r="B302" i="6"/>
  <c r="A302" i="6"/>
  <c r="AC301" i="6"/>
  <c r="AB301" i="6"/>
  <c r="AA301" i="6"/>
  <c r="Z301" i="6"/>
  <c r="Y301" i="6"/>
  <c r="X301" i="6"/>
  <c r="W301" i="6"/>
  <c r="V301" i="6"/>
  <c r="U301" i="6"/>
  <c r="T301" i="6"/>
  <c r="S301" i="6"/>
  <c r="R301" i="6"/>
  <c r="Q301" i="6"/>
  <c r="P301" i="6"/>
  <c r="O301" i="6"/>
  <c r="N301" i="6"/>
  <c r="M301" i="6"/>
  <c r="L301" i="6"/>
  <c r="K301" i="6"/>
  <c r="J301" i="6"/>
  <c r="I301" i="6"/>
  <c r="H301" i="6"/>
  <c r="G301" i="6"/>
  <c r="F301" i="6"/>
  <c r="E301" i="6"/>
  <c r="D301" i="6"/>
  <c r="C301" i="6"/>
  <c r="B301" i="6"/>
  <c r="A301" i="6"/>
  <c r="AD300" i="6"/>
  <c r="AC300" i="6"/>
  <c r="AB300" i="6"/>
  <c r="AA300" i="6"/>
  <c r="Z300" i="6"/>
  <c r="Y300" i="6"/>
  <c r="X300" i="6"/>
  <c r="W300" i="6"/>
  <c r="V300" i="6"/>
  <c r="U300" i="6"/>
  <c r="T300" i="6"/>
  <c r="S300" i="6"/>
  <c r="R300" i="6"/>
  <c r="Q300" i="6"/>
  <c r="P300" i="6"/>
  <c r="O300" i="6"/>
  <c r="N300" i="6"/>
  <c r="M300" i="6"/>
  <c r="L300" i="6"/>
  <c r="K300" i="6"/>
  <c r="J300" i="6"/>
  <c r="I300" i="6"/>
  <c r="H300" i="6"/>
  <c r="G300" i="6"/>
  <c r="F300" i="6"/>
  <c r="E300" i="6"/>
  <c r="D300" i="6"/>
  <c r="C300" i="6"/>
  <c r="B300" i="6"/>
  <c r="A300" i="6"/>
  <c r="AD299" i="6"/>
  <c r="AC299" i="6"/>
  <c r="AB299" i="6"/>
  <c r="AA299" i="6"/>
  <c r="Z299" i="6"/>
  <c r="Y299" i="6"/>
  <c r="X299" i="6"/>
  <c r="W299" i="6"/>
  <c r="V299" i="6"/>
  <c r="U299" i="6"/>
  <c r="T299" i="6"/>
  <c r="S299" i="6"/>
  <c r="R299" i="6"/>
  <c r="Q299" i="6"/>
  <c r="P299" i="6"/>
  <c r="O299" i="6"/>
  <c r="N299" i="6"/>
  <c r="M299" i="6"/>
  <c r="L299" i="6"/>
  <c r="K299" i="6"/>
  <c r="J299" i="6"/>
  <c r="I299" i="6"/>
  <c r="H299" i="6"/>
  <c r="G299" i="6"/>
  <c r="F299" i="6"/>
  <c r="E299" i="6"/>
  <c r="D299" i="6"/>
  <c r="C299" i="6"/>
  <c r="B299" i="6"/>
  <c r="A299" i="6"/>
  <c r="AD298" i="6"/>
  <c r="AC298" i="6"/>
  <c r="AB298" i="6"/>
  <c r="AA298" i="6"/>
  <c r="Z298" i="6"/>
  <c r="Y298" i="6"/>
  <c r="X298" i="6"/>
  <c r="W298" i="6"/>
  <c r="V298" i="6"/>
  <c r="U298" i="6"/>
  <c r="T298" i="6"/>
  <c r="S298" i="6"/>
  <c r="R298" i="6"/>
  <c r="Q298" i="6"/>
  <c r="P298" i="6"/>
  <c r="O298" i="6"/>
  <c r="N298" i="6"/>
  <c r="M298" i="6"/>
  <c r="L298" i="6"/>
  <c r="K298" i="6"/>
  <c r="J298" i="6"/>
  <c r="I298" i="6"/>
  <c r="H298" i="6"/>
  <c r="G298" i="6"/>
  <c r="F298" i="6"/>
  <c r="E298" i="6"/>
  <c r="D298" i="6"/>
  <c r="C298" i="6"/>
  <c r="B298" i="6"/>
  <c r="A298" i="6"/>
  <c r="AC297" i="6"/>
  <c r="AB297" i="6"/>
  <c r="AA297" i="6"/>
  <c r="Z297" i="6"/>
  <c r="Y297" i="6"/>
  <c r="X297" i="6"/>
  <c r="W297" i="6"/>
  <c r="V297" i="6"/>
  <c r="U297" i="6"/>
  <c r="T297" i="6"/>
  <c r="S297" i="6"/>
  <c r="R297" i="6"/>
  <c r="Q297" i="6"/>
  <c r="P297" i="6"/>
  <c r="O297" i="6"/>
  <c r="N297" i="6"/>
  <c r="M297" i="6"/>
  <c r="L297" i="6"/>
  <c r="K297" i="6"/>
  <c r="J297" i="6"/>
  <c r="H297" i="6"/>
  <c r="G297" i="6"/>
  <c r="F297" i="6"/>
  <c r="E297" i="6"/>
  <c r="D297" i="6"/>
  <c r="C297" i="6"/>
  <c r="B297" i="6"/>
  <c r="A297" i="6"/>
  <c r="AC296" i="6"/>
  <c r="AB296" i="6"/>
  <c r="AA296" i="6"/>
  <c r="Z296" i="6"/>
  <c r="Y296" i="6"/>
  <c r="X296" i="6"/>
  <c r="W296" i="6"/>
  <c r="V296" i="6"/>
  <c r="U296" i="6"/>
  <c r="T296" i="6"/>
  <c r="S296" i="6"/>
  <c r="R296" i="6"/>
  <c r="Q296" i="6"/>
  <c r="P296" i="6"/>
  <c r="O296" i="6"/>
  <c r="N296" i="6"/>
  <c r="M296" i="6"/>
  <c r="L296" i="6"/>
  <c r="K296" i="6"/>
  <c r="J296" i="6"/>
  <c r="H296" i="6"/>
  <c r="G296" i="6"/>
  <c r="F296" i="6"/>
  <c r="E296" i="6"/>
  <c r="D296" i="6"/>
  <c r="C296" i="6"/>
  <c r="B296" i="6"/>
  <c r="A296" i="6"/>
  <c r="AD295" i="6"/>
  <c r="AC295" i="6"/>
  <c r="AB295" i="6"/>
  <c r="AA295" i="6"/>
  <c r="Z295" i="6"/>
  <c r="Y295" i="6"/>
  <c r="X295" i="6"/>
  <c r="W295" i="6"/>
  <c r="V295" i="6"/>
  <c r="U295" i="6"/>
  <c r="T295" i="6"/>
  <c r="S295" i="6"/>
  <c r="R295" i="6"/>
  <c r="Q295" i="6"/>
  <c r="P295" i="6"/>
  <c r="O295" i="6"/>
  <c r="N295" i="6"/>
  <c r="M295" i="6"/>
  <c r="L295" i="6"/>
  <c r="K295" i="6"/>
  <c r="J295" i="6"/>
  <c r="I295" i="6"/>
  <c r="H295" i="6"/>
  <c r="G295" i="6"/>
  <c r="F295" i="6"/>
  <c r="E295" i="6"/>
  <c r="D295" i="6"/>
  <c r="C295" i="6"/>
  <c r="B295" i="6"/>
  <c r="A295" i="6"/>
  <c r="AD294" i="6"/>
  <c r="AC294" i="6"/>
  <c r="AB294" i="6"/>
  <c r="AA294" i="6"/>
  <c r="Z294" i="6"/>
  <c r="Y294" i="6"/>
  <c r="X294" i="6"/>
  <c r="W294" i="6"/>
  <c r="V294" i="6"/>
  <c r="U294" i="6"/>
  <c r="T294" i="6"/>
  <c r="S294" i="6"/>
  <c r="R294" i="6"/>
  <c r="Q294" i="6"/>
  <c r="P294" i="6"/>
  <c r="O294" i="6"/>
  <c r="N294" i="6"/>
  <c r="M294" i="6"/>
  <c r="L294" i="6"/>
  <c r="K294" i="6"/>
  <c r="J294" i="6"/>
  <c r="I294" i="6"/>
  <c r="H294" i="6"/>
  <c r="G294" i="6"/>
  <c r="F294" i="6"/>
  <c r="E294" i="6"/>
  <c r="D294" i="6"/>
  <c r="C294" i="6"/>
  <c r="B294" i="6"/>
  <c r="A294" i="6"/>
  <c r="AC293" i="6"/>
  <c r="AB293" i="6"/>
  <c r="AA293" i="6"/>
  <c r="Z293" i="6"/>
  <c r="Y293" i="6"/>
  <c r="X293" i="6"/>
  <c r="W293" i="6"/>
  <c r="V293" i="6"/>
  <c r="U293" i="6"/>
  <c r="T293" i="6"/>
  <c r="S293" i="6"/>
  <c r="R293" i="6"/>
  <c r="Q293" i="6"/>
  <c r="P293" i="6"/>
  <c r="O293" i="6"/>
  <c r="N293" i="6"/>
  <c r="M293" i="6"/>
  <c r="L293" i="6"/>
  <c r="K293" i="6"/>
  <c r="J293" i="6"/>
  <c r="H293" i="6"/>
  <c r="G293" i="6"/>
  <c r="F293" i="6"/>
  <c r="E293" i="6"/>
  <c r="D293" i="6"/>
  <c r="C293" i="6"/>
  <c r="B293" i="6"/>
  <c r="A293" i="6"/>
  <c r="AD292" i="6"/>
  <c r="AC292" i="6"/>
  <c r="AB292" i="6"/>
  <c r="AA292" i="6"/>
  <c r="Z292" i="6"/>
  <c r="Y292" i="6"/>
  <c r="X292" i="6"/>
  <c r="W292" i="6"/>
  <c r="V292" i="6"/>
  <c r="U292" i="6"/>
  <c r="T292" i="6"/>
  <c r="S292" i="6"/>
  <c r="R292" i="6"/>
  <c r="Q292" i="6"/>
  <c r="P292" i="6"/>
  <c r="O292" i="6"/>
  <c r="N292" i="6"/>
  <c r="M292" i="6"/>
  <c r="L292" i="6"/>
  <c r="K292" i="6"/>
  <c r="J292" i="6"/>
  <c r="I292" i="6"/>
  <c r="H292" i="6"/>
  <c r="G292" i="6"/>
  <c r="F292" i="6"/>
  <c r="E292" i="6"/>
  <c r="D292" i="6"/>
  <c r="C292" i="6"/>
  <c r="B292" i="6"/>
  <c r="A292" i="6"/>
  <c r="AD291" i="6"/>
  <c r="AC291" i="6"/>
  <c r="AB291" i="6"/>
  <c r="AA291" i="6"/>
  <c r="Z291" i="6"/>
  <c r="Y291" i="6"/>
  <c r="X291" i="6"/>
  <c r="W291" i="6"/>
  <c r="V291" i="6"/>
  <c r="U291" i="6"/>
  <c r="T291" i="6"/>
  <c r="S291" i="6"/>
  <c r="R291" i="6"/>
  <c r="Q291" i="6"/>
  <c r="P291" i="6"/>
  <c r="O291" i="6"/>
  <c r="N291" i="6"/>
  <c r="M291" i="6"/>
  <c r="L291" i="6"/>
  <c r="K291" i="6"/>
  <c r="J291" i="6"/>
  <c r="I291" i="6"/>
  <c r="H291" i="6"/>
  <c r="G291" i="6"/>
  <c r="F291" i="6"/>
  <c r="E291" i="6"/>
  <c r="D291" i="6"/>
  <c r="C291" i="6"/>
  <c r="B291" i="6"/>
  <c r="A291" i="6"/>
  <c r="AD290" i="6"/>
  <c r="AC290" i="6"/>
  <c r="AB290" i="6"/>
  <c r="AA290" i="6"/>
  <c r="Z290" i="6"/>
  <c r="Y290" i="6"/>
  <c r="X290" i="6"/>
  <c r="W290" i="6"/>
  <c r="V290" i="6"/>
  <c r="U290" i="6"/>
  <c r="T290" i="6"/>
  <c r="S290" i="6"/>
  <c r="R290" i="6"/>
  <c r="Q290" i="6"/>
  <c r="P290" i="6"/>
  <c r="O290" i="6"/>
  <c r="N290" i="6"/>
  <c r="M290" i="6"/>
  <c r="L290" i="6"/>
  <c r="K290" i="6"/>
  <c r="J290" i="6"/>
  <c r="I290" i="6"/>
  <c r="H290" i="6"/>
  <c r="G290" i="6"/>
  <c r="F290" i="6"/>
  <c r="E290" i="6"/>
  <c r="D290" i="6"/>
  <c r="C290" i="6"/>
  <c r="B290" i="6"/>
  <c r="A290" i="6"/>
  <c r="AD289" i="6"/>
  <c r="AC289" i="6"/>
  <c r="AB289" i="6"/>
  <c r="AA289" i="6"/>
  <c r="Z289" i="6"/>
  <c r="Y289" i="6"/>
  <c r="X289" i="6"/>
  <c r="W289" i="6"/>
  <c r="V289" i="6"/>
  <c r="U289" i="6"/>
  <c r="T289" i="6"/>
  <c r="S289" i="6"/>
  <c r="R289" i="6"/>
  <c r="Q289" i="6"/>
  <c r="P289" i="6"/>
  <c r="O289" i="6"/>
  <c r="N289" i="6"/>
  <c r="M289" i="6"/>
  <c r="L289" i="6"/>
  <c r="K289" i="6"/>
  <c r="J289" i="6"/>
  <c r="I289" i="6"/>
  <c r="H289" i="6"/>
  <c r="G289" i="6"/>
  <c r="F289" i="6"/>
  <c r="E289" i="6"/>
  <c r="D289" i="6"/>
  <c r="C289" i="6"/>
  <c r="B289" i="6"/>
  <c r="A289" i="6"/>
  <c r="AD288" i="6"/>
  <c r="AC288" i="6"/>
  <c r="AB288" i="6"/>
  <c r="AA288" i="6"/>
  <c r="Z288" i="6"/>
  <c r="Y288" i="6"/>
  <c r="X288" i="6"/>
  <c r="W288" i="6"/>
  <c r="V288" i="6"/>
  <c r="U288" i="6"/>
  <c r="T288" i="6"/>
  <c r="S288" i="6"/>
  <c r="R288" i="6"/>
  <c r="Q288" i="6"/>
  <c r="P288" i="6"/>
  <c r="O288" i="6"/>
  <c r="N288" i="6"/>
  <c r="M288" i="6"/>
  <c r="L288" i="6"/>
  <c r="K288" i="6"/>
  <c r="J288" i="6"/>
  <c r="I288" i="6"/>
  <c r="H288" i="6"/>
  <c r="G288" i="6"/>
  <c r="F288" i="6"/>
  <c r="E288" i="6"/>
  <c r="D288" i="6"/>
  <c r="C288" i="6"/>
  <c r="B288" i="6"/>
  <c r="A288" i="6"/>
  <c r="AC287" i="6"/>
  <c r="AB287" i="6"/>
  <c r="AA287" i="6"/>
  <c r="Z287" i="6"/>
  <c r="Y287" i="6"/>
  <c r="X287" i="6"/>
  <c r="W287" i="6"/>
  <c r="V287" i="6"/>
  <c r="U287" i="6"/>
  <c r="T287" i="6"/>
  <c r="S287" i="6"/>
  <c r="R287" i="6"/>
  <c r="Q287" i="6"/>
  <c r="P287" i="6"/>
  <c r="O287" i="6"/>
  <c r="N287" i="6"/>
  <c r="M287" i="6"/>
  <c r="L287" i="6"/>
  <c r="K287" i="6"/>
  <c r="J287" i="6"/>
  <c r="H287" i="6"/>
  <c r="G287" i="6"/>
  <c r="F287" i="6"/>
  <c r="E287" i="6"/>
  <c r="D287" i="6"/>
  <c r="C287" i="6"/>
  <c r="B287" i="6"/>
  <c r="A287" i="6"/>
  <c r="AC286" i="6"/>
  <c r="AB286" i="6"/>
  <c r="AA286" i="6"/>
  <c r="Z286" i="6"/>
  <c r="Y286" i="6"/>
  <c r="X286" i="6"/>
  <c r="W286" i="6"/>
  <c r="V286" i="6"/>
  <c r="U286" i="6"/>
  <c r="T286" i="6"/>
  <c r="S286" i="6"/>
  <c r="R286" i="6"/>
  <c r="Q286" i="6"/>
  <c r="P286" i="6"/>
  <c r="O286" i="6"/>
  <c r="N286" i="6"/>
  <c r="M286" i="6"/>
  <c r="L286" i="6"/>
  <c r="K286" i="6"/>
  <c r="J286" i="6"/>
  <c r="H286" i="6"/>
  <c r="G286" i="6"/>
  <c r="F286" i="6"/>
  <c r="E286" i="6"/>
  <c r="D286" i="6"/>
  <c r="C286" i="6"/>
  <c r="B286" i="6"/>
  <c r="A286" i="6"/>
  <c r="AC285" i="6"/>
  <c r="AB285" i="6"/>
  <c r="AA285" i="6"/>
  <c r="Z285" i="6"/>
  <c r="Y285" i="6"/>
  <c r="X285" i="6"/>
  <c r="W285" i="6"/>
  <c r="V285" i="6"/>
  <c r="U285" i="6"/>
  <c r="T285" i="6"/>
  <c r="S285" i="6"/>
  <c r="R285" i="6"/>
  <c r="Q285" i="6"/>
  <c r="P285" i="6"/>
  <c r="O285" i="6"/>
  <c r="N285" i="6"/>
  <c r="M285" i="6"/>
  <c r="L285" i="6"/>
  <c r="K285" i="6"/>
  <c r="J285" i="6"/>
  <c r="H285" i="6"/>
  <c r="G285" i="6"/>
  <c r="F285" i="6"/>
  <c r="E285" i="6"/>
  <c r="D285" i="6"/>
  <c r="C285" i="6"/>
  <c r="B285" i="6"/>
  <c r="A285" i="6"/>
  <c r="AC284" i="6"/>
  <c r="AB284" i="6"/>
  <c r="AA284" i="6"/>
  <c r="Z284" i="6"/>
  <c r="Y284" i="6"/>
  <c r="X284" i="6"/>
  <c r="W284" i="6"/>
  <c r="V284" i="6"/>
  <c r="U284" i="6"/>
  <c r="T284" i="6"/>
  <c r="S284" i="6"/>
  <c r="R284" i="6"/>
  <c r="Q284" i="6"/>
  <c r="P284" i="6"/>
  <c r="O284" i="6"/>
  <c r="N284" i="6"/>
  <c r="M284" i="6"/>
  <c r="L284" i="6"/>
  <c r="K284" i="6"/>
  <c r="J284" i="6"/>
  <c r="H284" i="6"/>
  <c r="G284" i="6"/>
  <c r="F284" i="6"/>
  <c r="E284" i="6"/>
  <c r="D284" i="6"/>
  <c r="C284" i="6"/>
  <c r="B284" i="6"/>
  <c r="A284" i="6"/>
  <c r="AD283" i="6"/>
  <c r="AC283" i="6"/>
  <c r="AB283" i="6"/>
  <c r="AA283" i="6"/>
  <c r="Z283" i="6"/>
  <c r="Y283" i="6"/>
  <c r="X283" i="6"/>
  <c r="W283" i="6"/>
  <c r="V283" i="6"/>
  <c r="U283" i="6"/>
  <c r="T283" i="6"/>
  <c r="S283" i="6"/>
  <c r="R283" i="6"/>
  <c r="Q283" i="6"/>
  <c r="P283" i="6"/>
  <c r="O283" i="6"/>
  <c r="N283" i="6"/>
  <c r="M283" i="6"/>
  <c r="L283" i="6"/>
  <c r="K283" i="6"/>
  <c r="J283" i="6"/>
  <c r="I283" i="6"/>
  <c r="H283" i="6"/>
  <c r="G283" i="6"/>
  <c r="F283" i="6"/>
  <c r="E283" i="6"/>
  <c r="D283" i="6"/>
  <c r="C283" i="6"/>
  <c r="B283" i="6"/>
  <c r="A283" i="6"/>
  <c r="AC282" i="6"/>
  <c r="AB282" i="6"/>
  <c r="AA282" i="6"/>
  <c r="Z282" i="6"/>
  <c r="Y282" i="6"/>
  <c r="X282" i="6"/>
  <c r="W282" i="6"/>
  <c r="V282" i="6"/>
  <c r="U282" i="6"/>
  <c r="T282" i="6"/>
  <c r="S282" i="6"/>
  <c r="R282" i="6"/>
  <c r="Q282" i="6"/>
  <c r="P282" i="6"/>
  <c r="O282" i="6"/>
  <c r="N282" i="6"/>
  <c r="M282" i="6"/>
  <c r="L282" i="6"/>
  <c r="K282" i="6"/>
  <c r="J282" i="6"/>
  <c r="H282" i="6"/>
  <c r="G282" i="6"/>
  <c r="F282" i="6"/>
  <c r="E282" i="6"/>
  <c r="D282" i="6"/>
  <c r="C282" i="6"/>
  <c r="B282" i="6"/>
  <c r="A282" i="6"/>
  <c r="AC281" i="6"/>
  <c r="AB281" i="6"/>
  <c r="AA281" i="6"/>
  <c r="Z281" i="6"/>
  <c r="Y281" i="6"/>
  <c r="X281" i="6"/>
  <c r="W281" i="6"/>
  <c r="V281" i="6"/>
  <c r="U281" i="6"/>
  <c r="T281" i="6"/>
  <c r="S281" i="6"/>
  <c r="R281" i="6"/>
  <c r="Q281" i="6"/>
  <c r="P281" i="6"/>
  <c r="O281" i="6"/>
  <c r="N281" i="6"/>
  <c r="M281" i="6"/>
  <c r="L281" i="6"/>
  <c r="K281" i="6"/>
  <c r="J281" i="6"/>
  <c r="H281" i="6"/>
  <c r="G281" i="6"/>
  <c r="F281" i="6"/>
  <c r="E281" i="6"/>
  <c r="D281" i="6"/>
  <c r="C281" i="6"/>
  <c r="B281" i="6"/>
  <c r="A281" i="6"/>
  <c r="AC280" i="6"/>
  <c r="AB280" i="6"/>
  <c r="AA280" i="6"/>
  <c r="Z280" i="6"/>
  <c r="Y280" i="6"/>
  <c r="X280" i="6"/>
  <c r="W280" i="6"/>
  <c r="V280" i="6"/>
  <c r="U280" i="6"/>
  <c r="T280" i="6"/>
  <c r="S280" i="6"/>
  <c r="R280" i="6"/>
  <c r="Q280" i="6"/>
  <c r="P280" i="6"/>
  <c r="O280" i="6"/>
  <c r="N280" i="6"/>
  <c r="M280" i="6"/>
  <c r="L280" i="6"/>
  <c r="K280" i="6"/>
  <c r="J280" i="6"/>
  <c r="I280" i="6"/>
  <c r="H280" i="6"/>
  <c r="G280" i="6"/>
  <c r="F280" i="6"/>
  <c r="E280" i="6"/>
  <c r="D280" i="6"/>
  <c r="C280" i="6"/>
  <c r="B280" i="6"/>
  <c r="A280" i="6"/>
  <c r="AD279" i="6"/>
  <c r="AC279" i="6"/>
  <c r="AB279" i="6"/>
  <c r="AA279" i="6"/>
  <c r="Z279" i="6"/>
  <c r="Y279" i="6"/>
  <c r="X279" i="6"/>
  <c r="W279" i="6"/>
  <c r="V279" i="6"/>
  <c r="U279" i="6"/>
  <c r="T279" i="6"/>
  <c r="S279" i="6"/>
  <c r="R279" i="6"/>
  <c r="Q279" i="6"/>
  <c r="P279" i="6"/>
  <c r="O279" i="6"/>
  <c r="N279" i="6"/>
  <c r="M279" i="6"/>
  <c r="L279" i="6"/>
  <c r="K279" i="6"/>
  <c r="J279" i="6"/>
  <c r="I279" i="6"/>
  <c r="H279" i="6"/>
  <c r="G279" i="6"/>
  <c r="F279" i="6"/>
  <c r="E279" i="6"/>
  <c r="D279" i="6"/>
  <c r="C279" i="6"/>
  <c r="B279" i="6"/>
  <c r="A279" i="6"/>
  <c r="AC278" i="6"/>
  <c r="AB278" i="6"/>
  <c r="AA278" i="6"/>
  <c r="Z278" i="6"/>
  <c r="Y278" i="6"/>
  <c r="X278" i="6"/>
  <c r="W278" i="6"/>
  <c r="V278" i="6"/>
  <c r="U278" i="6"/>
  <c r="T278" i="6"/>
  <c r="S278" i="6"/>
  <c r="R278" i="6"/>
  <c r="Q278" i="6"/>
  <c r="P278" i="6"/>
  <c r="O278" i="6"/>
  <c r="N278" i="6"/>
  <c r="M278" i="6"/>
  <c r="L278" i="6"/>
  <c r="K278" i="6"/>
  <c r="J278" i="6"/>
  <c r="H278" i="6"/>
  <c r="G278" i="6"/>
  <c r="F278" i="6"/>
  <c r="E278" i="6"/>
  <c r="D278" i="6"/>
  <c r="C278" i="6"/>
  <c r="B278" i="6"/>
  <c r="A278" i="6"/>
  <c r="AD277" i="6"/>
  <c r="AC277" i="6"/>
  <c r="AB277" i="6"/>
  <c r="AA277" i="6"/>
  <c r="Z277" i="6"/>
  <c r="Y277" i="6"/>
  <c r="X277" i="6"/>
  <c r="W277" i="6"/>
  <c r="V277" i="6"/>
  <c r="U277" i="6"/>
  <c r="T277" i="6"/>
  <c r="S277" i="6"/>
  <c r="R277" i="6"/>
  <c r="Q277" i="6"/>
  <c r="P277" i="6"/>
  <c r="O277" i="6"/>
  <c r="N277" i="6"/>
  <c r="M277" i="6"/>
  <c r="L277" i="6"/>
  <c r="K277" i="6"/>
  <c r="J277" i="6"/>
  <c r="I277" i="6"/>
  <c r="H277" i="6"/>
  <c r="G277" i="6"/>
  <c r="F277" i="6"/>
  <c r="E277" i="6"/>
  <c r="D277" i="6"/>
  <c r="C277" i="6"/>
  <c r="B277" i="6"/>
  <c r="A277" i="6"/>
  <c r="AD276" i="6"/>
  <c r="AC276" i="6"/>
  <c r="AB276" i="6"/>
  <c r="AA276" i="6"/>
  <c r="Z276" i="6"/>
  <c r="Y276" i="6"/>
  <c r="X276" i="6"/>
  <c r="W276" i="6"/>
  <c r="V276" i="6"/>
  <c r="U276" i="6"/>
  <c r="T276" i="6"/>
  <c r="S276" i="6"/>
  <c r="R276" i="6"/>
  <c r="Q276" i="6"/>
  <c r="P276" i="6"/>
  <c r="O276" i="6"/>
  <c r="N276" i="6"/>
  <c r="M276" i="6"/>
  <c r="L276" i="6"/>
  <c r="K276" i="6"/>
  <c r="J276" i="6"/>
  <c r="I276" i="6"/>
  <c r="H276" i="6"/>
  <c r="G276" i="6"/>
  <c r="F276" i="6"/>
  <c r="E276" i="6"/>
  <c r="D276" i="6"/>
  <c r="C276" i="6"/>
  <c r="B276" i="6"/>
  <c r="A276" i="6"/>
  <c r="AD275" i="6"/>
  <c r="AC275" i="6"/>
  <c r="AB275" i="6"/>
  <c r="AA275" i="6"/>
  <c r="Z275" i="6"/>
  <c r="Y275" i="6"/>
  <c r="X275" i="6"/>
  <c r="W275" i="6"/>
  <c r="V275" i="6"/>
  <c r="U275" i="6"/>
  <c r="T275" i="6"/>
  <c r="S275" i="6"/>
  <c r="R275" i="6"/>
  <c r="Q275" i="6"/>
  <c r="P275" i="6"/>
  <c r="O275" i="6"/>
  <c r="N275" i="6"/>
  <c r="M275" i="6"/>
  <c r="L275" i="6"/>
  <c r="K275" i="6"/>
  <c r="J275" i="6"/>
  <c r="I275" i="6"/>
  <c r="H275" i="6"/>
  <c r="G275" i="6"/>
  <c r="F275" i="6"/>
  <c r="E275" i="6"/>
  <c r="D275" i="6"/>
  <c r="C275" i="6"/>
  <c r="B275" i="6"/>
  <c r="A275" i="6"/>
  <c r="AC274" i="6"/>
  <c r="AB274" i="6"/>
  <c r="AA274" i="6"/>
  <c r="Z274" i="6"/>
  <c r="Y274" i="6"/>
  <c r="X274" i="6"/>
  <c r="W274" i="6"/>
  <c r="V274" i="6"/>
  <c r="U274" i="6"/>
  <c r="T274" i="6"/>
  <c r="S274" i="6"/>
  <c r="R274" i="6"/>
  <c r="Q274" i="6"/>
  <c r="P274" i="6"/>
  <c r="O274" i="6"/>
  <c r="N274" i="6"/>
  <c r="M274" i="6"/>
  <c r="L274" i="6"/>
  <c r="K274" i="6"/>
  <c r="J274" i="6"/>
  <c r="H274" i="6"/>
  <c r="G274" i="6"/>
  <c r="F274" i="6"/>
  <c r="E274" i="6"/>
  <c r="D274" i="6"/>
  <c r="C274" i="6"/>
  <c r="B274" i="6"/>
  <c r="A274" i="6"/>
  <c r="AC273" i="6"/>
  <c r="AB273" i="6"/>
  <c r="AA273" i="6"/>
  <c r="Z273" i="6"/>
  <c r="Y273" i="6"/>
  <c r="X273" i="6"/>
  <c r="W273" i="6"/>
  <c r="V273" i="6"/>
  <c r="U273" i="6"/>
  <c r="T273" i="6"/>
  <c r="S273" i="6"/>
  <c r="R273" i="6"/>
  <c r="Q273" i="6"/>
  <c r="P273" i="6"/>
  <c r="O273" i="6"/>
  <c r="N273" i="6"/>
  <c r="M273" i="6"/>
  <c r="L273" i="6"/>
  <c r="K273" i="6"/>
  <c r="J273" i="6"/>
  <c r="H273" i="6"/>
  <c r="G273" i="6"/>
  <c r="F273" i="6"/>
  <c r="E273" i="6"/>
  <c r="D273" i="6"/>
  <c r="C273" i="6"/>
  <c r="B273" i="6"/>
  <c r="A273" i="6"/>
  <c r="AD272" i="6"/>
  <c r="AC272" i="6"/>
  <c r="AB272" i="6"/>
  <c r="AA272" i="6"/>
  <c r="Z272" i="6"/>
  <c r="Y272" i="6"/>
  <c r="X272" i="6"/>
  <c r="W272" i="6"/>
  <c r="V272" i="6"/>
  <c r="U272" i="6"/>
  <c r="T272" i="6"/>
  <c r="S272" i="6"/>
  <c r="R272" i="6"/>
  <c r="Q272" i="6"/>
  <c r="P272" i="6"/>
  <c r="O272" i="6"/>
  <c r="N272" i="6"/>
  <c r="M272" i="6"/>
  <c r="L272" i="6"/>
  <c r="K272" i="6"/>
  <c r="J272" i="6"/>
  <c r="I272" i="6"/>
  <c r="H272" i="6"/>
  <c r="G272" i="6"/>
  <c r="F272" i="6"/>
  <c r="E272" i="6"/>
  <c r="D272" i="6"/>
  <c r="C272" i="6"/>
  <c r="B272" i="6"/>
  <c r="A272" i="6"/>
  <c r="AD271" i="6"/>
  <c r="AC271" i="6"/>
  <c r="AB271" i="6"/>
  <c r="AA271" i="6"/>
  <c r="Z271" i="6"/>
  <c r="Y271" i="6"/>
  <c r="X271" i="6"/>
  <c r="W271" i="6"/>
  <c r="V271" i="6"/>
  <c r="U271" i="6"/>
  <c r="T271" i="6"/>
  <c r="S271" i="6"/>
  <c r="R271" i="6"/>
  <c r="Q271" i="6"/>
  <c r="P271" i="6"/>
  <c r="O271" i="6"/>
  <c r="N271" i="6"/>
  <c r="M271" i="6"/>
  <c r="L271" i="6"/>
  <c r="K271" i="6"/>
  <c r="J271" i="6"/>
  <c r="I271" i="6"/>
  <c r="H271" i="6"/>
  <c r="G271" i="6"/>
  <c r="F271" i="6"/>
  <c r="E271" i="6"/>
  <c r="D271" i="6"/>
  <c r="C271" i="6"/>
  <c r="B271" i="6"/>
  <c r="A271" i="6"/>
  <c r="AD270" i="6"/>
  <c r="AC270" i="6"/>
  <c r="AB270" i="6"/>
  <c r="AA270" i="6"/>
  <c r="Z270" i="6"/>
  <c r="Y270" i="6"/>
  <c r="X270" i="6"/>
  <c r="W270" i="6"/>
  <c r="V270" i="6"/>
  <c r="U270" i="6"/>
  <c r="T270" i="6"/>
  <c r="S270" i="6"/>
  <c r="R270" i="6"/>
  <c r="Q270" i="6"/>
  <c r="P270" i="6"/>
  <c r="O270" i="6"/>
  <c r="N270" i="6"/>
  <c r="M270" i="6"/>
  <c r="L270" i="6"/>
  <c r="K270" i="6"/>
  <c r="J270" i="6"/>
  <c r="I270" i="6"/>
  <c r="H270" i="6"/>
  <c r="G270" i="6"/>
  <c r="F270" i="6"/>
  <c r="E270" i="6"/>
  <c r="D270" i="6"/>
  <c r="C270" i="6"/>
  <c r="B270" i="6"/>
  <c r="A270" i="6"/>
  <c r="AD269" i="6"/>
  <c r="AC269" i="6"/>
  <c r="AB269" i="6"/>
  <c r="AA269" i="6"/>
  <c r="Z269" i="6"/>
  <c r="Y269" i="6"/>
  <c r="X269" i="6"/>
  <c r="W269" i="6"/>
  <c r="V269" i="6"/>
  <c r="U269" i="6"/>
  <c r="T269" i="6"/>
  <c r="S269" i="6"/>
  <c r="R269" i="6"/>
  <c r="Q269" i="6"/>
  <c r="P269" i="6"/>
  <c r="O269" i="6"/>
  <c r="N269" i="6"/>
  <c r="M269" i="6"/>
  <c r="L269" i="6"/>
  <c r="K269" i="6"/>
  <c r="J269" i="6"/>
  <c r="I269" i="6"/>
  <c r="H269" i="6"/>
  <c r="G269" i="6"/>
  <c r="F269" i="6"/>
  <c r="E269" i="6"/>
  <c r="D269" i="6"/>
  <c r="C269" i="6"/>
  <c r="B269" i="6"/>
  <c r="A269" i="6"/>
  <c r="AC268" i="6"/>
  <c r="AB268" i="6"/>
  <c r="AA268" i="6"/>
  <c r="Z268" i="6"/>
  <c r="Y268" i="6"/>
  <c r="X268" i="6"/>
  <c r="W268" i="6"/>
  <c r="V268" i="6"/>
  <c r="U268" i="6"/>
  <c r="T268" i="6"/>
  <c r="S268" i="6"/>
  <c r="R268" i="6"/>
  <c r="Q268" i="6"/>
  <c r="P268" i="6"/>
  <c r="O268" i="6"/>
  <c r="N268" i="6"/>
  <c r="M268" i="6"/>
  <c r="L268" i="6"/>
  <c r="K268" i="6"/>
  <c r="J268" i="6"/>
  <c r="H268" i="6"/>
  <c r="G268" i="6"/>
  <c r="F268" i="6"/>
  <c r="E268" i="6"/>
  <c r="D268" i="6"/>
  <c r="C268" i="6"/>
  <c r="B268" i="6"/>
  <c r="A268" i="6"/>
  <c r="AD267" i="6"/>
  <c r="AC267" i="6"/>
  <c r="AB267" i="6"/>
  <c r="AA267" i="6"/>
  <c r="Z267" i="6"/>
  <c r="Y267" i="6"/>
  <c r="X267" i="6"/>
  <c r="W267" i="6"/>
  <c r="V267" i="6"/>
  <c r="U267" i="6"/>
  <c r="T267" i="6"/>
  <c r="S267" i="6"/>
  <c r="R267" i="6"/>
  <c r="Q267" i="6"/>
  <c r="P267" i="6"/>
  <c r="O267" i="6"/>
  <c r="N267" i="6"/>
  <c r="M267" i="6"/>
  <c r="L267" i="6"/>
  <c r="K267" i="6"/>
  <c r="J267" i="6"/>
  <c r="I267" i="6"/>
  <c r="H267" i="6"/>
  <c r="G267" i="6"/>
  <c r="F267" i="6"/>
  <c r="E267" i="6"/>
  <c r="D267" i="6"/>
  <c r="C267" i="6"/>
  <c r="B267" i="6"/>
  <c r="A267" i="6"/>
  <c r="AD266" i="6"/>
  <c r="AC266" i="6"/>
  <c r="AB266" i="6"/>
  <c r="AA266" i="6"/>
  <c r="Z266" i="6"/>
  <c r="Y266" i="6"/>
  <c r="X266" i="6"/>
  <c r="W266" i="6"/>
  <c r="V266" i="6"/>
  <c r="U266" i="6"/>
  <c r="T266" i="6"/>
  <c r="S266" i="6"/>
  <c r="R266" i="6"/>
  <c r="Q266" i="6"/>
  <c r="P266" i="6"/>
  <c r="O266" i="6"/>
  <c r="N266" i="6"/>
  <c r="M266" i="6"/>
  <c r="L266" i="6"/>
  <c r="K266" i="6"/>
  <c r="J266" i="6"/>
  <c r="I266" i="6"/>
  <c r="H266" i="6"/>
  <c r="G266" i="6"/>
  <c r="F266" i="6"/>
  <c r="E266" i="6"/>
  <c r="D266" i="6"/>
  <c r="C266" i="6"/>
  <c r="B266" i="6"/>
  <c r="A266" i="6"/>
  <c r="AD265" i="6"/>
  <c r="AC265" i="6"/>
  <c r="AB265" i="6"/>
  <c r="AA265" i="6"/>
  <c r="Z265" i="6"/>
  <c r="Y265" i="6"/>
  <c r="X265" i="6"/>
  <c r="W265" i="6"/>
  <c r="V265" i="6"/>
  <c r="U265" i="6"/>
  <c r="T265" i="6"/>
  <c r="S265" i="6"/>
  <c r="R265" i="6"/>
  <c r="Q265" i="6"/>
  <c r="P265" i="6"/>
  <c r="O265" i="6"/>
  <c r="N265" i="6"/>
  <c r="M265" i="6"/>
  <c r="L265" i="6"/>
  <c r="K265" i="6"/>
  <c r="J265" i="6"/>
  <c r="I265" i="6"/>
  <c r="H265" i="6"/>
  <c r="G265" i="6"/>
  <c r="F265" i="6"/>
  <c r="E265" i="6"/>
  <c r="D265" i="6"/>
  <c r="C265" i="6"/>
  <c r="B265" i="6"/>
  <c r="A265" i="6"/>
  <c r="AD264" i="6"/>
  <c r="AC264" i="6"/>
  <c r="AB264" i="6"/>
  <c r="AA264" i="6"/>
  <c r="Z264" i="6"/>
  <c r="Y264" i="6"/>
  <c r="X264" i="6"/>
  <c r="W264" i="6"/>
  <c r="V264" i="6"/>
  <c r="U264" i="6"/>
  <c r="T264" i="6"/>
  <c r="S264" i="6"/>
  <c r="R264" i="6"/>
  <c r="Q264" i="6"/>
  <c r="P264" i="6"/>
  <c r="O264" i="6"/>
  <c r="N264" i="6"/>
  <c r="M264" i="6"/>
  <c r="L264" i="6"/>
  <c r="K264" i="6"/>
  <c r="J264" i="6"/>
  <c r="I264" i="6"/>
  <c r="H264" i="6"/>
  <c r="G264" i="6"/>
  <c r="F264" i="6"/>
  <c r="E264" i="6"/>
  <c r="D264" i="6"/>
  <c r="C264" i="6"/>
  <c r="B264" i="6"/>
  <c r="A264" i="6"/>
  <c r="AD263" i="6"/>
  <c r="AC263" i="6"/>
  <c r="AB263" i="6"/>
  <c r="AA263" i="6"/>
  <c r="Z263" i="6"/>
  <c r="Y263" i="6"/>
  <c r="X263" i="6"/>
  <c r="W263" i="6"/>
  <c r="V263" i="6"/>
  <c r="U263" i="6"/>
  <c r="T263" i="6"/>
  <c r="S263" i="6"/>
  <c r="R263" i="6"/>
  <c r="Q263" i="6"/>
  <c r="P263" i="6"/>
  <c r="O263" i="6"/>
  <c r="N263" i="6"/>
  <c r="M263" i="6"/>
  <c r="L263" i="6"/>
  <c r="K263" i="6"/>
  <c r="J263" i="6"/>
  <c r="I263" i="6"/>
  <c r="H263" i="6"/>
  <c r="G263" i="6"/>
  <c r="F263" i="6"/>
  <c r="E263" i="6"/>
  <c r="D263" i="6"/>
  <c r="C263" i="6"/>
  <c r="B263" i="6"/>
  <c r="A263" i="6"/>
  <c r="AD262" i="6"/>
  <c r="AC262" i="6"/>
  <c r="AB262" i="6"/>
  <c r="AA262" i="6"/>
  <c r="Z262" i="6"/>
  <c r="Y262" i="6"/>
  <c r="X262" i="6"/>
  <c r="W262" i="6"/>
  <c r="V262" i="6"/>
  <c r="U262" i="6"/>
  <c r="T262" i="6"/>
  <c r="S262" i="6"/>
  <c r="R262" i="6"/>
  <c r="Q262" i="6"/>
  <c r="P262" i="6"/>
  <c r="O262" i="6"/>
  <c r="N262" i="6"/>
  <c r="M262" i="6"/>
  <c r="L262" i="6"/>
  <c r="K262" i="6"/>
  <c r="J262" i="6"/>
  <c r="I262" i="6"/>
  <c r="H262" i="6"/>
  <c r="G262" i="6"/>
  <c r="F262" i="6"/>
  <c r="E262" i="6"/>
  <c r="D262" i="6"/>
  <c r="C262" i="6"/>
  <c r="B262" i="6"/>
  <c r="A262" i="6"/>
  <c r="AD261" i="6"/>
  <c r="AC261" i="6"/>
  <c r="AB261" i="6"/>
  <c r="AA261" i="6"/>
  <c r="Z261" i="6"/>
  <c r="Y261" i="6"/>
  <c r="X261" i="6"/>
  <c r="W261" i="6"/>
  <c r="V261" i="6"/>
  <c r="U261" i="6"/>
  <c r="T261" i="6"/>
  <c r="S261" i="6"/>
  <c r="R261" i="6"/>
  <c r="Q261" i="6"/>
  <c r="P261" i="6"/>
  <c r="O261" i="6"/>
  <c r="N261" i="6"/>
  <c r="M261" i="6"/>
  <c r="L261" i="6"/>
  <c r="K261" i="6"/>
  <c r="J261" i="6"/>
  <c r="I261" i="6"/>
  <c r="H261" i="6"/>
  <c r="G261" i="6"/>
  <c r="F261" i="6"/>
  <c r="E261" i="6"/>
  <c r="D261" i="6"/>
  <c r="C261" i="6"/>
  <c r="B261" i="6"/>
  <c r="A261" i="6"/>
  <c r="AC260" i="6"/>
  <c r="AB260" i="6"/>
  <c r="AA260" i="6"/>
  <c r="Z260" i="6"/>
  <c r="Y260" i="6"/>
  <c r="X260" i="6"/>
  <c r="W260" i="6"/>
  <c r="V260" i="6"/>
  <c r="U260" i="6"/>
  <c r="T260" i="6"/>
  <c r="S260" i="6"/>
  <c r="R260" i="6"/>
  <c r="Q260" i="6"/>
  <c r="P260" i="6"/>
  <c r="O260" i="6"/>
  <c r="N260" i="6"/>
  <c r="M260" i="6"/>
  <c r="L260" i="6"/>
  <c r="K260" i="6"/>
  <c r="J260" i="6"/>
  <c r="I260" i="6"/>
  <c r="H260" i="6"/>
  <c r="G260" i="6"/>
  <c r="F260" i="6"/>
  <c r="E260" i="6"/>
  <c r="D260" i="6"/>
  <c r="C260" i="6"/>
  <c r="B260" i="6"/>
  <c r="A260" i="6"/>
  <c r="AC259" i="6"/>
  <c r="AB259" i="6"/>
  <c r="AA259" i="6"/>
  <c r="Z259" i="6"/>
  <c r="Y259" i="6"/>
  <c r="X259" i="6"/>
  <c r="W259" i="6"/>
  <c r="V259" i="6"/>
  <c r="U259" i="6"/>
  <c r="T259" i="6"/>
  <c r="S259" i="6"/>
  <c r="R259" i="6"/>
  <c r="Q259" i="6"/>
  <c r="P259" i="6"/>
  <c r="O259" i="6"/>
  <c r="N259" i="6"/>
  <c r="M259" i="6"/>
  <c r="L259" i="6"/>
  <c r="K259" i="6"/>
  <c r="J259" i="6"/>
  <c r="H259" i="6"/>
  <c r="G259" i="6"/>
  <c r="F259" i="6"/>
  <c r="E259" i="6"/>
  <c r="D259" i="6"/>
  <c r="C259" i="6"/>
  <c r="B259" i="6"/>
  <c r="A259" i="6"/>
  <c r="AD258" i="6"/>
  <c r="AC258" i="6"/>
  <c r="AB258" i="6"/>
  <c r="AA258" i="6"/>
  <c r="Z258" i="6"/>
  <c r="Y258" i="6"/>
  <c r="X258" i="6"/>
  <c r="W258" i="6"/>
  <c r="V258" i="6"/>
  <c r="U258" i="6"/>
  <c r="T258" i="6"/>
  <c r="S258" i="6"/>
  <c r="R258" i="6"/>
  <c r="Q258" i="6"/>
  <c r="P258" i="6"/>
  <c r="O258" i="6"/>
  <c r="N258" i="6"/>
  <c r="M258" i="6"/>
  <c r="L258" i="6"/>
  <c r="K258" i="6"/>
  <c r="J258" i="6"/>
  <c r="I258" i="6"/>
  <c r="H258" i="6"/>
  <c r="G258" i="6"/>
  <c r="F258" i="6"/>
  <c r="E258" i="6"/>
  <c r="D258" i="6"/>
  <c r="C258" i="6"/>
  <c r="B258" i="6"/>
  <c r="A258" i="6"/>
  <c r="AC257" i="6"/>
  <c r="AB257" i="6"/>
  <c r="AA257" i="6"/>
  <c r="Z257" i="6"/>
  <c r="Y257" i="6"/>
  <c r="X257" i="6"/>
  <c r="W257" i="6"/>
  <c r="V257" i="6"/>
  <c r="U257" i="6"/>
  <c r="T257" i="6"/>
  <c r="S257" i="6"/>
  <c r="R257" i="6"/>
  <c r="Q257" i="6"/>
  <c r="P257" i="6"/>
  <c r="O257" i="6"/>
  <c r="N257" i="6"/>
  <c r="M257" i="6"/>
  <c r="L257" i="6"/>
  <c r="K257" i="6"/>
  <c r="J257" i="6"/>
  <c r="H257" i="6"/>
  <c r="G257" i="6"/>
  <c r="F257" i="6"/>
  <c r="E257" i="6"/>
  <c r="D257" i="6"/>
  <c r="C257" i="6"/>
  <c r="B257" i="6"/>
  <c r="A257" i="6"/>
  <c r="AD256" i="6"/>
  <c r="AC256" i="6"/>
  <c r="AB256" i="6"/>
  <c r="AA256" i="6"/>
  <c r="Z256" i="6"/>
  <c r="Y256" i="6"/>
  <c r="X256" i="6"/>
  <c r="W256" i="6"/>
  <c r="V256" i="6"/>
  <c r="U256" i="6"/>
  <c r="T256" i="6"/>
  <c r="S256" i="6"/>
  <c r="R256" i="6"/>
  <c r="Q256" i="6"/>
  <c r="P256" i="6"/>
  <c r="O256" i="6"/>
  <c r="N256" i="6"/>
  <c r="M256" i="6"/>
  <c r="L256" i="6"/>
  <c r="K256" i="6"/>
  <c r="J256" i="6"/>
  <c r="I256" i="6"/>
  <c r="H256" i="6"/>
  <c r="G256" i="6"/>
  <c r="F256" i="6"/>
  <c r="E256" i="6"/>
  <c r="D256" i="6"/>
  <c r="C256" i="6"/>
  <c r="B256" i="6"/>
  <c r="A256" i="6"/>
  <c r="AC255" i="6"/>
  <c r="AB255" i="6"/>
  <c r="AA255" i="6"/>
  <c r="Z255" i="6"/>
  <c r="Y255" i="6"/>
  <c r="X255" i="6"/>
  <c r="W255" i="6"/>
  <c r="V255" i="6"/>
  <c r="U255" i="6"/>
  <c r="T255" i="6"/>
  <c r="S255" i="6"/>
  <c r="R255" i="6"/>
  <c r="Q255" i="6"/>
  <c r="P255" i="6"/>
  <c r="O255" i="6"/>
  <c r="N255" i="6"/>
  <c r="M255" i="6"/>
  <c r="L255" i="6"/>
  <c r="K255" i="6"/>
  <c r="J255" i="6"/>
  <c r="H255" i="6"/>
  <c r="G255" i="6"/>
  <c r="F255" i="6"/>
  <c r="E255" i="6"/>
  <c r="D255" i="6"/>
  <c r="C255" i="6"/>
  <c r="B255" i="6"/>
  <c r="A255" i="6"/>
  <c r="AC254" i="6"/>
  <c r="AB254" i="6"/>
  <c r="AA254" i="6"/>
  <c r="Z254" i="6"/>
  <c r="Y254" i="6"/>
  <c r="X254" i="6"/>
  <c r="W254" i="6"/>
  <c r="V254" i="6"/>
  <c r="U254" i="6"/>
  <c r="T254" i="6"/>
  <c r="S254" i="6"/>
  <c r="R254" i="6"/>
  <c r="Q254" i="6"/>
  <c r="P254" i="6"/>
  <c r="O254" i="6"/>
  <c r="N254" i="6"/>
  <c r="M254" i="6"/>
  <c r="L254" i="6"/>
  <c r="K254" i="6"/>
  <c r="J254" i="6"/>
  <c r="I254" i="6"/>
  <c r="H254" i="6"/>
  <c r="G254" i="6"/>
  <c r="F254" i="6"/>
  <c r="E254" i="6"/>
  <c r="D254" i="6"/>
  <c r="C254" i="6"/>
  <c r="B254" i="6"/>
  <c r="A254" i="6"/>
  <c r="AD253" i="6"/>
  <c r="AC253" i="6"/>
  <c r="AB253" i="6"/>
  <c r="AA253" i="6"/>
  <c r="Z253" i="6"/>
  <c r="Y253" i="6"/>
  <c r="X253" i="6"/>
  <c r="W253" i="6"/>
  <c r="V253" i="6"/>
  <c r="U253" i="6"/>
  <c r="T253" i="6"/>
  <c r="S253" i="6"/>
  <c r="R253" i="6"/>
  <c r="Q253" i="6"/>
  <c r="P253" i="6"/>
  <c r="O253" i="6"/>
  <c r="N253" i="6"/>
  <c r="M253" i="6"/>
  <c r="L253" i="6"/>
  <c r="K253" i="6"/>
  <c r="J253" i="6"/>
  <c r="I253" i="6"/>
  <c r="H253" i="6"/>
  <c r="G253" i="6"/>
  <c r="F253" i="6"/>
  <c r="E253" i="6"/>
  <c r="D253" i="6"/>
  <c r="C253" i="6"/>
  <c r="B253" i="6"/>
  <c r="A253" i="6"/>
  <c r="AD252" i="6"/>
  <c r="AC252" i="6"/>
  <c r="AB252" i="6"/>
  <c r="AA252" i="6"/>
  <c r="Z252" i="6"/>
  <c r="Y252" i="6"/>
  <c r="X252" i="6"/>
  <c r="W252" i="6"/>
  <c r="V252" i="6"/>
  <c r="U252" i="6"/>
  <c r="T252" i="6"/>
  <c r="S252" i="6"/>
  <c r="R252" i="6"/>
  <c r="Q252" i="6"/>
  <c r="P252" i="6"/>
  <c r="O252" i="6"/>
  <c r="N252" i="6"/>
  <c r="M252" i="6"/>
  <c r="L252" i="6"/>
  <c r="K252" i="6"/>
  <c r="J252" i="6"/>
  <c r="I252" i="6"/>
  <c r="H252" i="6"/>
  <c r="G252" i="6"/>
  <c r="F252" i="6"/>
  <c r="E252" i="6"/>
  <c r="D252" i="6"/>
  <c r="C252" i="6"/>
  <c r="B252" i="6"/>
  <c r="A252" i="6"/>
  <c r="AC251" i="6"/>
  <c r="AB251" i="6"/>
  <c r="AA251" i="6"/>
  <c r="Z251" i="6"/>
  <c r="Y251" i="6"/>
  <c r="X251" i="6"/>
  <c r="W251" i="6"/>
  <c r="V251" i="6"/>
  <c r="U251" i="6"/>
  <c r="T251" i="6"/>
  <c r="S251" i="6"/>
  <c r="R251" i="6"/>
  <c r="Q251" i="6"/>
  <c r="P251" i="6"/>
  <c r="O251" i="6"/>
  <c r="N251" i="6"/>
  <c r="M251" i="6"/>
  <c r="L251" i="6"/>
  <c r="K251" i="6"/>
  <c r="J251" i="6"/>
  <c r="H251" i="6"/>
  <c r="G251" i="6"/>
  <c r="F251" i="6"/>
  <c r="E251" i="6"/>
  <c r="D251" i="6"/>
  <c r="C251" i="6"/>
  <c r="B251" i="6"/>
  <c r="A251" i="6"/>
  <c r="AC250" i="6"/>
  <c r="AB250" i="6"/>
  <c r="AA250" i="6"/>
  <c r="Z250" i="6"/>
  <c r="Y250" i="6"/>
  <c r="X250" i="6"/>
  <c r="W250" i="6"/>
  <c r="V250" i="6"/>
  <c r="U250" i="6"/>
  <c r="T250" i="6"/>
  <c r="S250" i="6"/>
  <c r="R250" i="6"/>
  <c r="Q250" i="6"/>
  <c r="P250" i="6"/>
  <c r="O250" i="6"/>
  <c r="N250" i="6"/>
  <c r="M250" i="6"/>
  <c r="L250" i="6"/>
  <c r="K250" i="6"/>
  <c r="J250" i="6"/>
  <c r="H250" i="6"/>
  <c r="G250" i="6"/>
  <c r="F250" i="6"/>
  <c r="E250" i="6"/>
  <c r="D250" i="6"/>
  <c r="C250" i="6"/>
  <c r="B250" i="6"/>
  <c r="A250" i="6"/>
  <c r="AD249" i="6"/>
  <c r="AC249" i="6"/>
  <c r="AB249" i="6"/>
  <c r="AA249" i="6"/>
  <c r="Z249" i="6"/>
  <c r="Y249" i="6"/>
  <c r="X249" i="6"/>
  <c r="W249" i="6"/>
  <c r="V249" i="6"/>
  <c r="U249" i="6"/>
  <c r="T249" i="6"/>
  <c r="S249" i="6"/>
  <c r="R249" i="6"/>
  <c r="Q249" i="6"/>
  <c r="P249" i="6"/>
  <c r="O249" i="6"/>
  <c r="N249" i="6"/>
  <c r="M249" i="6"/>
  <c r="L249" i="6"/>
  <c r="K249" i="6"/>
  <c r="J249" i="6"/>
  <c r="I249" i="6"/>
  <c r="H249" i="6"/>
  <c r="G249" i="6"/>
  <c r="F249" i="6"/>
  <c r="E249" i="6"/>
  <c r="D249" i="6"/>
  <c r="C249" i="6"/>
  <c r="B249" i="6"/>
  <c r="A249" i="6"/>
  <c r="S248" i="6"/>
  <c r="R248" i="6"/>
  <c r="Q248" i="6"/>
  <c r="P248" i="6"/>
  <c r="O248" i="6"/>
  <c r="N248" i="6"/>
  <c r="M248" i="6"/>
  <c r="L248" i="6"/>
  <c r="K248" i="6"/>
  <c r="J248" i="6"/>
  <c r="H248" i="6"/>
  <c r="G248" i="6"/>
  <c r="F248" i="6"/>
  <c r="E248" i="6"/>
  <c r="D248" i="6"/>
  <c r="C248" i="6"/>
  <c r="B248" i="6"/>
  <c r="A248" i="6"/>
  <c r="AC247" i="6"/>
  <c r="AB247" i="6"/>
  <c r="AA247" i="6"/>
  <c r="Z247" i="6"/>
  <c r="Y247" i="6"/>
  <c r="X247" i="6"/>
  <c r="W247" i="6"/>
  <c r="V247" i="6"/>
  <c r="U247" i="6"/>
  <c r="T247" i="6"/>
  <c r="S247" i="6"/>
  <c r="R247" i="6"/>
  <c r="Q247" i="6"/>
  <c r="P247" i="6"/>
  <c r="O247" i="6"/>
  <c r="N247" i="6"/>
  <c r="M247" i="6"/>
  <c r="L247" i="6"/>
  <c r="K247" i="6"/>
  <c r="J247" i="6"/>
  <c r="H247" i="6"/>
  <c r="G247" i="6"/>
  <c r="F247" i="6"/>
  <c r="E247" i="6"/>
  <c r="D247" i="6"/>
  <c r="C247" i="6"/>
  <c r="B247" i="6"/>
  <c r="A247" i="6"/>
  <c r="AC246" i="6"/>
  <c r="AB246" i="6"/>
  <c r="AA246" i="6"/>
  <c r="Z246" i="6"/>
  <c r="Y246" i="6"/>
  <c r="X246" i="6"/>
  <c r="W246" i="6"/>
  <c r="V246" i="6"/>
  <c r="U246" i="6"/>
  <c r="T246" i="6"/>
  <c r="S246" i="6"/>
  <c r="R246" i="6"/>
  <c r="Q246" i="6"/>
  <c r="P246" i="6"/>
  <c r="O246" i="6"/>
  <c r="N246" i="6"/>
  <c r="M246" i="6"/>
  <c r="L246" i="6"/>
  <c r="K246" i="6"/>
  <c r="J246" i="6"/>
  <c r="H246" i="6"/>
  <c r="G246" i="6"/>
  <c r="F246" i="6"/>
  <c r="E246" i="6"/>
  <c r="D246" i="6"/>
  <c r="C246" i="6"/>
  <c r="B246" i="6"/>
  <c r="A246" i="6"/>
  <c r="AC245" i="6"/>
  <c r="AB245" i="6"/>
  <c r="AA245" i="6"/>
  <c r="Z245" i="6"/>
  <c r="Y245" i="6"/>
  <c r="X245" i="6"/>
  <c r="W245" i="6"/>
  <c r="V245" i="6"/>
  <c r="U245" i="6"/>
  <c r="T245" i="6"/>
  <c r="S245" i="6"/>
  <c r="R245" i="6"/>
  <c r="Q245" i="6"/>
  <c r="P245" i="6"/>
  <c r="O245" i="6"/>
  <c r="N245" i="6"/>
  <c r="M245" i="6"/>
  <c r="L245" i="6"/>
  <c r="K245" i="6"/>
  <c r="J245" i="6"/>
  <c r="H245" i="6"/>
  <c r="G245" i="6"/>
  <c r="F245" i="6"/>
  <c r="E245" i="6"/>
  <c r="D245" i="6"/>
  <c r="C245" i="6"/>
  <c r="B245" i="6"/>
  <c r="A245" i="6"/>
  <c r="AC244" i="6"/>
  <c r="AB244" i="6"/>
  <c r="AA244" i="6"/>
  <c r="Z244" i="6"/>
  <c r="Y244" i="6"/>
  <c r="X244" i="6"/>
  <c r="W244" i="6"/>
  <c r="V244" i="6"/>
  <c r="U244" i="6"/>
  <c r="T244" i="6"/>
  <c r="S244" i="6"/>
  <c r="R244" i="6"/>
  <c r="Q244" i="6"/>
  <c r="P244" i="6"/>
  <c r="O244" i="6"/>
  <c r="N244" i="6"/>
  <c r="M244" i="6"/>
  <c r="L244" i="6"/>
  <c r="K244" i="6"/>
  <c r="J244" i="6"/>
  <c r="H244" i="6"/>
  <c r="G244" i="6"/>
  <c r="F244" i="6"/>
  <c r="E244" i="6"/>
  <c r="D244" i="6"/>
  <c r="C244" i="6"/>
  <c r="B244" i="6"/>
  <c r="A244" i="6"/>
  <c r="AC243" i="6"/>
  <c r="AB243" i="6"/>
  <c r="AA243" i="6"/>
  <c r="Z243" i="6"/>
  <c r="Y243" i="6"/>
  <c r="X243" i="6"/>
  <c r="W243" i="6"/>
  <c r="V243" i="6"/>
  <c r="U243" i="6"/>
  <c r="T243" i="6"/>
  <c r="S243" i="6"/>
  <c r="R243" i="6"/>
  <c r="Q243" i="6"/>
  <c r="P243" i="6"/>
  <c r="O243" i="6"/>
  <c r="N243" i="6"/>
  <c r="M243" i="6"/>
  <c r="L243" i="6"/>
  <c r="K243" i="6"/>
  <c r="J243" i="6"/>
  <c r="H243" i="6"/>
  <c r="G243" i="6"/>
  <c r="F243" i="6"/>
  <c r="E243" i="6"/>
  <c r="D243" i="6"/>
  <c r="C243" i="6"/>
  <c r="B243" i="6"/>
  <c r="A243" i="6"/>
  <c r="AD242" i="6"/>
  <c r="AC242" i="6"/>
  <c r="AB242" i="6"/>
  <c r="AA242" i="6"/>
  <c r="Z242" i="6"/>
  <c r="Y242" i="6"/>
  <c r="X242" i="6"/>
  <c r="W242" i="6"/>
  <c r="V242" i="6"/>
  <c r="U242" i="6"/>
  <c r="T242" i="6"/>
  <c r="S242" i="6"/>
  <c r="R242" i="6"/>
  <c r="Q242" i="6"/>
  <c r="P242" i="6"/>
  <c r="O242" i="6"/>
  <c r="N242" i="6"/>
  <c r="M242" i="6"/>
  <c r="L242" i="6"/>
  <c r="K242" i="6"/>
  <c r="J242" i="6"/>
  <c r="I242" i="6"/>
  <c r="H242" i="6"/>
  <c r="G242" i="6"/>
  <c r="F242" i="6"/>
  <c r="E242" i="6"/>
  <c r="D242" i="6"/>
  <c r="C242" i="6"/>
  <c r="B242" i="6"/>
  <c r="A242" i="6"/>
  <c r="AC241" i="6"/>
  <c r="AB241" i="6"/>
  <c r="AA241" i="6"/>
  <c r="Z241" i="6"/>
  <c r="Y241" i="6"/>
  <c r="X241" i="6"/>
  <c r="W241" i="6"/>
  <c r="V241" i="6"/>
  <c r="U241" i="6"/>
  <c r="T241" i="6"/>
  <c r="S241" i="6"/>
  <c r="R241" i="6"/>
  <c r="Q241" i="6"/>
  <c r="P241" i="6"/>
  <c r="O241" i="6"/>
  <c r="N241" i="6"/>
  <c r="M241" i="6"/>
  <c r="L241" i="6"/>
  <c r="K241" i="6"/>
  <c r="J241" i="6"/>
  <c r="H241" i="6"/>
  <c r="G241" i="6"/>
  <c r="F241" i="6"/>
  <c r="E241" i="6"/>
  <c r="D241" i="6"/>
  <c r="C241" i="6"/>
  <c r="B241" i="6"/>
  <c r="A241" i="6"/>
  <c r="AC240" i="6"/>
  <c r="AB240" i="6"/>
  <c r="AA240" i="6"/>
  <c r="Z240" i="6"/>
  <c r="Y240" i="6"/>
  <c r="X240" i="6"/>
  <c r="W240" i="6"/>
  <c r="V240" i="6"/>
  <c r="U240" i="6"/>
  <c r="T240" i="6"/>
  <c r="S240" i="6"/>
  <c r="R240" i="6"/>
  <c r="Q240" i="6"/>
  <c r="P240" i="6"/>
  <c r="O240" i="6"/>
  <c r="N240" i="6"/>
  <c r="M240" i="6"/>
  <c r="L240" i="6"/>
  <c r="K240" i="6"/>
  <c r="J240" i="6"/>
  <c r="H240" i="6"/>
  <c r="G240" i="6"/>
  <c r="F240" i="6"/>
  <c r="E240" i="6"/>
  <c r="D240" i="6"/>
  <c r="C240" i="6"/>
  <c r="B240" i="6"/>
  <c r="A240" i="6"/>
  <c r="AC239" i="6"/>
  <c r="AB239" i="6"/>
  <c r="AA239" i="6"/>
  <c r="Z239" i="6"/>
  <c r="Y239" i="6"/>
  <c r="X239" i="6"/>
  <c r="W239" i="6"/>
  <c r="V239" i="6"/>
  <c r="U239" i="6"/>
  <c r="T239" i="6"/>
  <c r="S239" i="6"/>
  <c r="R239" i="6"/>
  <c r="Q239" i="6"/>
  <c r="P239" i="6"/>
  <c r="O239" i="6"/>
  <c r="N239" i="6"/>
  <c r="M239" i="6"/>
  <c r="L239" i="6"/>
  <c r="K239" i="6"/>
  <c r="J239" i="6"/>
  <c r="H239" i="6"/>
  <c r="G239" i="6"/>
  <c r="F239" i="6"/>
  <c r="E239" i="6"/>
  <c r="D239" i="6"/>
  <c r="C239" i="6"/>
  <c r="B239" i="6"/>
  <c r="A239" i="6"/>
  <c r="AC238" i="6"/>
  <c r="AB238" i="6"/>
  <c r="AA238" i="6"/>
  <c r="Z238" i="6"/>
  <c r="Y238" i="6"/>
  <c r="X238" i="6"/>
  <c r="W238" i="6"/>
  <c r="V238" i="6"/>
  <c r="U238" i="6"/>
  <c r="T238" i="6"/>
  <c r="S238" i="6"/>
  <c r="R238" i="6"/>
  <c r="Q238" i="6"/>
  <c r="P238" i="6"/>
  <c r="O238" i="6"/>
  <c r="N238" i="6"/>
  <c r="M238" i="6"/>
  <c r="L238" i="6"/>
  <c r="K238" i="6"/>
  <c r="J238" i="6"/>
  <c r="H238" i="6"/>
  <c r="G238" i="6"/>
  <c r="F238" i="6"/>
  <c r="E238" i="6"/>
  <c r="D238" i="6"/>
  <c r="C238" i="6"/>
  <c r="B238" i="6"/>
  <c r="A238" i="6"/>
  <c r="AC237" i="6"/>
  <c r="AB237" i="6"/>
  <c r="AA237" i="6"/>
  <c r="Z237" i="6"/>
  <c r="Y237" i="6"/>
  <c r="X237" i="6"/>
  <c r="W237" i="6"/>
  <c r="V237" i="6"/>
  <c r="U237" i="6"/>
  <c r="T237" i="6"/>
  <c r="S237" i="6"/>
  <c r="R237" i="6"/>
  <c r="Q237" i="6"/>
  <c r="P237" i="6"/>
  <c r="O237" i="6"/>
  <c r="N237" i="6"/>
  <c r="M237" i="6"/>
  <c r="L237" i="6"/>
  <c r="K237" i="6"/>
  <c r="J237" i="6"/>
  <c r="H237" i="6"/>
  <c r="G237" i="6"/>
  <c r="F237" i="6"/>
  <c r="E237" i="6"/>
  <c r="D237" i="6"/>
  <c r="C237" i="6"/>
  <c r="B237" i="6"/>
  <c r="A237" i="6"/>
  <c r="AC236" i="6"/>
  <c r="AB236" i="6"/>
  <c r="AA236" i="6"/>
  <c r="Z236" i="6"/>
  <c r="Y236" i="6"/>
  <c r="X236" i="6"/>
  <c r="W236" i="6"/>
  <c r="V236" i="6"/>
  <c r="U236" i="6"/>
  <c r="T236" i="6"/>
  <c r="S236" i="6"/>
  <c r="R236" i="6"/>
  <c r="Q236" i="6"/>
  <c r="P236" i="6"/>
  <c r="O236" i="6"/>
  <c r="N236" i="6"/>
  <c r="M236" i="6"/>
  <c r="L236" i="6"/>
  <c r="K236" i="6"/>
  <c r="J236" i="6"/>
  <c r="H236" i="6"/>
  <c r="G236" i="6"/>
  <c r="F236" i="6"/>
  <c r="E236" i="6"/>
  <c r="D236" i="6"/>
  <c r="C236" i="6"/>
  <c r="B236" i="6"/>
  <c r="A236" i="6"/>
  <c r="AC235" i="6"/>
  <c r="AB235" i="6"/>
  <c r="AA235" i="6"/>
  <c r="Z235" i="6"/>
  <c r="Y235" i="6"/>
  <c r="X235" i="6"/>
  <c r="W235" i="6"/>
  <c r="V235" i="6"/>
  <c r="U235" i="6"/>
  <c r="T235" i="6"/>
  <c r="S235" i="6"/>
  <c r="R235" i="6"/>
  <c r="Q235" i="6"/>
  <c r="P235" i="6"/>
  <c r="O235" i="6"/>
  <c r="N235" i="6"/>
  <c r="M235" i="6"/>
  <c r="L235" i="6"/>
  <c r="K235" i="6"/>
  <c r="J235" i="6"/>
  <c r="H235" i="6"/>
  <c r="G235" i="6"/>
  <c r="F235" i="6"/>
  <c r="E235" i="6"/>
  <c r="D235" i="6"/>
  <c r="C235" i="6"/>
  <c r="B235" i="6"/>
  <c r="A235" i="6"/>
  <c r="AC234" i="6"/>
  <c r="AB234" i="6"/>
  <c r="AA234" i="6"/>
  <c r="Z234" i="6"/>
  <c r="Y234" i="6"/>
  <c r="X234" i="6"/>
  <c r="W234" i="6"/>
  <c r="V234" i="6"/>
  <c r="U234" i="6"/>
  <c r="T234" i="6"/>
  <c r="S234" i="6"/>
  <c r="R234" i="6"/>
  <c r="Q234" i="6"/>
  <c r="P234" i="6"/>
  <c r="O234" i="6"/>
  <c r="N234" i="6"/>
  <c r="M234" i="6"/>
  <c r="L234" i="6"/>
  <c r="K234" i="6"/>
  <c r="J234" i="6"/>
  <c r="H234" i="6"/>
  <c r="G234" i="6"/>
  <c r="F234" i="6"/>
  <c r="E234" i="6"/>
  <c r="D234" i="6"/>
  <c r="C234" i="6"/>
  <c r="B234" i="6"/>
  <c r="A234" i="6"/>
  <c r="AC233" i="6"/>
  <c r="AB233" i="6"/>
  <c r="AA233" i="6"/>
  <c r="Z233" i="6"/>
  <c r="Y233" i="6"/>
  <c r="X233" i="6"/>
  <c r="W233" i="6"/>
  <c r="V233" i="6"/>
  <c r="U233" i="6"/>
  <c r="T233" i="6"/>
  <c r="S233" i="6"/>
  <c r="R233" i="6"/>
  <c r="Q233" i="6"/>
  <c r="P233" i="6"/>
  <c r="O233" i="6"/>
  <c r="N233" i="6"/>
  <c r="M233" i="6"/>
  <c r="L233" i="6"/>
  <c r="K233" i="6"/>
  <c r="J233" i="6"/>
  <c r="H233" i="6"/>
  <c r="G233" i="6"/>
  <c r="F233" i="6"/>
  <c r="E233" i="6"/>
  <c r="D233" i="6"/>
  <c r="C233" i="6"/>
  <c r="B233" i="6"/>
  <c r="A233" i="6"/>
  <c r="AC232" i="6"/>
  <c r="AB232" i="6"/>
  <c r="AA232" i="6"/>
  <c r="Z232" i="6"/>
  <c r="Y232" i="6"/>
  <c r="X232" i="6"/>
  <c r="W232" i="6"/>
  <c r="V232" i="6"/>
  <c r="U232" i="6"/>
  <c r="T232" i="6"/>
  <c r="S232" i="6"/>
  <c r="R232" i="6"/>
  <c r="Q232" i="6"/>
  <c r="P232" i="6"/>
  <c r="O232" i="6"/>
  <c r="N232" i="6"/>
  <c r="M232" i="6"/>
  <c r="L232" i="6"/>
  <c r="K232" i="6"/>
  <c r="J232" i="6"/>
  <c r="H232" i="6"/>
  <c r="G232" i="6"/>
  <c r="F232" i="6"/>
  <c r="E232" i="6"/>
  <c r="D232" i="6"/>
  <c r="C232" i="6"/>
  <c r="B232" i="6"/>
  <c r="A232" i="6"/>
  <c r="AC231" i="6"/>
  <c r="AB231" i="6"/>
  <c r="AA231" i="6"/>
  <c r="Z231" i="6"/>
  <c r="Y231" i="6"/>
  <c r="X231" i="6"/>
  <c r="W231" i="6"/>
  <c r="V231" i="6"/>
  <c r="U231" i="6"/>
  <c r="T231" i="6"/>
  <c r="S231" i="6"/>
  <c r="R231" i="6"/>
  <c r="Q231" i="6"/>
  <c r="P231" i="6"/>
  <c r="O231" i="6"/>
  <c r="N231" i="6"/>
  <c r="M231" i="6"/>
  <c r="L231" i="6"/>
  <c r="K231" i="6"/>
  <c r="J231" i="6"/>
  <c r="H231" i="6"/>
  <c r="G231" i="6"/>
  <c r="F231" i="6"/>
  <c r="E231" i="6"/>
  <c r="D231" i="6"/>
  <c r="C231" i="6"/>
  <c r="B231" i="6"/>
  <c r="A231" i="6"/>
  <c r="AC230" i="6"/>
  <c r="AB230" i="6"/>
  <c r="AA230" i="6"/>
  <c r="Z230" i="6"/>
  <c r="Y230" i="6"/>
  <c r="X230" i="6"/>
  <c r="W230" i="6"/>
  <c r="V230" i="6"/>
  <c r="U230" i="6"/>
  <c r="T230" i="6"/>
  <c r="S230" i="6"/>
  <c r="R230" i="6"/>
  <c r="Q230" i="6"/>
  <c r="P230" i="6"/>
  <c r="O230" i="6"/>
  <c r="N230" i="6"/>
  <c r="M230" i="6"/>
  <c r="L230" i="6"/>
  <c r="K230" i="6"/>
  <c r="J230" i="6"/>
  <c r="H230" i="6"/>
  <c r="G230" i="6"/>
  <c r="F230" i="6"/>
  <c r="E230" i="6"/>
  <c r="D230" i="6"/>
  <c r="C230" i="6"/>
  <c r="B230" i="6"/>
  <c r="A230" i="6"/>
  <c r="AC229" i="6"/>
  <c r="AB229" i="6"/>
  <c r="AA229" i="6"/>
  <c r="Z229" i="6"/>
  <c r="Y229" i="6"/>
  <c r="X229" i="6"/>
  <c r="W229" i="6"/>
  <c r="V229" i="6"/>
  <c r="U229" i="6"/>
  <c r="T229" i="6"/>
  <c r="S229" i="6"/>
  <c r="R229" i="6"/>
  <c r="Q229" i="6"/>
  <c r="P229" i="6"/>
  <c r="O229" i="6"/>
  <c r="N229" i="6"/>
  <c r="M229" i="6"/>
  <c r="L229" i="6"/>
  <c r="K229" i="6"/>
  <c r="J229" i="6"/>
  <c r="H229" i="6"/>
  <c r="G229" i="6"/>
  <c r="F229" i="6"/>
  <c r="E229" i="6"/>
  <c r="D229" i="6"/>
  <c r="C229" i="6"/>
  <c r="B229" i="6"/>
  <c r="A229" i="6"/>
  <c r="AC228" i="6"/>
  <c r="AB228" i="6"/>
  <c r="AA228" i="6"/>
  <c r="Z228" i="6"/>
  <c r="Y228" i="6"/>
  <c r="X228" i="6"/>
  <c r="W228" i="6"/>
  <c r="V228" i="6"/>
  <c r="U228" i="6"/>
  <c r="T228" i="6"/>
  <c r="S228" i="6"/>
  <c r="R228" i="6"/>
  <c r="Q228" i="6"/>
  <c r="P228" i="6"/>
  <c r="O228" i="6"/>
  <c r="N228" i="6"/>
  <c r="M228" i="6"/>
  <c r="L228" i="6"/>
  <c r="K228" i="6"/>
  <c r="J228" i="6"/>
  <c r="H228" i="6"/>
  <c r="G228" i="6"/>
  <c r="F228" i="6"/>
  <c r="E228" i="6"/>
  <c r="D228" i="6"/>
  <c r="C228" i="6"/>
  <c r="B228" i="6"/>
  <c r="A228" i="6"/>
  <c r="AC227" i="6"/>
  <c r="AB227" i="6"/>
  <c r="AA227" i="6"/>
  <c r="Z227" i="6"/>
  <c r="Y227" i="6"/>
  <c r="X227" i="6"/>
  <c r="W227" i="6"/>
  <c r="V227" i="6"/>
  <c r="U227" i="6"/>
  <c r="T227" i="6"/>
  <c r="S227" i="6"/>
  <c r="R227" i="6"/>
  <c r="Q227" i="6"/>
  <c r="P227" i="6"/>
  <c r="O227" i="6"/>
  <c r="N227" i="6"/>
  <c r="M227" i="6"/>
  <c r="L227" i="6"/>
  <c r="K227" i="6"/>
  <c r="J227" i="6"/>
  <c r="H227" i="6"/>
  <c r="G227" i="6"/>
  <c r="F227" i="6"/>
  <c r="E227" i="6"/>
  <c r="D227" i="6"/>
  <c r="C227" i="6"/>
  <c r="B227" i="6"/>
  <c r="A227" i="6"/>
  <c r="AC226" i="6"/>
  <c r="AB226" i="6"/>
  <c r="AA226" i="6"/>
  <c r="Z226" i="6"/>
  <c r="Y226" i="6"/>
  <c r="X226" i="6"/>
  <c r="W226" i="6"/>
  <c r="V226" i="6"/>
  <c r="U226" i="6"/>
  <c r="T226" i="6"/>
  <c r="S226" i="6"/>
  <c r="R226" i="6"/>
  <c r="Q226" i="6"/>
  <c r="P226" i="6"/>
  <c r="O226" i="6"/>
  <c r="N226" i="6"/>
  <c r="M226" i="6"/>
  <c r="L226" i="6"/>
  <c r="K226" i="6"/>
  <c r="J226" i="6"/>
  <c r="H226" i="6"/>
  <c r="G226" i="6"/>
  <c r="F226" i="6"/>
  <c r="E226" i="6"/>
  <c r="D226" i="6"/>
  <c r="C226" i="6"/>
  <c r="B226" i="6"/>
  <c r="A226" i="6"/>
  <c r="AC225" i="6"/>
  <c r="AB225" i="6"/>
  <c r="AA225" i="6"/>
  <c r="Z225" i="6"/>
  <c r="Y225" i="6"/>
  <c r="X225" i="6"/>
  <c r="W225" i="6"/>
  <c r="V225" i="6"/>
  <c r="U225" i="6"/>
  <c r="T225" i="6"/>
  <c r="S225" i="6"/>
  <c r="R225" i="6"/>
  <c r="Q225" i="6"/>
  <c r="P225" i="6"/>
  <c r="O225" i="6"/>
  <c r="N225" i="6"/>
  <c r="M225" i="6"/>
  <c r="L225" i="6"/>
  <c r="K225" i="6"/>
  <c r="J225" i="6"/>
  <c r="H225" i="6"/>
  <c r="G225" i="6"/>
  <c r="F225" i="6"/>
  <c r="E225" i="6"/>
  <c r="D225" i="6"/>
  <c r="C225" i="6"/>
  <c r="B225" i="6"/>
  <c r="A225" i="6"/>
  <c r="AC224" i="6"/>
  <c r="AB224" i="6"/>
  <c r="AA224" i="6"/>
  <c r="Z224" i="6"/>
  <c r="Y224" i="6"/>
  <c r="X224" i="6"/>
  <c r="W224" i="6"/>
  <c r="V224" i="6"/>
  <c r="U224" i="6"/>
  <c r="T224" i="6"/>
  <c r="S224" i="6"/>
  <c r="R224" i="6"/>
  <c r="Q224" i="6"/>
  <c r="P224" i="6"/>
  <c r="O224" i="6"/>
  <c r="N224" i="6"/>
  <c r="M224" i="6"/>
  <c r="L224" i="6"/>
  <c r="K224" i="6"/>
  <c r="J224" i="6"/>
  <c r="H224" i="6"/>
  <c r="G224" i="6"/>
  <c r="F224" i="6"/>
  <c r="E224" i="6"/>
  <c r="D224" i="6"/>
  <c r="C224" i="6"/>
  <c r="B224" i="6"/>
  <c r="A224" i="6"/>
  <c r="AD223" i="6"/>
  <c r="AC223" i="6"/>
  <c r="AB223" i="6"/>
  <c r="AA223" i="6"/>
  <c r="Z223" i="6"/>
  <c r="Y223" i="6"/>
  <c r="X223" i="6"/>
  <c r="W223" i="6"/>
  <c r="V223" i="6"/>
  <c r="U223" i="6"/>
  <c r="T223" i="6"/>
  <c r="S223" i="6"/>
  <c r="R223" i="6"/>
  <c r="Q223" i="6"/>
  <c r="P223" i="6"/>
  <c r="O223" i="6"/>
  <c r="N223" i="6"/>
  <c r="M223" i="6"/>
  <c r="L223" i="6"/>
  <c r="K223" i="6"/>
  <c r="J223" i="6"/>
  <c r="I223" i="6"/>
  <c r="H223" i="6"/>
  <c r="G223" i="6"/>
  <c r="F223" i="6"/>
  <c r="E223" i="6"/>
  <c r="D223" i="6"/>
  <c r="C223" i="6"/>
  <c r="B223" i="6"/>
  <c r="A223" i="6"/>
  <c r="AC222" i="6"/>
  <c r="AB222" i="6"/>
  <c r="AA222" i="6"/>
  <c r="Z222" i="6"/>
  <c r="Y222" i="6"/>
  <c r="X222" i="6"/>
  <c r="W222" i="6"/>
  <c r="V222" i="6"/>
  <c r="U222" i="6"/>
  <c r="T222" i="6"/>
  <c r="S222" i="6"/>
  <c r="R222" i="6"/>
  <c r="Q222" i="6"/>
  <c r="P222" i="6"/>
  <c r="O222" i="6"/>
  <c r="N222" i="6"/>
  <c r="M222" i="6"/>
  <c r="L222" i="6"/>
  <c r="K222" i="6"/>
  <c r="J222" i="6"/>
  <c r="H222" i="6"/>
  <c r="G222" i="6"/>
  <c r="F222" i="6"/>
  <c r="E222" i="6"/>
  <c r="D222" i="6"/>
  <c r="C222" i="6"/>
  <c r="B222" i="6"/>
  <c r="A222" i="6"/>
  <c r="AC221" i="6"/>
  <c r="AB221" i="6"/>
  <c r="AA221" i="6"/>
  <c r="Z221" i="6"/>
  <c r="Y221" i="6"/>
  <c r="X221" i="6"/>
  <c r="W221" i="6"/>
  <c r="V221" i="6"/>
  <c r="U221" i="6"/>
  <c r="T221" i="6"/>
  <c r="S221" i="6"/>
  <c r="R221" i="6"/>
  <c r="Q221" i="6"/>
  <c r="P221" i="6"/>
  <c r="O221" i="6"/>
  <c r="N221" i="6"/>
  <c r="M221" i="6"/>
  <c r="L221" i="6"/>
  <c r="K221" i="6"/>
  <c r="J221" i="6"/>
  <c r="H221" i="6"/>
  <c r="G221" i="6"/>
  <c r="F221" i="6"/>
  <c r="E221" i="6"/>
  <c r="D221" i="6"/>
  <c r="C221" i="6"/>
  <c r="B221" i="6"/>
  <c r="A221" i="6"/>
  <c r="AC220" i="6"/>
  <c r="AB220" i="6"/>
  <c r="AA220" i="6"/>
  <c r="Z220" i="6"/>
  <c r="Y220" i="6"/>
  <c r="X220" i="6"/>
  <c r="W220" i="6"/>
  <c r="V220" i="6"/>
  <c r="U220" i="6"/>
  <c r="T220" i="6"/>
  <c r="S220" i="6"/>
  <c r="R220" i="6"/>
  <c r="Q220" i="6"/>
  <c r="P220" i="6"/>
  <c r="O220" i="6"/>
  <c r="N220" i="6"/>
  <c r="M220" i="6"/>
  <c r="L220" i="6"/>
  <c r="K220" i="6"/>
  <c r="J220" i="6"/>
  <c r="H220" i="6"/>
  <c r="G220" i="6"/>
  <c r="F220" i="6"/>
  <c r="E220" i="6"/>
  <c r="D220" i="6"/>
  <c r="C220" i="6"/>
  <c r="B220" i="6"/>
  <c r="A220" i="6"/>
  <c r="AC219" i="6"/>
  <c r="AB219" i="6"/>
  <c r="AA219" i="6"/>
  <c r="Z219" i="6"/>
  <c r="Y219" i="6"/>
  <c r="X219" i="6"/>
  <c r="W219" i="6"/>
  <c r="V219" i="6"/>
  <c r="U219" i="6"/>
  <c r="T219" i="6"/>
  <c r="S219" i="6"/>
  <c r="R219" i="6"/>
  <c r="Q219" i="6"/>
  <c r="P219" i="6"/>
  <c r="O219" i="6"/>
  <c r="N219" i="6"/>
  <c r="M219" i="6"/>
  <c r="L219" i="6"/>
  <c r="K219" i="6"/>
  <c r="J219" i="6"/>
  <c r="H219" i="6"/>
  <c r="G219" i="6"/>
  <c r="F219" i="6"/>
  <c r="E219" i="6"/>
  <c r="D219" i="6"/>
  <c r="C219" i="6"/>
  <c r="B219" i="6"/>
  <c r="A219" i="6"/>
  <c r="AC218" i="6"/>
  <c r="AB218" i="6"/>
  <c r="AA218" i="6"/>
  <c r="Z218" i="6"/>
  <c r="Y218" i="6"/>
  <c r="X218" i="6"/>
  <c r="W218" i="6"/>
  <c r="V218" i="6"/>
  <c r="U218" i="6"/>
  <c r="T218" i="6"/>
  <c r="S218" i="6"/>
  <c r="R218" i="6"/>
  <c r="Q218" i="6"/>
  <c r="P218" i="6"/>
  <c r="O218" i="6"/>
  <c r="N218" i="6"/>
  <c r="M218" i="6"/>
  <c r="L218" i="6"/>
  <c r="K218" i="6"/>
  <c r="J218" i="6"/>
  <c r="H218" i="6"/>
  <c r="G218" i="6"/>
  <c r="F218" i="6"/>
  <c r="E218" i="6"/>
  <c r="D218" i="6"/>
  <c r="C218" i="6"/>
  <c r="B218" i="6"/>
  <c r="A218" i="6"/>
  <c r="AC217" i="6"/>
  <c r="AB217" i="6"/>
  <c r="AA217" i="6"/>
  <c r="Z217" i="6"/>
  <c r="Y217" i="6"/>
  <c r="X217" i="6"/>
  <c r="W217" i="6"/>
  <c r="V217" i="6"/>
  <c r="U217" i="6"/>
  <c r="T217" i="6"/>
  <c r="S217" i="6"/>
  <c r="R217" i="6"/>
  <c r="Q217" i="6"/>
  <c r="P217" i="6"/>
  <c r="O217" i="6"/>
  <c r="N217" i="6"/>
  <c r="M217" i="6"/>
  <c r="L217" i="6"/>
  <c r="K217" i="6"/>
  <c r="J217" i="6"/>
  <c r="H217" i="6"/>
  <c r="G217" i="6"/>
  <c r="F217" i="6"/>
  <c r="E217" i="6"/>
  <c r="D217" i="6"/>
  <c r="C217" i="6"/>
  <c r="B217" i="6"/>
  <c r="A217" i="6"/>
  <c r="AC216" i="6"/>
  <c r="AB216" i="6"/>
  <c r="AA216" i="6"/>
  <c r="Z216" i="6"/>
  <c r="Y216" i="6"/>
  <c r="X216" i="6"/>
  <c r="W216" i="6"/>
  <c r="V216" i="6"/>
  <c r="U216" i="6"/>
  <c r="T216" i="6"/>
  <c r="S216" i="6"/>
  <c r="R216" i="6"/>
  <c r="Q216" i="6"/>
  <c r="P216" i="6"/>
  <c r="O216" i="6"/>
  <c r="N216" i="6"/>
  <c r="M216" i="6"/>
  <c r="L216" i="6"/>
  <c r="K216" i="6"/>
  <c r="J216" i="6"/>
  <c r="H216" i="6"/>
  <c r="G216" i="6"/>
  <c r="F216" i="6"/>
  <c r="E216" i="6"/>
  <c r="D216" i="6"/>
  <c r="C216" i="6"/>
  <c r="B216" i="6"/>
  <c r="A216" i="6"/>
  <c r="AC215" i="6"/>
  <c r="AB215" i="6"/>
  <c r="AA215" i="6"/>
  <c r="Z215" i="6"/>
  <c r="Y215" i="6"/>
  <c r="X215" i="6"/>
  <c r="W215" i="6"/>
  <c r="V215" i="6"/>
  <c r="U215" i="6"/>
  <c r="T215" i="6"/>
  <c r="S215" i="6"/>
  <c r="R215" i="6"/>
  <c r="Q215" i="6"/>
  <c r="P215" i="6"/>
  <c r="O215" i="6"/>
  <c r="N215" i="6"/>
  <c r="M215" i="6"/>
  <c r="L215" i="6"/>
  <c r="K215" i="6"/>
  <c r="J215" i="6"/>
  <c r="H215" i="6"/>
  <c r="G215" i="6"/>
  <c r="F215" i="6"/>
  <c r="E215" i="6"/>
  <c r="D215" i="6"/>
  <c r="C215" i="6"/>
  <c r="B215" i="6"/>
  <c r="A215" i="6"/>
  <c r="AC214" i="6"/>
  <c r="AB214" i="6"/>
  <c r="AA214" i="6"/>
  <c r="Z214" i="6"/>
  <c r="Y214" i="6"/>
  <c r="X214" i="6"/>
  <c r="W214" i="6"/>
  <c r="V214" i="6"/>
  <c r="U214" i="6"/>
  <c r="T214" i="6"/>
  <c r="S214" i="6"/>
  <c r="R214" i="6"/>
  <c r="Q214" i="6"/>
  <c r="P214" i="6"/>
  <c r="O214" i="6"/>
  <c r="N214" i="6"/>
  <c r="M214" i="6"/>
  <c r="L214" i="6"/>
  <c r="K214" i="6"/>
  <c r="J214" i="6"/>
  <c r="H214" i="6"/>
  <c r="G214" i="6"/>
  <c r="F214" i="6"/>
  <c r="E214" i="6"/>
  <c r="D214" i="6"/>
  <c r="C214" i="6"/>
  <c r="B214" i="6"/>
  <c r="A214" i="6"/>
  <c r="AC213" i="6"/>
  <c r="AB213" i="6"/>
  <c r="AA213" i="6"/>
  <c r="Z213" i="6"/>
  <c r="Y213" i="6"/>
  <c r="X213" i="6"/>
  <c r="W213" i="6"/>
  <c r="V213" i="6"/>
  <c r="U213" i="6"/>
  <c r="T213" i="6"/>
  <c r="S213" i="6"/>
  <c r="R213" i="6"/>
  <c r="Q213" i="6"/>
  <c r="P213" i="6"/>
  <c r="O213" i="6"/>
  <c r="N213" i="6"/>
  <c r="M213" i="6"/>
  <c r="L213" i="6"/>
  <c r="K213" i="6"/>
  <c r="J213" i="6"/>
  <c r="H213" i="6"/>
  <c r="G213" i="6"/>
  <c r="F213" i="6"/>
  <c r="E213" i="6"/>
  <c r="D213" i="6"/>
  <c r="C213" i="6"/>
  <c r="B213" i="6"/>
  <c r="A213" i="6"/>
  <c r="AC212" i="6"/>
  <c r="AB212" i="6"/>
  <c r="AA212" i="6"/>
  <c r="Z212" i="6"/>
  <c r="Y212" i="6"/>
  <c r="X212" i="6"/>
  <c r="W212" i="6"/>
  <c r="V212" i="6"/>
  <c r="U212" i="6"/>
  <c r="T212" i="6"/>
  <c r="S212" i="6"/>
  <c r="R212" i="6"/>
  <c r="Q212" i="6"/>
  <c r="P212" i="6"/>
  <c r="O212" i="6"/>
  <c r="N212" i="6"/>
  <c r="M212" i="6"/>
  <c r="L212" i="6"/>
  <c r="K212" i="6"/>
  <c r="J212" i="6"/>
  <c r="H212" i="6"/>
  <c r="G212" i="6"/>
  <c r="F212" i="6"/>
  <c r="E212" i="6"/>
  <c r="D212" i="6"/>
  <c r="C212" i="6"/>
  <c r="B212" i="6"/>
  <c r="A212" i="6"/>
  <c r="AD211" i="6"/>
  <c r="AC211" i="6"/>
  <c r="AB211" i="6"/>
  <c r="AA211" i="6"/>
  <c r="Z211" i="6"/>
  <c r="Y211" i="6"/>
  <c r="X211" i="6"/>
  <c r="W211" i="6"/>
  <c r="V211" i="6"/>
  <c r="U211" i="6"/>
  <c r="T211" i="6"/>
  <c r="S211" i="6"/>
  <c r="R211" i="6"/>
  <c r="Q211" i="6"/>
  <c r="P211" i="6"/>
  <c r="O211" i="6"/>
  <c r="N211" i="6"/>
  <c r="M211" i="6"/>
  <c r="L211" i="6"/>
  <c r="K211" i="6"/>
  <c r="J211" i="6"/>
  <c r="I211" i="6"/>
  <c r="H211" i="6"/>
  <c r="G211" i="6"/>
  <c r="F211" i="6"/>
  <c r="E211" i="6"/>
  <c r="D211" i="6"/>
  <c r="C211" i="6"/>
  <c r="B211" i="6"/>
  <c r="A211" i="6"/>
  <c r="AC210" i="6"/>
  <c r="AB210" i="6"/>
  <c r="AA210" i="6"/>
  <c r="Z210" i="6"/>
  <c r="Y210" i="6"/>
  <c r="X210" i="6"/>
  <c r="W210" i="6"/>
  <c r="V210" i="6"/>
  <c r="U210" i="6"/>
  <c r="T210" i="6"/>
  <c r="S210" i="6"/>
  <c r="R210" i="6"/>
  <c r="Q210" i="6"/>
  <c r="P210" i="6"/>
  <c r="O210" i="6"/>
  <c r="N210" i="6"/>
  <c r="M210" i="6"/>
  <c r="L210" i="6"/>
  <c r="K210" i="6"/>
  <c r="J210" i="6"/>
  <c r="H210" i="6"/>
  <c r="G210" i="6"/>
  <c r="F210" i="6"/>
  <c r="E210" i="6"/>
  <c r="D210" i="6"/>
  <c r="C210" i="6"/>
  <c r="B210" i="6"/>
  <c r="A210" i="6"/>
  <c r="AC209" i="6"/>
  <c r="AB209" i="6"/>
  <c r="AA209" i="6"/>
  <c r="Z209" i="6"/>
  <c r="Y209" i="6"/>
  <c r="X209" i="6"/>
  <c r="W209" i="6"/>
  <c r="V209" i="6"/>
  <c r="U209" i="6"/>
  <c r="T209" i="6"/>
  <c r="S209" i="6"/>
  <c r="R209" i="6"/>
  <c r="Q209" i="6"/>
  <c r="P209" i="6"/>
  <c r="O209" i="6"/>
  <c r="N209" i="6"/>
  <c r="M209" i="6"/>
  <c r="L209" i="6"/>
  <c r="K209" i="6"/>
  <c r="J209" i="6"/>
  <c r="H209" i="6"/>
  <c r="G209" i="6"/>
  <c r="F209" i="6"/>
  <c r="E209" i="6"/>
  <c r="D209" i="6"/>
  <c r="C209" i="6"/>
  <c r="B209" i="6"/>
  <c r="A209" i="6"/>
  <c r="AC208" i="6"/>
  <c r="AB208" i="6"/>
  <c r="AA208" i="6"/>
  <c r="Z208" i="6"/>
  <c r="Y208" i="6"/>
  <c r="X208" i="6"/>
  <c r="W208" i="6"/>
  <c r="V208" i="6"/>
  <c r="U208" i="6"/>
  <c r="T208" i="6"/>
  <c r="S208" i="6"/>
  <c r="R208" i="6"/>
  <c r="Q208" i="6"/>
  <c r="P208" i="6"/>
  <c r="O208" i="6"/>
  <c r="N208" i="6"/>
  <c r="M208" i="6"/>
  <c r="L208" i="6"/>
  <c r="K208" i="6"/>
  <c r="J208" i="6"/>
  <c r="H208" i="6"/>
  <c r="G208" i="6"/>
  <c r="F208" i="6"/>
  <c r="E208" i="6"/>
  <c r="D208" i="6"/>
  <c r="C208" i="6"/>
  <c r="B208" i="6"/>
  <c r="A208" i="6"/>
  <c r="AC207" i="6"/>
  <c r="AB207" i="6"/>
  <c r="AA207" i="6"/>
  <c r="Z207" i="6"/>
  <c r="Y207" i="6"/>
  <c r="X207" i="6"/>
  <c r="W207" i="6"/>
  <c r="V207" i="6"/>
  <c r="U207" i="6"/>
  <c r="T207" i="6"/>
  <c r="S207" i="6"/>
  <c r="R207" i="6"/>
  <c r="Q207" i="6"/>
  <c r="P207" i="6"/>
  <c r="O207" i="6"/>
  <c r="N207" i="6"/>
  <c r="M207" i="6"/>
  <c r="L207" i="6"/>
  <c r="K207" i="6"/>
  <c r="J207" i="6"/>
  <c r="H207" i="6"/>
  <c r="G207" i="6"/>
  <c r="F207" i="6"/>
  <c r="E207" i="6"/>
  <c r="D207" i="6"/>
  <c r="C207" i="6"/>
  <c r="B207" i="6"/>
  <c r="A207" i="6"/>
  <c r="AC206" i="6"/>
  <c r="AB206" i="6"/>
  <c r="AA206" i="6"/>
  <c r="Z206" i="6"/>
  <c r="Y206" i="6"/>
  <c r="X206" i="6"/>
  <c r="W206" i="6"/>
  <c r="V206" i="6"/>
  <c r="U206" i="6"/>
  <c r="T206" i="6"/>
  <c r="S206" i="6"/>
  <c r="R206" i="6"/>
  <c r="Q206" i="6"/>
  <c r="P206" i="6"/>
  <c r="O206" i="6"/>
  <c r="N206" i="6"/>
  <c r="M206" i="6"/>
  <c r="L206" i="6"/>
  <c r="K206" i="6"/>
  <c r="J206" i="6"/>
  <c r="H206" i="6"/>
  <c r="G206" i="6"/>
  <c r="F206" i="6"/>
  <c r="E206" i="6"/>
  <c r="D206" i="6"/>
  <c r="C206" i="6"/>
  <c r="B206" i="6"/>
  <c r="A206" i="6"/>
  <c r="AC205" i="6"/>
  <c r="AB205" i="6"/>
  <c r="AA205" i="6"/>
  <c r="Z205" i="6"/>
  <c r="Y205" i="6"/>
  <c r="X205" i="6"/>
  <c r="W205" i="6"/>
  <c r="V205" i="6"/>
  <c r="U205" i="6"/>
  <c r="T205" i="6"/>
  <c r="S205" i="6"/>
  <c r="R205" i="6"/>
  <c r="Q205" i="6"/>
  <c r="P205" i="6"/>
  <c r="O205" i="6"/>
  <c r="N205" i="6"/>
  <c r="M205" i="6"/>
  <c r="L205" i="6"/>
  <c r="K205" i="6"/>
  <c r="J205" i="6"/>
  <c r="H205" i="6"/>
  <c r="G205" i="6"/>
  <c r="F205" i="6"/>
  <c r="E205" i="6"/>
  <c r="D205" i="6"/>
  <c r="C205" i="6"/>
  <c r="B205" i="6"/>
  <c r="A205" i="6"/>
  <c r="AD204" i="6"/>
  <c r="AC204" i="6"/>
  <c r="AB204" i="6"/>
  <c r="AA204" i="6"/>
  <c r="Z204" i="6"/>
  <c r="Y204" i="6"/>
  <c r="X204" i="6"/>
  <c r="W204" i="6"/>
  <c r="V204" i="6"/>
  <c r="U204" i="6"/>
  <c r="T204" i="6"/>
  <c r="S204" i="6"/>
  <c r="R204" i="6"/>
  <c r="Q204" i="6"/>
  <c r="P204" i="6"/>
  <c r="O204" i="6"/>
  <c r="N204" i="6"/>
  <c r="M204" i="6"/>
  <c r="L204" i="6"/>
  <c r="K204" i="6"/>
  <c r="J204" i="6"/>
  <c r="I204" i="6"/>
  <c r="H204" i="6"/>
  <c r="G204" i="6"/>
  <c r="F204" i="6"/>
  <c r="E204" i="6"/>
  <c r="D204" i="6"/>
  <c r="C204" i="6"/>
  <c r="B204" i="6"/>
  <c r="A204" i="6"/>
  <c r="AD203" i="6"/>
  <c r="AC203" i="6"/>
  <c r="AB203" i="6"/>
  <c r="AA203" i="6"/>
  <c r="Z203" i="6"/>
  <c r="Y203" i="6"/>
  <c r="X203" i="6"/>
  <c r="W203" i="6"/>
  <c r="V203" i="6"/>
  <c r="U203" i="6"/>
  <c r="T203" i="6"/>
  <c r="S203" i="6"/>
  <c r="R203" i="6"/>
  <c r="Q203" i="6"/>
  <c r="P203" i="6"/>
  <c r="O203" i="6"/>
  <c r="N203" i="6"/>
  <c r="M203" i="6"/>
  <c r="L203" i="6"/>
  <c r="K203" i="6"/>
  <c r="J203" i="6"/>
  <c r="I203" i="6"/>
  <c r="H203" i="6"/>
  <c r="G203" i="6"/>
  <c r="F203" i="6"/>
  <c r="E203" i="6"/>
  <c r="D203" i="6"/>
  <c r="C203" i="6"/>
  <c r="B203" i="6"/>
  <c r="A203" i="6"/>
  <c r="AC202" i="6"/>
  <c r="AB202" i="6"/>
  <c r="AA202" i="6"/>
  <c r="Z202" i="6"/>
  <c r="Y202" i="6"/>
  <c r="X202" i="6"/>
  <c r="W202" i="6"/>
  <c r="V202" i="6"/>
  <c r="U202" i="6"/>
  <c r="T202" i="6"/>
  <c r="S202" i="6"/>
  <c r="R202" i="6"/>
  <c r="Q202" i="6"/>
  <c r="P202" i="6"/>
  <c r="O202" i="6"/>
  <c r="N202" i="6"/>
  <c r="M202" i="6"/>
  <c r="L202" i="6"/>
  <c r="K202" i="6"/>
  <c r="J202" i="6"/>
  <c r="H202" i="6"/>
  <c r="G202" i="6"/>
  <c r="F202" i="6"/>
  <c r="E202" i="6"/>
  <c r="D202" i="6"/>
  <c r="C202" i="6"/>
  <c r="B202" i="6"/>
  <c r="A202" i="6"/>
  <c r="AC201" i="6"/>
  <c r="AB201" i="6"/>
  <c r="AA201" i="6"/>
  <c r="Z201" i="6"/>
  <c r="Y201" i="6"/>
  <c r="X201" i="6"/>
  <c r="W201" i="6"/>
  <c r="V201" i="6"/>
  <c r="U201" i="6"/>
  <c r="T201" i="6"/>
  <c r="S201" i="6"/>
  <c r="R201" i="6"/>
  <c r="Q201" i="6"/>
  <c r="P201" i="6"/>
  <c r="O201" i="6"/>
  <c r="N201" i="6"/>
  <c r="M201" i="6"/>
  <c r="L201" i="6"/>
  <c r="K201" i="6"/>
  <c r="J201" i="6"/>
  <c r="H201" i="6"/>
  <c r="G201" i="6"/>
  <c r="F201" i="6"/>
  <c r="E201" i="6"/>
  <c r="D201" i="6"/>
  <c r="C201" i="6"/>
  <c r="B201" i="6"/>
  <c r="A201" i="6"/>
  <c r="AC200" i="6"/>
  <c r="AB200" i="6"/>
  <c r="AA200" i="6"/>
  <c r="Z200" i="6"/>
  <c r="Y200" i="6"/>
  <c r="X200" i="6"/>
  <c r="W200" i="6"/>
  <c r="V200" i="6"/>
  <c r="U200" i="6"/>
  <c r="T200" i="6"/>
  <c r="S200" i="6"/>
  <c r="R200" i="6"/>
  <c r="Q200" i="6"/>
  <c r="P200" i="6"/>
  <c r="O200" i="6"/>
  <c r="N200" i="6"/>
  <c r="M200" i="6"/>
  <c r="L200" i="6"/>
  <c r="K200" i="6"/>
  <c r="J200" i="6"/>
  <c r="H200" i="6"/>
  <c r="G200" i="6"/>
  <c r="F200" i="6"/>
  <c r="E200" i="6"/>
  <c r="D200" i="6"/>
  <c r="C200" i="6"/>
  <c r="B200" i="6"/>
  <c r="A200" i="6"/>
  <c r="AD199" i="6"/>
  <c r="AC199" i="6"/>
  <c r="AB199" i="6"/>
  <c r="AA199" i="6"/>
  <c r="Z199" i="6"/>
  <c r="Y199" i="6"/>
  <c r="X199" i="6"/>
  <c r="W199" i="6"/>
  <c r="V199" i="6"/>
  <c r="U199" i="6"/>
  <c r="T199" i="6"/>
  <c r="S199" i="6"/>
  <c r="R199" i="6"/>
  <c r="Q199" i="6"/>
  <c r="P199" i="6"/>
  <c r="O199" i="6"/>
  <c r="N199" i="6"/>
  <c r="M199" i="6"/>
  <c r="L199" i="6"/>
  <c r="K199" i="6"/>
  <c r="J199" i="6"/>
  <c r="I199" i="6"/>
  <c r="H199" i="6"/>
  <c r="G199" i="6"/>
  <c r="F199" i="6"/>
  <c r="E199" i="6"/>
  <c r="D199" i="6"/>
  <c r="C199" i="6"/>
  <c r="B199" i="6"/>
  <c r="A199" i="6"/>
  <c r="AD198" i="6"/>
  <c r="AC198" i="6"/>
  <c r="AB198" i="6"/>
  <c r="AA198" i="6"/>
  <c r="Z198" i="6"/>
  <c r="Y198" i="6"/>
  <c r="X198" i="6"/>
  <c r="W198" i="6"/>
  <c r="V198" i="6"/>
  <c r="U198" i="6"/>
  <c r="T198" i="6"/>
  <c r="S198" i="6"/>
  <c r="R198" i="6"/>
  <c r="Q198" i="6"/>
  <c r="P198" i="6"/>
  <c r="O198" i="6"/>
  <c r="N198" i="6"/>
  <c r="M198" i="6"/>
  <c r="L198" i="6"/>
  <c r="K198" i="6"/>
  <c r="J198" i="6"/>
  <c r="I198" i="6"/>
  <c r="H198" i="6"/>
  <c r="G198" i="6"/>
  <c r="F198" i="6"/>
  <c r="E198" i="6"/>
  <c r="D198" i="6"/>
  <c r="C198" i="6"/>
  <c r="B198" i="6"/>
  <c r="A198" i="6"/>
  <c r="AD197" i="6"/>
  <c r="AC197" i="6"/>
  <c r="AB197" i="6"/>
  <c r="AA197" i="6"/>
  <c r="Z197" i="6"/>
  <c r="Y197" i="6"/>
  <c r="X197" i="6"/>
  <c r="W197" i="6"/>
  <c r="V197" i="6"/>
  <c r="U197" i="6"/>
  <c r="T197" i="6"/>
  <c r="S197" i="6"/>
  <c r="R197" i="6"/>
  <c r="Q197" i="6"/>
  <c r="P197" i="6"/>
  <c r="O197" i="6"/>
  <c r="N197" i="6"/>
  <c r="M197" i="6"/>
  <c r="L197" i="6"/>
  <c r="K197" i="6"/>
  <c r="J197" i="6"/>
  <c r="I197" i="6"/>
  <c r="H197" i="6"/>
  <c r="G197" i="6"/>
  <c r="F197" i="6"/>
  <c r="E197" i="6"/>
  <c r="D197" i="6"/>
  <c r="C197" i="6"/>
  <c r="B197" i="6"/>
  <c r="A197" i="6"/>
  <c r="AC196" i="6"/>
  <c r="AB196" i="6"/>
  <c r="AA196" i="6"/>
  <c r="Z196" i="6"/>
  <c r="Y196" i="6"/>
  <c r="X196" i="6"/>
  <c r="W196" i="6"/>
  <c r="V196" i="6"/>
  <c r="U196" i="6"/>
  <c r="T196" i="6"/>
  <c r="S196" i="6"/>
  <c r="R196" i="6"/>
  <c r="Q196" i="6"/>
  <c r="P196" i="6"/>
  <c r="O196" i="6"/>
  <c r="N196" i="6"/>
  <c r="M196" i="6"/>
  <c r="L196" i="6"/>
  <c r="K196" i="6"/>
  <c r="J196" i="6"/>
  <c r="H196" i="6"/>
  <c r="G196" i="6"/>
  <c r="F196" i="6"/>
  <c r="E196" i="6"/>
  <c r="D196" i="6"/>
  <c r="C196" i="6"/>
  <c r="B196" i="6"/>
  <c r="A196" i="6"/>
  <c r="AC195" i="6"/>
  <c r="AB195" i="6"/>
  <c r="AA195" i="6"/>
  <c r="Z195" i="6"/>
  <c r="Y195" i="6"/>
  <c r="X195" i="6"/>
  <c r="W195" i="6"/>
  <c r="V195" i="6"/>
  <c r="U195" i="6"/>
  <c r="T195" i="6"/>
  <c r="S195" i="6"/>
  <c r="R195" i="6"/>
  <c r="Q195" i="6"/>
  <c r="P195" i="6"/>
  <c r="O195" i="6"/>
  <c r="N195" i="6"/>
  <c r="M195" i="6"/>
  <c r="L195" i="6"/>
  <c r="K195" i="6"/>
  <c r="J195" i="6"/>
  <c r="H195" i="6"/>
  <c r="G195" i="6"/>
  <c r="F195" i="6"/>
  <c r="E195" i="6"/>
  <c r="D195" i="6"/>
  <c r="C195" i="6"/>
  <c r="B195" i="6"/>
  <c r="A195" i="6"/>
  <c r="AD194" i="6"/>
  <c r="AC194" i="6"/>
  <c r="AB194" i="6"/>
  <c r="AA194" i="6"/>
  <c r="Z194" i="6"/>
  <c r="Y194" i="6"/>
  <c r="X194" i="6"/>
  <c r="W194" i="6"/>
  <c r="V194" i="6"/>
  <c r="U194" i="6"/>
  <c r="T194" i="6"/>
  <c r="S194" i="6"/>
  <c r="R194" i="6"/>
  <c r="Q194" i="6"/>
  <c r="P194" i="6"/>
  <c r="O194" i="6"/>
  <c r="N194" i="6"/>
  <c r="M194" i="6"/>
  <c r="L194" i="6"/>
  <c r="K194" i="6"/>
  <c r="J194" i="6"/>
  <c r="I194" i="6"/>
  <c r="H194" i="6"/>
  <c r="G194" i="6"/>
  <c r="F194" i="6"/>
  <c r="E194" i="6"/>
  <c r="D194" i="6"/>
  <c r="C194" i="6"/>
  <c r="B194" i="6"/>
  <c r="A194" i="6"/>
  <c r="AD193" i="6"/>
  <c r="AC193" i="6"/>
  <c r="AB193" i="6"/>
  <c r="AA193" i="6"/>
  <c r="Z193" i="6"/>
  <c r="Y193" i="6"/>
  <c r="X193" i="6"/>
  <c r="W193" i="6"/>
  <c r="V193" i="6"/>
  <c r="U193" i="6"/>
  <c r="T193" i="6"/>
  <c r="S193" i="6"/>
  <c r="R193" i="6"/>
  <c r="Q193" i="6"/>
  <c r="P193" i="6"/>
  <c r="O193" i="6"/>
  <c r="N193" i="6"/>
  <c r="M193" i="6"/>
  <c r="L193" i="6"/>
  <c r="K193" i="6"/>
  <c r="J193" i="6"/>
  <c r="I193" i="6"/>
  <c r="H193" i="6"/>
  <c r="G193" i="6"/>
  <c r="F193" i="6"/>
  <c r="E193" i="6"/>
  <c r="D193" i="6"/>
  <c r="C193" i="6"/>
  <c r="B193" i="6"/>
  <c r="A193" i="6"/>
  <c r="AD192" i="6"/>
  <c r="AC192" i="6"/>
  <c r="AB192" i="6"/>
  <c r="AA192" i="6"/>
  <c r="Z192" i="6"/>
  <c r="Y192" i="6"/>
  <c r="X192" i="6"/>
  <c r="W192" i="6"/>
  <c r="V192" i="6"/>
  <c r="U192" i="6"/>
  <c r="T192" i="6"/>
  <c r="S192" i="6"/>
  <c r="R192" i="6"/>
  <c r="Q192" i="6"/>
  <c r="P192" i="6"/>
  <c r="O192" i="6"/>
  <c r="N192" i="6"/>
  <c r="M192" i="6"/>
  <c r="L192" i="6"/>
  <c r="K192" i="6"/>
  <c r="J192" i="6"/>
  <c r="I192" i="6"/>
  <c r="H192" i="6"/>
  <c r="G192" i="6"/>
  <c r="F192" i="6"/>
  <c r="E192" i="6"/>
  <c r="D192" i="6"/>
  <c r="C192" i="6"/>
  <c r="B192" i="6"/>
  <c r="A192" i="6"/>
  <c r="AC191" i="6"/>
  <c r="AB191" i="6"/>
  <c r="AA191" i="6"/>
  <c r="Z191" i="6"/>
  <c r="Y191" i="6"/>
  <c r="X191" i="6"/>
  <c r="W191" i="6"/>
  <c r="V191" i="6"/>
  <c r="U191" i="6"/>
  <c r="T191" i="6"/>
  <c r="S191" i="6"/>
  <c r="R191" i="6"/>
  <c r="Q191" i="6"/>
  <c r="P191" i="6"/>
  <c r="O191" i="6"/>
  <c r="N191" i="6"/>
  <c r="M191" i="6"/>
  <c r="L191" i="6"/>
  <c r="K191" i="6"/>
  <c r="J191" i="6"/>
  <c r="H191" i="6"/>
  <c r="G191" i="6"/>
  <c r="F191" i="6"/>
  <c r="E191" i="6"/>
  <c r="D191" i="6"/>
  <c r="C191" i="6"/>
  <c r="B191" i="6"/>
  <c r="A191" i="6"/>
  <c r="AC190" i="6"/>
  <c r="AB190" i="6"/>
  <c r="AA190" i="6"/>
  <c r="Z190" i="6"/>
  <c r="Y190" i="6"/>
  <c r="X190" i="6"/>
  <c r="W190" i="6"/>
  <c r="V190" i="6"/>
  <c r="U190" i="6"/>
  <c r="T190" i="6"/>
  <c r="S190" i="6"/>
  <c r="R190" i="6"/>
  <c r="Q190" i="6"/>
  <c r="P190" i="6"/>
  <c r="O190" i="6"/>
  <c r="N190" i="6"/>
  <c r="M190" i="6"/>
  <c r="L190" i="6"/>
  <c r="K190" i="6"/>
  <c r="J190" i="6"/>
  <c r="H190" i="6"/>
  <c r="G190" i="6"/>
  <c r="F190" i="6"/>
  <c r="E190" i="6"/>
  <c r="D190" i="6"/>
  <c r="C190" i="6"/>
  <c r="B190" i="6"/>
  <c r="A190" i="6"/>
  <c r="AC189" i="6"/>
  <c r="AB189" i="6"/>
  <c r="AA189" i="6"/>
  <c r="Z189" i="6"/>
  <c r="Y189" i="6"/>
  <c r="X189" i="6"/>
  <c r="W189" i="6"/>
  <c r="V189" i="6"/>
  <c r="U189" i="6"/>
  <c r="T189" i="6"/>
  <c r="S189" i="6"/>
  <c r="R189" i="6"/>
  <c r="Q189" i="6"/>
  <c r="P189" i="6"/>
  <c r="O189" i="6"/>
  <c r="N189" i="6"/>
  <c r="M189" i="6"/>
  <c r="L189" i="6"/>
  <c r="K189" i="6"/>
  <c r="J189" i="6"/>
  <c r="H189" i="6"/>
  <c r="G189" i="6"/>
  <c r="F189" i="6"/>
  <c r="E189" i="6"/>
  <c r="D189" i="6"/>
  <c r="C189" i="6"/>
  <c r="B189" i="6"/>
  <c r="A189" i="6"/>
  <c r="AC188" i="6"/>
  <c r="AB188" i="6"/>
  <c r="AA188" i="6"/>
  <c r="Z188" i="6"/>
  <c r="Y188" i="6"/>
  <c r="X188" i="6"/>
  <c r="W188" i="6"/>
  <c r="V188" i="6"/>
  <c r="U188" i="6"/>
  <c r="T188" i="6"/>
  <c r="S188" i="6"/>
  <c r="R188" i="6"/>
  <c r="Q188" i="6"/>
  <c r="P188" i="6"/>
  <c r="O188" i="6"/>
  <c r="N188" i="6"/>
  <c r="M188" i="6"/>
  <c r="L188" i="6"/>
  <c r="K188" i="6"/>
  <c r="J188" i="6"/>
  <c r="H188" i="6"/>
  <c r="G188" i="6"/>
  <c r="F188" i="6"/>
  <c r="E188" i="6"/>
  <c r="D188" i="6"/>
  <c r="C188" i="6"/>
  <c r="B188" i="6"/>
  <c r="A188" i="6"/>
  <c r="AC187" i="6"/>
  <c r="AB187" i="6"/>
  <c r="AA187" i="6"/>
  <c r="Z187" i="6"/>
  <c r="Y187" i="6"/>
  <c r="X187" i="6"/>
  <c r="W187" i="6"/>
  <c r="V187" i="6"/>
  <c r="U187" i="6"/>
  <c r="T187" i="6"/>
  <c r="S187" i="6"/>
  <c r="R187" i="6"/>
  <c r="Q187" i="6"/>
  <c r="P187" i="6"/>
  <c r="O187" i="6"/>
  <c r="N187" i="6"/>
  <c r="M187" i="6"/>
  <c r="L187" i="6"/>
  <c r="K187" i="6"/>
  <c r="J187" i="6"/>
  <c r="H187" i="6"/>
  <c r="G187" i="6"/>
  <c r="F187" i="6"/>
  <c r="E187" i="6"/>
  <c r="D187" i="6"/>
  <c r="C187" i="6"/>
  <c r="B187" i="6"/>
  <c r="A187" i="6"/>
  <c r="AC186" i="6"/>
  <c r="AB186" i="6"/>
  <c r="AA186" i="6"/>
  <c r="Z186" i="6"/>
  <c r="Y186" i="6"/>
  <c r="X186" i="6"/>
  <c r="W186" i="6"/>
  <c r="V186" i="6"/>
  <c r="U186" i="6"/>
  <c r="T186" i="6"/>
  <c r="S186" i="6"/>
  <c r="R186" i="6"/>
  <c r="Q186" i="6"/>
  <c r="P186" i="6"/>
  <c r="O186" i="6"/>
  <c r="N186" i="6"/>
  <c r="M186" i="6"/>
  <c r="L186" i="6"/>
  <c r="K186" i="6"/>
  <c r="J186" i="6"/>
  <c r="H186" i="6"/>
  <c r="G186" i="6"/>
  <c r="F186" i="6"/>
  <c r="E186" i="6"/>
  <c r="D186" i="6"/>
  <c r="C186" i="6"/>
  <c r="B186" i="6"/>
  <c r="A186" i="6"/>
  <c r="AC185" i="6"/>
  <c r="AB185" i="6"/>
  <c r="AA185" i="6"/>
  <c r="Z185" i="6"/>
  <c r="Y185" i="6"/>
  <c r="X185" i="6"/>
  <c r="W185" i="6"/>
  <c r="V185" i="6"/>
  <c r="U185" i="6"/>
  <c r="T185" i="6"/>
  <c r="S185" i="6"/>
  <c r="R185" i="6"/>
  <c r="Q185" i="6"/>
  <c r="P185" i="6"/>
  <c r="O185" i="6"/>
  <c r="N185" i="6"/>
  <c r="M185" i="6"/>
  <c r="L185" i="6"/>
  <c r="K185" i="6"/>
  <c r="J185" i="6"/>
  <c r="H185" i="6"/>
  <c r="G185" i="6"/>
  <c r="F185" i="6"/>
  <c r="E185" i="6"/>
  <c r="D185" i="6"/>
  <c r="C185" i="6"/>
  <c r="B185" i="6"/>
  <c r="A185" i="6"/>
  <c r="AD184" i="6"/>
  <c r="AC184" i="6"/>
  <c r="AB184" i="6"/>
  <c r="AA184" i="6"/>
  <c r="Z184" i="6"/>
  <c r="Y184" i="6"/>
  <c r="X184" i="6"/>
  <c r="W184" i="6"/>
  <c r="V184" i="6"/>
  <c r="U184" i="6"/>
  <c r="T184" i="6"/>
  <c r="S184" i="6"/>
  <c r="R184" i="6"/>
  <c r="Q184" i="6"/>
  <c r="P184" i="6"/>
  <c r="O184" i="6"/>
  <c r="N184" i="6"/>
  <c r="M184" i="6"/>
  <c r="L184" i="6"/>
  <c r="K184" i="6"/>
  <c r="J184" i="6"/>
  <c r="I184" i="6"/>
  <c r="H184" i="6"/>
  <c r="G184" i="6"/>
  <c r="F184" i="6"/>
  <c r="E184" i="6"/>
  <c r="D184" i="6"/>
  <c r="C184" i="6"/>
  <c r="B184" i="6"/>
  <c r="A184" i="6"/>
  <c r="AC183" i="6"/>
  <c r="AB183" i="6"/>
  <c r="AA183" i="6"/>
  <c r="Z183" i="6"/>
  <c r="Y183" i="6"/>
  <c r="X183" i="6"/>
  <c r="W183" i="6"/>
  <c r="V183" i="6"/>
  <c r="U183" i="6"/>
  <c r="T183" i="6"/>
  <c r="S183" i="6"/>
  <c r="R183" i="6"/>
  <c r="Q183" i="6"/>
  <c r="P183" i="6"/>
  <c r="O183" i="6"/>
  <c r="N183" i="6"/>
  <c r="M183" i="6"/>
  <c r="L183" i="6"/>
  <c r="K183" i="6"/>
  <c r="J183" i="6"/>
  <c r="H183" i="6"/>
  <c r="G183" i="6"/>
  <c r="F183" i="6"/>
  <c r="E183" i="6"/>
  <c r="D183" i="6"/>
  <c r="C183" i="6"/>
  <c r="B183" i="6"/>
  <c r="A183" i="6"/>
  <c r="AC182" i="6"/>
  <c r="AB182" i="6"/>
  <c r="AA182" i="6"/>
  <c r="Z182" i="6"/>
  <c r="Y182" i="6"/>
  <c r="X182" i="6"/>
  <c r="W182" i="6"/>
  <c r="V182" i="6"/>
  <c r="U182" i="6"/>
  <c r="T182" i="6"/>
  <c r="S182" i="6"/>
  <c r="R182" i="6"/>
  <c r="Q182" i="6"/>
  <c r="P182" i="6"/>
  <c r="O182" i="6"/>
  <c r="N182" i="6"/>
  <c r="M182" i="6"/>
  <c r="L182" i="6"/>
  <c r="K182" i="6"/>
  <c r="J182" i="6"/>
  <c r="H182" i="6"/>
  <c r="G182" i="6"/>
  <c r="F182" i="6"/>
  <c r="E182" i="6"/>
  <c r="D182" i="6"/>
  <c r="C182" i="6"/>
  <c r="B182" i="6"/>
  <c r="A182" i="6"/>
  <c r="AD181" i="6"/>
  <c r="AC181" i="6"/>
  <c r="AB181" i="6"/>
  <c r="AA181" i="6"/>
  <c r="Z181" i="6"/>
  <c r="Y181" i="6"/>
  <c r="X181" i="6"/>
  <c r="W181" i="6"/>
  <c r="V181" i="6"/>
  <c r="U181" i="6"/>
  <c r="T181" i="6"/>
  <c r="S181" i="6"/>
  <c r="R181" i="6"/>
  <c r="Q181" i="6"/>
  <c r="P181" i="6"/>
  <c r="O181" i="6"/>
  <c r="N181" i="6"/>
  <c r="M181" i="6"/>
  <c r="L181" i="6"/>
  <c r="K181" i="6"/>
  <c r="J181" i="6"/>
  <c r="I181" i="6"/>
  <c r="H181" i="6"/>
  <c r="G181" i="6"/>
  <c r="F181" i="6"/>
  <c r="E181" i="6"/>
  <c r="D181" i="6"/>
  <c r="C181" i="6"/>
  <c r="B181" i="6"/>
  <c r="A181" i="6"/>
  <c r="AC180" i="6"/>
  <c r="AB180" i="6"/>
  <c r="AA180" i="6"/>
  <c r="Z180" i="6"/>
  <c r="Y180" i="6"/>
  <c r="X180" i="6"/>
  <c r="W180" i="6"/>
  <c r="V180" i="6"/>
  <c r="U180" i="6"/>
  <c r="T180" i="6"/>
  <c r="S180" i="6"/>
  <c r="R180" i="6"/>
  <c r="Q180" i="6"/>
  <c r="P180" i="6"/>
  <c r="O180" i="6"/>
  <c r="N180" i="6"/>
  <c r="M180" i="6"/>
  <c r="L180" i="6"/>
  <c r="K180" i="6"/>
  <c r="J180" i="6"/>
  <c r="H180" i="6"/>
  <c r="G180" i="6"/>
  <c r="F180" i="6"/>
  <c r="E180" i="6"/>
  <c r="D180" i="6"/>
  <c r="C180" i="6"/>
  <c r="B180" i="6"/>
  <c r="A180" i="6"/>
  <c r="AD179" i="6"/>
  <c r="AC179" i="6"/>
  <c r="AB179" i="6"/>
  <c r="AA179" i="6"/>
  <c r="Z179" i="6"/>
  <c r="Y179" i="6"/>
  <c r="X179" i="6"/>
  <c r="W179" i="6"/>
  <c r="V179" i="6"/>
  <c r="U179" i="6"/>
  <c r="T179" i="6"/>
  <c r="S179" i="6"/>
  <c r="R179" i="6"/>
  <c r="Q179" i="6"/>
  <c r="P179" i="6"/>
  <c r="O179" i="6"/>
  <c r="N179" i="6"/>
  <c r="M179" i="6"/>
  <c r="L179" i="6"/>
  <c r="K179" i="6"/>
  <c r="J179" i="6"/>
  <c r="I179" i="6"/>
  <c r="H179" i="6"/>
  <c r="G179" i="6"/>
  <c r="F179" i="6"/>
  <c r="E179" i="6"/>
  <c r="D179" i="6"/>
  <c r="C179" i="6"/>
  <c r="B179" i="6"/>
  <c r="A179" i="6"/>
  <c r="AD178" i="6"/>
  <c r="AC178" i="6"/>
  <c r="AB178" i="6"/>
  <c r="AA178" i="6"/>
  <c r="Z178" i="6"/>
  <c r="Y178" i="6"/>
  <c r="X178" i="6"/>
  <c r="W178" i="6"/>
  <c r="V178" i="6"/>
  <c r="U178" i="6"/>
  <c r="T178" i="6"/>
  <c r="S178" i="6"/>
  <c r="R178" i="6"/>
  <c r="Q178" i="6"/>
  <c r="P178" i="6"/>
  <c r="O178" i="6"/>
  <c r="N178" i="6"/>
  <c r="M178" i="6"/>
  <c r="L178" i="6"/>
  <c r="K178" i="6"/>
  <c r="J178" i="6"/>
  <c r="I178" i="6"/>
  <c r="H178" i="6"/>
  <c r="G178" i="6"/>
  <c r="F178" i="6"/>
  <c r="E178" i="6"/>
  <c r="D178" i="6"/>
  <c r="C178" i="6"/>
  <c r="B178" i="6"/>
  <c r="A178" i="6"/>
  <c r="AC177" i="6"/>
  <c r="AB177" i="6"/>
  <c r="AA177" i="6"/>
  <c r="Z177" i="6"/>
  <c r="Y177" i="6"/>
  <c r="X177" i="6"/>
  <c r="W177" i="6"/>
  <c r="V177" i="6"/>
  <c r="U177" i="6"/>
  <c r="T177" i="6"/>
  <c r="S177" i="6"/>
  <c r="R177" i="6"/>
  <c r="Q177" i="6"/>
  <c r="P177" i="6"/>
  <c r="O177" i="6"/>
  <c r="N177" i="6"/>
  <c r="M177" i="6"/>
  <c r="L177" i="6"/>
  <c r="K177" i="6"/>
  <c r="J177" i="6"/>
  <c r="H177" i="6"/>
  <c r="G177" i="6"/>
  <c r="F177" i="6"/>
  <c r="E177" i="6"/>
  <c r="D177" i="6"/>
  <c r="C177" i="6"/>
  <c r="B177" i="6"/>
  <c r="A177" i="6"/>
  <c r="AD176" i="6"/>
  <c r="AC176" i="6"/>
  <c r="AB176" i="6"/>
  <c r="AA176" i="6"/>
  <c r="Z176" i="6"/>
  <c r="Y176" i="6"/>
  <c r="X176" i="6"/>
  <c r="W176" i="6"/>
  <c r="V176" i="6"/>
  <c r="U176" i="6"/>
  <c r="T176" i="6"/>
  <c r="S176" i="6"/>
  <c r="R176" i="6"/>
  <c r="Q176" i="6"/>
  <c r="P176" i="6"/>
  <c r="O176" i="6"/>
  <c r="N176" i="6"/>
  <c r="M176" i="6"/>
  <c r="L176" i="6"/>
  <c r="K176" i="6"/>
  <c r="J176" i="6"/>
  <c r="I176" i="6"/>
  <c r="H176" i="6"/>
  <c r="G176" i="6"/>
  <c r="F176" i="6"/>
  <c r="E176" i="6"/>
  <c r="D176" i="6"/>
  <c r="C176" i="6"/>
  <c r="B176" i="6"/>
  <c r="A176" i="6"/>
  <c r="AD175" i="6"/>
  <c r="AC175" i="6"/>
  <c r="AB175" i="6"/>
  <c r="AA175" i="6"/>
  <c r="Z175" i="6"/>
  <c r="Y175" i="6"/>
  <c r="X175" i="6"/>
  <c r="W175" i="6"/>
  <c r="V175" i="6"/>
  <c r="U175" i="6"/>
  <c r="T175" i="6"/>
  <c r="S175" i="6"/>
  <c r="R175" i="6"/>
  <c r="Q175" i="6"/>
  <c r="P175" i="6"/>
  <c r="O175" i="6"/>
  <c r="N175" i="6"/>
  <c r="M175" i="6"/>
  <c r="L175" i="6"/>
  <c r="K175" i="6"/>
  <c r="J175" i="6"/>
  <c r="I175" i="6"/>
  <c r="H175" i="6"/>
  <c r="G175" i="6"/>
  <c r="F175" i="6"/>
  <c r="E175" i="6"/>
  <c r="D175" i="6"/>
  <c r="C175" i="6"/>
  <c r="B175" i="6"/>
  <c r="A175" i="6"/>
  <c r="AD174" i="6"/>
  <c r="AC174" i="6"/>
  <c r="AB174" i="6"/>
  <c r="AA174" i="6"/>
  <c r="Z174" i="6"/>
  <c r="Y174" i="6"/>
  <c r="X174" i="6"/>
  <c r="W174" i="6"/>
  <c r="V174" i="6"/>
  <c r="U174" i="6"/>
  <c r="T174" i="6"/>
  <c r="S174" i="6"/>
  <c r="R174" i="6"/>
  <c r="Q174" i="6"/>
  <c r="P174" i="6"/>
  <c r="O174" i="6"/>
  <c r="N174" i="6"/>
  <c r="M174" i="6"/>
  <c r="L174" i="6"/>
  <c r="K174" i="6"/>
  <c r="J174" i="6"/>
  <c r="I174" i="6"/>
  <c r="H174" i="6"/>
  <c r="G174" i="6"/>
  <c r="F174" i="6"/>
  <c r="E174" i="6"/>
  <c r="D174" i="6"/>
  <c r="C174" i="6"/>
  <c r="B174" i="6"/>
  <c r="A174" i="6"/>
  <c r="AC173" i="6"/>
  <c r="AB173" i="6"/>
  <c r="AA173" i="6"/>
  <c r="Z173" i="6"/>
  <c r="Y173" i="6"/>
  <c r="X173" i="6"/>
  <c r="W173" i="6"/>
  <c r="V173" i="6"/>
  <c r="U173" i="6"/>
  <c r="T173" i="6"/>
  <c r="S173" i="6"/>
  <c r="R173" i="6"/>
  <c r="Q173" i="6"/>
  <c r="P173" i="6"/>
  <c r="O173" i="6"/>
  <c r="N173" i="6"/>
  <c r="M173" i="6"/>
  <c r="L173" i="6"/>
  <c r="K173" i="6"/>
  <c r="J173" i="6"/>
  <c r="H173" i="6"/>
  <c r="G173" i="6"/>
  <c r="F173" i="6"/>
  <c r="E173" i="6"/>
  <c r="D173" i="6"/>
  <c r="C173" i="6"/>
  <c r="B173" i="6"/>
  <c r="A173" i="6"/>
  <c r="AC172" i="6"/>
  <c r="AB172" i="6"/>
  <c r="AA172" i="6"/>
  <c r="Z172" i="6"/>
  <c r="Y172" i="6"/>
  <c r="X172" i="6"/>
  <c r="W172" i="6"/>
  <c r="V172" i="6"/>
  <c r="U172" i="6"/>
  <c r="T172" i="6"/>
  <c r="S172" i="6"/>
  <c r="R172" i="6"/>
  <c r="Q172" i="6"/>
  <c r="P172" i="6"/>
  <c r="O172" i="6"/>
  <c r="N172" i="6"/>
  <c r="M172" i="6"/>
  <c r="L172" i="6"/>
  <c r="K172" i="6"/>
  <c r="J172" i="6"/>
  <c r="H172" i="6"/>
  <c r="G172" i="6"/>
  <c r="F172" i="6"/>
  <c r="E172" i="6"/>
  <c r="D172" i="6"/>
  <c r="C172" i="6"/>
  <c r="B172" i="6"/>
  <c r="A172" i="6"/>
  <c r="AD171" i="6"/>
  <c r="AC171" i="6"/>
  <c r="AB171" i="6"/>
  <c r="AA171" i="6"/>
  <c r="Z171" i="6"/>
  <c r="Y171" i="6"/>
  <c r="X171" i="6"/>
  <c r="W171" i="6"/>
  <c r="V171" i="6"/>
  <c r="U171" i="6"/>
  <c r="T171" i="6"/>
  <c r="S171" i="6"/>
  <c r="R171" i="6"/>
  <c r="Q171" i="6"/>
  <c r="P171" i="6"/>
  <c r="O171" i="6"/>
  <c r="N171" i="6"/>
  <c r="M171" i="6"/>
  <c r="L171" i="6"/>
  <c r="K171" i="6"/>
  <c r="J171" i="6"/>
  <c r="I171" i="6"/>
  <c r="H171" i="6"/>
  <c r="G171" i="6"/>
  <c r="F171" i="6"/>
  <c r="E171" i="6"/>
  <c r="D171" i="6"/>
  <c r="C171" i="6"/>
  <c r="B171" i="6"/>
  <c r="A171" i="6"/>
  <c r="AD170" i="6"/>
  <c r="AC170" i="6"/>
  <c r="AB170" i="6"/>
  <c r="AA170" i="6"/>
  <c r="Z170" i="6"/>
  <c r="Y170" i="6"/>
  <c r="X170" i="6"/>
  <c r="W170" i="6"/>
  <c r="V170" i="6"/>
  <c r="U170" i="6"/>
  <c r="T170" i="6"/>
  <c r="S170" i="6"/>
  <c r="R170" i="6"/>
  <c r="Q170" i="6"/>
  <c r="P170" i="6"/>
  <c r="O170" i="6"/>
  <c r="N170" i="6"/>
  <c r="M170" i="6"/>
  <c r="L170" i="6"/>
  <c r="K170" i="6"/>
  <c r="J170" i="6"/>
  <c r="I170" i="6"/>
  <c r="H170" i="6"/>
  <c r="G170" i="6"/>
  <c r="F170" i="6"/>
  <c r="E170" i="6"/>
  <c r="D170" i="6"/>
  <c r="C170" i="6"/>
  <c r="B170" i="6"/>
  <c r="A170" i="6"/>
  <c r="AD169" i="6"/>
  <c r="AC169" i="6"/>
  <c r="AB169" i="6"/>
  <c r="AA169" i="6"/>
  <c r="Z169" i="6"/>
  <c r="Y169" i="6"/>
  <c r="X169" i="6"/>
  <c r="W169" i="6"/>
  <c r="V169" i="6"/>
  <c r="U169" i="6"/>
  <c r="T169" i="6"/>
  <c r="S169" i="6"/>
  <c r="R169" i="6"/>
  <c r="Q169" i="6"/>
  <c r="P169" i="6"/>
  <c r="O169" i="6"/>
  <c r="N169" i="6"/>
  <c r="M169" i="6"/>
  <c r="L169" i="6"/>
  <c r="K169" i="6"/>
  <c r="J169" i="6"/>
  <c r="I169" i="6"/>
  <c r="H169" i="6"/>
  <c r="G169" i="6"/>
  <c r="F169" i="6"/>
  <c r="E169" i="6"/>
  <c r="D169" i="6"/>
  <c r="C169" i="6"/>
  <c r="B169" i="6"/>
  <c r="A169" i="6"/>
  <c r="AD168" i="6"/>
  <c r="AC168" i="6"/>
  <c r="AB168" i="6"/>
  <c r="AA168" i="6"/>
  <c r="Z168" i="6"/>
  <c r="Y168" i="6"/>
  <c r="X168" i="6"/>
  <c r="W168" i="6"/>
  <c r="V168" i="6"/>
  <c r="U168" i="6"/>
  <c r="T168" i="6"/>
  <c r="S168" i="6"/>
  <c r="R168" i="6"/>
  <c r="Q168" i="6"/>
  <c r="P168" i="6"/>
  <c r="O168" i="6"/>
  <c r="N168" i="6"/>
  <c r="M168" i="6"/>
  <c r="L168" i="6"/>
  <c r="K168" i="6"/>
  <c r="J168" i="6"/>
  <c r="I168" i="6"/>
  <c r="H168" i="6"/>
  <c r="G168" i="6"/>
  <c r="F168" i="6"/>
  <c r="E168" i="6"/>
  <c r="D168" i="6"/>
  <c r="C168" i="6"/>
  <c r="B168" i="6"/>
  <c r="A168" i="6"/>
  <c r="AC167" i="6"/>
  <c r="AB167" i="6"/>
  <c r="AA167" i="6"/>
  <c r="Z167" i="6"/>
  <c r="Y167" i="6"/>
  <c r="X167" i="6"/>
  <c r="W167" i="6"/>
  <c r="V167" i="6"/>
  <c r="U167" i="6"/>
  <c r="T167" i="6"/>
  <c r="S167" i="6"/>
  <c r="R167" i="6"/>
  <c r="Q167" i="6"/>
  <c r="P167" i="6"/>
  <c r="O167" i="6"/>
  <c r="N167" i="6"/>
  <c r="M167" i="6"/>
  <c r="L167" i="6"/>
  <c r="K167" i="6"/>
  <c r="J167" i="6"/>
  <c r="H167" i="6"/>
  <c r="G167" i="6"/>
  <c r="F167" i="6"/>
  <c r="E167" i="6"/>
  <c r="D167" i="6"/>
  <c r="C167" i="6"/>
  <c r="B167" i="6"/>
  <c r="A167" i="6"/>
  <c r="AC166" i="6"/>
  <c r="AB166" i="6"/>
  <c r="AA166" i="6"/>
  <c r="Z166" i="6"/>
  <c r="Y166" i="6"/>
  <c r="X166" i="6"/>
  <c r="W166" i="6"/>
  <c r="V166" i="6"/>
  <c r="U166" i="6"/>
  <c r="T166" i="6"/>
  <c r="S166" i="6"/>
  <c r="R166" i="6"/>
  <c r="Q166" i="6"/>
  <c r="P166" i="6"/>
  <c r="O166" i="6"/>
  <c r="N166" i="6"/>
  <c r="M166" i="6"/>
  <c r="L166" i="6"/>
  <c r="K166" i="6"/>
  <c r="J166" i="6"/>
  <c r="H166" i="6"/>
  <c r="G166" i="6"/>
  <c r="F166" i="6"/>
  <c r="E166" i="6"/>
  <c r="D166" i="6"/>
  <c r="C166" i="6"/>
  <c r="B166" i="6"/>
  <c r="A166" i="6"/>
  <c r="AC165" i="6"/>
  <c r="AB165" i="6"/>
  <c r="AA165" i="6"/>
  <c r="Z165" i="6"/>
  <c r="Y165" i="6"/>
  <c r="X165" i="6"/>
  <c r="W165" i="6"/>
  <c r="V165" i="6"/>
  <c r="U165" i="6"/>
  <c r="T165" i="6"/>
  <c r="S165" i="6"/>
  <c r="R165" i="6"/>
  <c r="Q165" i="6"/>
  <c r="P165" i="6"/>
  <c r="O165" i="6"/>
  <c r="N165" i="6"/>
  <c r="M165" i="6"/>
  <c r="L165" i="6"/>
  <c r="K165" i="6"/>
  <c r="J165" i="6"/>
  <c r="H165" i="6"/>
  <c r="G165" i="6"/>
  <c r="F165" i="6"/>
  <c r="E165" i="6"/>
  <c r="D165" i="6"/>
  <c r="C165" i="6"/>
  <c r="B165" i="6"/>
  <c r="A165" i="6"/>
  <c r="AC164" i="6"/>
  <c r="AB164" i="6"/>
  <c r="AA164" i="6"/>
  <c r="Z164" i="6"/>
  <c r="Y164" i="6"/>
  <c r="X164" i="6"/>
  <c r="W164" i="6"/>
  <c r="V164" i="6"/>
  <c r="U164" i="6"/>
  <c r="T164" i="6"/>
  <c r="S164" i="6"/>
  <c r="R164" i="6"/>
  <c r="Q164" i="6"/>
  <c r="P164" i="6"/>
  <c r="O164" i="6"/>
  <c r="N164" i="6"/>
  <c r="M164" i="6"/>
  <c r="L164" i="6"/>
  <c r="K164" i="6"/>
  <c r="J164" i="6"/>
  <c r="H164" i="6"/>
  <c r="G164" i="6"/>
  <c r="F164" i="6"/>
  <c r="E164" i="6"/>
  <c r="D164" i="6"/>
  <c r="C164" i="6"/>
  <c r="B164" i="6"/>
  <c r="A164" i="6"/>
  <c r="AC163" i="6"/>
  <c r="AB163" i="6"/>
  <c r="AA163" i="6"/>
  <c r="Z163" i="6"/>
  <c r="Y163" i="6"/>
  <c r="X163" i="6"/>
  <c r="W163" i="6"/>
  <c r="V163" i="6"/>
  <c r="U163" i="6"/>
  <c r="T163" i="6"/>
  <c r="S163" i="6"/>
  <c r="R163" i="6"/>
  <c r="Q163" i="6"/>
  <c r="P163" i="6"/>
  <c r="O163" i="6"/>
  <c r="N163" i="6"/>
  <c r="M163" i="6"/>
  <c r="L163" i="6"/>
  <c r="K163" i="6"/>
  <c r="J163" i="6"/>
  <c r="H163" i="6"/>
  <c r="G163" i="6"/>
  <c r="F163" i="6"/>
  <c r="E163" i="6"/>
  <c r="D163" i="6"/>
  <c r="C163" i="6"/>
  <c r="B163" i="6"/>
  <c r="A163" i="6"/>
  <c r="AD162" i="6"/>
  <c r="AC162" i="6"/>
  <c r="AB162" i="6"/>
  <c r="AA162" i="6"/>
  <c r="Z162" i="6"/>
  <c r="Y162" i="6"/>
  <c r="X162" i="6"/>
  <c r="W162" i="6"/>
  <c r="V162" i="6"/>
  <c r="U162" i="6"/>
  <c r="T162" i="6"/>
  <c r="S162" i="6"/>
  <c r="R162" i="6"/>
  <c r="Q162" i="6"/>
  <c r="P162" i="6"/>
  <c r="O162" i="6"/>
  <c r="N162" i="6"/>
  <c r="M162" i="6"/>
  <c r="L162" i="6"/>
  <c r="K162" i="6"/>
  <c r="J162" i="6"/>
  <c r="I162" i="6"/>
  <c r="H162" i="6"/>
  <c r="G162" i="6"/>
  <c r="F162" i="6"/>
  <c r="E162" i="6"/>
  <c r="D162" i="6"/>
  <c r="C162" i="6"/>
  <c r="B162" i="6"/>
  <c r="A162" i="6"/>
  <c r="AC161" i="6"/>
  <c r="AB161" i="6"/>
  <c r="AA161" i="6"/>
  <c r="Z161" i="6"/>
  <c r="Y161" i="6"/>
  <c r="X161" i="6"/>
  <c r="W161" i="6"/>
  <c r="V161" i="6"/>
  <c r="U161" i="6"/>
  <c r="T161" i="6"/>
  <c r="S161" i="6"/>
  <c r="R161" i="6"/>
  <c r="Q161" i="6"/>
  <c r="P161" i="6"/>
  <c r="O161" i="6"/>
  <c r="N161" i="6"/>
  <c r="M161" i="6"/>
  <c r="L161" i="6"/>
  <c r="K161" i="6"/>
  <c r="J161" i="6"/>
  <c r="H161" i="6"/>
  <c r="G161" i="6"/>
  <c r="F161" i="6"/>
  <c r="E161" i="6"/>
  <c r="D161" i="6"/>
  <c r="C161" i="6"/>
  <c r="B161" i="6"/>
  <c r="A161" i="6"/>
  <c r="AC160" i="6"/>
  <c r="AB160" i="6"/>
  <c r="AA160" i="6"/>
  <c r="Z160" i="6"/>
  <c r="Y160" i="6"/>
  <c r="X160" i="6"/>
  <c r="W160" i="6"/>
  <c r="V160" i="6"/>
  <c r="U160" i="6"/>
  <c r="T160" i="6"/>
  <c r="S160" i="6"/>
  <c r="R160" i="6"/>
  <c r="Q160" i="6"/>
  <c r="P160" i="6"/>
  <c r="O160" i="6"/>
  <c r="N160" i="6"/>
  <c r="M160" i="6"/>
  <c r="L160" i="6"/>
  <c r="K160" i="6"/>
  <c r="J160" i="6"/>
  <c r="I160" i="6"/>
  <c r="H160" i="6"/>
  <c r="G160" i="6"/>
  <c r="F160" i="6"/>
  <c r="E160" i="6"/>
  <c r="D160" i="6"/>
  <c r="C160" i="6"/>
  <c r="B160" i="6"/>
  <c r="A160" i="6"/>
  <c r="AD159" i="6"/>
  <c r="AC159" i="6"/>
  <c r="AB159" i="6"/>
  <c r="AA159" i="6"/>
  <c r="Z159" i="6"/>
  <c r="Y159" i="6"/>
  <c r="X159" i="6"/>
  <c r="W159" i="6"/>
  <c r="V159" i="6"/>
  <c r="U159" i="6"/>
  <c r="T159" i="6"/>
  <c r="S159" i="6"/>
  <c r="R159" i="6"/>
  <c r="Q159" i="6"/>
  <c r="P159" i="6"/>
  <c r="O159" i="6"/>
  <c r="N159" i="6"/>
  <c r="M159" i="6"/>
  <c r="L159" i="6"/>
  <c r="K159" i="6"/>
  <c r="J159" i="6"/>
  <c r="I159" i="6"/>
  <c r="H159" i="6"/>
  <c r="G159" i="6"/>
  <c r="F159" i="6"/>
  <c r="E159" i="6"/>
  <c r="D159" i="6"/>
  <c r="C159" i="6"/>
  <c r="B159" i="6"/>
  <c r="A159" i="6"/>
  <c r="AC158" i="6"/>
  <c r="AB158" i="6"/>
  <c r="AA158" i="6"/>
  <c r="Z158" i="6"/>
  <c r="Y158" i="6"/>
  <c r="X158" i="6"/>
  <c r="W158" i="6"/>
  <c r="V158" i="6"/>
  <c r="U158" i="6"/>
  <c r="T158" i="6"/>
  <c r="S158" i="6"/>
  <c r="R158" i="6"/>
  <c r="Q158" i="6"/>
  <c r="P158" i="6"/>
  <c r="O158" i="6"/>
  <c r="N158" i="6"/>
  <c r="M158" i="6"/>
  <c r="L158" i="6"/>
  <c r="K158" i="6"/>
  <c r="J158" i="6"/>
  <c r="H158" i="6"/>
  <c r="G158" i="6"/>
  <c r="F158" i="6"/>
  <c r="E158" i="6"/>
  <c r="D158" i="6"/>
  <c r="C158" i="6"/>
  <c r="B158" i="6"/>
  <c r="A158" i="6"/>
  <c r="AD157" i="6"/>
  <c r="AC157" i="6"/>
  <c r="AB157" i="6"/>
  <c r="AA157" i="6"/>
  <c r="Z157" i="6"/>
  <c r="Y157" i="6"/>
  <c r="X157" i="6"/>
  <c r="W157" i="6"/>
  <c r="V157" i="6"/>
  <c r="U157" i="6"/>
  <c r="T157" i="6"/>
  <c r="S157" i="6"/>
  <c r="R157" i="6"/>
  <c r="Q157" i="6"/>
  <c r="P157" i="6"/>
  <c r="O157" i="6"/>
  <c r="N157" i="6"/>
  <c r="M157" i="6"/>
  <c r="L157" i="6"/>
  <c r="K157" i="6"/>
  <c r="J157" i="6"/>
  <c r="I157" i="6"/>
  <c r="H157" i="6"/>
  <c r="G157" i="6"/>
  <c r="F157" i="6"/>
  <c r="E157" i="6"/>
  <c r="D157" i="6"/>
  <c r="C157" i="6"/>
  <c r="B157" i="6"/>
  <c r="A157" i="6"/>
  <c r="AD156" i="6"/>
  <c r="AC156" i="6"/>
  <c r="AB156" i="6"/>
  <c r="AA156" i="6"/>
  <c r="Z156" i="6"/>
  <c r="Y156" i="6"/>
  <c r="X156" i="6"/>
  <c r="W156" i="6"/>
  <c r="V156" i="6"/>
  <c r="U156" i="6"/>
  <c r="T156" i="6"/>
  <c r="S156" i="6"/>
  <c r="R156" i="6"/>
  <c r="Q156" i="6"/>
  <c r="P156" i="6"/>
  <c r="O156" i="6"/>
  <c r="N156" i="6"/>
  <c r="M156" i="6"/>
  <c r="L156" i="6"/>
  <c r="K156" i="6"/>
  <c r="J156" i="6"/>
  <c r="I156" i="6"/>
  <c r="H156" i="6"/>
  <c r="G156" i="6"/>
  <c r="F156" i="6"/>
  <c r="E156" i="6"/>
  <c r="D156" i="6"/>
  <c r="C156" i="6"/>
  <c r="B156" i="6"/>
  <c r="A156" i="6"/>
  <c r="AC155" i="6"/>
  <c r="AB155" i="6"/>
  <c r="AA155" i="6"/>
  <c r="Z155" i="6"/>
  <c r="Y155" i="6"/>
  <c r="X155" i="6"/>
  <c r="W155" i="6"/>
  <c r="V155" i="6"/>
  <c r="U155" i="6"/>
  <c r="T155" i="6"/>
  <c r="S155" i="6"/>
  <c r="R155" i="6"/>
  <c r="Q155" i="6"/>
  <c r="P155" i="6"/>
  <c r="O155" i="6"/>
  <c r="N155" i="6"/>
  <c r="M155" i="6"/>
  <c r="L155" i="6"/>
  <c r="K155" i="6"/>
  <c r="J155" i="6"/>
  <c r="H155" i="6"/>
  <c r="G155" i="6"/>
  <c r="F155" i="6"/>
  <c r="E155" i="6"/>
  <c r="D155" i="6"/>
  <c r="C155" i="6"/>
  <c r="B155" i="6"/>
  <c r="A155" i="6"/>
  <c r="AC154" i="6"/>
  <c r="AB154" i="6"/>
  <c r="AA154" i="6"/>
  <c r="Z154" i="6"/>
  <c r="Y154" i="6"/>
  <c r="X154" i="6"/>
  <c r="W154" i="6"/>
  <c r="V154" i="6"/>
  <c r="U154" i="6"/>
  <c r="T154" i="6"/>
  <c r="S154" i="6"/>
  <c r="R154" i="6"/>
  <c r="Q154" i="6"/>
  <c r="P154" i="6"/>
  <c r="O154" i="6"/>
  <c r="N154" i="6"/>
  <c r="M154" i="6"/>
  <c r="L154" i="6"/>
  <c r="K154" i="6"/>
  <c r="J154" i="6"/>
  <c r="H154" i="6"/>
  <c r="G154" i="6"/>
  <c r="F154" i="6"/>
  <c r="E154" i="6"/>
  <c r="D154" i="6"/>
  <c r="C154" i="6"/>
  <c r="B154" i="6"/>
  <c r="A154" i="6"/>
  <c r="AC153" i="6"/>
  <c r="AB153" i="6"/>
  <c r="AA153" i="6"/>
  <c r="Z153" i="6"/>
  <c r="Y153" i="6"/>
  <c r="X153" i="6"/>
  <c r="W153" i="6"/>
  <c r="V153" i="6"/>
  <c r="U153" i="6"/>
  <c r="T153" i="6"/>
  <c r="S153" i="6"/>
  <c r="R153" i="6"/>
  <c r="Q153" i="6"/>
  <c r="P153" i="6"/>
  <c r="O153" i="6"/>
  <c r="N153" i="6"/>
  <c r="M153" i="6"/>
  <c r="L153" i="6"/>
  <c r="K153" i="6"/>
  <c r="J153" i="6"/>
  <c r="H153" i="6"/>
  <c r="G153" i="6"/>
  <c r="F153" i="6"/>
  <c r="E153" i="6"/>
  <c r="D153" i="6"/>
  <c r="C153" i="6"/>
  <c r="B153" i="6"/>
  <c r="A153" i="6"/>
  <c r="AC152" i="6"/>
  <c r="AB152" i="6"/>
  <c r="AA152" i="6"/>
  <c r="Z152" i="6"/>
  <c r="Y152" i="6"/>
  <c r="X152" i="6"/>
  <c r="W152" i="6"/>
  <c r="V152" i="6"/>
  <c r="U152" i="6"/>
  <c r="T152" i="6"/>
  <c r="S152" i="6"/>
  <c r="R152" i="6"/>
  <c r="Q152" i="6"/>
  <c r="P152" i="6"/>
  <c r="O152" i="6"/>
  <c r="N152" i="6"/>
  <c r="M152" i="6"/>
  <c r="L152" i="6"/>
  <c r="K152" i="6"/>
  <c r="J152" i="6"/>
  <c r="H152" i="6"/>
  <c r="G152" i="6"/>
  <c r="F152" i="6"/>
  <c r="E152" i="6"/>
  <c r="D152" i="6"/>
  <c r="C152" i="6"/>
  <c r="B152" i="6"/>
  <c r="A152" i="6"/>
  <c r="AC151" i="6"/>
  <c r="AB151" i="6"/>
  <c r="AA151" i="6"/>
  <c r="Z151" i="6"/>
  <c r="Y151" i="6"/>
  <c r="X151" i="6"/>
  <c r="W151" i="6"/>
  <c r="V151" i="6"/>
  <c r="U151" i="6"/>
  <c r="T151" i="6"/>
  <c r="S151" i="6"/>
  <c r="R151" i="6"/>
  <c r="Q151" i="6"/>
  <c r="P151" i="6"/>
  <c r="O151" i="6"/>
  <c r="N151" i="6"/>
  <c r="M151" i="6"/>
  <c r="L151" i="6"/>
  <c r="K151" i="6"/>
  <c r="J151" i="6"/>
  <c r="H151" i="6"/>
  <c r="G151" i="6"/>
  <c r="F151" i="6"/>
  <c r="E151" i="6"/>
  <c r="D151" i="6"/>
  <c r="C151" i="6"/>
  <c r="B151" i="6"/>
  <c r="A151" i="6"/>
  <c r="AD150" i="6"/>
  <c r="AC150" i="6"/>
  <c r="AB150" i="6"/>
  <c r="AA150" i="6"/>
  <c r="Z150" i="6"/>
  <c r="Y150" i="6"/>
  <c r="X150" i="6"/>
  <c r="W150" i="6"/>
  <c r="V150" i="6"/>
  <c r="U150" i="6"/>
  <c r="T150" i="6"/>
  <c r="S150" i="6"/>
  <c r="R150" i="6"/>
  <c r="Q150" i="6"/>
  <c r="P150" i="6"/>
  <c r="O150" i="6"/>
  <c r="N150" i="6"/>
  <c r="M150" i="6"/>
  <c r="L150" i="6"/>
  <c r="K150" i="6"/>
  <c r="J150" i="6"/>
  <c r="I150" i="6"/>
  <c r="H150" i="6"/>
  <c r="G150" i="6"/>
  <c r="F150" i="6"/>
  <c r="E150" i="6"/>
  <c r="D150" i="6"/>
  <c r="C150" i="6"/>
  <c r="B150" i="6"/>
  <c r="A150" i="6"/>
  <c r="AC149" i="6"/>
  <c r="AB149" i="6"/>
  <c r="AA149" i="6"/>
  <c r="Z149" i="6"/>
  <c r="Y149" i="6"/>
  <c r="X149" i="6"/>
  <c r="W149" i="6"/>
  <c r="V149" i="6"/>
  <c r="U149" i="6"/>
  <c r="T149" i="6"/>
  <c r="S149" i="6"/>
  <c r="R149" i="6"/>
  <c r="Q149" i="6"/>
  <c r="P149" i="6"/>
  <c r="O149" i="6"/>
  <c r="N149" i="6"/>
  <c r="M149" i="6"/>
  <c r="L149" i="6"/>
  <c r="K149" i="6"/>
  <c r="J149" i="6"/>
  <c r="H149" i="6"/>
  <c r="G149" i="6"/>
  <c r="F149" i="6"/>
  <c r="E149" i="6"/>
  <c r="D149" i="6"/>
  <c r="C149" i="6"/>
  <c r="B149" i="6"/>
  <c r="A149" i="6"/>
  <c r="AD148" i="6"/>
  <c r="AC148" i="6"/>
  <c r="AB148" i="6"/>
  <c r="AA148" i="6"/>
  <c r="Z148" i="6"/>
  <c r="Y148" i="6"/>
  <c r="X148" i="6"/>
  <c r="W148" i="6"/>
  <c r="V148" i="6"/>
  <c r="U148" i="6"/>
  <c r="T148" i="6"/>
  <c r="S148" i="6"/>
  <c r="R148" i="6"/>
  <c r="Q148" i="6"/>
  <c r="P148" i="6"/>
  <c r="O148" i="6"/>
  <c r="N148" i="6"/>
  <c r="M148" i="6"/>
  <c r="L148" i="6"/>
  <c r="K148" i="6"/>
  <c r="J148" i="6"/>
  <c r="I148" i="6"/>
  <c r="H148" i="6"/>
  <c r="G148" i="6"/>
  <c r="F148" i="6"/>
  <c r="E148" i="6"/>
  <c r="D148" i="6"/>
  <c r="C148" i="6"/>
  <c r="B148" i="6"/>
  <c r="A148" i="6"/>
  <c r="AC147" i="6"/>
  <c r="AB147" i="6"/>
  <c r="AA147" i="6"/>
  <c r="Z147" i="6"/>
  <c r="Y147" i="6"/>
  <c r="X147" i="6"/>
  <c r="W147" i="6"/>
  <c r="V147" i="6"/>
  <c r="U147" i="6"/>
  <c r="T147" i="6"/>
  <c r="S147" i="6"/>
  <c r="R147" i="6"/>
  <c r="Q147" i="6"/>
  <c r="P147" i="6"/>
  <c r="O147" i="6"/>
  <c r="N147" i="6"/>
  <c r="M147" i="6"/>
  <c r="L147" i="6"/>
  <c r="K147" i="6"/>
  <c r="J147" i="6"/>
  <c r="H147" i="6"/>
  <c r="G147" i="6"/>
  <c r="F147" i="6"/>
  <c r="E147" i="6"/>
  <c r="D147" i="6"/>
  <c r="C147" i="6"/>
  <c r="B147" i="6"/>
  <c r="A147" i="6"/>
  <c r="AD146" i="6"/>
  <c r="AC146" i="6"/>
  <c r="AB146" i="6"/>
  <c r="AA146" i="6"/>
  <c r="Z146" i="6"/>
  <c r="Y146" i="6"/>
  <c r="X146" i="6"/>
  <c r="W146" i="6"/>
  <c r="V146" i="6"/>
  <c r="U146" i="6"/>
  <c r="T146" i="6"/>
  <c r="S146" i="6"/>
  <c r="R146" i="6"/>
  <c r="Q146" i="6"/>
  <c r="P146" i="6"/>
  <c r="O146" i="6"/>
  <c r="N146" i="6"/>
  <c r="M146" i="6"/>
  <c r="L146" i="6"/>
  <c r="K146" i="6"/>
  <c r="J146" i="6"/>
  <c r="I146" i="6"/>
  <c r="H146" i="6"/>
  <c r="G146" i="6"/>
  <c r="F146" i="6"/>
  <c r="E146" i="6"/>
  <c r="D146" i="6"/>
  <c r="C146" i="6"/>
  <c r="B146" i="6"/>
  <c r="A146" i="6"/>
  <c r="AC145" i="6"/>
  <c r="AB145" i="6"/>
  <c r="AA145" i="6"/>
  <c r="Z145" i="6"/>
  <c r="Y145" i="6"/>
  <c r="X145" i="6"/>
  <c r="W145" i="6"/>
  <c r="V145" i="6"/>
  <c r="U145" i="6"/>
  <c r="T145" i="6"/>
  <c r="S145" i="6"/>
  <c r="R145" i="6"/>
  <c r="Q145" i="6"/>
  <c r="P145" i="6"/>
  <c r="O145" i="6"/>
  <c r="N145" i="6"/>
  <c r="M145" i="6"/>
  <c r="L145" i="6"/>
  <c r="K145" i="6"/>
  <c r="J145" i="6"/>
  <c r="H145" i="6"/>
  <c r="G145" i="6"/>
  <c r="F145" i="6"/>
  <c r="E145" i="6"/>
  <c r="D145" i="6"/>
  <c r="C145" i="6"/>
  <c r="B145" i="6"/>
  <c r="A145" i="6"/>
  <c r="AC144" i="6"/>
  <c r="AB144" i="6"/>
  <c r="AA144" i="6"/>
  <c r="Z144" i="6"/>
  <c r="Y144" i="6"/>
  <c r="X144" i="6"/>
  <c r="W144" i="6"/>
  <c r="V144" i="6"/>
  <c r="U144" i="6"/>
  <c r="T144" i="6"/>
  <c r="S144" i="6"/>
  <c r="R144" i="6"/>
  <c r="Q144" i="6"/>
  <c r="P144" i="6"/>
  <c r="O144" i="6"/>
  <c r="N144" i="6"/>
  <c r="M144" i="6"/>
  <c r="L144" i="6"/>
  <c r="K144" i="6"/>
  <c r="J144" i="6"/>
  <c r="H144" i="6"/>
  <c r="G144" i="6"/>
  <c r="F144" i="6"/>
  <c r="E144" i="6"/>
  <c r="D144" i="6"/>
  <c r="C144" i="6"/>
  <c r="B144" i="6"/>
  <c r="A144" i="6"/>
  <c r="AC143" i="6"/>
  <c r="AB143" i="6"/>
  <c r="AA143" i="6"/>
  <c r="Z143" i="6"/>
  <c r="Y143" i="6"/>
  <c r="X143" i="6"/>
  <c r="W143" i="6"/>
  <c r="V143" i="6"/>
  <c r="U143" i="6"/>
  <c r="T143" i="6"/>
  <c r="S143" i="6"/>
  <c r="R143" i="6"/>
  <c r="Q143" i="6"/>
  <c r="P143" i="6"/>
  <c r="O143" i="6"/>
  <c r="N143" i="6"/>
  <c r="M143" i="6"/>
  <c r="L143" i="6"/>
  <c r="K143" i="6"/>
  <c r="J143" i="6"/>
  <c r="H143" i="6"/>
  <c r="G143" i="6"/>
  <c r="F143" i="6"/>
  <c r="E143" i="6"/>
  <c r="D143" i="6"/>
  <c r="C143" i="6"/>
  <c r="B143" i="6"/>
  <c r="A143" i="6"/>
  <c r="AC142" i="6"/>
  <c r="AB142" i="6"/>
  <c r="AA142" i="6"/>
  <c r="Z142" i="6"/>
  <c r="Y142" i="6"/>
  <c r="X142" i="6"/>
  <c r="W142" i="6"/>
  <c r="V142" i="6"/>
  <c r="U142" i="6"/>
  <c r="T142" i="6"/>
  <c r="S142" i="6"/>
  <c r="R142" i="6"/>
  <c r="Q142" i="6"/>
  <c r="P142" i="6"/>
  <c r="O142" i="6"/>
  <c r="N142" i="6"/>
  <c r="M142" i="6"/>
  <c r="L142" i="6"/>
  <c r="K142" i="6"/>
  <c r="J142" i="6"/>
  <c r="H142" i="6"/>
  <c r="G142" i="6"/>
  <c r="F142" i="6"/>
  <c r="E142" i="6"/>
  <c r="D142" i="6"/>
  <c r="C142" i="6"/>
  <c r="B142" i="6"/>
  <c r="A142" i="6"/>
  <c r="AD141" i="6"/>
  <c r="AC141" i="6"/>
  <c r="AB141" i="6"/>
  <c r="AA141" i="6"/>
  <c r="Z141" i="6"/>
  <c r="Y141" i="6"/>
  <c r="X141" i="6"/>
  <c r="W141" i="6"/>
  <c r="V141" i="6"/>
  <c r="U141" i="6"/>
  <c r="T141" i="6"/>
  <c r="S141" i="6"/>
  <c r="R141" i="6"/>
  <c r="Q141" i="6"/>
  <c r="P141" i="6"/>
  <c r="O141" i="6"/>
  <c r="N141" i="6"/>
  <c r="M141" i="6"/>
  <c r="L141" i="6"/>
  <c r="K141" i="6"/>
  <c r="J141" i="6"/>
  <c r="I141" i="6"/>
  <c r="H141" i="6"/>
  <c r="G141" i="6"/>
  <c r="F141" i="6"/>
  <c r="E141" i="6"/>
  <c r="D141" i="6"/>
  <c r="C141" i="6"/>
  <c r="B141" i="6"/>
  <c r="A141" i="6"/>
  <c r="AC140" i="6"/>
  <c r="AB140" i="6"/>
  <c r="AA140" i="6"/>
  <c r="Z140" i="6"/>
  <c r="Y140" i="6"/>
  <c r="X140" i="6"/>
  <c r="W140" i="6"/>
  <c r="V140" i="6"/>
  <c r="U140" i="6"/>
  <c r="T140" i="6"/>
  <c r="S140" i="6"/>
  <c r="R140" i="6"/>
  <c r="Q140" i="6"/>
  <c r="P140" i="6"/>
  <c r="O140" i="6"/>
  <c r="N140" i="6"/>
  <c r="M140" i="6"/>
  <c r="L140" i="6"/>
  <c r="K140" i="6"/>
  <c r="J140" i="6"/>
  <c r="H140" i="6"/>
  <c r="G140" i="6"/>
  <c r="F140" i="6"/>
  <c r="E140" i="6"/>
  <c r="D140" i="6"/>
  <c r="C140" i="6"/>
  <c r="B140" i="6"/>
  <c r="A140" i="6"/>
  <c r="AD139" i="6"/>
  <c r="AC139" i="6"/>
  <c r="AB139" i="6"/>
  <c r="AA139" i="6"/>
  <c r="Z139" i="6"/>
  <c r="Y139" i="6"/>
  <c r="X139" i="6"/>
  <c r="W139" i="6"/>
  <c r="V139" i="6"/>
  <c r="U139" i="6"/>
  <c r="T139" i="6"/>
  <c r="S139" i="6"/>
  <c r="R139" i="6"/>
  <c r="Q139" i="6"/>
  <c r="P139" i="6"/>
  <c r="O139" i="6"/>
  <c r="N139" i="6"/>
  <c r="M139" i="6"/>
  <c r="L139" i="6"/>
  <c r="K139" i="6"/>
  <c r="J139" i="6"/>
  <c r="I139" i="6"/>
  <c r="H139" i="6"/>
  <c r="G139" i="6"/>
  <c r="F139" i="6"/>
  <c r="E139" i="6"/>
  <c r="D139" i="6"/>
  <c r="C139" i="6"/>
  <c r="B139" i="6"/>
  <c r="A139" i="6"/>
  <c r="AC138" i="6"/>
  <c r="AB138" i="6"/>
  <c r="AA138" i="6"/>
  <c r="Z138" i="6"/>
  <c r="Y138" i="6"/>
  <c r="X138" i="6"/>
  <c r="W138" i="6"/>
  <c r="V138" i="6"/>
  <c r="U138" i="6"/>
  <c r="T138" i="6"/>
  <c r="S138" i="6"/>
  <c r="R138" i="6"/>
  <c r="Q138" i="6"/>
  <c r="P138" i="6"/>
  <c r="O138" i="6"/>
  <c r="N138" i="6"/>
  <c r="M138" i="6"/>
  <c r="L138" i="6"/>
  <c r="K138" i="6"/>
  <c r="J138" i="6"/>
  <c r="H138" i="6"/>
  <c r="G138" i="6"/>
  <c r="F138" i="6"/>
  <c r="E138" i="6"/>
  <c r="D138" i="6"/>
  <c r="C138" i="6"/>
  <c r="B138" i="6"/>
  <c r="A138" i="6"/>
  <c r="AC137" i="6"/>
  <c r="AB137" i="6"/>
  <c r="AA137" i="6"/>
  <c r="Z137" i="6"/>
  <c r="Y137" i="6"/>
  <c r="X137" i="6"/>
  <c r="W137" i="6"/>
  <c r="V137" i="6"/>
  <c r="U137" i="6"/>
  <c r="T137" i="6"/>
  <c r="S137" i="6"/>
  <c r="R137" i="6"/>
  <c r="Q137" i="6"/>
  <c r="P137" i="6"/>
  <c r="O137" i="6"/>
  <c r="N137" i="6"/>
  <c r="M137" i="6"/>
  <c r="L137" i="6"/>
  <c r="K137" i="6"/>
  <c r="J137" i="6"/>
  <c r="H137" i="6"/>
  <c r="G137" i="6"/>
  <c r="F137" i="6"/>
  <c r="E137" i="6"/>
  <c r="D137" i="6"/>
  <c r="C137" i="6"/>
  <c r="B137" i="6"/>
  <c r="A137" i="6"/>
  <c r="AC136" i="6"/>
  <c r="AB136" i="6"/>
  <c r="AA136" i="6"/>
  <c r="Z136" i="6"/>
  <c r="Y136" i="6"/>
  <c r="X136" i="6"/>
  <c r="W136" i="6"/>
  <c r="V136" i="6"/>
  <c r="U136" i="6"/>
  <c r="T136" i="6"/>
  <c r="S136" i="6"/>
  <c r="R136" i="6"/>
  <c r="Q136" i="6"/>
  <c r="P136" i="6"/>
  <c r="O136" i="6"/>
  <c r="N136" i="6"/>
  <c r="M136" i="6"/>
  <c r="L136" i="6"/>
  <c r="K136" i="6"/>
  <c r="J136" i="6"/>
  <c r="H136" i="6"/>
  <c r="G136" i="6"/>
  <c r="F136" i="6"/>
  <c r="E136" i="6"/>
  <c r="D136" i="6"/>
  <c r="C136" i="6"/>
  <c r="B136" i="6"/>
  <c r="A136" i="6"/>
  <c r="AD135" i="6"/>
  <c r="AC135" i="6"/>
  <c r="AB135" i="6"/>
  <c r="AA135" i="6"/>
  <c r="Z135" i="6"/>
  <c r="Y135" i="6"/>
  <c r="X135" i="6"/>
  <c r="W135" i="6"/>
  <c r="V135" i="6"/>
  <c r="U135" i="6"/>
  <c r="T135" i="6"/>
  <c r="S135" i="6"/>
  <c r="R135" i="6"/>
  <c r="Q135" i="6"/>
  <c r="P135" i="6"/>
  <c r="O135" i="6"/>
  <c r="N135" i="6"/>
  <c r="M135" i="6"/>
  <c r="L135" i="6"/>
  <c r="K135" i="6"/>
  <c r="J135" i="6"/>
  <c r="I135" i="6"/>
  <c r="H135" i="6"/>
  <c r="G135" i="6"/>
  <c r="F135" i="6"/>
  <c r="E135" i="6"/>
  <c r="D135" i="6"/>
  <c r="C135" i="6"/>
  <c r="B135" i="6"/>
  <c r="A135" i="6"/>
  <c r="AD134" i="6"/>
  <c r="AC134" i="6"/>
  <c r="AB134" i="6"/>
  <c r="AA134" i="6"/>
  <c r="Z134" i="6"/>
  <c r="Y134" i="6"/>
  <c r="X134" i="6"/>
  <c r="W134" i="6"/>
  <c r="V134" i="6"/>
  <c r="U134" i="6"/>
  <c r="T134" i="6"/>
  <c r="S134" i="6"/>
  <c r="R134" i="6"/>
  <c r="Q134" i="6"/>
  <c r="P134" i="6"/>
  <c r="O134" i="6"/>
  <c r="N134" i="6"/>
  <c r="M134" i="6"/>
  <c r="L134" i="6"/>
  <c r="K134" i="6"/>
  <c r="J134" i="6"/>
  <c r="I134" i="6"/>
  <c r="H134" i="6"/>
  <c r="G134" i="6"/>
  <c r="F134" i="6"/>
  <c r="E134" i="6"/>
  <c r="D134" i="6"/>
  <c r="C134" i="6"/>
  <c r="B134" i="6"/>
  <c r="A134" i="6"/>
  <c r="AD133" i="6"/>
  <c r="AC133" i="6"/>
  <c r="AB133" i="6"/>
  <c r="AA133" i="6"/>
  <c r="Z133" i="6"/>
  <c r="Y133" i="6"/>
  <c r="X133" i="6"/>
  <c r="W133" i="6"/>
  <c r="V133" i="6"/>
  <c r="U133" i="6"/>
  <c r="T133" i="6"/>
  <c r="S133" i="6"/>
  <c r="R133" i="6"/>
  <c r="Q133" i="6"/>
  <c r="P133" i="6"/>
  <c r="O133" i="6"/>
  <c r="N133" i="6"/>
  <c r="M133" i="6"/>
  <c r="L133" i="6"/>
  <c r="K133" i="6"/>
  <c r="J133" i="6"/>
  <c r="I133" i="6"/>
  <c r="H133" i="6"/>
  <c r="G133" i="6"/>
  <c r="F133" i="6"/>
  <c r="E133" i="6"/>
  <c r="D133" i="6"/>
  <c r="C133" i="6"/>
  <c r="B133" i="6"/>
  <c r="A133" i="6"/>
  <c r="AC132" i="6"/>
  <c r="AB132" i="6"/>
  <c r="AA132" i="6"/>
  <c r="Z132" i="6"/>
  <c r="Y132" i="6"/>
  <c r="X132" i="6"/>
  <c r="W132" i="6"/>
  <c r="V132" i="6"/>
  <c r="U132" i="6"/>
  <c r="T132" i="6"/>
  <c r="S132" i="6"/>
  <c r="R132" i="6"/>
  <c r="Q132" i="6"/>
  <c r="P132" i="6"/>
  <c r="O132" i="6"/>
  <c r="N132" i="6"/>
  <c r="M132" i="6"/>
  <c r="L132" i="6"/>
  <c r="K132" i="6"/>
  <c r="J132" i="6"/>
  <c r="H132" i="6"/>
  <c r="G132" i="6"/>
  <c r="F132" i="6"/>
  <c r="E132" i="6"/>
  <c r="D132" i="6"/>
  <c r="C132" i="6"/>
  <c r="B132" i="6"/>
  <c r="A132" i="6"/>
  <c r="AD131" i="6"/>
  <c r="AC131" i="6"/>
  <c r="AB131" i="6"/>
  <c r="AA131" i="6"/>
  <c r="Z131" i="6"/>
  <c r="Y131" i="6"/>
  <c r="X131" i="6"/>
  <c r="W131" i="6"/>
  <c r="V131" i="6"/>
  <c r="U131" i="6"/>
  <c r="T131" i="6"/>
  <c r="S131" i="6"/>
  <c r="R131" i="6"/>
  <c r="Q131" i="6"/>
  <c r="P131" i="6"/>
  <c r="O131" i="6"/>
  <c r="N131" i="6"/>
  <c r="M131" i="6"/>
  <c r="L131" i="6"/>
  <c r="K131" i="6"/>
  <c r="J131" i="6"/>
  <c r="I131" i="6"/>
  <c r="H131" i="6"/>
  <c r="G131" i="6"/>
  <c r="F131" i="6"/>
  <c r="E131" i="6"/>
  <c r="D131" i="6"/>
  <c r="C131" i="6"/>
  <c r="B131" i="6"/>
  <c r="A131" i="6"/>
  <c r="AD130" i="6"/>
  <c r="AC130" i="6"/>
  <c r="AB130" i="6"/>
  <c r="AA130" i="6"/>
  <c r="Z130" i="6"/>
  <c r="Y130" i="6"/>
  <c r="X130" i="6"/>
  <c r="W130" i="6"/>
  <c r="V130" i="6"/>
  <c r="U130" i="6"/>
  <c r="T130" i="6"/>
  <c r="S130" i="6"/>
  <c r="R130" i="6"/>
  <c r="Q130" i="6"/>
  <c r="P130" i="6"/>
  <c r="O130" i="6"/>
  <c r="N130" i="6"/>
  <c r="M130" i="6"/>
  <c r="L130" i="6"/>
  <c r="K130" i="6"/>
  <c r="J130" i="6"/>
  <c r="I130" i="6"/>
  <c r="H130" i="6"/>
  <c r="G130" i="6"/>
  <c r="F130" i="6"/>
  <c r="E130" i="6"/>
  <c r="D130" i="6"/>
  <c r="C130" i="6"/>
  <c r="B130" i="6"/>
  <c r="A130" i="6"/>
  <c r="AC129" i="6"/>
  <c r="AB129" i="6"/>
  <c r="AA129" i="6"/>
  <c r="Z129" i="6"/>
  <c r="Y129" i="6"/>
  <c r="X129" i="6"/>
  <c r="W129" i="6"/>
  <c r="V129" i="6"/>
  <c r="U129" i="6"/>
  <c r="T129" i="6"/>
  <c r="S129" i="6"/>
  <c r="R129" i="6"/>
  <c r="Q129" i="6"/>
  <c r="P129" i="6"/>
  <c r="O129" i="6"/>
  <c r="N129" i="6"/>
  <c r="M129" i="6"/>
  <c r="L129" i="6"/>
  <c r="K129" i="6"/>
  <c r="J129" i="6"/>
  <c r="H129" i="6"/>
  <c r="G129" i="6"/>
  <c r="F129" i="6"/>
  <c r="E129" i="6"/>
  <c r="D129" i="6"/>
  <c r="C129" i="6"/>
  <c r="B129" i="6"/>
  <c r="A129" i="6"/>
  <c r="AD128" i="6"/>
  <c r="AC128" i="6"/>
  <c r="AB128" i="6"/>
  <c r="AA128" i="6"/>
  <c r="Z128" i="6"/>
  <c r="Y128" i="6"/>
  <c r="X128" i="6"/>
  <c r="W128" i="6"/>
  <c r="V128" i="6"/>
  <c r="U128" i="6"/>
  <c r="T128" i="6"/>
  <c r="S128" i="6"/>
  <c r="R128" i="6"/>
  <c r="Q128" i="6"/>
  <c r="P128" i="6"/>
  <c r="O128" i="6"/>
  <c r="N128" i="6"/>
  <c r="M128" i="6"/>
  <c r="L128" i="6"/>
  <c r="K128" i="6"/>
  <c r="J128" i="6"/>
  <c r="I128" i="6"/>
  <c r="H128" i="6"/>
  <c r="G128" i="6"/>
  <c r="F128" i="6"/>
  <c r="E128" i="6"/>
  <c r="D128" i="6"/>
  <c r="C128" i="6"/>
  <c r="B128" i="6"/>
  <c r="A128" i="6"/>
  <c r="AC127" i="6"/>
  <c r="AB127" i="6"/>
  <c r="AA127" i="6"/>
  <c r="Z127" i="6"/>
  <c r="Y127" i="6"/>
  <c r="X127" i="6"/>
  <c r="W127" i="6"/>
  <c r="V127" i="6"/>
  <c r="U127" i="6"/>
  <c r="T127" i="6"/>
  <c r="S127" i="6"/>
  <c r="R127" i="6"/>
  <c r="Q127" i="6"/>
  <c r="P127" i="6"/>
  <c r="O127" i="6"/>
  <c r="N127" i="6"/>
  <c r="M127" i="6"/>
  <c r="L127" i="6"/>
  <c r="K127" i="6"/>
  <c r="J127" i="6"/>
  <c r="H127" i="6"/>
  <c r="G127" i="6"/>
  <c r="F127" i="6"/>
  <c r="E127" i="6"/>
  <c r="D127" i="6"/>
  <c r="C127" i="6"/>
  <c r="B127" i="6"/>
  <c r="A127" i="6"/>
  <c r="AD126" i="6"/>
  <c r="AC126" i="6"/>
  <c r="AB126" i="6"/>
  <c r="AA126" i="6"/>
  <c r="Z126" i="6"/>
  <c r="Y126" i="6"/>
  <c r="X126" i="6"/>
  <c r="W126" i="6"/>
  <c r="V126" i="6"/>
  <c r="U126" i="6"/>
  <c r="T126" i="6"/>
  <c r="S126" i="6"/>
  <c r="R126" i="6"/>
  <c r="Q126" i="6"/>
  <c r="P126" i="6"/>
  <c r="O126" i="6"/>
  <c r="N126" i="6"/>
  <c r="M126" i="6"/>
  <c r="L126" i="6"/>
  <c r="K126" i="6"/>
  <c r="J126" i="6"/>
  <c r="I126" i="6"/>
  <c r="H126" i="6"/>
  <c r="G126" i="6"/>
  <c r="F126" i="6"/>
  <c r="E126" i="6"/>
  <c r="D126" i="6"/>
  <c r="C126" i="6"/>
  <c r="B126" i="6"/>
  <c r="A126" i="6"/>
  <c r="AC125" i="6"/>
  <c r="AB125" i="6"/>
  <c r="AA125" i="6"/>
  <c r="Z125" i="6"/>
  <c r="Y125" i="6"/>
  <c r="X125" i="6"/>
  <c r="W125" i="6"/>
  <c r="V125" i="6"/>
  <c r="U125" i="6"/>
  <c r="T125" i="6"/>
  <c r="S125" i="6"/>
  <c r="R125" i="6"/>
  <c r="Q125" i="6"/>
  <c r="P125" i="6"/>
  <c r="O125" i="6"/>
  <c r="N125" i="6"/>
  <c r="M125" i="6"/>
  <c r="L125" i="6"/>
  <c r="K125" i="6"/>
  <c r="J125" i="6"/>
  <c r="H125" i="6"/>
  <c r="G125" i="6"/>
  <c r="F125" i="6"/>
  <c r="E125" i="6"/>
  <c r="D125" i="6"/>
  <c r="C125" i="6"/>
  <c r="B125" i="6"/>
  <c r="A125" i="6"/>
  <c r="AD124" i="6"/>
  <c r="AC124" i="6"/>
  <c r="AB124" i="6"/>
  <c r="AA124" i="6"/>
  <c r="Z124" i="6"/>
  <c r="Y124" i="6"/>
  <c r="X124" i="6"/>
  <c r="W124" i="6"/>
  <c r="V124" i="6"/>
  <c r="U124" i="6"/>
  <c r="T124" i="6"/>
  <c r="S124" i="6"/>
  <c r="R124" i="6"/>
  <c r="Q124" i="6"/>
  <c r="P124" i="6"/>
  <c r="O124" i="6"/>
  <c r="N124" i="6"/>
  <c r="M124" i="6"/>
  <c r="L124" i="6"/>
  <c r="K124" i="6"/>
  <c r="J124" i="6"/>
  <c r="I124" i="6"/>
  <c r="H124" i="6"/>
  <c r="G124" i="6"/>
  <c r="F124" i="6"/>
  <c r="E124" i="6"/>
  <c r="D124" i="6"/>
  <c r="C124" i="6"/>
  <c r="B124" i="6"/>
  <c r="A124" i="6"/>
  <c r="AD123" i="6"/>
  <c r="AC123" i="6"/>
  <c r="AB123" i="6"/>
  <c r="AA123" i="6"/>
  <c r="Z123" i="6"/>
  <c r="Y123" i="6"/>
  <c r="X123" i="6"/>
  <c r="W123" i="6"/>
  <c r="V123" i="6"/>
  <c r="U123" i="6"/>
  <c r="T123" i="6"/>
  <c r="S123" i="6"/>
  <c r="R123" i="6"/>
  <c r="Q123" i="6"/>
  <c r="P123" i="6"/>
  <c r="O123" i="6"/>
  <c r="N123" i="6"/>
  <c r="M123" i="6"/>
  <c r="L123" i="6"/>
  <c r="K123" i="6"/>
  <c r="J123" i="6"/>
  <c r="I123" i="6"/>
  <c r="H123" i="6"/>
  <c r="G123" i="6"/>
  <c r="F123" i="6"/>
  <c r="E123" i="6"/>
  <c r="D123" i="6"/>
  <c r="C123" i="6"/>
  <c r="B123" i="6"/>
  <c r="A123" i="6"/>
  <c r="AC122" i="6"/>
  <c r="AB122" i="6"/>
  <c r="AA122" i="6"/>
  <c r="Z122" i="6"/>
  <c r="Y122" i="6"/>
  <c r="X122" i="6"/>
  <c r="W122" i="6"/>
  <c r="V122" i="6"/>
  <c r="U122" i="6"/>
  <c r="T122" i="6"/>
  <c r="S122" i="6"/>
  <c r="R122" i="6"/>
  <c r="Q122" i="6"/>
  <c r="P122" i="6"/>
  <c r="O122" i="6"/>
  <c r="N122" i="6"/>
  <c r="M122" i="6"/>
  <c r="L122" i="6"/>
  <c r="K122" i="6"/>
  <c r="J122" i="6"/>
  <c r="H122" i="6"/>
  <c r="G122" i="6"/>
  <c r="F122" i="6"/>
  <c r="E122" i="6"/>
  <c r="D122" i="6"/>
  <c r="C122" i="6"/>
  <c r="B122" i="6"/>
  <c r="A122" i="6"/>
  <c r="AD121" i="6"/>
  <c r="AC121" i="6"/>
  <c r="AB121" i="6"/>
  <c r="AA121" i="6"/>
  <c r="Z121" i="6"/>
  <c r="Y121" i="6"/>
  <c r="X121" i="6"/>
  <c r="W121" i="6"/>
  <c r="V121" i="6"/>
  <c r="U121" i="6"/>
  <c r="T121" i="6"/>
  <c r="S121" i="6"/>
  <c r="R121" i="6"/>
  <c r="Q121" i="6"/>
  <c r="P121" i="6"/>
  <c r="O121" i="6"/>
  <c r="N121" i="6"/>
  <c r="M121" i="6"/>
  <c r="L121" i="6"/>
  <c r="K121" i="6"/>
  <c r="J121" i="6"/>
  <c r="I121" i="6"/>
  <c r="H121" i="6"/>
  <c r="G121" i="6"/>
  <c r="F121" i="6"/>
  <c r="E121" i="6"/>
  <c r="D121" i="6"/>
  <c r="C121" i="6"/>
  <c r="B121" i="6"/>
  <c r="A121" i="6"/>
  <c r="AC120" i="6"/>
  <c r="AB120" i="6"/>
  <c r="AA120" i="6"/>
  <c r="Z120" i="6"/>
  <c r="Y120" i="6"/>
  <c r="X120" i="6"/>
  <c r="W120" i="6"/>
  <c r="V120" i="6"/>
  <c r="U120" i="6"/>
  <c r="T120" i="6"/>
  <c r="S120" i="6"/>
  <c r="R120" i="6"/>
  <c r="Q120" i="6"/>
  <c r="P120" i="6"/>
  <c r="O120" i="6"/>
  <c r="N120" i="6"/>
  <c r="M120" i="6"/>
  <c r="L120" i="6"/>
  <c r="K120" i="6"/>
  <c r="J120" i="6"/>
  <c r="I120" i="6"/>
  <c r="H120" i="6"/>
  <c r="G120" i="6"/>
  <c r="F120" i="6"/>
  <c r="E120" i="6"/>
  <c r="D120" i="6"/>
  <c r="C120" i="6"/>
  <c r="B120" i="6"/>
  <c r="A120" i="6"/>
  <c r="AC119" i="6"/>
  <c r="AB119" i="6"/>
  <c r="AA119" i="6"/>
  <c r="Z119" i="6"/>
  <c r="Y119" i="6"/>
  <c r="X119" i="6"/>
  <c r="W119" i="6"/>
  <c r="V119" i="6"/>
  <c r="U119" i="6"/>
  <c r="T119" i="6"/>
  <c r="S119" i="6"/>
  <c r="R119" i="6"/>
  <c r="Q119" i="6"/>
  <c r="P119" i="6"/>
  <c r="O119" i="6"/>
  <c r="N119" i="6"/>
  <c r="M119" i="6"/>
  <c r="L119" i="6"/>
  <c r="K119" i="6"/>
  <c r="J119" i="6"/>
  <c r="H119" i="6"/>
  <c r="G119" i="6"/>
  <c r="F119" i="6"/>
  <c r="E119" i="6"/>
  <c r="D119" i="6"/>
  <c r="C119" i="6"/>
  <c r="B119" i="6"/>
  <c r="A119" i="6"/>
  <c r="AC118" i="6"/>
  <c r="AB118" i="6"/>
  <c r="AA118" i="6"/>
  <c r="Z118" i="6"/>
  <c r="Y118" i="6"/>
  <c r="X118" i="6"/>
  <c r="W118" i="6"/>
  <c r="V118" i="6"/>
  <c r="U118" i="6"/>
  <c r="T118" i="6"/>
  <c r="S118" i="6"/>
  <c r="R118" i="6"/>
  <c r="Q118" i="6"/>
  <c r="P118" i="6"/>
  <c r="O118" i="6"/>
  <c r="N118" i="6"/>
  <c r="M118" i="6"/>
  <c r="L118" i="6"/>
  <c r="K118" i="6"/>
  <c r="J118" i="6"/>
  <c r="H118" i="6"/>
  <c r="G118" i="6"/>
  <c r="F118" i="6"/>
  <c r="E118" i="6"/>
  <c r="D118" i="6"/>
  <c r="C118" i="6"/>
  <c r="B118" i="6"/>
  <c r="A118" i="6"/>
  <c r="AC117" i="6"/>
  <c r="AB117" i="6"/>
  <c r="AA117" i="6"/>
  <c r="Z117" i="6"/>
  <c r="Y117" i="6"/>
  <c r="X117" i="6"/>
  <c r="W117" i="6"/>
  <c r="V117" i="6"/>
  <c r="U117" i="6"/>
  <c r="T117" i="6"/>
  <c r="S117" i="6"/>
  <c r="R117" i="6"/>
  <c r="Q117" i="6"/>
  <c r="P117" i="6"/>
  <c r="O117" i="6"/>
  <c r="N117" i="6"/>
  <c r="M117" i="6"/>
  <c r="L117" i="6"/>
  <c r="K117" i="6"/>
  <c r="J117" i="6"/>
  <c r="H117" i="6"/>
  <c r="G117" i="6"/>
  <c r="F117" i="6"/>
  <c r="E117" i="6"/>
  <c r="D117" i="6"/>
  <c r="C117" i="6"/>
  <c r="B117" i="6"/>
  <c r="A117" i="6"/>
  <c r="AD116" i="6"/>
  <c r="AC116" i="6"/>
  <c r="AB116" i="6"/>
  <c r="AA116" i="6"/>
  <c r="Z116" i="6"/>
  <c r="Y116" i="6"/>
  <c r="X116" i="6"/>
  <c r="W116" i="6"/>
  <c r="V116" i="6"/>
  <c r="U116" i="6"/>
  <c r="T116" i="6"/>
  <c r="S116" i="6"/>
  <c r="R116" i="6"/>
  <c r="Q116" i="6"/>
  <c r="P116" i="6"/>
  <c r="O116" i="6"/>
  <c r="N116" i="6"/>
  <c r="M116" i="6"/>
  <c r="L116" i="6"/>
  <c r="K116" i="6"/>
  <c r="J116" i="6"/>
  <c r="I116" i="6"/>
  <c r="H116" i="6"/>
  <c r="G116" i="6"/>
  <c r="F116" i="6"/>
  <c r="E116" i="6"/>
  <c r="D116" i="6"/>
  <c r="C116" i="6"/>
  <c r="B116" i="6"/>
  <c r="A116" i="6"/>
  <c r="AC115" i="6"/>
  <c r="AB115" i="6"/>
  <c r="AA115" i="6"/>
  <c r="Z115" i="6"/>
  <c r="Y115" i="6"/>
  <c r="X115" i="6"/>
  <c r="W115" i="6"/>
  <c r="V115" i="6"/>
  <c r="U115" i="6"/>
  <c r="T115" i="6"/>
  <c r="S115" i="6"/>
  <c r="R115" i="6"/>
  <c r="Q115" i="6"/>
  <c r="P115" i="6"/>
  <c r="O115" i="6"/>
  <c r="N115" i="6"/>
  <c r="M115" i="6"/>
  <c r="L115" i="6"/>
  <c r="K115" i="6"/>
  <c r="J115" i="6"/>
  <c r="H115" i="6"/>
  <c r="G115" i="6"/>
  <c r="F115" i="6"/>
  <c r="E115" i="6"/>
  <c r="D115" i="6"/>
  <c r="C115" i="6"/>
  <c r="B115" i="6"/>
  <c r="A115" i="6"/>
  <c r="AC114" i="6"/>
  <c r="AB114" i="6"/>
  <c r="AA114" i="6"/>
  <c r="Z114" i="6"/>
  <c r="Y114" i="6"/>
  <c r="X114" i="6"/>
  <c r="W114" i="6"/>
  <c r="V114" i="6"/>
  <c r="U114" i="6"/>
  <c r="T114" i="6"/>
  <c r="S114" i="6"/>
  <c r="R114" i="6"/>
  <c r="Q114" i="6"/>
  <c r="P114" i="6"/>
  <c r="O114" i="6"/>
  <c r="N114" i="6"/>
  <c r="M114" i="6"/>
  <c r="L114" i="6"/>
  <c r="K114" i="6"/>
  <c r="J114" i="6"/>
  <c r="H114" i="6"/>
  <c r="G114" i="6"/>
  <c r="F114" i="6"/>
  <c r="E114" i="6"/>
  <c r="D114" i="6"/>
  <c r="C114" i="6"/>
  <c r="B114" i="6"/>
  <c r="A114" i="6"/>
  <c r="AC113" i="6"/>
  <c r="AB113" i="6"/>
  <c r="AA113" i="6"/>
  <c r="Z113" i="6"/>
  <c r="Y113" i="6"/>
  <c r="X113" i="6"/>
  <c r="W113" i="6"/>
  <c r="V113" i="6"/>
  <c r="U113" i="6"/>
  <c r="T113" i="6"/>
  <c r="S113" i="6"/>
  <c r="R113" i="6"/>
  <c r="Q113" i="6"/>
  <c r="P113" i="6"/>
  <c r="O113" i="6"/>
  <c r="N113" i="6"/>
  <c r="M113" i="6"/>
  <c r="L113" i="6"/>
  <c r="K113" i="6"/>
  <c r="J113" i="6"/>
  <c r="H113" i="6"/>
  <c r="G113" i="6"/>
  <c r="F113" i="6"/>
  <c r="E113" i="6"/>
  <c r="D113" i="6"/>
  <c r="C113" i="6"/>
  <c r="B113" i="6"/>
  <c r="A113" i="6"/>
  <c r="AC112" i="6"/>
  <c r="AB112" i="6"/>
  <c r="AA112" i="6"/>
  <c r="Z112" i="6"/>
  <c r="Y112" i="6"/>
  <c r="X112" i="6"/>
  <c r="W112" i="6"/>
  <c r="V112" i="6"/>
  <c r="U112" i="6"/>
  <c r="T112" i="6"/>
  <c r="S112" i="6"/>
  <c r="R112" i="6"/>
  <c r="Q112" i="6"/>
  <c r="P112" i="6"/>
  <c r="O112" i="6"/>
  <c r="N112" i="6"/>
  <c r="M112" i="6"/>
  <c r="L112" i="6"/>
  <c r="K112" i="6"/>
  <c r="J112" i="6"/>
  <c r="H112" i="6"/>
  <c r="G112" i="6"/>
  <c r="F112" i="6"/>
  <c r="E112" i="6"/>
  <c r="D112" i="6"/>
  <c r="C112" i="6"/>
  <c r="B112" i="6"/>
  <c r="A112" i="6"/>
  <c r="AC111" i="6"/>
  <c r="AB111" i="6"/>
  <c r="AA111" i="6"/>
  <c r="Z111" i="6"/>
  <c r="Y111" i="6"/>
  <c r="X111" i="6"/>
  <c r="W111" i="6"/>
  <c r="V111" i="6"/>
  <c r="U111" i="6"/>
  <c r="T111" i="6"/>
  <c r="S111" i="6"/>
  <c r="R111" i="6"/>
  <c r="Q111" i="6"/>
  <c r="P111" i="6"/>
  <c r="O111" i="6"/>
  <c r="N111" i="6"/>
  <c r="M111" i="6"/>
  <c r="L111" i="6"/>
  <c r="K111" i="6"/>
  <c r="J111" i="6"/>
  <c r="I111" i="6"/>
  <c r="H111" i="6"/>
  <c r="G111" i="6"/>
  <c r="F111" i="6"/>
  <c r="E111" i="6"/>
  <c r="D111" i="6"/>
  <c r="C111" i="6"/>
  <c r="B111" i="6"/>
  <c r="A111" i="6"/>
  <c r="AC110" i="6"/>
  <c r="AB110" i="6"/>
  <c r="AA110" i="6"/>
  <c r="Z110" i="6"/>
  <c r="Y110" i="6"/>
  <c r="X110" i="6"/>
  <c r="W110" i="6"/>
  <c r="V110" i="6"/>
  <c r="U110" i="6"/>
  <c r="T110" i="6"/>
  <c r="S110" i="6"/>
  <c r="R110" i="6"/>
  <c r="Q110" i="6"/>
  <c r="P110" i="6"/>
  <c r="O110" i="6"/>
  <c r="N110" i="6"/>
  <c r="M110" i="6"/>
  <c r="L110" i="6"/>
  <c r="K110" i="6"/>
  <c r="J110" i="6"/>
  <c r="H110" i="6"/>
  <c r="G110" i="6"/>
  <c r="F110" i="6"/>
  <c r="E110" i="6"/>
  <c r="D110" i="6"/>
  <c r="C110" i="6"/>
  <c r="B110" i="6"/>
  <c r="A110" i="6"/>
  <c r="AC109" i="6"/>
  <c r="AB109" i="6"/>
  <c r="AA109" i="6"/>
  <c r="Z109" i="6"/>
  <c r="Y109" i="6"/>
  <c r="X109" i="6"/>
  <c r="W109" i="6"/>
  <c r="V109" i="6"/>
  <c r="U109" i="6"/>
  <c r="T109" i="6"/>
  <c r="S109" i="6"/>
  <c r="R109" i="6"/>
  <c r="Q109" i="6"/>
  <c r="P109" i="6"/>
  <c r="O109" i="6"/>
  <c r="N109" i="6"/>
  <c r="M109" i="6"/>
  <c r="L109" i="6"/>
  <c r="K109" i="6"/>
  <c r="J109" i="6"/>
  <c r="H109" i="6"/>
  <c r="G109" i="6"/>
  <c r="F109" i="6"/>
  <c r="E109" i="6"/>
  <c r="D109" i="6"/>
  <c r="C109" i="6"/>
  <c r="B109" i="6"/>
  <c r="A109" i="6"/>
  <c r="AC108" i="6"/>
  <c r="AB108" i="6"/>
  <c r="AA108" i="6"/>
  <c r="Z108" i="6"/>
  <c r="Y108" i="6"/>
  <c r="X108" i="6"/>
  <c r="W108" i="6"/>
  <c r="V108" i="6"/>
  <c r="U108" i="6"/>
  <c r="T108" i="6"/>
  <c r="S108" i="6"/>
  <c r="R108" i="6"/>
  <c r="Q108" i="6"/>
  <c r="P108" i="6"/>
  <c r="O108" i="6"/>
  <c r="N108" i="6"/>
  <c r="M108" i="6"/>
  <c r="L108" i="6"/>
  <c r="K108" i="6"/>
  <c r="J108" i="6"/>
  <c r="I108" i="6"/>
  <c r="H108" i="6"/>
  <c r="G108" i="6"/>
  <c r="F108" i="6"/>
  <c r="E108" i="6"/>
  <c r="D108" i="6"/>
  <c r="C108" i="6"/>
  <c r="B108" i="6"/>
  <c r="A108" i="6"/>
  <c r="AC107" i="6"/>
  <c r="AB107" i="6"/>
  <c r="AA107" i="6"/>
  <c r="Z107" i="6"/>
  <c r="Y107" i="6"/>
  <c r="X107" i="6"/>
  <c r="W107" i="6"/>
  <c r="V107" i="6"/>
  <c r="U107" i="6"/>
  <c r="T107" i="6"/>
  <c r="S107" i="6"/>
  <c r="R107" i="6"/>
  <c r="Q107" i="6"/>
  <c r="P107" i="6"/>
  <c r="O107" i="6"/>
  <c r="N107" i="6"/>
  <c r="M107" i="6"/>
  <c r="L107" i="6"/>
  <c r="K107" i="6"/>
  <c r="J107" i="6"/>
  <c r="H107" i="6"/>
  <c r="G107" i="6"/>
  <c r="F107" i="6"/>
  <c r="E107" i="6"/>
  <c r="D107" i="6"/>
  <c r="C107" i="6"/>
  <c r="B107" i="6"/>
  <c r="A107" i="6"/>
  <c r="AC106" i="6"/>
  <c r="AB106" i="6"/>
  <c r="AA106" i="6"/>
  <c r="Z106" i="6"/>
  <c r="Y106" i="6"/>
  <c r="X106" i="6"/>
  <c r="W106" i="6"/>
  <c r="V106" i="6"/>
  <c r="U106" i="6"/>
  <c r="T106" i="6"/>
  <c r="S106" i="6"/>
  <c r="R106" i="6"/>
  <c r="Q106" i="6"/>
  <c r="P106" i="6"/>
  <c r="O106" i="6"/>
  <c r="N106" i="6"/>
  <c r="M106" i="6"/>
  <c r="L106" i="6"/>
  <c r="K106" i="6"/>
  <c r="J106" i="6"/>
  <c r="H106" i="6"/>
  <c r="G106" i="6"/>
  <c r="F106" i="6"/>
  <c r="E106" i="6"/>
  <c r="D106" i="6"/>
  <c r="C106" i="6"/>
  <c r="B106" i="6"/>
  <c r="A106" i="6"/>
  <c r="AC105" i="6"/>
  <c r="AB105" i="6"/>
  <c r="AA105" i="6"/>
  <c r="Z105" i="6"/>
  <c r="Y105" i="6"/>
  <c r="X105" i="6"/>
  <c r="W105" i="6"/>
  <c r="V105" i="6"/>
  <c r="U105" i="6"/>
  <c r="T105" i="6"/>
  <c r="S105" i="6"/>
  <c r="R105" i="6"/>
  <c r="Q105" i="6"/>
  <c r="P105" i="6"/>
  <c r="O105" i="6"/>
  <c r="N105" i="6"/>
  <c r="M105" i="6"/>
  <c r="L105" i="6"/>
  <c r="K105" i="6"/>
  <c r="J105" i="6"/>
  <c r="H105" i="6"/>
  <c r="G105" i="6"/>
  <c r="F105" i="6"/>
  <c r="E105" i="6"/>
  <c r="D105" i="6"/>
  <c r="C105" i="6"/>
  <c r="B105" i="6"/>
  <c r="A105" i="6"/>
  <c r="AC104" i="6"/>
  <c r="AB104" i="6"/>
  <c r="AA104" i="6"/>
  <c r="Z104" i="6"/>
  <c r="Y104" i="6"/>
  <c r="X104" i="6"/>
  <c r="W104" i="6"/>
  <c r="V104" i="6"/>
  <c r="U104" i="6"/>
  <c r="T104" i="6"/>
  <c r="S104" i="6"/>
  <c r="R104" i="6"/>
  <c r="Q104" i="6"/>
  <c r="P104" i="6"/>
  <c r="O104" i="6"/>
  <c r="N104" i="6"/>
  <c r="M104" i="6"/>
  <c r="L104" i="6"/>
  <c r="K104" i="6"/>
  <c r="J104" i="6"/>
  <c r="I104" i="6"/>
  <c r="H104" i="6"/>
  <c r="G104" i="6"/>
  <c r="F104" i="6"/>
  <c r="E104" i="6"/>
  <c r="D104" i="6"/>
  <c r="C104" i="6"/>
  <c r="B104" i="6"/>
  <c r="A104" i="6"/>
  <c r="AD103" i="6"/>
  <c r="AC103" i="6"/>
  <c r="AB103" i="6"/>
  <c r="AA103" i="6"/>
  <c r="Z103" i="6"/>
  <c r="Y103" i="6"/>
  <c r="X103" i="6"/>
  <c r="W103" i="6"/>
  <c r="V103" i="6"/>
  <c r="U103" i="6"/>
  <c r="T103" i="6"/>
  <c r="S103" i="6"/>
  <c r="R103" i="6"/>
  <c r="Q103" i="6"/>
  <c r="P103" i="6"/>
  <c r="O103" i="6"/>
  <c r="N103" i="6"/>
  <c r="M103" i="6"/>
  <c r="L103" i="6"/>
  <c r="K103" i="6"/>
  <c r="J103" i="6"/>
  <c r="I103" i="6"/>
  <c r="H103" i="6"/>
  <c r="G103" i="6"/>
  <c r="F103" i="6"/>
  <c r="E103" i="6"/>
  <c r="D103" i="6"/>
  <c r="C103" i="6"/>
  <c r="B103" i="6"/>
  <c r="A103" i="6"/>
  <c r="AC102" i="6"/>
  <c r="AB102" i="6"/>
  <c r="AA102" i="6"/>
  <c r="Z102" i="6"/>
  <c r="Y102" i="6"/>
  <c r="X102" i="6"/>
  <c r="W102" i="6"/>
  <c r="V102" i="6"/>
  <c r="U102" i="6"/>
  <c r="T102" i="6"/>
  <c r="S102" i="6"/>
  <c r="R102" i="6"/>
  <c r="Q102" i="6"/>
  <c r="P102" i="6"/>
  <c r="O102" i="6"/>
  <c r="N102" i="6"/>
  <c r="M102" i="6"/>
  <c r="L102" i="6"/>
  <c r="K102" i="6"/>
  <c r="J102" i="6"/>
  <c r="H102" i="6"/>
  <c r="G102" i="6"/>
  <c r="F102" i="6"/>
  <c r="E102" i="6"/>
  <c r="D102" i="6"/>
  <c r="C102" i="6"/>
  <c r="B102" i="6"/>
  <c r="A102" i="6"/>
  <c r="AC101" i="6"/>
  <c r="AB101" i="6"/>
  <c r="AA101" i="6"/>
  <c r="Z101" i="6"/>
  <c r="Y101" i="6"/>
  <c r="X101" i="6"/>
  <c r="W101" i="6"/>
  <c r="V101" i="6"/>
  <c r="U101" i="6"/>
  <c r="T101" i="6"/>
  <c r="S101" i="6"/>
  <c r="R101" i="6"/>
  <c r="Q101" i="6"/>
  <c r="P101" i="6"/>
  <c r="O101" i="6"/>
  <c r="N101" i="6"/>
  <c r="M101" i="6"/>
  <c r="L101" i="6"/>
  <c r="K101" i="6"/>
  <c r="J101" i="6"/>
  <c r="H101" i="6"/>
  <c r="G101" i="6"/>
  <c r="F101" i="6"/>
  <c r="E101" i="6"/>
  <c r="D101" i="6"/>
  <c r="C101" i="6"/>
  <c r="B101" i="6"/>
  <c r="A101" i="6"/>
  <c r="AC100" i="6"/>
  <c r="AB100" i="6"/>
  <c r="AA100" i="6"/>
  <c r="Z100" i="6"/>
  <c r="Y100" i="6"/>
  <c r="X100" i="6"/>
  <c r="W100" i="6"/>
  <c r="V100" i="6"/>
  <c r="U100" i="6"/>
  <c r="T100" i="6"/>
  <c r="S100" i="6"/>
  <c r="R100" i="6"/>
  <c r="Q100" i="6"/>
  <c r="P100" i="6"/>
  <c r="O100" i="6"/>
  <c r="N100" i="6"/>
  <c r="M100" i="6"/>
  <c r="L100" i="6"/>
  <c r="K100" i="6"/>
  <c r="J100" i="6"/>
  <c r="H100" i="6"/>
  <c r="G100" i="6"/>
  <c r="F100" i="6"/>
  <c r="E100" i="6"/>
  <c r="D100" i="6"/>
  <c r="C100" i="6"/>
  <c r="B100" i="6"/>
  <c r="A100" i="6"/>
  <c r="AC99" i="6"/>
  <c r="AB99" i="6"/>
  <c r="AA99" i="6"/>
  <c r="Z99" i="6"/>
  <c r="Y99" i="6"/>
  <c r="X99" i="6"/>
  <c r="W99" i="6"/>
  <c r="V99" i="6"/>
  <c r="U99" i="6"/>
  <c r="T99" i="6"/>
  <c r="S99" i="6"/>
  <c r="R99" i="6"/>
  <c r="Q99" i="6"/>
  <c r="P99" i="6"/>
  <c r="O99" i="6"/>
  <c r="N99" i="6"/>
  <c r="M99" i="6"/>
  <c r="L99" i="6"/>
  <c r="K99" i="6"/>
  <c r="J99" i="6"/>
  <c r="H99" i="6"/>
  <c r="G99" i="6"/>
  <c r="F99" i="6"/>
  <c r="E99" i="6"/>
  <c r="D99" i="6"/>
  <c r="C99" i="6"/>
  <c r="B99" i="6"/>
  <c r="A99" i="6"/>
  <c r="AC98" i="6"/>
  <c r="AB98" i="6"/>
  <c r="AA98" i="6"/>
  <c r="Z98" i="6"/>
  <c r="Y98" i="6"/>
  <c r="X98" i="6"/>
  <c r="W98" i="6"/>
  <c r="V98" i="6"/>
  <c r="U98" i="6"/>
  <c r="T98" i="6"/>
  <c r="S98" i="6"/>
  <c r="R98" i="6"/>
  <c r="Q98" i="6"/>
  <c r="P98" i="6"/>
  <c r="O98" i="6"/>
  <c r="N98" i="6"/>
  <c r="M98" i="6"/>
  <c r="L98" i="6"/>
  <c r="K98" i="6"/>
  <c r="J98" i="6"/>
  <c r="H98" i="6"/>
  <c r="G98" i="6"/>
  <c r="F98" i="6"/>
  <c r="E98" i="6"/>
  <c r="D98" i="6"/>
  <c r="C98" i="6"/>
  <c r="B98" i="6"/>
  <c r="A98" i="6"/>
  <c r="AC97" i="6"/>
  <c r="AB97" i="6"/>
  <c r="AA97" i="6"/>
  <c r="Z97" i="6"/>
  <c r="Y97" i="6"/>
  <c r="X97" i="6"/>
  <c r="W97" i="6"/>
  <c r="V97" i="6"/>
  <c r="U97" i="6"/>
  <c r="T97" i="6"/>
  <c r="S97" i="6"/>
  <c r="R97" i="6"/>
  <c r="Q97" i="6"/>
  <c r="P97" i="6"/>
  <c r="O97" i="6"/>
  <c r="N97" i="6"/>
  <c r="M97" i="6"/>
  <c r="L97" i="6"/>
  <c r="K97" i="6"/>
  <c r="J97" i="6"/>
  <c r="H97" i="6"/>
  <c r="G97" i="6"/>
  <c r="F97" i="6"/>
  <c r="E97" i="6"/>
  <c r="D97" i="6"/>
  <c r="C97" i="6"/>
  <c r="B97" i="6"/>
  <c r="A97" i="6"/>
  <c r="AC96" i="6"/>
  <c r="AB96" i="6"/>
  <c r="AA96" i="6"/>
  <c r="Z96" i="6"/>
  <c r="Y96" i="6"/>
  <c r="X96" i="6"/>
  <c r="W96" i="6"/>
  <c r="V96" i="6"/>
  <c r="U96" i="6"/>
  <c r="T96" i="6"/>
  <c r="S96" i="6"/>
  <c r="R96" i="6"/>
  <c r="Q96" i="6"/>
  <c r="P96" i="6"/>
  <c r="O96" i="6"/>
  <c r="N96" i="6"/>
  <c r="M96" i="6"/>
  <c r="L96" i="6"/>
  <c r="K96" i="6"/>
  <c r="J96" i="6"/>
  <c r="H96" i="6"/>
  <c r="G96" i="6"/>
  <c r="F96" i="6"/>
  <c r="E96" i="6"/>
  <c r="D96" i="6"/>
  <c r="C96" i="6"/>
  <c r="B96" i="6"/>
  <c r="A96" i="6"/>
  <c r="AD95" i="6"/>
  <c r="AC95" i="6"/>
  <c r="AB95" i="6"/>
  <c r="AA95" i="6"/>
  <c r="Z95" i="6"/>
  <c r="Y95" i="6"/>
  <c r="X95" i="6"/>
  <c r="W95" i="6"/>
  <c r="V95" i="6"/>
  <c r="U95" i="6"/>
  <c r="T95" i="6"/>
  <c r="S95" i="6"/>
  <c r="R95" i="6"/>
  <c r="Q95" i="6"/>
  <c r="P95" i="6"/>
  <c r="O95" i="6"/>
  <c r="N95" i="6"/>
  <c r="M95" i="6"/>
  <c r="L95" i="6"/>
  <c r="K95" i="6"/>
  <c r="J95" i="6"/>
  <c r="I95" i="6"/>
  <c r="H95" i="6"/>
  <c r="G95" i="6"/>
  <c r="F95" i="6"/>
  <c r="E95" i="6"/>
  <c r="D95" i="6"/>
  <c r="C95" i="6"/>
  <c r="B95" i="6"/>
  <c r="A95" i="6"/>
  <c r="AC94" i="6"/>
  <c r="AB94" i="6"/>
  <c r="AA94" i="6"/>
  <c r="Z94" i="6"/>
  <c r="Y94" i="6"/>
  <c r="X94" i="6"/>
  <c r="W94" i="6"/>
  <c r="V94" i="6"/>
  <c r="U94" i="6"/>
  <c r="T94" i="6"/>
  <c r="S94" i="6"/>
  <c r="R94" i="6"/>
  <c r="Q94" i="6"/>
  <c r="P94" i="6"/>
  <c r="O94" i="6"/>
  <c r="N94" i="6"/>
  <c r="M94" i="6"/>
  <c r="L94" i="6"/>
  <c r="K94" i="6"/>
  <c r="J94" i="6"/>
  <c r="H94" i="6"/>
  <c r="G94" i="6"/>
  <c r="F94" i="6"/>
  <c r="E94" i="6"/>
  <c r="D94" i="6"/>
  <c r="C94" i="6"/>
  <c r="B94" i="6"/>
  <c r="A94" i="6"/>
  <c r="AC93" i="6"/>
  <c r="AB93" i="6"/>
  <c r="AA93" i="6"/>
  <c r="Z93" i="6"/>
  <c r="Y93" i="6"/>
  <c r="X93" i="6"/>
  <c r="W93" i="6"/>
  <c r="V93" i="6"/>
  <c r="U93" i="6"/>
  <c r="T93" i="6"/>
  <c r="S93" i="6"/>
  <c r="R93" i="6"/>
  <c r="Q93" i="6"/>
  <c r="P93" i="6"/>
  <c r="O93" i="6"/>
  <c r="N93" i="6"/>
  <c r="M93" i="6"/>
  <c r="L93" i="6"/>
  <c r="K93" i="6"/>
  <c r="J93" i="6"/>
  <c r="H93" i="6"/>
  <c r="G93" i="6"/>
  <c r="F93" i="6"/>
  <c r="E93" i="6"/>
  <c r="D93" i="6"/>
  <c r="C93" i="6"/>
  <c r="B93" i="6"/>
  <c r="A93" i="6"/>
  <c r="AC92" i="6"/>
  <c r="AB92" i="6"/>
  <c r="AA92" i="6"/>
  <c r="Z92" i="6"/>
  <c r="Y92" i="6"/>
  <c r="X92" i="6"/>
  <c r="W92" i="6"/>
  <c r="V92" i="6"/>
  <c r="U92" i="6"/>
  <c r="T92" i="6"/>
  <c r="S92" i="6"/>
  <c r="R92" i="6"/>
  <c r="Q92" i="6"/>
  <c r="P92" i="6"/>
  <c r="O92" i="6"/>
  <c r="N92" i="6"/>
  <c r="M92" i="6"/>
  <c r="L92" i="6"/>
  <c r="K92" i="6"/>
  <c r="J92" i="6"/>
  <c r="H92" i="6"/>
  <c r="G92" i="6"/>
  <c r="F92" i="6"/>
  <c r="E92" i="6"/>
  <c r="D92" i="6"/>
  <c r="C92" i="6"/>
  <c r="B92" i="6"/>
  <c r="A92" i="6"/>
  <c r="AC91" i="6"/>
  <c r="AB91" i="6"/>
  <c r="AA91" i="6"/>
  <c r="Z91" i="6"/>
  <c r="Y91" i="6"/>
  <c r="X91" i="6"/>
  <c r="W91" i="6"/>
  <c r="V91" i="6"/>
  <c r="U91" i="6"/>
  <c r="T91" i="6"/>
  <c r="S91" i="6"/>
  <c r="R91" i="6"/>
  <c r="Q91" i="6"/>
  <c r="P91" i="6"/>
  <c r="O91" i="6"/>
  <c r="N91" i="6"/>
  <c r="M91" i="6"/>
  <c r="L91" i="6"/>
  <c r="K91" i="6"/>
  <c r="J91" i="6"/>
  <c r="H91" i="6"/>
  <c r="G91" i="6"/>
  <c r="F91" i="6"/>
  <c r="E91" i="6"/>
  <c r="D91" i="6"/>
  <c r="C91" i="6"/>
  <c r="B91" i="6"/>
  <c r="A91" i="6"/>
  <c r="AC90" i="6"/>
  <c r="AB90" i="6"/>
  <c r="AA90" i="6"/>
  <c r="Z90" i="6"/>
  <c r="Y90" i="6"/>
  <c r="X90" i="6"/>
  <c r="W90" i="6"/>
  <c r="V90" i="6"/>
  <c r="U90" i="6"/>
  <c r="T90" i="6"/>
  <c r="S90" i="6"/>
  <c r="R90" i="6"/>
  <c r="Q90" i="6"/>
  <c r="P90" i="6"/>
  <c r="O90" i="6"/>
  <c r="N90" i="6"/>
  <c r="M90" i="6"/>
  <c r="L90" i="6"/>
  <c r="K90" i="6"/>
  <c r="J90" i="6"/>
  <c r="H90" i="6"/>
  <c r="G90" i="6"/>
  <c r="F90" i="6"/>
  <c r="E90" i="6"/>
  <c r="D90" i="6"/>
  <c r="C90" i="6"/>
  <c r="B90" i="6"/>
  <c r="A90" i="6"/>
  <c r="AC89" i="6"/>
  <c r="AB89" i="6"/>
  <c r="AA89" i="6"/>
  <c r="Z89" i="6"/>
  <c r="Y89" i="6"/>
  <c r="X89" i="6"/>
  <c r="W89" i="6"/>
  <c r="V89" i="6"/>
  <c r="U89" i="6"/>
  <c r="T89" i="6"/>
  <c r="S89" i="6"/>
  <c r="R89" i="6"/>
  <c r="Q89" i="6"/>
  <c r="P89" i="6"/>
  <c r="O89" i="6"/>
  <c r="N89" i="6"/>
  <c r="M89" i="6"/>
  <c r="L89" i="6"/>
  <c r="K89" i="6"/>
  <c r="J89" i="6"/>
  <c r="H89" i="6"/>
  <c r="G89" i="6"/>
  <c r="F89" i="6"/>
  <c r="E89" i="6"/>
  <c r="D89" i="6"/>
  <c r="C89" i="6"/>
  <c r="B89" i="6"/>
  <c r="A89" i="6"/>
  <c r="AC88" i="6"/>
  <c r="AB88" i="6"/>
  <c r="AA88" i="6"/>
  <c r="Z88" i="6"/>
  <c r="Y88" i="6"/>
  <c r="X88" i="6"/>
  <c r="W88" i="6"/>
  <c r="V88" i="6"/>
  <c r="U88" i="6"/>
  <c r="T88" i="6"/>
  <c r="S88" i="6"/>
  <c r="R88" i="6"/>
  <c r="Q88" i="6"/>
  <c r="P88" i="6"/>
  <c r="O88" i="6"/>
  <c r="N88" i="6"/>
  <c r="M88" i="6"/>
  <c r="L88" i="6"/>
  <c r="K88" i="6"/>
  <c r="J88" i="6"/>
  <c r="I88" i="6"/>
  <c r="H88" i="6"/>
  <c r="G88" i="6"/>
  <c r="F88" i="6"/>
  <c r="E88" i="6"/>
  <c r="D88" i="6"/>
  <c r="C88" i="6"/>
  <c r="B88" i="6"/>
  <c r="A88" i="6"/>
  <c r="AC87" i="6"/>
  <c r="AB87" i="6"/>
  <c r="AA87" i="6"/>
  <c r="Z87" i="6"/>
  <c r="Y87" i="6"/>
  <c r="X87" i="6"/>
  <c r="W87" i="6"/>
  <c r="V87" i="6"/>
  <c r="U87" i="6"/>
  <c r="T87" i="6"/>
  <c r="S87" i="6"/>
  <c r="R87" i="6"/>
  <c r="Q87" i="6"/>
  <c r="P87" i="6"/>
  <c r="O87" i="6"/>
  <c r="N87" i="6"/>
  <c r="M87" i="6"/>
  <c r="L87" i="6"/>
  <c r="K87" i="6"/>
  <c r="J87" i="6"/>
  <c r="H87" i="6"/>
  <c r="G87" i="6"/>
  <c r="F87" i="6"/>
  <c r="E87" i="6"/>
  <c r="D87" i="6"/>
  <c r="C87" i="6"/>
  <c r="B87" i="6"/>
  <c r="A87" i="6"/>
  <c r="AD86" i="6"/>
  <c r="AC86" i="6"/>
  <c r="AB86" i="6"/>
  <c r="AA86" i="6"/>
  <c r="Z86" i="6"/>
  <c r="Y86" i="6"/>
  <c r="X86" i="6"/>
  <c r="W86" i="6"/>
  <c r="V86" i="6"/>
  <c r="U86" i="6"/>
  <c r="T86" i="6"/>
  <c r="S86" i="6"/>
  <c r="R86" i="6"/>
  <c r="Q86" i="6"/>
  <c r="P86" i="6"/>
  <c r="O86" i="6"/>
  <c r="N86" i="6"/>
  <c r="M86" i="6"/>
  <c r="L86" i="6"/>
  <c r="K86" i="6"/>
  <c r="J86" i="6"/>
  <c r="H86" i="6"/>
  <c r="G86" i="6"/>
  <c r="F86" i="6"/>
  <c r="E86" i="6"/>
  <c r="D86" i="6"/>
  <c r="C86" i="6"/>
  <c r="B86" i="6"/>
  <c r="A86" i="6"/>
  <c r="AC85" i="6"/>
  <c r="AB85" i="6"/>
  <c r="AA85" i="6"/>
  <c r="Z85" i="6"/>
  <c r="Y85" i="6"/>
  <c r="X85" i="6"/>
  <c r="W85" i="6"/>
  <c r="V85" i="6"/>
  <c r="U85" i="6"/>
  <c r="T85" i="6"/>
  <c r="S85" i="6"/>
  <c r="R85" i="6"/>
  <c r="Q85" i="6"/>
  <c r="P85" i="6"/>
  <c r="O85" i="6"/>
  <c r="N85" i="6"/>
  <c r="M85" i="6"/>
  <c r="L85" i="6"/>
  <c r="K85" i="6"/>
  <c r="J85" i="6"/>
  <c r="H85" i="6"/>
  <c r="G85" i="6"/>
  <c r="F85" i="6"/>
  <c r="E85" i="6"/>
  <c r="D85" i="6"/>
  <c r="C85" i="6"/>
  <c r="B85" i="6"/>
  <c r="A85" i="6"/>
  <c r="AC84" i="6"/>
  <c r="AB84" i="6"/>
  <c r="AA84" i="6"/>
  <c r="Z84" i="6"/>
  <c r="Y84" i="6"/>
  <c r="X84" i="6"/>
  <c r="W84" i="6"/>
  <c r="V84" i="6"/>
  <c r="U84" i="6"/>
  <c r="T84" i="6"/>
  <c r="S84" i="6"/>
  <c r="R84" i="6"/>
  <c r="Q84" i="6"/>
  <c r="P84" i="6"/>
  <c r="O84" i="6"/>
  <c r="N84" i="6"/>
  <c r="M84" i="6"/>
  <c r="L84" i="6"/>
  <c r="K84" i="6"/>
  <c r="J84" i="6"/>
  <c r="H84" i="6"/>
  <c r="G84" i="6"/>
  <c r="F84" i="6"/>
  <c r="E84" i="6"/>
  <c r="D84" i="6"/>
  <c r="C84" i="6"/>
  <c r="B84" i="6"/>
  <c r="A84" i="6"/>
  <c r="AD83" i="6"/>
  <c r="AC83" i="6"/>
  <c r="AB83" i="6"/>
  <c r="AA83" i="6"/>
  <c r="Z83" i="6"/>
  <c r="Y83" i="6"/>
  <c r="X83" i="6"/>
  <c r="W83" i="6"/>
  <c r="V83" i="6"/>
  <c r="U83" i="6"/>
  <c r="T83" i="6"/>
  <c r="S83" i="6"/>
  <c r="R83" i="6"/>
  <c r="Q83" i="6"/>
  <c r="P83" i="6"/>
  <c r="O83" i="6"/>
  <c r="N83" i="6"/>
  <c r="M83" i="6"/>
  <c r="L83" i="6"/>
  <c r="K83" i="6"/>
  <c r="J83" i="6"/>
  <c r="I83" i="6"/>
  <c r="H83" i="6"/>
  <c r="G83" i="6"/>
  <c r="F83" i="6"/>
  <c r="E83" i="6"/>
  <c r="D83" i="6"/>
  <c r="C83" i="6"/>
  <c r="B83" i="6"/>
  <c r="A83" i="6"/>
  <c r="AC82" i="6"/>
  <c r="AB82" i="6"/>
  <c r="AA82" i="6"/>
  <c r="Z82" i="6"/>
  <c r="Y82" i="6"/>
  <c r="X82" i="6"/>
  <c r="W82" i="6"/>
  <c r="V82" i="6"/>
  <c r="U82" i="6"/>
  <c r="T82" i="6"/>
  <c r="S82" i="6"/>
  <c r="R82" i="6"/>
  <c r="Q82" i="6"/>
  <c r="P82" i="6"/>
  <c r="O82" i="6"/>
  <c r="N82" i="6"/>
  <c r="M82" i="6"/>
  <c r="L82" i="6"/>
  <c r="K82" i="6"/>
  <c r="J82" i="6"/>
  <c r="I82" i="6"/>
  <c r="H82" i="6"/>
  <c r="G82" i="6"/>
  <c r="F82" i="6"/>
  <c r="E82" i="6"/>
  <c r="D82" i="6"/>
  <c r="C82" i="6"/>
  <c r="B82" i="6"/>
  <c r="A82" i="6"/>
  <c r="AC81" i="6"/>
  <c r="AB81" i="6"/>
  <c r="AA81" i="6"/>
  <c r="Z81" i="6"/>
  <c r="Y81" i="6"/>
  <c r="X81" i="6"/>
  <c r="W81" i="6"/>
  <c r="V81" i="6"/>
  <c r="U81" i="6"/>
  <c r="T81" i="6"/>
  <c r="S81" i="6"/>
  <c r="R81" i="6"/>
  <c r="Q81" i="6"/>
  <c r="P81" i="6"/>
  <c r="O81" i="6"/>
  <c r="N81" i="6"/>
  <c r="M81" i="6"/>
  <c r="L81" i="6"/>
  <c r="K81" i="6"/>
  <c r="J81" i="6"/>
  <c r="I81" i="6"/>
  <c r="H81" i="6"/>
  <c r="G81" i="6"/>
  <c r="F81" i="6"/>
  <c r="E81" i="6"/>
  <c r="D81" i="6"/>
  <c r="C81" i="6"/>
  <c r="B81" i="6"/>
  <c r="A81" i="6"/>
  <c r="AC80" i="6"/>
  <c r="AB80" i="6"/>
  <c r="AA80" i="6"/>
  <c r="Z80" i="6"/>
  <c r="Y80" i="6"/>
  <c r="X80" i="6"/>
  <c r="W80" i="6"/>
  <c r="V80" i="6"/>
  <c r="U80" i="6"/>
  <c r="T80" i="6"/>
  <c r="S80" i="6"/>
  <c r="R80" i="6"/>
  <c r="Q80" i="6"/>
  <c r="P80" i="6"/>
  <c r="O80" i="6"/>
  <c r="N80" i="6"/>
  <c r="M80" i="6"/>
  <c r="L80" i="6"/>
  <c r="K80" i="6"/>
  <c r="J80" i="6"/>
  <c r="H80" i="6"/>
  <c r="G80" i="6"/>
  <c r="F80" i="6"/>
  <c r="E80" i="6"/>
  <c r="D80" i="6"/>
  <c r="C80" i="6"/>
  <c r="B80" i="6"/>
  <c r="A80" i="6"/>
  <c r="AD79" i="6"/>
  <c r="AC79" i="6"/>
  <c r="AB79" i="6"/>
  <c r="AA79" i="6"/>
  <c r="Z79" i="6"/>
  <c r="Y79" i="6"/>
  <c r="X79" i="6"/>
  <c r="W79" i="6"/>
  <c r="V79" i="6"/>
  <c r="U79" i="6"/>
  <c r="T79" i="6"/>
  <c r="S79" i="6"/>
  <c r="R79" i="6"/>
  <c r="Q79" i="6"/>
  <c r="P79" i="6"/>
  <c r="O79" i="6"/>
  <c r="N79" i="6"/>
  <c r="M79" i="6"/>
  <c r="L79" i="6"/>
  <c r="K79" i="6"/>
  <c r="J79" i="6"/>
  <c r="I79" i="6"/>
  <c r="H79" i="6"/>
  <c r="G79" i="6"/>
  <c r="F79" i="6"/>
  <c r="E79" i="6"/>
  <c r="D79" i="6"/>
  <c r="C79" i="6"/>
  <c r="B79" i="6"/>
  <c r="A79" i="6"/>
  <c r="AD78" i="6"/>
  <c r="AC78" i="6"/>
  <c r="AB78" i="6"/>
  <c r="AA78" i="6"/>
  <c r="Z78" i="6"/>
  <c r="Y78" i="6"/>
  <c r="X78" i="6"/>
  <c r="W78" i="6"/>
  <c r="V78" i="6"/>
  <c r="U78" i="6"/>
  <c r="T78" i="6"/>
  <c r="S78" i="6"/>
  <c r="R78" i="6"/>
  <c r="Q78" i="6"/>
  <c r="P78" i="6"/>
  <c r="O78" i="6"/>
  <c r="N78" i="6"/>
  <c r="M78" i="6"/>
  <c r="L78" i="6"/>
  <c r="K78" i="6"/>
  <c r="J78" i="6"/>
  <c r="I78" i="6"/>
  <c r="H78" i="6"/>
  <c r="G78" i="6"/>
  <c r="F78" i="6"/>
  <c r="E78" i="6"/>
  <c r="D78" i="6"/>
  <c r="C78" i="6"/>
  <c r="B78" i="6"/>
  <c r="A78" i="6"/>
  <c r="AC77" i="6"/>
  <c r="AB77" i="6"/>
  <c r="AA77" i="6"/>
  <c r="Z77" i="6"/>
  <c r="Y77" i="6"/>
  <c r="X77" i="6"/>
  <c r="W77" i="6"/>
  <c r="V77" i="6"/>
  <c r="U77" i="6"/>
  <c r="T77" i="6"/>
  <c r="S77" i="6"/>
  <c r="R77" i="6"/>
  <c r="Q77" i="6"/>
  <c r="P77" i="6"/>
  <c r="O77" i="6"/>
  <c r="N77" i="6"/>
  <c r="M77" i="6"/>
  <c r="L77" i="6"/>
  <c r="K77" i="6"/>
  <c r="J77" i="6"/>
  <c r="H77" i="6"/>
  <c r="G77" i="6"/>
  <c r="F77" i="6"/>
  <c r="E77" i="6"/>
  <c r="D77" i="6"/>
  <c r="C77" i="6"/>
  <c r="B77" i="6"/>
  <c r="A77" i="6"/>
  <c r="AC76" i="6"/>
  <c r="AB76" i="6"/>
  <c r="AA76" i="6"/>
  <c r="Z76" i="6"/>
  <c r="Y76" i="6"/>
  <c r="X76" i="6"/>
  <c r="W76" i="6"/>
  <c r="V76" i="6"/>
  <c r="U76" i="6"/>
  <c r="T76" i="6"/>
  <c r="S76" i="6"/>
  <c r="R76" i="6"/>
  <c r="Q76" i="6"/>
  <c r="P76" i="6"/>
  <c r="O76" i="6"/>
  <c r="N76" i="6"/>
  <c r="M76" i="6"/>
  <c r="L76" i="6"/>
  <c r="K76" i="6"/>
  <c r="J76" i="6"/>
  <c r="H76" i="6"/>
  <c r="G76" i="6"/>
  <c r="F76" i="6"/>
  <c r="E76" i="6"/>
  <c r="D76" i="6"/>
  <c r="C76" i="6"/>
  <c r="B76" i="6"/>
  <c r="A76" i="6"/>
  <c r="AC75" i="6"/>
  <c r="AB75" i="6"/>
  <c r="AA75" i="6"/>
  <c r="Z75" i="6"/>
  <c r="Y75" i="6"/>
  <c r="X75" i="6"/>
  <c r="W75" i="6"/>
  <c r="V75" i="6"/>
  <c r="U75" i="6"/>
  <c r="T75" i="6"/>
  <c r="S75" i="6"/>
  <c r="R75" i="6"/>
  <c r="Q75" i="6"/>
  <c r="P75" i="6"/>
  <c r="O75" i="6"/>
  <c r="N75" i="6"/>
  <c r="M75" i="6"/>
  <c r="L75" i="6"/>
  <c r="K75" i="6"/>
  <c r="J75" i="6"/>
  <c r="H75" i="6"/>
  <c r="G75" i="6"/>
  <c r="F75" i="6"/>
  <c r="E75" i="6"/>
  <c r="D75" i="6"/>
  <c r="C75" i="6"/>
  <c r="B75" i="6"/>
  <c r="A75" i="6"/>
  <c r="AC74" i="6"/>
  <c r="AB74" i="6"/>
  <c r="AA74" i="6"/>
  <c r="Z74" i="6"/>
  <c r="Y74" i="6"/>
  <c r="X74" i="6"/>
  <c r="W74" i="6"/>
  <c r="V74" i="6"/>
  <c r="U74" i="6"/>
  <c r="T74" i="6"/>
  <c r="S74" i="6"/>
  <c r="R74" i="6"/>
  <c r="Q74" i="6"/>
  <c r="P74" i="6"/>
  <c r="O74" i="6"/>
  <c r="N74" i="6"/>
  <c r="M74" i="6"/>
  <c r="L74" i="6"/>
  <c r="K74" i="6"/>
  <c r="J74" i="6"/>
  <c r="H74" i="6"/>
  <c r="G74" i="6"/>
  <c r="F74" i="6"/>
  <c r="E74" i="6"/>
  <c r="D74" i="6"/>
  <c r="C74" i="6"/>
  <c r="B74" i="6"/>
  <c r="A74" i="6"/>
  <c r="AD73" i="6"/>
  <c r="AC73" i="6"/>
  <c r="AB73" i="6"/>
  <c r="AA73" i="6"/>
  <c r="Z73" i="6"/>
  <c r="Y73" i="6"/>
  <c r="X73" i="6"/>
  <c r="W73" i="6"/>
  <c r="V73" i="6"/>
  <c r="U73" i="6"/>
  <c r="T73" i="6"/>
  <c r="S73" i="6"/>
  <c r="R73" i="6"/>
  <c r="Q73" i="6"/>
  <c r="P73" i="6"/>
  <c r="O73" i="6"/>
  <c r="N73" i="6"/>
  <c r="M73" i="6"/>
  <c r="L73" i="6"/>
  <c r="K73" i="6"/>
  <c r="J73" i="6"/>
  <c r="I73" i="6"/>
  <c r="H73" i="6"/>
  <c r="G73" i="6"/>
  <c r="F73" i="6"/>
  <c r="E73" i="6"/>
  <c r="D73" i="6"/>
  <c r="C73" i="6"/>
  <c r="B73" i="6"/>
  <c r="A73" i="6"/>
  <c r="AC72" i="6"/>
  <c r="AB72" i="6"/>
  <c r="AA72" i="6"/>
  <c r="Z72" i="6"/>
  <c r="Y72" i="6"/>
  <c r="X72" i="6"/>
  <c r="W72" i="6"/>
  <c r="V72" i="6"/>
  <c r="U72" i="6"/>
  <c r="T72" i="6"/>
  <c r="S72" i="6"/>
  <c r="R72" i="6"/>
  <c r="Q72" i="6"/>
  <c r="P72" i="6"/>
  <c r="O72" i="6"/>
  <c r="N72" i="6"/>
  <c r="M72" i="6"/>
  <c r="L72" i="6"/>
  <c r="K72" i="6"/>
  <c r="J72" i="6"/>
  <c r="H72" i="6"/>
  <c r="G72" i="6"/>
  <c r="F72" i="6"/>
  <c r="E72" i="6"/>
  <c r="D72" i="6"/>
  <c r="C72" i="6"/>
  <c r="B72" i="6"/>
  <c r="A72" i="6"/>
  <c r="AD71" i="6"/>
  <c r="AC71" i="6"/>
  <c r="AB71" i="6"/>
  <c r="AA71" i="6"/>
  <c r="Z71" i="6"/>
  <c r="Y71" i="6"/>
  <c r="X71" i="6"/>
  <c r="W71" i="6"/>
  <c r="V71" i="6"/>
  <c r="U71" i="6"/>
  <c r="T71" i="6"/>
  <c r="S71" i="6"/>
  <c r="R71" i="6"/>
  <c r="Q71" i="6"/>
  <c r="P71" i="6"/>
  <c r="O71" i="6"/>
  <c r="N71" i="6"/>
  <c r="M71" i="6"/>
  <c r="L71" i="6"/>
  <c r="K71" i="6"/>
  <c r="J71" i="6"/>
  <c r="I71" i="6"/>
  <c r="H71" i="6"/>
  <c r="G71" i="6"/>
  <c r="F71" i="6"/>
  <c r="E71" i="6"/>
  <c r="D71" i="6"/>
  <c r="C71" i="6"/>
  <c r="B71" i="6"/>
  <c r="A71" i="6"/>
  <c r="AC70" i="6"/>
  <c r="AB70" i="6"/>
  <c r="AA70" i="6"/>
  <c r="Z70" i="6"/>
  <c r="Y70" i="6"/>
  <c r="X70" i="6"/>
  <c r="W70" i="6"/>
  <c r="V70" i="6"/>
  <c r="U70" i="6"/>
  <c r="T70" i="6"/>
  <c r="S70" i="6"/>
  <c r="R70" i="6"/>
  <c r="Q70" i="6"/>
  <c r="P70" i="6"/>
  <c r="O70" i="6"/>
  <c r="N70" i="6"/>
  <c r="M70" i="6"/>
  <c r="L70" i="6"/>
  <c r="K70" i="6"/>
  <c r="J70" i="6"/>
  <c r="H70" i="6"/>
  <c r="G70" i="6"/>
  <c r="F70" i="6"/>
  <c r="E70" i="6"/>
  <c r="D70" i="6"/>
  <c r="C70" i="6"/>
  <c r="B70" i="6"/>
  <c r="A70" i="6"/>
  <c r="AC69" i="6"/>
  <c r="AB69" i="6"/>
  <c r="AA69" i="6"/>
  <c r="Z69" i="6"/>
  <c r="Y69" i="6"/>
  <c r="X69" i="6"/>
  <c r="W69" i="6"/>
  <c r="V69" i="6"/>
  <c r="U69" i="6"/>
  <c r="T69" i="6"/>
  <c r="S69" i="6"/>
  <c r="R69" i="6"/>
  <c r="Q69" i="6"/>
  <c r="P69" i="6"/>
  <c r="O69" i="6"/>
  <c r="N69" i="6"/>
  <c r="M69" i="6"/>
  <c r="L69" i="6"/>
  <c r="K69" i="6"/>
  <c r="J69" i="6"/>
  <c r="H69" i="6"/>
  <c r="G69" i="6"/>
  <c r="F69" i="6"/>
  <c r="E69" i="6"/>
  <c r="D69" i="6"/>
  <c r="C69" i="6"/>
  <c r="B69" i="6"/>
  <c r="A69" i="6"/>
  <c r="AC68" i="6"/>
  <c r="AB68" i="6"/>
  <c r="AA68" i="6"/>
  <c r="Z68" i="6"/>
  <c r="Y68" i="6"/>
  <c r="X68" i="6"/>
  <c r="W68" i="6"/>
  <c r="V68" i="6"/>
  <c r="U68" i="6"/>
  <c r="T68" i="6"/>
  <c r="S68" i="6"/>
  <c r="R68" i="6"/>
  <c r="Q68" i="6"/>
  <c r="P68" i="6"/>
  <c r="O68" i="6"/>
  <c r="N68" i="6"/>
  <c r="M68" i="6"/>
  <c r="L68" i="6"/>
  <c r="K68" i="6"/>
  <c r="J68" i="6"/>
  <c r="H68" i="6"/>
  <c r="G68" i="6"/>
  <c r="F68" i="6"/>
  <c r="E68" i="6"/>
  <c r="D68" i="6"/>
  <c r="C68" i="6"/>
  <c r="B68" i="6"/>
  <c r="A68" i="6"/>
  <c r="AD67" i="6"/>
  <c r="AC67" i="6"/>
  <c r="AB67" i="6"/>
  <c r="AA67" i="6"/>
  <c r="Z67" i="6"/>
  <c r="Y67" i="6"/>
  <c r="X67" i="6"/>
  <c r="W67" i="6"/>
  <c r="V67" i="6"/>
  <c r="U67" i="6"/>
  <c r="T67" i="6"/>
  <c r="S67" i="6"/>
  <c r="R67" i="6"/>
  <c r="Q67" i="6"/>
  <c r="P67" i="6"/>
  <c r="O67" i="6"/>
  <c r="N67" i="6"/>
  <c r="M67" i="6"/>
  <c r="L67" i="6"/>
  <c r="K67" i="6"/>
  <c r="J67" i="6"/>
  <c r="I67" i="6"/>
  <c r="H67" i="6"/>
  <c r="G67" i="6"/>
  <c r="F67" i="6"/>
  <c r="E67" i="6"/>
  <c r="D67" i="6"/>
  <c r="C67" i="6"/>
  <c r="B67" i="6"/>
  <c r="A67" i="6"/>
  <c r="AC66" i="6"/>
  <c r="AB66" i="6"/>
  <c r="AA66" i="6"/>
  <c r="Z66" i="6"/>
  <c r="Y66" i="6"/>
  <c r="X66" i="6"/>
  <c r="W66" i="6"/>
  <c r="V66" i="6"/>
  <c r="U66" i="6"/>
  <c r="T66" i="6"/>
  <c r="S66" i="6"/>
  <c r="R66" i="6"/>
  <c r="Q66" i="6"/>
  <c r="P66" i="6"/>
  <c r="O66" i="6"/>
  <c r="N66" i="6"/>
  <c r="M66" i="6"/>
  <c r="L66" i="6"/>
  <c r="K66" i="6"/>
  <c r="J66" i="6"/>
  <c r="H66" i="6"/>
  <c r="G66" i="6"/>
  <c r="F66" i="6"/>
  <c r="E66" i="6"/>
  <c r="D66" i="6"/>
  <c r="C66" i="6"/>
  <c r="B66" i="6"/>
  <c r="A66" i="6"/>
  <c r="AC65" i="6"/>
  <c r="AB65" i="6"/>
  <c r="AA65" i="6"/>
  <c r="Z65" i="6"/>
  <c r="Y65" i="6"/>
  <c r="X65" i="6"/>
  <c r="W65" i="6"/>
  <c r="V65" i="6"/>
  <c r="U65" i="6"/>
  <c r="T65" i="6"/>
  <c r="S65" i="6"/>
  <c r="R65" i="6"/>
  <c r="Q65" i="6"/>
  <c r="P65" i="6"/>
  <c r="O65" i="6"/>
  <c r="N65" i="6"/>
  <c r="M65" i="6"/>
  <c r="L65" i="6"/>
  <c r="K65" i="6"/>
  <c r="J65" i="6"/>
  <c r="H65" i="6"/>
  <c r="G65" i="6"/>
  <c r="F65" i="6"/>
  <c r="E65" i="6"/>
  <c r="D65" i="6"/>
  <c r="C65" i="6"/>
  <c r="B65" i="6"/>
  <c r="A65" i="6"/>
  <c r="AC64" i="6"/>
  <c r="AB64" i="6"/>
  <c r="AA64" i="6"/>
  <c r="Z64" i="6"/>
  <c r="Y64" i="6"/>
  <c r="X64" i="6"/>
  <c r="W64" i="6"/>
  <c r="V64" i="6"/>
  <c r="U64" i="6"/>
  <c r="T64" i="6"/>
  <c r="S64" i="6"/>
  <c r="R64" i="6"/>
  <c r="Q64" i="6"/>
  <c r="P64" i="6"/>
  <c r="O64" i="6"/>
  <c r="N64" i="6"/>
  <c r="M64" i="6"/>
  <c r="L64" i="6"/>
  <c r="K64" i="6"/>
  <c r="J64" i="6"/>
  <c r="H64" i="6"/>
  <c r="G64" i="6"/>
  <c r="F64" i="6"/>
  <c r="E64" i="6"/>
  <c r="D64" i="6"/>
  <c r="C64" i="6"/>
  <c r="B64" i="6"/>
  <c r="A64" i="6"/>
  <c r="AD63" i="6"/>
  <c r="AC63" i="6"/>
  <c r="AB63" i="6"/>
  <c r="AA63" i="6"/>
  <c r="Z63" i="6"/>
  <c r="Y63" i="6"/>
  <c r="X63" i="6"/>
  <c r="W63" i="6"/>
  <c r="V63" i="6"/>
  <c r="U63" i="6"/>
  <c r="T63" i="6"/>
  <c r="S63" i="6"/>
  <c r="R63" i="6"/>
  <c r="Q63" i="6"/>
  <c r="P63" i="6"/>
  <c r="O63" i="6"/>
  <c r="N63" i="6"/>
  <c r="M63" i="6"/>
  <c r="L63" i="6"/>
  <c r="K63" i="6"/>
  <c r="J63" i="6"/>
  <c r="I63" i="6"/>
  <c r="H63" i="6"/>
  <c r="G63" i="6"/>
  <c r="F63" i="6"/>
  <c r="E63" i="6"/>
  <c r="D63" i="6"/>
  <c r="C63" i="6"/>
  <c r="B63" i="6"/>
  <c r="A63" i="6"/>
  <c r="AC62" i="6"/>
  <c r="AB62" i="6"/>
  <c r="AA62" i="6"/>
  <c r="Z62" i="6"/>
  <c r="Y62" i="6"/>
  <c r="X62" i="6"/>
  <c r="W62" i="6"/>
  <c r="V62" i="6"/>
  <c r="U62" i="6"/>
  <c r="T62" i="6"/>
  <c r="S62" i="6"/>
  <c r="R62" i="6"/>
  <c r="Q62" i="6"/>
  <c r="P62" i="6"/>
  <c r="O62" i="6"/>
  <c r="N62" i="6"/>
  <c r="M62" i="6"/>
  <c r="L62" i="6"/>
  <c r="K62" i="6"/>
  <c r="J62" i="6"/>
  <c r="I62" i="6"/>
  <c r="H62" i="6"/>
  <c r="G62" i="6"/>
  <c r="F62" i="6"/>
  <c r="E62" i="6"/>
  <c r="D62" i="6"/>
  <c r="C62" i="6"/>
  <c r="B62" i="6"/>
  <c r="A62" i="6"/>
  <c r="AD61" i="6"/>
  <c r="AC61" i="6"/>
  <c r="AB61" i="6"/>
  <c r="AA61" i="6"/>
  <c r="Z61" i="6"/>
  <c r="Y61" i="6"/>
  <c r="X61" i="6"/>
  <c r="W61" i="6"/>
  <c r="V61" i="6"/>
  <c r="U61" i="6"/>
  <c r="T61" i="6"/>
  <c r="S61" i="6"/>
  <c r="R61" i="6"/>
  <c r="Q61" i="6"/>
  <c r="P61" i="6"/>
  <c r="O61" i="6"/>
  <c r="N61" i="6"/>
  <c r="M61" i="6"/>
  <c r="L61" i="6"/>
  <c r="K61" i="6"/>
  <c r="J61" i="6"/>
  <c r="I61" i="6"/>
  <c r="H61" i="6"/>
  <c r="G61" i="6"/>
  <c r="F61" i="6"/>
  <c r="E61" i="6"/>
  <c r="D61" i="6"/>
  <c r="C61" i="6"/>
  <c r="B61" i="6"/>
  <c r="A61" i="6"/>
  <c r="AD60" i="6"/>
  <c r="AC60" i="6"/>
  <c r="AB60" i="6"/>
  <c r="AA60" i="6"/>
  <c r="Z60" i="6"/>
  <c r="Y60" i="6"/>
  <c r="X60" i="6"/>
  <c r="W60" i="6"/>
  <c r="V60" i="6"/>
  <c r="U60" i="6"/>
  <c r="T60" i="6"/>
  <c r="S60" i="6"/>
  <c r="R60" i="6"/>
  <c r="Q60" i="6"/>
  <c r="P60" i="6"/>
  <c r="O60" i="6"/>
  <c r="N60" i="6"/>
  <c r="M60" i="6"/>
  <c r="L60" i="6"/>
  <c r="K60" i="6"/>
  <c r="J60" i="6"/>
  <c r="I60" i="6"/>
  <c r="H60" i="6"/>
  <c r="G60" i="6"/>
  <c r="F60" i="6"/>
  <c r="E60" i="6"/>
  <c r="D60" i="6"/>
  <c r="C60" i="6"/>
  <c r="B60" i="6"/>
  <c r="A60" i="6"/>
  <c r="AC59" i="6"/>
  <c r="AB59" i="6"/>
  <c r="AA59" i="6"/>
  <c r="Z59" i="6"/>
  <c r="Y59" i="6"/>
  <c r="X59" i="6"/>
  <c r="W59" i="6"/>
  <c r="V59" i="6"/>
  <c r="U59" i="6"/>
  <c r="T59" i="6"/>
  <c r="S59" i="6"/>
  <c r="R59" i="6"/>
  <c r="Q59" i="6"/>
  <c r="P59" i="6"/>
  <c r="O59" i="6"/>
  <c r="N59" i="6"/>
  <c r="M59" i="6"/>
  <c r="L59" i="6"/>
  <c r="K59" i="6"/>
  <c r="J59" i="6"/>
  <c r="H59" i="6"/>
  <c r="G59" i="6"/>
  <c r="F59" i="6"/>
  <c r="E59" i="6"/>
  <c r="D59" i="6"/>
  <c r="C59" i="6"/>
  <c r="B59" i="6"/>
  <c r="A59" i="6"/>
  <c r="AC58" i="6"/>
  <c r="AB58" i="6"/>
  <c r="AA58" i="6"/>
  <c r="Z58" i="6"/>
  <c r="Y58" i="6"/>
  <c r="X58" i="6"/>
  <c r="W58" i="6"/>
  <c r="V58" i="6"/>
  <c r="U58" i="6"/>
  <c r="T58" i="6"/>
  <c r="S58" i="6"/>
  <c r="R58" i="6"/>
  <c r="Q58" i="6"/>
  <c r="P58" i="6"/>
  <c r="O58" i="6"/>
  <c r="N58" i="6"/>
  <c r="M58" i="6"/>
  <c r="L58" i="6"/>
  <c r="K58" i="6"/>
  <c r="J58" i="6"/>
  <c r="H58" i="6"/>
  <c r="G58" i="6"/>
  <c r="F58" i="6"/>
  <c r="E58" i="6"/>
  <c r="D58" i="6"/>
  <c r="C58" i="6"/>
  <c r="B58" i="6"/>
  <c r="A58" i="6"/>
  <c r="AC57" i="6"/>
  <c r="AB57" i="6"/>
  <c r="AA57" i="6"/>
  <c r="Z57" i="6"/>
  <c r="Y57" i="6"/>
  <c r="X57" i="6"/>
  <c r="W57" i="6"/>
  <c r="V57" i="6"/>
  <c r="U57" i="6"/>
  <c r="T57" i="6"/>
  <c r="S57" i="6"/>
  <c r="R57" i="6"/>
  <c r="Q57" i="6"/>
  <c r="P57" i="6"/>
  <c r="O57" i="6"/>
  <c r="N57" i="6"/>
  <c r="M57" i="6"/>
  <c r="L57" i="6"/>
  <c r="K57" i="6"/>
  <c r="J57" i="6"/>
  <c r="H57" i="6"/>
  <c r="G57" i="6"/>
  <c r="F57" i="6"/>
  <c r="E57" i="6"/>
  <c r="D57" i="6"/>
  <c r="C57" i="6"/>
  <c r="B57" i="6"/>
  <c r="A57" i="6"/>
  <c r="AC56" i="6"/>
  <c r="AB56" i="6"/>
  <c r="AA56" i="6"/>
  <c r="Z56" i="6"/>
  <c r="Y56" i="6"/>
  <c r="X56" i="6"/>
  <c r="W56" i="6"/>
  <c r="V56" i="6"/>
  <c r="U56" i="6"/>
  <c r="T56" i="6"/>
  <c r="S56" i="6"/>
  <c r="R56" i="6"/>
  <c r="Q56" i="6"/>
  <c r="P56" i="6"/>
  <c r="O56" i="6"/>
  <c r="N56" i="6"/>
  <c r="M56" i="6"/>
  <c r="L56" i="6"/>
  <c r="K56" i="6"/>
  <c r="J56" i="6"/>
  <c r="H56" i="6"/>
  <c r="G56" i="6"/>
  <c r="F56" i="6"/>
  <c r="E56" i="6"/>
  <c r="D56" i="6"/>
  <c r="C56" i="6"/>
  <c r="B56" i="6"/>
  <c r="A56" i="6"/>
  <c r="AC55" i="6"/>
  <c r="AB55" i="6"/>
  <c r="AA55" i="6"/>
  <c r="Z55" i="6"/>
  <c r="Y55" i="6"/>
  <c r="X55" i="6"/>
  <c r="W55" i="6"/>
  <c r="V55" i="6"/>
  <c r="U55" i="6"/>
  <c r="T55" i="6"/>
  <c r="S55" i="6"/>
  <c r="R55" i="6"/>
  <c r="Q55" i="6"/>
  <c r="P55" i="6"/>
  <c r="O55" i="6"/>
  <c r="N55" i="6"/>
  <c r="M55" i="6"/>
  <c r="L55" i="6"/>
  <c r="K55" i="6"/>
  <c r="J55" i="6"/>
  <c r="H55" i="6"/>
  <c r="G55" i="6"/>
  <c r="F55" i="6"/>
  <c r="E55" i="6"/>
  <c r="D55" i="6"/>
  <c r="C55" i="6"/>
  <c r="B55" i="6"/>
  <c r="A55" i="6"/>
  <c r="AD54" i="6"/>
  <c r="AC54" i="6"/>
  <c r="AB54" i="6"/>
  <c r="AA54" i="6"/>
  <c r="Z54" i="6"/>
  <c r="Y54" i="6"/>
  <c r="X54" i="6"/>
  <c r="W54" i="6"/>
  <c r="V54" i="6"/>
  <c r="U54" i="6"/>
  <c r="T54" i="6"/>
  <c r="S54" i="6"/>
  <c r="R54" i="6"/>
  <c r="Q54" i="6"/>
  <c r="P54" i="6"/>
  <c r="O54" i="6"/>
  <c r="N54" i="6"/>
  <c r="M54" i="6"/>
  <c r="L54" i="6"/>
  <c r="K54" i="6"/>
  <c r="J54" i="6"/>
  <c r="I54" i="6"/>
  <c r="H54" i="6"/>
  <c r="G54" i="6"/>
  <c r="F54" i="6"/>
  <c r="E54" i="6"/>
  <c r="D54" i="6"/>
  <c r="C54" i="6"/>
  <c r="B54" i="6"/>
  <c r="A54" i="6"/>
  <c r="AD53" i="6"/>
  <c r="AC53" i="6"/>
  <c r="AB53" i="6"/>
  <c r="AA53" i="6"/>
  <c r="Z53" i="6"/>
  <c r="Y53" i="6"/>
  <c r="X53" i="6"/>
  <c r="W53" i="6"/>
  <c r="V53" i="6"/>
  <c r="U53" i="6"/>
  <c r="T53" i="6"/>
  <c r="S53" i="6"/>
  <c r="R53" i="6"/>
  <c r="Q53" i="6"/>
  <c r="P53" i="6"/>
  <c r="O53" i="6"/>
  <c r="N53" i="6"/>
  <c r="M53" i="6"/>
  <c r="L53" i="6"/>
  <c r="K53" i="6"/>
  <c r="J53" i="6"/>
  <c r="I53" i="6"/>
  <c r="H53" i="6"/>
  <c r="G53" i="6"/>
  <c r="F53" i="6"/>
  <c r="E53" i="6"/>
  <c r="D53" i="6"/>
  <c r="C53" i="6"/>
  <c r="B53" i="6"/>
  <c r="A53" i="6"/>
  <c r="AD52" i="6"/>
  <c r="AC52" i="6"/>
  <c r="AB52" i="6"/>
  <c r="AA52" i="6"/>
  <c r="Z52" i="6"/>
  <c r="Y52" i="6"/>
  <c r="X52" i="6"/>
  <c r="W52" i="6"/>
  <c r="V52" i="6"/>
  <c r="U52" i="6"/>
  <c r="T52" i="6"/>
  <c r="S52" i="6"/>
  <c r="R52" i="6"/>
  <c r="Q52" i="6"/>
  <c r="P52" i="6"/>
  <c r="O52" i="6"/>
  <c r="N52" i="6"/>
  <c r="M52" i="6"/>
  <c r="L52" i="6"/>
  <c r="K52" i="6"/>
  <c r="J52" i="6"/>
  <c r="I52" i="6"/>
  <c r="H52" i="6"/>
  <c r="G52" i="6"/>
  <c r="F52" i="6"/>
  <c r="E52" i="6"/>
  <c r="D52" i="6"/>
  <c r="C52" i="6"/>
  <c r="B52" i="6"/>
  <c r="A52" i="6"/>
  <c r="AC51" i="6"/>
  <c r="AB51" i="6"/>
  <c r="AA51" i="6"/>
  <c r="Z51" i="6"/>
  <c r="Y51" i="6"/>
  <c r="X51" i="6"/>
  <c r="W51" i="6"/>
  <c r="V51" i="6"/>
  <c r="U51" i="6"/>
  <c r="T51" i="6"/>
  <c r="S51" i="6"/>
  <c r="R51" i="6"/>
  <c r="Q51" i="6"/>
  <c r="P51" i="6"/>
  <c r="O51" i="6"/>
  <c r="N51" i="6"/>
  <c r="M51" i="6"/>
  <c r="L51" i="6"/>
  <c r="K51" i="6"/>
  <c r="J51" i="6"/>
  <c r="H51" i="6"/>
  <c r="G51" i="6"/>
  <c r="F51" i="6"/>
  <c r="E51" i="6"/>
  <c r="D51" i="6"/>
  <c r="C51" i="6"/>
  <c r="B51" i="6"/>
  <c r="A51" i="6"/>
  <c r="AD50" i="6"/>
  <c r="AC50" i="6"/>
  <c r="AB50" i="6"/>
  <c r="AA50" i="6"/>
  <c r="Z50" i="6"/>
  <c r="Y50" i="6"/>
  <c r="X50" i="6"/>
  <c r="W50" i="6"/>
  <c r="V50" i="6"/>
  <c r="U50" i="6"/>
  <c r="T50" i="6"/>
  <c r="S50" i="6"/>
  <c r="R50" i="6"/>
  <c r="Q50" i="6"/>
  <c r="P50" i="6"/>
  <c r="O50" i="6"/>
  <c r="N50" i="6"/>
  <c r="M50" i="6"/>
  <c r="L50" i="6"/>
  <c r="K50" i="6"/>
  <c r="J50" i="6"/>
  <c r="I50" i="6"/>
  <c r="H50" i="6"/>
  <c r="G50" i="6"/>
  <c r="F50" i="6"/>
  <c r="E50" i="6"/>
  <c r="D50" i="6"/>
  <c r="C50" i="6"/>
  <c r="B50" i="6"/>
  <c r="A50" i="6"/>
  <c r="AC49" i="6"/>
  <c r="AB49" i="6"/>
  <c r="AA49" i="6"/>
  <c r="Z49" i="6"/>
  <c r="Y49" i="6"/>
  <c r="X49" i="6"/>
  <c r="W49" i="6"/>
  <c r="V49" i="6"/>
  <c r="U49" i="6"/>
  <c r="T49" i="6"/>
  <c r="S49" i="6"/>
  <c r="R49" i="6"/>
  <c r="Q49" i="6"/>
  <c r="P49" i="6"/>
  <c r="O49" i="6"/>
  <c r="N49" i="6"/>
  <c r="M49" i="6"/>
  <c r="L49" i="6"/>
  <c r="K49" i="6"/>
  <c r="J49" i="6"/>
  <c r="H49" i="6"/>
  <c r="G49" i="6"/>
  <c r="F49" i="6"/>
  <c r="E49" i="6"/>
  <c r="D49" i="6"/>
  <c r="C49" i="6"/>
  <c r="B49" i="6"/>
  <c r="A49" i="6"/>
  <c r="AC48" i="6"/>
  <c r="AB48" i="6"/>
  <c r="AA48" i="6"/>
  <c r="Z48" i="6"/>
  <c r="Y48" i="6"/>
  <c r="X48" i="6"/>
  <c r="W48" i="6"/>
  <c r="V48" i="6"/>
  <c r="U48" i="6"/>
  <c r="T48" i="6"/>
  <c r="S48" i="6"/>
  <c r="R48" i="6"/>
  <c r="Q48" i="6"/>
  <c r="P48" i="6"/>
  <c r="O48" i="6"/>
  <c r="N48" i="6"/>
  <c r="M48" i="6"/>
  <c r="L48" i="6"/>
  <c r="K48" i="6"/>
  <c r="J48" i="6"/>
  <c r="H48" i="6"/>
  <c r="G48" i="6"/>
  <c r="F48" i="6"/>
  <c r="E48" i="6"/>
  <c r="D48" i="6"/>
  <c r="C48" i="6"/>
  <c r="B48" i="6"/>
  <c r="A48" i="6"/>
  <c r="AC47" i="6"/>
  <c r="AB47" i="6"/>
  <c r="AA47" i="6"/>
  <c r="Z47" i="6"/>
  <c r="Y47" i="6"/>
  <c r="X47" i="6"/>
  <c r="W47" i="6"/>
  <c r="V47" i="6"/>
  <c r="U47" i="6"/>
  <c r="T47" i="6"/>
  <c r="S47" i="6"/>
  <c r="R47" i="6"/>
  <c r="Q47" i="6"/>
  <c r="P47" i="6"/>
  <c r="O47" i="6"/>
  <c r="N47" i="6"/>
  <c r="M47" i="6"/>
  <c r="L47" i="6"/>
  <c r="K47" i="6"/>
  <c r="J47" i="6"/>
  <c r="H47" i="6"/>
  <c r="G47" i="6"/>
  <c r="F47" i="6"/>
  <c r="E47" i="6"/>
  <c r="D47" i="6"/>
  <c r="C47" i="6"/>
  <c r="B47" i="6"/>
  <c r="A47" i="6"/>
  <c r="AC46" i="6"/>
  <c r="AB46" i="6"/>
  <c r="AA46" i="6"/>
  <c r="Z46" i="6"/>
  <c r="Y46" i="6"/>
  <c r="X46" i="6"/>
  <c r="W46" i="6"/>
  <c r="V46" i="6"/>
  <c r="U46" i="6"/>
  <c r="T46" i="6"/>
  <c r="S46" i="6"/>
  <c r="R46" i="6"/>
  <c r="Q46" i="6"/>
  <c r="P46" i="6"/>
  <c r="O46" i="6"/>
  <c r="N46" i="6"/>
  <c r="M46" i="6"/>
  <c r="L46" i="6"/>
  <c r="K46" i="6"/>
  <c r="J46" i="6"/>
  <c r="H46" i="6"/>
  <c r="G46" i="6"/>
  <c r="F46" i="6"/>
  <c r="E46" i="6"/>
  <c r="D46" i="6"/>
  <c r="C46" i="6"/>
  <c r="B46" i="6"/>
  <c r="A46" i="6"/>
  <c r="AC45" i="6"/>
  <c r="AB45" i="6"/>
  <c r="AA45" i="6"/>
  <c r="Z45" i="6"/>
  <c r="Y45" i="6"/>
  <c r="X45" i="6"/>
  <c r="W45" i="6"/>
  <c r="V45" i="6"/>
  <c r="U45" i="6"/>
  <c r="T45" i="6"/>
  <c r="S45" i="6"/>
  <c r="R45" i="6"/>
  <c r="Q45" i="6"/>
  <c r="P45" i="6"/>
  <c r="O45" i="6"/>
  <c r="N45" i="6"/>
  <c r="M45" i="6"/>
  <c r="L45" i="6"/>
  <c r="K45" i="6"/>
  <c r="J45" i="6"/>
  <c r="H45" i="6"/>
  <c r="G45" i="6"/>
  <c r="F45" i="6"/>
  <c r="E45" i="6"/>
  <c r="D45" i="6"/>
  <c r="C45" i="6"/>
  <c r="B45" i="6"/>
  <c r="A45" i="6"/>
  <c r="AD44" i="6"/>
  <c r="AC44" i="6"/>
  <c r="AB44" i="6"/>
  <c r="AA44" i="6"/>
  <c r="Z44" i="6"/>
  <c r="Y44" i="6"/>
  <c r="X44" i="6"/>
  <c r="W44" i="6"/>
  <c r="V44" i="6"/>
  <c r="U44" i="6"/>
  <c r="T44" i="6"/>
  <c r="S44" i="6"/>
  <c r="R44" i="6"/>
  <c r="Q44" i="6"/>
  <c r="P44" i="6"/>
  <c r="O44" i="6"/>
  <c r="N44" i="6"/>
  <c r="M44" i="6"/>
  <c r="L44" i="6"/>
  <c r="K44" i="6"/>
  <c r="J44" i="6"/>
  <c r="I44" i="6"/>
  <c r="H44" i="6"/>
  <c r="G44" i="6"/>
  <c r="F44" i="6"/>
  <c r="E44" i="6"/>
  <c r="D44" i="6"/>
  <c r="C44" i="6"/>
  <c r="B44" i="6"/>
  <c r="A44" i="6"/>
  <c r="AC43" i="6"/>
  <c r="AB43" i="6"/>
  <c r="AA43" i="6"/>
  <c r="Z43" i="6"/>
  <c r="Y43" i="6"/>
  <c r="X43" i="6"/>
  <c r="W43" i="6"/>
  <c r="V43" i="6"/>
  <c r="U43" i="6"/>
  <c r="T43" i="6"/>
  <c r="S43" i="6"/>
  <c r="R43" i="6"/>
  <c r="Q43" i="6"/>
  <c r="P43" i="6"/>
  <c r="O43" i="6"/>
  <c r="N43" i="6"/>
  <c r="M43" i="6"/>
  <c r="L43" i="6"/>
  <c r="K43" i="6"/>
  <c r="J43" i="6"/>
  <c r="H43" i="6"/>
  <c r="G43" i="6"/>
  <c r="F43" i="6"/>
  <c r="E43" i="6"/>
  <c r="D43" i="6"/>
  <c r="C43" i="6"/>
  <c r="B43" i="6"/>
  <c r="A43" i="6"/>
  <c r="AC42" i="6"/>
  <c r="AB42" i="6"/>
  <c r="AA42" i="6"/>
  <c r="Z42" i="6"/>
  <c r="Y42" i="6"/>
  <c r="X42" i="6"/>
  <c r="W42" i="6"/>
  <c r="V42" i="6"/>
  <c r="U42" i="6"/>
  <c r="T42" i="6"/>
  <c r="S42" i="6"/>
  <c r="R42" i="6"/>
  <c r="Q42" i="6"/>
  <c r="P42" i="6"/>
  <c r="O42" i="6"/>
  <c r="N42" i="6"/>
  <c r="M42" i="6"/>
  <c r="L42" i="6"/>
  <c r="K42" i="6"/>
  <c r="J42" i="6"/>
  <c r="H42" i="6"/>
  <c r="G42" i="6"/>
  <c r="F42" i="6"/>
  <c r="E42" i="6"/>
  <c r="D42" i="6"/>
  <c r="C42" i="6"/>
  <c r="B42" i="6"/>
  <c r="A42" i="6"/>
  <c r="AC41" i="6"/>
  <c r="AB41" i="6"/>
  <c r="AA41" i="6"/>
  <c r="Z41" i="6"/>
  <c r="Y41" i="6"/>
  <c r="X41" i="6"/>
  <c r="W41" i="6"/>
  <c r="V41" i="6"/>
  <c r="U41" i="6"/>
  <c r="T41" i="6"/>
  <c r="S41" i="6"/>
  <c r="R41" i="6"/>
  <c r="Q41" i="6"/>
  <c r="P41" i="6"/>
  <c r="O41" i="6"/>
  <c r="N41" i="6"/>
  <c r="M41" i="6"/>
  <c r="L41" i="6"/>
  <c r="K41" i="6"/>
  <c r="J41" i="6"/>
  <c r="I41" i="6"/>
  <c r="H41" i="6"/>
  <c r="G41" i="6"/>
  <c r="F41" i="6"/>
  <c r="E41" i="6"/>
  <c r="D41" i="6"/>
  <c r="C41" i="6"/>
  <c r="B41" i="6"/>
  <c r="A41" i="6"/>
  <c r="AC40" i="6"/>
  <c r="AB40" i="6"/>
  <c r="AA40" i="6"/>
  <c r="Z40" i="6"/>
  <c r="Y40" i="6"/>
  <c r="X40" i="6"/>
  <c r="W40" i="6"/>
  <c r="V40" i="6"/>
  <c r="U40" i="6"/>
  <c r="T40" i="6"/>
  <c r="S40" i="6"/>
  <c r="R40" i="6"/>
  <c r="Q40" i="6"/>
  <c r="P40" i="6"/>
  <c r="O40" i="6"/>
  <c r="N40" i="6"/>
  <c r="M40" i="6"/>
  <c r="L40" i="6"/>
  <c r="K40" i="6"/>
  <c r="J40" i="6"/>
  <c r="I40" i="6"/>
  <c r="H40" i="6"/>
  <c r="G40" i="6"/>
  <c r="F40" i="6"/>
  <c r="E40" i="6"/>
  <c r="D40" i="6"/>
  <c r="C40" i="6"/>
  <c r="B40" i="6"/>
  <c r="A40" i="6"/>
  <c r="AC39" i="6"/>
  <c r="AB39" i="6"/>
  <c r="AA39" i="6"/>
  <c r="Z39" i="6"/>
  <c r="Y39" i="6"/>
  <c r="X39" i="6"/>
  <c r="W39" i="6"/>
  <c r="V39" i="6"/>
  <c r="U39" i="6"/>
  <c r="T39" i="6"/>
  <c r="S39" i="6"/>
  <c r="R39" i="6"/>
  <c r="Q39" i="6"/>
  <c r="P39" i="6"/>
  <c r="O39" i="6"/>
  <c r="N39" i="6"/>
  <c r="M39" i="6"/>
  <c r="L39" i="6"/>
  <c r="K39" i="6"/>
  <c r="J39" i="6"/>
  <c r="H39" i="6"/>
  <c r="G39" i="6"/>
  <c r="F39" i="6"/>
  <c r="E39" i="6"/>
  <c r="D39" i="6"/>
  <c r="C39" i="6"/>
  <c r="B39" i="6"/>
  <c r="A39" i="6"/>
  <c r="AC38" i="6"/>
  <c r="AB38" i="6"/>
  <c r="AA38" i="6"/>
  <c r="Z38" i="6"/>
  <c r="Y38" i="6"/>
  <c r="X38" i="6"/>
  <c r="W38" i="6"/>
  <c r="V38" i="6"/>
  <c r="U38" i="6"/>
  <c r="T38" i="6"/>
  <c r="S38" i="6"/>
  <c r="R38" i="6"/>
  <c r="Q38" i="6"/>
  <c r="P38" i="6"/>
  <c r="O38" i="6"/>
  <c r="N38" i="6"/>
  <c r="M38" i="6"/>
  <c r="L38" i="6"/>
  <c r="K38" i="6"/>
  <c r="J38" i="6"/>
  <c r="H38" i="6"/>
  <c r="G38" i="6"/>
  <c r="F38" i="6"/>
  <c r="E38" i="6"/>
  <c r="D38" i="6"/>
  <c r="C38" i="6"/>
  <c r="B38" i="6"/>
  <c r="A38" i="6"/>
  <c r="AC37" i="6"/>
  <c r="AB37" i="6"/>
  <c r="AA37" i="6"/>
  <c r="Z37" i="6"/>
  <c r="Y37" i="6"/>
  <c r="X37" i="6"/>
  <c r="W37" i="6"/>
  <c r="V37" i="6"/>
  <c r="U37" i="6"/>
  <c r="T37" i="6"/>
  <c r="S37" i="6"/>
  <c r="R37" i="6"/>
  <c r="Q37" i="6"/>
  <c r="P37" i="6"/>
  <c r="O37" i="6"/>
  <c r="N37" i="6"/>
  <c r="M37" i="6"/>
  <c r="L37" i="6"/>
  <c r="K37" i="6"/>
  <c r="J37" i="6"/>
  <c r="H37" i="6"/>
  <c r="G37" i="6"/>
  <c r="F37" i="6"/>
  <c r="E37" i="6"/>
  <c r="D37" i="6"/>
  <c r="C37" i="6"/>
  <c r="B37" i="6"/>
  <c r="A37" i="6"/>
  <c r="AC36" i="6"/>
  <c r="AB36" i="6"/>
  <c r="AA36" i="6"/>
  <c r="Z36" i="6"/>
  <c r="Y36" i="6"/>
  <c r="X36" i="6"/>
  <c r="W36" i="6"/>
  <c r="V36" i="6"/>
  <c r="U36" i="6"/>
  <c r="T36" i="6"/>
  <c r="S36" i="6"/>
  <c r="R36" i="6"/>
  <c r="Q36" i="6"/>
  <c r="P36" i="6"/>
  <c r="O36" i="6"/>
  <c r="N36" i="6"/>
  <c r="M36" i="6"/>
  <c r="L36" i="6"/>
  <c r="K36" i="6"/>
  <c r="J36" i="6"/>
  <c r="I36" i="6"/>
  <c r="H36" i="6"/>
  <c r="G36" i="6"/>
  <c r="F36" i="6"/>
  <c r="E36" i="6"/>
  <c r="D36" i="6"/>
  <c r="C36" i="6"/>
  <c r="B36" i="6"/>
  <c r="A36" i="6"/>
  <c r="AC35" i="6"/>
  <c r="AB35" i="6"/>
  <c r="AA35" i="6"/>
  <c r="Z35" i="6"/>
  <c r="Y35" i="6"/>
  <c r="X35" i="6"/>
  <c r="W35" i="6"/>
  <c r="V35" i="6"/>
  <c r="U35" i="6"/>
  <c r="T35" i="6"/>
  <c r="S35" i="6"/>
  <c r="R35" i="6"/>
  <c r="Q35" i="6"/>
  <c r="P35" i="6"/>
  <c r="O35" i="6"/>
  <c r="N35" i="6"/>
  <c r="M35" i="6"/>
  <c r="L35" i="6"/>
  <c r="K35" i="6"/>
  <c r="J35" i="6"/>
  <c r="H35" i="6"/>
  <c r="G35" i="6"/>
  <c r="F35" i="6"/>
  <c r="E35" i="6"/>
  <c r="D35" i="6"/>
  <c r="C35" i="6"/>
  <c r="B35" i="6"/>
  <c r="A35" i="6"/>
  <c r="AC34" i="6"/>
  <c r="AB34" i="6"/>
  <c r="AA34" i="6"/>
  <c r="Z34" i="6"/>
  <c r="Y34" i="6"/>
  <c r="X34" i="6"/>
  <c r="W34" i="6"/>
  <c r="V34" i="6"/>
  <c r="U34" i="6"/>
  <c r="T34" i="6"/>
  <c r="S34" i="6"/>
  <c r="R34" i="6"/>
  <c r="Q34" i="6"/>
  <c r="P34" i="6"/>
  <c r="O34" i="6"/>
  <c r="N34" i="6"/>
  <c r="M34" i="6"/>
  <c r="L34" i="6"/>
  <c r="K34" i="6"/>
  <c r="J34" i="6"/>
  <c r="H34" i="6"/>
  <c r="G34" i="6"/>
  <c r="F34" i="6"/>
  <c r="E34" i="6"/>
  <c r="D34" i="6"/>
  <c r="C34" i="6"/>
  <c r="B34" i="6"/>
  <c r="A34" i="6"/>
  <c r="AC33" i="6"/>
  <c r="AB33" i="6"/>
  <c r="AA33" i="6"/>
  <c r="Z33" i="6"/>
  <c r="Y33" i="6"/>
  <c r="X33" i="6"/>
  <c r="W33" i="6"/>
  <c r="V33" i="6"/>
  <c r="U33" i="6"/>
  <c r="T33" i="6"/>
  <c r="S33" i="6"/>
  <c r="R33" i="6"/>
  <c r="Q33" i="6"/>
  <c r="P33" i="6"/>
  <c r="O33" i="6"/>
  <c r="N33" i="6"/>
  <c r="M33" i="6"/>
  <c r="L33" i="6"/>
  <c r="K33" i="6"/>
  <c r="J33" i="6"/>
  <c r="H33" i="6"/>
  <c r="G33" i="6"/>
  <c r="F33" i="6"/>
  <c r="E33" i="6"/>
  <c r="D33" i="6"/>
  <c r="C33" i="6"/>
  <c r="B33" i="6"/>
  <c r="A33" i="6"/>
  <c r="AC32" i="6"/>
  <c r="AB32" i="6"/>
  <c r="AA32" i="6"/>
  <c r="Z32" i="6"/>
  <c r="Y32" i="6"/>
  <c r="X32" i="6"/>
  <c r="W32" i="6"/>
  <c r="V32" i="6"/>
  <c r="U32" i="6"/>
  <c r="T32" i="6"/>
  <c r="S32" i="6"/>
  <c r="R32" i="6"/>
  <c r="Q32" i="6"/>
  <c r="P32" i="6"/>
  <c r="O32" i="6"/>
  <c r="N32" i="6"/>
  <c r="M32" i="6"/>
  <c r="L32" i="6"/>
  <c r="K32" i="6"/>
  <c r="J32" i="6"/>
  <c r="H32" i="6"/>
  <c r="G32" i="6"/>
  <c r="F32" i="6"/>
  <c r="E32" i="6"/>
  <c r="D32" i="6"/>
  <c r="C32" i="6"/>
  <c r="B32" i="6"/>
  <c r="A32" i="6"/>
  <c r="AC31" i="6"/>
  <c r="AB31" i="6"/>
  <c r="AA31" i="6"/>
  <c r="Z31" i="6"/>
  <c r="Y31" i="6"/>
  <c r="X31" i="6"/>
  <c r="W31" i="6"/>
  <c r="V31" i="6"/>
  <c r="U31" i="6"/>
  <c r="T31" i="6"/>
  <c r="S31" i="6"/>
  <c r="R31" i="6"/>
  <c r="Q31" i="6"/>
  <c r="P31" i="6"/>
  <c r="O31" i="6"/>
  <c r="N31" i="6"/>
  <c r="M31" i="6"/>
  <c r="L31" i="6"/>
  <c r="K31" i="6"/>
  <c r="J31" i="6"/>
  <c r="I31" i="6"/>
  <c r="H31" i="6"/>
  <c r="G31" i="6"/>
  <c r="F31" i="6"/>
  <c r="E31" i="6"/>
  <c r="D31" i="6"/>
  <c r="C31" i="6"/>
  <c r="B31" i="6"/>
  <c r="A31" i="6"/>
  <c r="AC30" i="6"/>
  <c r="AB30" i="6"/>
  <c r="AA30" i="6"/>
  <c r="Z30" i="6"/>
  <c r="Y30" i="6"/>
  <c r="X30" i="6"/>
  <c r="W30" i="6"/>
  <c r="V30" i="6"/>
  <c r="U30" i="6"/>
  <c r="T30" i="6"/>
  <c r="S30" i="6"/>
  <c r="R30" i="6"/>
  <c r="Q30" i="6"/>
  <c r="P30" i="6"/>
  <c r="O30" i="6"/>
  <c r="N30" i="6"/>
  <c r="M30" i="6"/>
  <c r="L30" i="6"/>
  <c r="K30" i="6"/>
  <c r="J30" i="6"/>
  <c r="I30" i="6"/>
  <c r="H30" i="6"/>
  <c r="G30" i="6"/>
  <c r="F30" i="6"/>
  <c r="E30" i="6"/>
  <c r="D30" i="6"/>
  <c r="C30" i="6"/>
  <c r="B30" i="6"/>
  <c r="A30" i="6"/>
  <c r="AC29" i="6"/>
  <c r="AB29" i="6"/>
  <c r="AA29" i="6"/>
  <c r="Z29" i="6"/>
  <c r="Y29" i="6"/>
  <c r="X29" i="6"/>
  <c r="W29" i="6"/>
  <c r="V29" i="6"/>
  <c r="U29" i="6"/>
  <c r="T29" i="6"/>
  <c r="S29" i="6"/>
  <c r="R29" i="6"/>
  <c r="Q29" i="6"/>
  <c r="P29" i="6"/>
  <c r="O29" i="6"/>
  <c r="N29" i="6"/>
  <c r="M29" i="6"/>
  <c r="L29" i="6"/>
  <c r="K29" i="6"/>
  <c r="J29" i="6"/>
  <c r="H29" i="6"/>
  <c r="G29" i="6"/>
  <c r="F29" i="6"/>
  <c r="E29" i="6"/>
  <c r="D29" i="6"/>
  <c r="C29" i="6"/>
  <c r="B29" i="6"/>
  <c r="A29" i="6"/>
  <c r="AD28" i="6"/>
  <c r="AC28" i="6"/>
  <c r="AB28" i="6"/>
  <c r="AA28" i="6"/>
  <c r="Z28" i="6"/>
  <c r="Y28" i="6"/>
  <c r="X28" i="6"/>
  <c r="W28" i="6"/>
  <c r="V28" i="6"/>
  <c r="U28" i="6"/>
  <c r="T28" i="6"/>
  <c r="S28" i="6"/>
  <c r="R28" i="6"/>
  <c r="Q28" i="6"/>
  <c r="P28" i="6"/>
  <c r="O28" i="6"/>
  <c r="N28" i="6"/>
  <c r="M28" i="6"/>
  <c r="L28" i="6"/>
  <c r="K28" i="6"/>
  <c r="J28" i="6"/>
  <c r="I28" i="6"/>
  <c r="H28" i="6"/>
  <c r="G28" i="6"/>
  <c r="F28" i="6"/>
  <c r="E28" i="6"/>
  <c r="D28" i="6"/>
  <c r="C28" i="6"/>
  <c r="B28" i="6"/>
  <c r="A28" i="6"/>
  <c r="AC27" i="6"/>
  <c r="AB27" i="6"/>
  <c r="AA27" i="6"/>
  <c r="Z27" i="6"/>
  <c r="Y27" i="6"/>
  <c r="X27" i="6"/>
  <c r="W27" i="6"/>
  <c r="V27" i="6"/>
  <c r="U27" i="6"/>
  <c r="T27" i="6"/>
  <c r="S27" i="6"/>
  <c r="R27" i="6"/>
  <c r="Q27" i="6"/>
  <c r="P27" i="6"/>
  <c r="O27" i="6"/>
  <c r="N27" i="6"/>
  <c r="M27" i="6"/>
  <c r="L27" i="6"/>
  <c r="K27" i="6"/>
  <c r="J27" i="6"/>
  <c r="H27" i="6"/>
  <c r="G27" i="6"/>
  <c r="F27" i="6"/>
  <c r="E27" i="6"/>
  <c r="D27" i="6"/>
  <c r="C27" i="6"/>
  <c r="B27" i="6"/>
  <c r="A27" i="6"/>
  <c r="AC26" i="6"/>
  <c r="AB26" i="6"/>
  <c r="AA26" i="6"/>
  <c r="Z26" i="6"/>
  <c r="Y26" i="6"/>
  <c r="X26" i="6"/>
  <c r="W26" i="6"/>
  <c r="V26" i="6"/>
  <c r="U26" i="6"/>
  <c r="T26" i="6"/>
  <c r="S26" i="6"/>
  <c r="R26" i="6"/>
  <c r="Q26" i="6"/>
  <c r="P26" i="6"/>
  <c r="O26" i="6"/>
  <c r="N26" i="6"/>
  <c r="M26" i="6"/>
  <c r="L26" i="6"/>
  <c r="K26" i="6"/>
  <c r="J26" i="6"/>
  <c r="H26" i="6"/>
  <c r="G26" i="6"/>
  <c r="F26" i="6"/>
  <c r="E26" i="6"/>
  <c r="D26" i="6"/>
  <c r="C26" i="6"/>
  <c r="B26" i="6"/>
  <c r="A26" i="6"/>
  <c r="AC25" i="6"/>
  <c r="AB25" i="6"/>
  <c r="AA25" i="6"/>
  <c r="Z25" i="6"/>
  <c r="Y25" i="6"/>
  <c r="X25" i="6"/>
  <c r="W25" i="6"/>
  <c r="V25" i="6"/>
  <c r="U25" i="6"/>
  <c r="T25" i="6"/>
  <c r="S25" i="6"/>
  <c r="R25" i="6"/>
  <c r="Q25" i="6"/>
  <c r="P25" i="6"/>
  <c r="O25" i="6"/>
  <c r="N25" i="6"/>
  <c r="M25" i="6"/>
  <c r="L25" i="6"/>
  <c r="K25" i="6"/>
  <c r="J25" i="6"/>
  <c r="I25" i="6"/>
  <c r="H25" i="6"/>
  <c r="G25" i="6"/>
  <c r="F25" i="6"/>
  <c r="E25" i="6"/>
  <c r="D25" i="6"/>
  <c r="C25" i="6"/>
  <c r="B25" i="6"/>
  <c r="A25" i="6"/>
  <c r="AC24" i="6"/>
  <c r="AB24" i="6"/>
  <c r="AA24" i="6"/>
  <c r="Z24" i="6"/>
  <c r="Y24" i="6"/>
  <c r="X24" i="6"/>
  <c r="W24" i="6"/>
  <c r="V24" i="6"/>
  <c r="U24" i="6"/>
  <c r="T24" i="6"/>
  <c r="S24" i="6"/>
  <c r="R24" i="6"/>
  <c r="Q24" i="6"/>
  <c r="P24" i="6"/>
  <c r="O24" i="6"/>
  <c r="N24" i="6"/>
  <c r="M24" i="6"/>
  <c r="L24" i="6"/>
  <c r="K24" i="6"/>
  <c r="J24" i="6"/>
  <c r="H24" i="6"/>
  <c r="G24" i="6"/>
  <c r="F24" i="6"/>
  <c r="E24" i="6"/>
  <c r="D24" i="6"/>
  <c r="C24" i="6"/>
  <c r="B24" i="6"/>
  <c r="A24" i="6"/>
  <c r="AD23" i="6"/>
  <c r="AC23" i="6"/>
  <c r="AB23" i="6"/>
  <c r="AA23" i="6"/>
  <c r="Z23" i="6"/>
  <c r="Y23" i="6"/>
  <c r="X23" i="6"/>
  <c r="W23" i="6"/>
  <c r="V23" i="6"/>
  <c r="U23" i="6"/>
  <c r="T23" i="6"/>
  <c r="S23" i="6"/>
  <c r="R23" i="6"/>
  <c r="Q23" i="6"/>
  <c r="P23" i="6"/>
  <c r="O23" i="6"/>
  <c r="N23" i="6"/>
  <c r="M23" i="6"/>
  <c r="L23" i="6"/>
  <c r="K23" i="6"/>
  <c r="J23" i="6"/>
  <c r="I23" i="6"/>
  <c r="H23" i="6"/>
  <c r="G23" i="6"/>
  <c r="F23" i="6"/>
  <c r="E23" i="6"/>
  <c r="D23" i="6"/>
  <c r="C23" i="6"/>
  <c r="B23" i="6"/>
  <c r="A23" i="6"/>
  <c r="AC22" i="6"/>
  <c r="AB22" i="6"/>
  <c r="AA22" i="6"/>
  <c r="Z22" i="6"/>
  <c r="Y22" i="6"/>
  <c r="X22" i="6"/>
  <c r="W22" i="6"/>
  <c r="V22" i="6"/>
  <c r="U22" i="6"/>
  <c r="T22" i="6"/>
  <c r="S22" i="6"/>
  <c r="R22" i="6"/>
  <c r="Q22" i="6"/>
  <c r="P22" i="6"/>
  <c r="O22" i="6"/>
  <c r="N22" i="6"/>
  <c r="M22" i="6"/>
  <c r="L22" i="6"/>
  <c r="K22" i="6"/>
  <c r="J22" i="6"/>
  <c r="H22" i="6"/>
  <c r="G22" i="6"/>
  <c r="F22" i="6"/>
  <c r="E22" i="6"/>
  <c r="D22" i="6"/>
  <c r="C22" i="6"/>
  <c r="B22" i="6"/>
  <c r="A22" i="6"/>
  <c r="AD21" i="6"/>
  <c r="AC21" i="6"/>
  <c r="AB21" i="6"/>
  <c r="AA21" i="6"/>
  <c r="Z21" i="6"/>
  <c r="Y21" i="6"/>
  <c r="X21" i="6"/>
  <c r="W21" i="6"/>
  <c r="V21" i="6"/>
  <c r="U21" i="6"/>
  <c r="T21" i="6"/>
  <c r="S21" i="6"/>
  <c r="R21" i="6"/>
  <c r="Q21" i="6"/>
  <c r="P21" i="6"/>
  <c r="O21" i="6"/>
  <c r="N21" i="6"/>
  <c r="M21" i="6"/>
  <c r="L21" i="6"/>
  <c r="K21" i="6"/>
  <c r="J21" i="6"/>
  <c r="I21" i="6"/>
  <c r="H21" i="6"/>
  <c r="G21" i="6"/>
  <c r="F21" i="6"/>
  <c r="E21" i="6"/>
  <c r="D21" i="6"/>
  <c r="C21" i="6"/>
  <c r="B21" i="6"/>
  <c r="A21" i="6"/>
  <c r="AC20" i="6"/>
  <c r="AB20" i="6"/>
  <c r="AA20" i="6"/>
  <c r="Z20" i="6"/>
  <c r="Y20" i="6"/>
  <c r="X20" i="6"/>
  <c r="W20" i="6"/>
  <c r="V20" i="6"/>
  <c r="U20" i="6"/>
  <c r="T20" i="6"/>
  <c r="S20" i="6"/>
  <c r="R20" i="6"/>
  <c r="Q20" i="6"/>
  <c r="P20" i="6"/>
  <c r="O20" i="6"/>
  <c r="N20" i="6"/>
  <c r="M20" i="6"/>
  <c r="L20" i="6"/>
  <c r="K20" i="6"/>
  <c r="J20" i="6"/>
  <c r="H20" i="6"/>
  <c r="G20" i="6"/>
  <c r="F20" i="6"/>
  <c r="E20" i="6"/>
  <c r="D20" i="6"/>
  <c r="C20" i="6"/>
  <c r="B20" i="6"/>
  <c r="A20" i="6"/>
  <c r="AC19" i="6"/>
  <c r="AB19" i="6"/>
  <c r="AA19" i="6"/>
  <c r="Z19" i="6"/>
  <c r="Y19" i="6"/>
  <c r="X19" i="6"/>
  <c r="W19" i="6"/>
  <c r="V19" i="6"/>
  <c r="U19" i="6"/>
  <c r="T19" i="6"/>
  <c r="S19" i="6"/>
  <c r="R19" i="6"/>
  <c r="Q19" i="6"/>
  <c r="P19" i="6"/>
  <c r="O19" i="6"/>
  <c r="N19" i="6"/>
  <c r="M19" i="6"/>
  <c r="L19" i="6"/>
  <c r="K19" i="6"/>
  <c r="J19" i="6"/>
  <c r="H19" i="6"/>
  <c r="G19" i="6"/>
  <c r="F19" i="6"/>
  <c r="E19" i="6"/>
  <c r="D19" i="6"/>
  <c r="C19" i="6"/>
  <c r="B19" i="6"/>
  <c r="A19" i="6"/>
  <c r="AC18" i="6"/>
  <c r="AB18" i="6"/>
  <c r="AA18" i="6"/>
  <c r="Z18" i="6"/>
  <c r="Y18" i="6"/>
  <c r="X18" i="6"/>
  <c r="W18" i="6"/>
  <c r="V18" i="6"/>
  <c r="U18" i="6"/>
  <c r="T18" i="6"/>
  <c r="S18" i="6"/>
  <c r="R18" i="6"/>
  <c r="Q18" i="6"/>
  <c r="P18" i="6"/>
  <c r="O18" i="6"/>
  <c r="N18" i="6"/>
  <c r="M18" i="6"/>
  <c r="L18" i="6"/>
  <c r="K18" i="6"/>
  <c r="J18" i="6"/>
  <c r="H18" i="6"/>
  <c r="G18" i="6"/>
  <c r="F18" i="6"/>
  <c r="E18" i="6"/>
  <c r="D18" i="6"/>
  <c r="C18" i="6"/>
  <c r="B18" i="6"/>
  <c r="A18" i="6"/>
  <c r="AC17" i="6"/>
  <c r="AB17" i="6"/>
  <c r="AA17" i="6"/>
  <c r="Z17" i="6"/>
  <c r="Y17" i="6"/>
  <c r="X17" i="6"/>
  <c r="W17" i="6"/>
  <c r="V17" i="6"/>
  <c r="U17" i="6"/>
  <c r="T17" i="6"/>
  <c r="S17" i="6"/>
  <c r="R17" i="6"/>
  <c r="Q17" i="6"/>
  <c r="P17" i="6"/>
  <c r="O17" i="6"/>
  <c r="N17" i="6"/>
  <c r="M17" i="6"/>
  <c r="L17" i="6"/>
  <c r="K17" i="6"/>
  <c r="J17" i="6"/>
  <c r="I17" i="6"/>
  <c r="H17" i="6"/>
  <c r="G17" i="6"/>
  <c r="F17" i="6"/>
  <c r="E17" i="6"/>
  <c r="D17" i="6"/>
  <c r="C17" i="6"/>
  <c r="B17" i="6"/>
  <c r="A17" i="6"/>
  <c r="AD16" i="6"/>
  <c r="AC16" i="6"/>
  <c r="AB16" i="6"/>
  <c r="AA16" i="6"/>
  <c r="Z16" i="6"/>
  <c r="Y16" i="6"/>
  <c r="X16" i="6"/>
  <c r="W16" i="6"/>
  <c r="V16" i="6"/>
  <c r="U16" i="6"/>
  <c r="T16" i="6"/>
  <c r="S16" i="6"/>
  <c r="R16" i="6"/>
  <c r="Q16" i="6"/>
  <c r="P16" i="6"/>
  <c r="O16" i="6"/>
  <c r="N16" i="6"/>
  <c r="M16" i="6"/>
  <c r="L16" i="6"/>
  <c r="K16" i="6"/>
  <c r="J16" i="6"/>
  <c r="I16" i="6"/>
  <c r="H16" i="6"/>
  <c r="G16" i="6"/>
  <c r="F16" i="6"/>
  <c r="E16" i="6"/>
  <c r="D16" i="6"/>
  <c r="C16" i="6"/>
  <c r="B16" i="6"/>
  <c r="A16" i="6"/>
  <c r="AD15" i="6"/>
  <c r="AC15" i="6"/>
  <c r="AB15" i="6"/>
  <c r="AA15" i="6"/>
  <c r="Z15" i="6"/>
  <c r="Y15" i="6"/>
  <c r="X15" i="6"/>
  <c r="W15" i="6"/>
  <c r="V15" i="6"/>
  <c r="U15" i="6"/>
  <c r="T15" i="6"/>
  <c r="S15" i="6"/>
  <c r="R15" i="6"/>
  <c r="Q15" i="6"/>
  <c r="P15" i="6"/>
  <c r="O15" i="6"/>
  <c r="N15" i="6"/>
  <c r="M15" i="6"/>
  <c r="L15" i="6"/>
  <c r="K15" i="6"/>
  <c r="J15" i="6"/>
  <c r="I15" i="6"/>
  <c r="H15" i="6"/>
  <c r="G15" i="6"/>
  <c r="F15" i="6"/>
  <c r="E15" i="6"/>
  <c r="D15" i="6"/>
  <c r="C15" i="6"/>
  <c r="B15" i="6"/>
  <c r="A15" i="6"/>
  <c r="AC14" i="6"/>
  <c r="AB14" i="6"/>
  <c r="AA14" i="6"/>
  <c r="Z14" i="6"/>
  <c r="Y14" i="6"/>
  <c r="X14" i="6"/>
  <c r="W14" i="6"/>
  <c r="V14" i="6"/>
  <c r="U14" i="6"/>
  <c r="T14" i="6"/>
  <c r="S14" i="6"/>
  <c r="R14" i="6"/>
  <c r="Q14" i="6"/>
  <c r="P14" i="6"/>
  <c r="O14" i="6"/>
  <c r="N14" i="6"/>
  <c r="M14" i="6"/>
  <c r="L14" i="6"/>
  <c r="K14" i="6"/>
  <c r="J14" i="6"/>
  <c r="I14" i="6"/>
  <c r="H14" i="6"/>
  <c r="G14" i="6"/>
  <c r="F14" i="6"/>
  <c r="E14" i="6"/>
  <c r="D14" i="6"/>
  <c r="C14" i="6"/>
  <c r="B14" i="6"/>
  <c r="A14" i="6"/>
  <c r="AC13" i="6"/>
  <c r="AB13" i="6"/>
  <c r="AA13" i="6"/>
  <c r="Z13" i="6"/>
  <c r="Y13" i="6"/>
  <c r="X13" i="6"/>
  <c r="W13" i="6"/>
  <c r="V13" i="6"/>
  <c r="U13" i="6"/>
  <c r="T13" i="6"/>
  <c r="S13" i="6"/>
  <c r="R13" i="6"/>
  <c r="Q13" i="6"/>
  <c r="P13" i="6"/>
  <c r="O13" i="6"/>
  <c r="N13" i="6"/>
  <c r="M13" i="6"/>
  <c r="L13" i="6"/>
  <c r="K13" i="6"/>
  <c r="J13" i="6"/>
  <c r="H13" i="6"/>
  <c r="G13" i="6"/>
  <c r="F13" i="6"/>
  <c r="E13" i="6"/>
  <c r="D13" i="6"/>
  <c r="C13" i="6"/>
  <c r="B13" i="6"/>
  <c r="A13" i="6"/>
  <c r="AC12" i="6"/>
  <c r="AB12" i="6"/>
  <c r="AA12" i="6"/>
  <c r="Z12" i="6"/>
  <c r="Y12" i="6"/>
  <c r="X12" i="6"/>
  <c r="W12" i="6"/>
  <c r="V12" i="6"/>
  <c r="U12" i="6"/>
  <c r="T12" i="6"/>
  <c r="S12" i="6"/>
  <c r="R12" i="6"/>
  <c r="Q12" i="6"/>
  <c r="P12" i="6"/>
  <c r="O12" i="6"/>
  <c r="N12" i="6"/>
  <c r="M12" i="6"/>
  <c r="L12" i="6"/>
  <c r="K12" i="6"/>
  <c r="J12" i="6"/>
  <c r="H12" i="6"/>
  <c r="G12" i="6"/>
  <c r="F12" i="6"/>
  <c r="E12" i="6"/>
  <c r="D12" i="6"/>
  <c r="C12" i="6"/>
  <c r="B12" i="6"/>
  <c r="A12" i="6"/>
  <c r="AC11" i="6"/>
  <c r="AB11" i="6"/>
  <c r="AA11" i="6"/>
  <c r="Z11" i="6"/>
  <c r="Y11" i="6"/>
  <c r="X11" i="6"/>
  <c r="W11" i="6"/>
  <c r="V11" i="6"/>
  <c r="U11" i="6"/>
  <c r="T11" i="6"/>
  <c r="S11" i="6"/>
  <c r="R11" i="6"/>
  <c r="Q11" i="6"/>
  <c r="P11" i="6"/>
  <c r="O11" i="6"/>
  <c r="N11" i="6"/>
  <c r="M11" i="6"/>
  <c r="L11" i="6"/>
  <c r="K11" i="6"/>
  <c r="J11" i="6"/>
  <c r="I11" i="6"/>
  <c r="H11" i="6"/>
  <c r="G11" i="6"/>
  <c r="F11" i="6"/>
  <c r="E11" i="6"/>
  <c r="D11" i="6"/>
  <c r="C11" i="6"/>
  <c r="B11" i="6"/>
  <c r="A11" i="6"/>
  <c r="AC10" i="6"/>
  <c r="AB10" i="6"/>
  <c r="AA10" i="6"/>
  <c r="Z10" i="6"/>
  <c r="Y10" i="6"/>
  <c r="X10" i="6"/>
  <c r="W10" i="6"/>
  <c r="V10" i="6"/>
  <c r="U10" i="6"/>
  <c r="T10" i="6"/>
  <c r="S10" i="6"/>
  <c r="R10" i="6"/>
  <c r="Q10" i="6"/>
  <c r="P10" i="6"/>
  <c r="O10" i="6"/>
  <c r="N10" i="6"/>
  <c r="M10" i="6"/>
  <c r="L10" i="6"/>
  <c r="K10" i="6"/>
  <c r="J10" i="6"/>
  <c r="I10" i="6"/>
  <c r="H10" i="6"/>
  <c r="G10" i="6"/>
  <c r="F10" i="6"/>
  <c r="E10" i="6"/>
  <c r="D10" i="6"/>
  <c r="C10" i="6"/>
  <c r="B10" i="6"/>
  <c r="A10" i="6"/>
  <c r="AC9" i="6"/>
  <c r="AB9" i="6"/>
  <c r="AA9" i="6"/>
  <c r="Z9" i="6"/>
  <c r="Y9" i="6"/>
  <c r="X9" i="6"/>
  <c r="W9" i="6"/>
  <c r="V9" i="6"/>
  <c r="U9" i="6"/>
  <c r="T9" i="6"/>
  <c r="S9" i="6"/>
  <c r="R9" i="6"/>
  <c r="Q9" i="6"/>
  <c r="P9" i="6"/>
  <c r="O9" i="6"/>
  <c r="N9" i="6"/>
  <c r="M9" i="6"/>
  <c r="L9" i="6"/>
  <c r="K9" i="6"/>
  <c r="J9" i="6"/>
  <c r="I9" i="6"/>
  <c r="H9" i="6"/>
  <c r="G9" i="6"/>
  <c r="F9" i="6"/>
  <c r="E9" i="6"/>
  <c r="D9" i="6"/>
  <c r="C9" i="6"/>
  <c r="B9" i="6"/>
  <c r="A9" i="6"/>
  <c r="AD8" i="6"/>
  <c r="AC8" i="6"/>
  <c r="AB8" i="6"/>
  <c r="AA8" i="6"/>
  <c r="Z8" i="6"/>
  <c r="Y8" i="6"/>
  <c r="X8" i="6"/>
  <c r="W8" i="6"/>
  <c r="V8" i="6"/>
  <c r="U8" i="6"/>
  <c r="T8" i="6"/>
  <c r="S8" i="6"/>
  <c r="R8" i="6"/>
  <c r="Q8" i="6"/>
  <c r="P8" i="6"/>
  <c r="O8" i="6"/>
  <c r="N8" i="6"/>
  <c r="M8" i="6"/>
  <c r="L8" i="6"/>
  <c r="K8" i="6"/>
  <c r="J8" i="6"/>
  <c r="I8" i="6"/>
  <c r="H8" i="6"/>
  <c r="G8" i="6"/>
  <c r="F8" i="6"/>
  <c r="E8" i="6"/>
  <c r="D8" i="6"/>
  <c r="C8" i="6"/>
  <c r="B8" i="6"/>
  <c r="A8" i="6"/>
  <c r="AC7" i="6"/>
  <c r="AB7" i="6"/>
  <c r="AA7" i="6"/>
  <c r="Z7" i="6"/>
  <c r="Y7" i="6"/>
  <c r="X7" i="6"/>
  <c r="W7" i="6"/>
  <c r="V7" i="6"/>
  <c r="U7" i="6"/>
  <c r="T7" i="6"/>
  <c r="S7" i="6"/>
  <c r="R7" i="6"/>
  <c r="Q7" i="6"/>
  <c r="P7" i="6"/>
  <c r="O7" i="6"/>
  <c r="N7" i="6"/>
  <c r="M7" i="6"/>
  <c r="L7" i="6"/>
  <c r="K7" i="6"/>
  <c r="J7" i="6"/>
  <c r="H7" i="6"/>
  <c r="G7" i="6"/>
  <c r="F7" i="6"/>
  <c r="E7" i="6"/>
  <c r="D7" i="6"/>
  <c r="C7" i="6"/>
  <c r="B7" i="6"/>
  <c r="A7" i="6"/>
  <c r="AC6" i="6"/>
  <c r="AB6" i="6"/>
  <c r="AA6" i="6"/>
  <c r="Z6" i="6"/>
  <c r="Y6" i="6"/>
  <c r="X6" i="6"/>
  <c r="W6" i="6"/>
  <c r="V6" i="6"/>
  <c r="U6" i="6"/>
  <c r="T6" i="6"/>
  <c r="S6" i="6"/>
  <c r="R6" i="6"/>
  <c r="Q6" i="6"/>
  <c r="P6" i="6"/>
  <c r="O6" i="6"/>
  <c r="N6" i="6"/>
  <c r="M6" i="6"/>
  <c r="L6" i="6"/>
  <c r="K6" i="6"/>
  <c r="J6" i="6"/>
  <c r="H6" i="6"/>
  <c r="G6" i="6"/>
  <c r="F6" i="6"/>
  <c r="E6" i="6"/>
  <c r="D6" i="6"/>
  <c r="C6" i="6"/>
  <c r="B6" i="6"/>
  <c r="A6" i="6"/>
  <c r="AC5" i="6"/>
  <c r="AB5" i="6"/>
  <c r="AA5" i="6"/>
  <c r="Z5" i="6"/>
  <c r="Y5" i="6"/>
  <c r="X5" i="6"/>
  <c r="W5" i="6"/>
  <c r="V5" i="6"/>
  <c r="U5" i="6"/>
  <c r="T5" i="6"/>
  <c r="S5" i="6"/>
  <c r="R5" i="6"/>
  <c r="Q5" i="6"/>
  <c r="P5" i="6"/>
  <c r="O5" i="6"/>
  <c r="N5" i="6"/>
  <c r="M5" i="6"/>
  <c r="L5" i="6"/>
  <c r="K5" i="6"/>
  <c r="J5" i="6"/>
  <c r="H5" i="6"/>
  <c r="G5" i="6"/>
  <c r="F5" i="6"/>
  <c r="E5" i="6"/>
  <c r="D5" i="6"/>
  <c r="C5" i="6"/>
  <c r="B5" i="6"/>
  <c r="A5" i="6"/>
  <c r="AC4" i="6"/>
  <c r="AB4" i="6"/>
  <c r="AA4" i="6"/>
  <c r="Z4" i="6"/>
  <c r="Y4" i="6"/>
  <c r="X4" i="6"/>
  <c r="W4" i="6"/>
  <c r="V4" i="6"/>
  <c r="U4" i="6"/>
  <c r="T4" i="6"/>
  <c r="S4" i="6"/>
  <c r="R4" i="6"/>
  <c r="Q4" i="6"/>
  <c r="P4" i="6"/>
  <c r="O4" i="6"/>
  <c r="N4" i="6"/>
  <c r="M4" i="6"/>
  <c r="L4" i="6"/>
  <c r="K4" i="6"/>
  <c r="J4" i="6"/>
  <c r="H4" i="6"/>
  <c r="G4" i="6"/>
  <c r="F4" i="6"/>
  <c r="E4" i="6"/>
  <c r="D4" i="6"/>
  <c r="C4" i="6"/>
  <c r="B4" i="6"/>
  <c r="A4" i="6"/>
  <c r="AD3" i="6"/>
  <c r="AC3" i="6"/>
  <c r="AB3" i="6"/>
  <c r="AA3" i="6"/>
  <c r="Z3" i="6"/>
  <c r="Y3" i="6"/>
  <c r="X3" i="6"/>
  <c r="W3" i="6"/>
  <c r="V3" i="6"/>
  <c r="U3" i="6"/>
  <c r="T3" i="6"/>
  <c r="S3" i="6"/>
  <c r="R3" i="6"/>
  <c r="Q3" i="6"/>
  <c r="P3" i="6"/>
  <c r="O3" i="6"/>
  <c r="N3" i="6"/>
  <c r="M3" i="6"/>
  <c r="L3" i="6"/>
  <c r="K3" i="6"/>
  <c r="J3" i="6"/>
  <c r="I3" i="6"/>
  <c r="H3" i="6"/>
  <c r="G3" i="6"/>
  <c r="F3" i="6"/>
  <c r="E3" i="6"/>
  <c r="D3" i="6"/>
  <c r="C3" i="6"/>
  <c r="B3" i="6"/>
  <c r="A3" i="6"/>
  <c r="Y2" i="6"/>
  <c r="T2" i="6"/>
  <c r="J2" i="6"/>
  <c r="B2" i="6"/>
  <c r="Y1" i="6"/>
  <c r="T1" i="6"/>
  <c r="O1" i="6"/>
  <c r="J1" i="6"/>
  <c r="B1" i="6"/>
  <c r="A1" i="6"/>
  <c r="A2" i="4"/>
  <c r="I2058" i="3"/>
  <c r="H2058" i="3"/>
  <c r="D2058" i="3"/>
  <c r="C2058" i="3"/>
  <c r="B2058" i="3"/>
  <c r="I2057" i="3"/>
  <c r="H2057" i="3"/>
  <c r="G2057" i="3"/>
  <c r="F2057" i="3"/>
  <c r="E2057" i="3"/>
  <c r="D2057" i="3"/>
  <c r="C2057" i="3"/>
  <c r="B2057" i="3"/>
  <c r="A2057" i="3"/>
  <c r="I2056" i="3"/>
  <c r="H2056" i="3"/>
  <c r="G2056" i="3"/>
  <c r="F2056" i="3"/>
  <c r="E2056" i="3"/>
  <c r="D2056" i="3"/>
  <c r="C2056" i="3"/>
  <c r="B2056" i="3"/>
  <c r="A2056" i="3"/>
  <c r="I2055" i="3"/>
  <c r="H2055" i="3"/>
  <c r="G2055" i="3"/>
  <c r="F2055" i="3"/>
  <c r="E2055" i="3"/>
  <c r="D2055" i="3"/>
  <c r="C2055" i="3"/>
  <c r="B2055" i="3"/>
  <c r="A2055" i="3"/>
  <c r="I2054" i="3"/>
  <c r="H2054" i="3"/>
  <c r="G2054" i="3"/>
  <c r="F2054" i="3"/>
  <c r="E2054" i="3"/>
  <c r="D2054" i="3"/>
  <c r="C2054" i="3"/>
  <c r="B2054" i="3"/>
  <c r="A2054" i="3"/>
  <c r="I2053" i="3"/>
  <c r="H2053" i="3"/>
  <c r="G2053" i="3"/>
  <c r="E2053" i="3"/>
  <c r="D2053" i="3"/>
  <c r="C2053" i="3"/>
  <c r="B2053" i="3"/>
  <c r="A2053" i="3"/>
  <c r="I2052" i="3"/>
  <c r="H2052" i="3"/>
  <c r="G2052" i="3"/>
  <c r="E2052" i="3"/>
  <c r="D2052" i="3"/>
  <c r="C2052" i="3"/>
  <c r="B2052" i="3"/>
  <c r="A2052" i="3"/>
  <c r="I2051" i="3"/>
  <c r="H2051" i="3"/>
  <c r="G2051" i="3"/>
  <c r="F2051" i="3"/>
  <c r="E2051" i="3"/>
  <c r="D2051" i="3"/>
  <c r="C2051" i="3"/>
  <c r="B2051" i="3"/>
  <c r="A2051" i="3"/>
  <c r="I2050" i="3"/>
  <c r="H2050" i="3"/>
  <c r="G2050" i="3"/>
  <c r="E2050" i="3"/>
  <c r="D2050" i="3"/>
  <c r="C2050" i="3"/>
  <c r="B2050" i="3"/>
  <c r="A2050" i="3"/>
  <c r="I2049" i="3"/>
  <c r="H2049" i="3"/>
  <c r="G2049" i="3"/>
  <c r="F2049" i="3"/>
  <c r="E2049" i="3"/>
  <c r="D2049" i="3"/>
  <c r="C2049" i="3"/>
  <c r="B2049" i="3"/>
  <c r="A2049" i="3"/>
  <c r="I2048" i="3"/>
  <c r="H2048" i="3"/>
  <c r="G2048" i="3"/>
  <c r="E2048" i="3"/>
  <c r="D2048" i="3"/>
  <c r="C2048" i="3"/>
  <c r="B2048" i="3"/>
  <c r="A2048" i="3"/>
  <c r="I2047" i="3"/>
  <c r="H2047" i="3"/>
  <c r="E2047" i="3"/>
  <c r="D2047" i="3"/>
  <c r="C2047" i="3"/>
  <c r="B2047" i="3"/>
  <c r="A2047" i="3"/>
  <c r="I2046" i="3"/>
  <c r="H2046" i="3"/>
  <c r="E2046" i="3"/>
  <c r="D2046" i="3"/>
  <c r="C2046" i="3"/>
  <c r="B2046" i="3"/>
  <c r="A2046" i="3"/>
  <c r="I2045" i="3"/>
  <c r="H2045" i="3"/>
  <c r="F2045" i="3"/>
  <c r="E2045" i="3"/>
  <c r="D2045" i="3"/>
  <c r="C2045" i="3"/>
  <c r="B2045" i="3"/>
  <c r="A2045" i="3"/>
  <c r="I2044" i="3"/>
  <c r="H2044" i="3"/>
  <c r="E2044" i="3"/>
  <c r="D2044" i="3"/>
  <c r="C2044" i="3"/>
  <c r="B2044" i="3"/>
  <c r="A2044" i="3"/>
  <c r="I2043" i="3"/>
  <c r="H2043" i="3"/>
  <c r="F2043" i="3"/>
  <c r="E2043" i="3"/>
  <c r="D2043" i="3"/>
  <c r="C2043" i="3"/>
  <c r="B2043" i="3"/>
  <c r="A2043" i="3"/>
  <c r="I2042" i="3"/>
  <c r="H2042" i="3"/>
  <c r="E2042" i="3"/>
  <c r="D2042" i="3"/>
  <c r="C2042" i="3"/>
  <c r="B2042" i="3"/>
  <c r="A2042" i="3"/>
  <c r="I2041" i="3"/>
  <c r="H2041" i="3"/>
  <c r="E2041" i="3"/>
  <c r="D2041" i="3"/>
  <c r="C2041" i="3"/>
  <c r="B2041" i="3"/>
  <c r="A2041" i="3"/>
  <c r="I2040" i="3"/>
  <c r="H2040" i="3"/>
  <c r="E2040" i="3"/>
  <c r="D2040" i="3"/>
  <c r="C2040" i="3"/>
  <c r="B2040" i="3"/>
  <c r="A2040" i="3"/>
  <c r="I2039" i="3"/>
  <c r="H2039" i="3"/>
  <c r="E2039" i="3"/>
  <c r="D2039" i="3"/>
  <c r="C2039" i="3"/>
  <c r="B2039" i="3"/>
  <c r="A2039" i="3"/>
  <c r="I2038" i="3"/>
  <c r="H2038" i="3"/>
  <c r="E2038" i="3"/>
  <c r="D2038" i="3"/>
  <c r="C2038" i="3"/>
  <c r="B2038" i="3"/>
  <c r="A2038" i="3"/>
  <c r="I2037" i="3"/>
  <c r="H2037" i="3"/>
  <c r="E2037" i="3"/>
  <c r="D2037" i="3"/>
  <c r="C2037" i="3"/>
  <c r="B2037" i="3"/>
  <c r="A2037" i="3"/>
  <c r="I2036" i="3"/>
  <c r="H2036" i="3"/>
  <c r="E2036" i="3"/>
  <c r="D2036" i="3"/>
  <c r="C2036" i="3"/>
  <c r="B2036" i="3"/>
  <c r="A2036" i="3"/>
  <c r="I2035" i="3"/>
  <c r="H2035" i="3"/>
  <c r="E2035" i="3"/>
  <c r="D2035" i="3"/>
  <c r="C2035" i="3"/>
  <c r="B2035" i="3"/>
  <c r="A2035" i="3"/>
  <c r="I2034" i="3"/>
  <c r="H2034" i="3"/>
  <c r="F2034" i="3"/>
  <c r="E2034" i="3"/>
  <c r="D2034" i="3"/>
  <c r="C2034" i="3"/>
  <c r="B2034" i="3"/>
  <c r="A2034" i="3"/>
  <c r="I2033" i="3"/>
  <c r="H2033" i="3"/>
  <c r="F2033" i="3"/>
  <c r="E2033" i="3"/>
  <c r="D2033" i="3"/>
  <c r="C2033" i="3"/>
  <c r="B2033" i="3"/>
  <c r="A2033" i="3"/>
  <c r="I2032" i="3"/>
  <c r="H2032" i="3"/>
  <c r="E2032" i="3"/>
  <c r="D2032" i="3"/>
  <c r="C2032" i="3"/>
  <c r="B2032" i="3"/>
  <c r="A2032" i="3"/>
  <c r="I2031" i="3"/>
  <c r="H2031" i="3"/>
  <c r="E2031" i="3"/>
  <c r="D2031" i="3"/>
  <c r="C2031" i="3"/>
  <c r="B2031" i="3"/>
  <c r="A2031" i="3"/>
  <c r="I2030" i="3"/>
  <c r="H2030" i="3"/>
  <c r="F2030" i="3"/>
  <c r="E2030" i="3"/>
  <c r="D2030" i="3"/>
  <c r="C2030" i="3"/>
  <c r="B2030" i="3"/>
  <c r="A2030" i="3"/>
  <c r="I2029" i="3"/>
  <c r="H2029" i="3"/>
  <c r="E2029" i="3"/>
  <c r="D2029" i="3"/>
  <c r="C2029" i="3"/>
  <c r="B2029" i="3"/>
  <c r="A2029" i="3"/>
  <c r="I2028" i="3"/>
  <c r="H2028" i="3"/>
  <c r="E2028" i="3"/>
  <c r="D2028" i="3"/>
  <c r="C2028" i="3"/>
  <c r="B2028" i="3"/>
  <c r="A2028" i="3"/>
  <c r="I2027" i="3"/>
  <c r="H2027" i="3"/>
  <c r="E2027" i="3"/>
  <c r="D2027" i="3"/>
  <c r="C2027" i="3"/>
  <c r="B2027" i="3"/>
  <c r="A2027" i="3"/>
  <c r="I2026" i="3"/>
  <c r="H2026" i="3"/>
  <c r="E2026" i="3"/>
  <c r="D2026" i="3"/>
  <c r="C2026" i="3"/>
  <c r="B2026" i="3"/>
  <c r="A2026" i="3"/>
  <c r="I2025" i="3"/>
  <c r="H2025" i="3"/>
  <c r="E2025" i="3"/>
  <c r="D2025" i="3"/>
  <c r="C2025" i="3"/>
  <c r="B2025" i="3"/>
  <c r="A2025" i="3"/>
  <c r="I2024" i="3"/>
  <c r="H2024" i="3"/>
  <c r="E2024" i="3"/>
  <c r="D2024" i="3"/>
  <c r="C2024" i="3"/>
  <c r="B2024" i="3"/>
  <c r="A2024" i="3"/>
  <c r="I2023" i="3"/>
  <c r="H2023" i="3"/>
  <c r="E2023" i="3"/>
  <c r="D2023" i="3"/>
  <c r="C2023" i="3"/>
  <c r="B2023" i="3"/>
  <c r="A2023" i="3"/>
  <c r="I2022" i="3"/>
  <c r="H2022" i="3"/>
  <c r="E2022" i="3"/>
  <c r="D2022" i="3"/>
  <c r="C2022" i="3"/>
  <c r="B2022" i="3"/>
  <c r="A2022" i="3"/>
  <c r="I2021" i="3"/>
  <c r="H2021" i="3"/>
  <c r="E2021" i="3"/>
  <c r="D2021" i="3"/>
  <c r="C2021" i="3"/>
  <c r="B2021" i="3"/>
  <c r="A2021" i="3"/>
  <c r="I2020" i="3"/>
  <c r="H2020" i="3"/>
  <c r="E2020" i="3"/>
  <c r="D2020" i="3"/>
  <c r="C2020" i="3"/>
  <c r="B2020" i="3"/>
  <c r="A2020" i="3"/>
  <c r="I2019" i="3"/>
  <c r="H2019" i="3"/>
  <c r="E2019" i="3"/>
  <c r="D2019" i="3"/>
  <c r="C2019" i="3"/>
  <c r="B2019" i="3"/>
  <c r="A2019" i="3"/>
  <c r="I2018" i="3"/>
  <c r="H2018" i="3"/>
  <c r="E2018" i="3"/>
  <c r="D2018" i="3"/>
  <c r="C2018" i="3"/>
  <c r="B2018" i="3"/>
  <c r="A2018" i="3"/>
  <c r="I2017" i="3"/>
  <c r="H2017" i="3"/>
  <c r="E2017" i="3"/>
  <c r="D2017" i="3"/>
  <c r="C2017" i="3"/>
  <c r="B2017" i="3"/>
  <c r="A2017" i="3"/>
  <c r="I2016" i="3"/>
  <c r="H2016" i="3"/>
  <c r="E2016" i="3"/>
  <c r="D2016" i="3"/>
  <c r="C2016" i="3"/>
  <c r="B2016" i="3"/>
  <c r="A2016" i="3"/>
  <c r="I2015" i="3"/>
  <c r="H2015" i="3"/>
  <c r="E2015" i="3"/>
  <c r="D2015" i="3"/>
  <c r="C2015" i="3"/>
  <c r="B2015" i="3"/>
  <c r="A2015" i="3"/>
  <c r="I2014" i="3"/>
  <c r="H2014" i="3"/>
  <c r="E2014" i="3"/>
  <c r="D2014" i="3"/>
  <c r="C2014" i="3"/>
  <c r="B2014" i="3"/>
  <c r="A2014" i="3"/>
  <c r="I2013" i="3"/>
  <c r="H2013" i="3"/>
  <c r="E2013" i="3"/>
  <c r="D2013" i="3"/>
  <c r="C2013" i="3"/>
  <c r="B2013" i="3"/>
  <c r="A2013" i="3"/>
  <c r="I2012" i="3"/>
  <c r="H2012" i="3"/>
  <c r="E2012" i="3"/>
  <c r="D2012" i="3"/>
  <c r="C2012" i="3"/>
  <c r="B2012" i="3"/>
  <c r="A2012" i="3"/>
  <c r="I2011" i="3"/>
  <c r="H2011" i="3"/>
  <c r="E2011" i="3"/>
  <c r="D2011" i="3"/>
  <c r="C2011" i="3"/>
  <c r="B2011" i="3"/>
  <c r="A2011" i="3"/>
  <c r="I2010" i="3"/>
  <c r="H2010" i="3"/>
  <c r="E2010" i="3"/>
  <c r="D2010" i="3"/>
  <c r="C2010" i="3"/>
  <c r="B2010" i="3"/>
  <c r="A2010" i="3"/>
  <c r="I2009" i="3"/>
  <c r="H2009" i="3"/>
  <c r="E2009" i="3"/>
  <c r="D2009" i="3"/>
  <c r="C2009" i="3"/>
  <c r="B2009" i="3"/>
  <c r="A2009" i="3"/>
  <c r="I2008" i="3"/>
  <c r="H2008" i="3"/>
  <c r="E2008" i="3"/>
  <c r="D2008" i="3"/>
  <c r="C2008" i="3"/>
  <c r="B2008" i="3"/>
  <c r="A2008" i="3"/>
  <c r="I2007" i="3"/>
  <c r="H2007" i="3"/>
  <c r="E2007" i="3"/>
  <c r="D2007" i="3"/>
  <c r="C2007" i="3"/>
  <c r="B2007" i="3"/>
  <c r="A2007" i="3"/>
  <c r="I2006" i="3"/>
  <c r="H2006" i="3"/>
  <c r="E2006" i="3"/>
  <c r="D2006" i="3"/>
  <c r="C2006" i="3"/>
  <c r="B2006" i="3"/>
  <c r="A2006" i="3"/>
  <c r="I2005" i="3"/>
  <c r="H2005" i="3"/>
  <c r="E2005" i="3"/>
  <c r="D2005" i="3"/>
  <c r="C2005" i="3"/>
  <c r="B2005" i="3"/>
  <c r="A2005" i="3"/>
  <c r="I2004" i="3"/>
  <c r="H2004" i="3"/>
  <c r="E2004" i="3"/>
  <c r="D2004" i="3"/>
  <c r="C2004" i="3"/>
  <c r="B2004" i="3"/>
  <c r="A2004" i="3"/>
  <c r="I2003" i="3"/>
  <c r="H2003" i="3"/>
  <c r="E2003" i="3"/>
  <c r="D2003" i="3"/>
  <c r="C2003" i="3"/>
  <c r="B2003" i="3"/>
  <c r="A2003" i="3"/>
  <c r="I2002" i="3"/>
  <c r="H2002" i="3"/>
  <c r="E2002" i="3"/>
  <c r="D2002" i="3"/>
  <c r="C2002" i="3"/>
  <c r="B2002" i="3"/>
  <c r="A2002" i="3"/>
  <c r="I2001" i="3"/>
  <c r="H2001" i="3"/>
  <c r="E2001" i="3"/>
  <c r="D2001" i="3"/>
  <c r="C2001" i="3"/>
  <c r="B2001" i="3"/>
  <c r="A2001" i="3"/>
  <c r="I2000" i="3"/>
  <c r="H2000" i="3"/>
  <c r="F2000" i="3"/>
  <c r="E2000" i="3"/>
  <c r="D2000" i="3"/>
  <c r="C2000" i="3"/>
  <c r="B2000" i="3"/>
  <c r="A2000" i="3"/>
  <c r="I1999" i="3"/>
  <c r="H1999" i="3"/>
  <c r="F1999" i="3"/>
  <c r="E1999" i="3"/>
  <c r="D1999" i="3"/>
  <c r="C1999" i="3"/>
  <c r="B1999" i="3"/>
  <c r="A1999" i="3"/>
  <c r="I1998" i="3"/>
  <c r="H1998" i="3"/>
  <c r="F1998" i="3"/>
  <c r="E1998" i="3"/>
  <c r="D1998" i="3"/>
  <c r="C1998" i="3"/>
  <c r="B1998" i="3"/>
  <c r="A1998" i="3"/>
  <c r="I1997" i="3"/>
  <c r="H1997" i="3"/>
  <c r="F1997" i="3"/>
  <c r="E1997" i="3"/>
  <c r="D1997" i="3"/>
  <c r="C1997" i="3"/>
  <c r="B1997" i="3"/>
  <c r="A1997" i="3"/>
  <c r="I1996" i="3"/>
  <c r="H1996" i="3"/>
  <c r="F1996" i="3"/>
  <c r="E1996" i="3"/>
  <c r="D1996" i="3"/>
  <c r="C1996" i="3"/>
  <c r="B1996" i="3"/>
  <c r="A1996" i="3"/>
  <c r="I1995" i="3"/>
  <c r="H1995" i="3"/>
  <c r="F1995" i="3"/>
  <c r="E1995" i="3"/>
  <c r="D1995" i="3"/>
  <c r="C1995" i="3"/>
  <c r="B1995" i="3"/>
  <c r="A1995" i="3"/>
  <c r="I1994" i="3"/>
  <c r="H1994" i="3"/>
  <c r="F1994" i="3"/>
  <c r="E1994" i="3"/>
  <c r="D1994" i="3"/>
  <c r="C1994" i="3"/>
  <c r="B1994" i="3"/>
  <c r="A1994" i="3"/>
  <c r="I1993" i="3"/>
  <c r="H1993" i="3"/>
  <c r="F1993" i="3"/>
  <c r="E1993" i="3"/>
  <c r="D1993" i="3"/>
  <c r="C1993" i="3"/>
  <c r="B1993" i="3"/>
  <c r="A1993" i="3"/>
  <c r="I1992" i="3"/>
  <c r="H1992" i="3"/>
  <c r="F1992" i="3"/>
  <c r="E1992" i="3"/>
  <c r="D1992" i="3"/>
  <c r="C1992" i="3"/>
  <c r="B1992" i="3"/>
  <c r="A1992" i="3"/>
  <c r="I1991" i="3"/>
  <c r="H1991" i="3"/>
  <c r="F1991" i="3"/>
  <c r="D1991" i="3"/>
  <c r="C1991" i="3"/>
  <c r="B1991" i="3"/>
  <c r="A1991" i="3"/>
  <c r="I1990" i="3"/>
  <c r="H1990" i="3"/>
  <c r="F1990" i="3"/>
  <c r="E1990" i="3"/>
  <c r="D1990" i="3"/>
  <c r="C1990" i="3"/>
  <c r="B1990" i="3"/>
  <c r="A1990" i="3"/>
  <c r="I1989" i="3"/>
  <c r="H1989" i="3"/>
  <c r="F1989" i="3"/>
  <c r="E1989" i="3"/>
  <c r="D1989" i="3"/>
  <c r="C1989" i="3"/>
  <c r="B1989" i="3"/>
  <c r="A1989" i="3"/>
  <c r="I1988" i="3"/>
  <c r="H1988" i="3"/>
  <c r="F1988" i="3"/>
  <c r="E1988" i="3"/>
  <c r="D1988" i="3"/>
  <c r="C1988" i="3"/>
  <c r="B1988" i="3"/>
  <c r="A1988" i="3"/>
  <c r="I1987" i="3"/>
  <c r="H1987" i="3"/>
  <c r="F1987" i="3"/>
  <c r="E1987" i="3"/>
  <c r="D1987" i="3"/>
  <c r="C1987" i="3"/>
  <c r="B1987" i="3"/>
  <c r="A1987" i="3"/>
  <c r="I1986" i="3"/>
  <c r="H1986" i="3"/>
  <c r="F1986" i="3"/>
  <c r="D1986" i="3"/>
  <c r="C1986" i="3"/>
  <c r="B1986" i="3"/>
  <c r="A1986" i="3"/>
  <c r="I1985" i="3"/>
  <c r="H1985" i="3"/>
  <c r="F1985" i="3"/>
  <c r="E1985" i="3"/>
  <c r="D1985" i="3"/>
  <c r="C1985" i="3"/>
  <c r="B1985" i="3"/>
  <c r="A1985" i="3"/>
  <c r="I1984" i="3"/>
  <c r="H1984" i="3"/>
  <c r="F1984" i="3"/>
  <c r="E1984" i="3"/>
  <c r="D1984" i="3"/>
  <c r="C1984" i="3"/>
  <c r="B1984" i="3"/>
  <c r="A1984" i="3"/>
  <c r="I1983" i="3"/>
  <c r="H1983" i="3"/>
  <c r="F1983" i="3"/>
  <c r="E1983" i="3"/>
  <c r="D1983" i="3"/>
  <c r="C1983" i="3"/>
  <c r="B1983" i="3"/>
  <c r="A1983" i="3"/>
  <c r="I1982" i="3"/>
  <c r="H1982" i="3"/>
  <c r="F1982" i="3"/>
  <c r="E1982" i="3"/>
  <c r="D1982" i="3"/>
  <c r="C1982" i="3"/>
  <c r="B1982" i="3"/>
  <c r="A1982" i="3"/>
  <c r="I1981" i="3"/>
  <c r="H1981" i="3"/>
  <c r="F1981" i="3"/>
  <c r="E1981" i="3"/>
  <c r="D1981" i="3"/>
  <c r="C1981" i="3"/>
  <c r="B1981" i="3"/>
  <c r="A1981" i="3"/>
  <c r="I1980" i="3"/>
  <c r="H1980" i="3"/>
  <c r="F1980" i="3"/>
  <c r="E1980" i="3"/>
  <c r="D1980" i="3"/>
  <c r="C1980" i="3"/>
  <c r="B1980" i="3"/>
  <c r="A1980" i="3"/>
  <c r="I1979" i="3"/>
  <c r="H1979" i="3"/>
  <c r="F1979" i="3"/>
  <c r="E1979" i="3"/>
  <c r="D1979" i="3"/>
  <c r="C1979" i="3"/>
  <c r="B1979" i="3"/>
  <c r="A1979" i="3"/>
  <c r="I1978" i="3"/>
  <c r="H1978" i="3"/>
  <c r="F1978" i="3"/>
  <c r="E1978" i="3"/>
  <c r="D1978" i="3"/>
  <c r="C1978" i="3"/>
  <c r="B1978" i="3"/>
  <c r="A1978" i="3"/>
  <c r="I1977" i="3"/>
  <c r="H1977" i="3"/>
  <c r="F1977" i="3"/>
  <c r="D1977" i="3"/>
  <c r="C1977" i="3"/>
  <c r="B1977" i="3"/>
  <c r="A1977" i="3"/>
  <c r="I1976" i="3"/>
  <c r="H1976" i="3"/>
  <c r="F1976" i="3"/>
  <c r="E1976" i="3"/>
  <c r="D1976" i="3"/>
  <c r="C1976" i="3"/>
  <c r="B1976" i="3"/>
  <c r="A1976" i="3"/>
  <c r="I1975" i="3"/>
  <c r="H1975" i="3"/>
  <c r="E1975" i="3"/>
  <c r="D1975" i="3"/>
  <c r="C1975" i="3"/>
  <c r="B1975" i="3"/>
  <c r="A1975" i="3"/>
  <c r="I1974" i="3"/>
  <c r="H1974" i="3"/>
  <c r="F1974" i="3"/>
  <c r="D1974" i="3"/>
  <c r="C1974" i="3"/>
  <c r="B1974" i="3"/>
  <c r="A1974" i="3"/>
  <c r="I1973" i="3"/>
  <c r="H1973" i="3"/>
  <c r="F1973" i="3"/>
  <c r="E1973" i="3"/>
  <c r="D1973" i="3"/>
  <c r="C1973" i="3"/>
  <c r="B1973" i="3"/>
  <c r="A1973" i="3"/>
  <c r="I1972" i="3"/>
  <c r="H1972" i="3"/>
  <c r="F1972" i="3"/>
  <c r="E1972" i="3"/>
  <c r="D1972" i="3"/>
  <c r="C1972" i="3"/>
  <c r="B1972" i="3"/>
  <c r="A1972" i="3"/>
  <c r="I1971" i="3"/>
  <c r="H1971" i="3"/>
  <c r="F1971" i="3"/>
  <c r="E1971" i="3"/>
  <c r="D1971" i="3"/>
  <c r="C1971" i="3"/>
  <c r="B1971" i="3"/>
  <c r="A1971" i="3"/>
  <c r="I1970" i="3"/>
  <c r="H1970" i="3"/>
  <c r="E1970" i="3"/>
  <c r="D1970" i="3"/>
  <c r="C1970" i="3"/>
  <c r="B1970" i="3"/>
  <c r="A1970" i="3"/>
  <c r="I1969" i="3"/>
  <c r="H1969" i="3"/>
  <c r="F1969" i="3"/>
  <c r="E1969" i="3"/>
  <c r="D1969" i="3"/>
  <c r="C1969" i="3"/>
  <c r="B1969" i="3"/>
  <c r="A1969" i="3"/>
  <c r="I1968" i="3"/>
  <c r="H1968" i="3"/>
  <c r="D1968" i="3"/>
  <c r="C1968" i="3"/>
  <c r="B1968" i="3"/>
  <c r="A1968" i="3"/>
  <c r="I1967" i="3"/>
  <c r="H1967" i="3"/>
  <c r="E1967" i="3"/>
  <c r="D1967" i="3"/>
  <c r="C1967" i="3"/>
  <c r="B1967" i="3"/>
  <c r="A1967" i="3"/>
  <c r="I1966" i="3"/>
  <c r="H1966" i="3"/>
  <c r="D1966" i="3"/>
  <c r="C1966" i="3"/>
  <c r="B1966" i="3"/>
  <c r="A1966" i="3"/>
  <c r="I1965" i="3"/>
  <c r="H1965" i="3"/>
  <c r="F1965" i="3"/>
  <c r="D1965" i="3"/>
  <c r="C1965" i="3"/>
  <c r="B1965" i="3"/>
  <c r="A1965" i="3"/>
  <c r="I1964" i="3"/>
  <c r="H1964" i="3"/>
  <c r="E1964" i="3"/>
  <c r="D1964" i="3"/>
  <c r="C1964" i="3"/>
  <c r="B1964" i="3"/>
  <c r="A1964" i="3"/>
  <c r="I1963" i="3"/>
  <c r="H1963" i="3"/>
  <c r="F1963" i="3"/>
  <c r="D1963" i="3"/>
  <c r="C1963" i="3"/>
  <c r="B1963" i="3"/>
  <c r="A1963" i="3"/>
  <c r="I1962" i="3"/>
  <c r="H1962" i="3"/>
  <c r="F1962" i="3"/>
  <c r="D1962" i="3"/>
  <c r="C1962" i="3"/>
  <c r="B1962" i="3"/>
  <c r="A1962" i="3"/>
  <c r="I1961" i="3"/>
  <c r="H1961" i="3"/>
  <c r="F1961" i="3"/>
  <c r="D1961" i="3"/>
  <c r="C1961" i="3"/>
  <c r="B1961" i="3"/>
  <c r="A1961" i="3"/>
  <c r="I1960" i="3"/>
  <c r="H1960" i="3"/>
  <c r="F1960" i="3"/>
  <c r="E1960" i="3"/>
  <c r="D1960" i="3"/>
  <c r="C1960" i="3"/>
  <c r="B1960" i="3"/>
  <c r="A1960" i="3"/>
  <c r="I1959" i="3"/>
  <c r="H1959" i="3"/>
  <c r="F1959" i="3"/>
  <c r="E1959" i="3"/>
  <c r="D1959" i="3"/>
  <c r="C1959" i="3"/>
  <c r="B1959" i="3"/>
  <c r="A1959" i="3"/>
  <c r="I1958" i="3"/>
  <c r="H1958" i="3"/>
  <c r="F1958" i="3"/>
  <c r="E1958" i="3"/>
  <c r="D1958" i="3"/>
  <c r="C1958" i="3"/>
  <c r="B1958" i="3"/>
  <c r="A1958" i="3"/>
  <c r="I1957" i="3"/>
  <c r="H1957" i="3"/>
  <c r="F1957" i="3"/>
  <c r="E1957" i="3"/>
  <c r="D1957" i="3"/>
  <c r="C1957" i="3"/>
  <c r="B1957" i="3"/>
  <c r="A1957" i="3"/>
  <c r="I1956" i="3"/>
  <c r="H1956" i="3"/>
  <c r="D1956" i="3"/>
  <c r="C1956" i="3"/>
  <c r="B1956" i="3"/>
  <c r="A1956" i="3"/>
  <c r="I1955" i="3"/>
  <c r="H1955" i="3"/>
  <c r="F1955" i="3"/>
  <c r="E1955" i="3"/>
  <c r="D1955" i="3"/>
  <c r="C1955" i="3"/>
  <c r="B1955" i="3"/>
  <c r="A1955" i="3"/>
  <c r="I1954" i="3"/>
  <c r="H1954" i="3"/>
  <c r="F1954" i="3"/>
  <c r="D1954" i="3"/>
  <c r="C1954" i="3"/>
  <c r="B1954" i="3"/>
  <c r="A1954" i="3"/>
  <c r="I1953" i="3"/>
  <c r="H1953" i="3"/>
  <c r="E1953" i="3"/>
  <c r="D1953" i="3"/>
  <c r="C1953" i="3"/>
  <c r="B1953" i="3"/>
  <c r="A1953" i="3"/>
  <c r="I1952" i="3"/>
  <c r="H1952" i="3"/>
  <c r="F1952" i="3"/>
  <c r="E1952" i="3"/>
  <c r="D1952" i="3"/>
  <c r="C1952" i="3"/>
  <c r="B1952" i="3"/>
  <c r="A1952" i="3"/>
  <c r="I1951" i="3"/>
  <c r="H1951" i="3"/>
  <c r="F1951" i="3"/>
  <c r="E1951" i="3"/>
  <c r="D1951" i="3"/>
  <c r="C1951" i="3"/>
  <c r="B1951" i="3"/>
  <c r="A1951" i="3"/>
  <c r="I1950" i="3"/>
  <c r="H1950" i="3"/>
  <c r="F1950" i="3"/>
  <c r="E1950" i="3"/>
  <c r="D1950" i="3"/>
  <c r="C1950" i="3"/>
  <c r="B1950" i="3"/>
  <c r="A1950" i="3"/>
  <c r="I1949" i="3"/>
  <c r="H1949" i="3"/>
  <c r="E1949" i="3"/>
  <c r="D1949" i="3"/>
  <c r="C1949" i="3"/>
  <c r="B1949" i="3"/>
  <c r="A1949" i="3"/>
  <c r="I1948" i="3"/>
  <c r="H1948" i="3"/>
  <c r="F1948" i="3"/>
  <c r="D1948" i="3"/>
  <c r="C1948" i="3"/>
  <c r="B1948" i="3"/>
  <c r="A1948" i="3"/>
  <c r="I1947" i="3"/>
  <c r="H1947" i="3"/>
  <c r="F1947" i="3"/>
  <c r="E1947" i="3"/>
  <c r="D1947" i="3"/>
  <c r="C1947" i="3"/>
  <c r="B1947" i="3"/>
  <c r="A1947" i="3"/>
  <c r="I1946" i="3"/>
  <c r="H1946" i="3"/>
  <c r="F1946" i="3"/>
  <c r="E1946" i="3"/>
  <c r="D1946" i="3"/>
  <c r="C1946" i="3"/>
  <c r="B1946" i="3"/>
  <c r="A1946" i="3"/>
  <c r="I1945" i="3"/>
  <c r="H1945" i="3"/>
  <c r="E1945" i="3"/>
  <c r="D1945" i="3"/>
  <c r="C1945" i="3"/>
  <c r="B1945" i="3"/>
  <c r="A1945" i="3"/>
  <c r="I1944" i="3"/>
  <c r="H1944" i="3"/>
  <c r="E1944" i="3"/>
  <c r="D1944" i="3"/>
  <c r="C1944" i="3"/>
  <c r="B1944" i="3"/>
  <c r="A1944" i="3"/>
  <c r="I1943" i="3"/>
  <c r="H1943" i="3"/>
  <c r="F1943" i="3"/>
  <c r="E1943" i="3"/>
  <c r="D1943" i="3"/>
  <c r="C1943" i="3"/>
  <c r="B1943" i="3"/>
  <c r="A1943" i="3"/>
  <c r="I1942" i="3"/>
  <c r="H1942" i="3"/>
  <c r="F1942" i="3"/>
  <c r="D1942" i="3"/>
  <c r="C1942" i="3"/>
  <c r="B1942" i="3"/>
  <c r="A1942" i="3"/>
  <c r="I1941" i="3"/>
  <c r="H1941" i="3"/>
  <c r="E1941" i="3"/>
  <c r="D1941" i="3"/>
  <c r="C1941" i="3"/>
  <c r="B1941" i="3"/>
  <c r="A1941" i="3"/>
  <c r="I1940" i="3"/>
  <c r="H1940" i="3"/>
  <c r="E1940" i="3"/>
  <c r="D1940" i="3"/>
  <c r="C1940" i="3"/>
  <c r="B1940" i="3"/>
  <c r="A1940" i="3"/>
  <c r="I1939" i="3"/>
  <c r="H1939" i="3"/>
  <c r="E1939" i="3"/>
  <c r="D1939" i="3"/>
  <c r="C1939" i="3"/>
  <c r="B1939" i="3"/>
  <c r="A1939" i="3"/>
  <c r="I1938" i="3"/>
  <c r="H1938" i="3"/>
  <c r="F1938" i="3"/>
  <c r="E1938" i="3"/>
  <c r="D1938" i="3"/>
  <c r="C1938" i="3"/>
  <c r="B1938" i="3"/>
  <c r="A1938" i="3"/>
  <c r="I1937" i="3"/>
  <c r="H1937" i="3"/>
  <c r="E1937" i="3"/>
  <c r="D1937" i="3"/>
  <c r="C1937" i="3"/>
  <c r="B1937" i="3"/>
  <c r="A1937" i="3"/>
  <c r="I1936" i="3"/>
  <c r="H1936" i="3"/>
  <c r="F1936" i="3"/>
  <c r="E1936" i="3"/>
  <c r="D1936" i="3"/>
  <c r="C1936" i="3"/>
  <c r="B1936" i="3"/>
  <c r="A1936" i="3"/>
  <c r="I1935" i="3"/>
  <c r="H1935" i="3"/>
  <c r="F1935" i="3"/>
  <c r="D1935" i="3"/>
  <c r="C1935" i="3"/>
  <c r="B1935" i="3"/>
  <c r="A1935" i="3"/>
  <c r="I1934" i="3"/>
  <c r="H1934" i="3"/>
  <c r="F1934" i="3"/>
  <c r="E1934" i="3"/>
  <c r="D1934" i="3"/>
  <c r="C1934" i="3"/>
  <c r="B1934" i="3"/>
  <c r="A1934" i="3"/>
  <c r="I1933" i="3"/>
  <c r="H1933" i="3"/>
  <c r="F1933" i="3"/>
  <c r="E1933" i="3"/>
  <c r="D1933" i="3"/>
  <c r="C1933" i="3"/>
  <c r="B1933" i="3"/>
  <c r="A1933" i="3"/>
  <c r="I1932" i="3"/>
  <c r="H1932" i="3"/>
  <c r="E1932" i="3"/>
  <c r="D1932" i="3"/>
  <c r="C1932" i="3"/>
  <c r="B1932" i="3"/>
  <c r="A1932" i="3"/>
  <c r="I1931" i="3"/>
  <c r="H1931" i="3"/>
  <c r="E1931" i="3"/>
  <c r="D1931" i="3"/>
  <c r="C1931" i="3"/>
  <c r="B1931" i="3"/>
  <c r="A1931" i="3"/>
  <c r="I1930" i="3"/>
  <c r="H1930" i="3"/>
  <c r="D1930" i="3"/>
  <c r="C1930" i="3"/>
  <c r="B1930" i="3"/>
  <c r="A1930" i="3"/>
  <c r="I1929" i="3"/>
  <c r="H1929" i="3"/>
  <c r="E1929" i="3"/>
  <c r="D1929" i="3"/>
  <c r="C1929" i="3"/>
  <c r="B1929" i="3"/>
  <c r="A1929" i="3"/>
  <c r="I1928" i="3"/>
  <c r="H1928" i="3"/>
  <c r="E1928" i="3"/>
  <c r="D1928" i="3"/>
  <c r="C1928" i="3"/>
  <c r="B1928" i="3"/>
  <c r="A1928" i="3"/>
  <c r="I1927" i="3"/>
  <c r="H1927" i="3"/>
  <c r="E1927" i="3"/>
  <c r="D1927" i="3"/>
  <c r="C1927" i="3"/>
  <c r="B1927" i="3"/>
  <c r="A1927" i="3"/>
  <c r="I1926" i="3"/>
  <c r="H1926" i="3"/>
  <c r="F1926" i="3"/>
  <c r="D1926" i="3"/>
  <c r="C1926" i="3"/>
  <c r="B1926" i="3"/>
  <c r="A1926" i="3"/>
  <c r="I1925" i="3"/>
  <c r="H1925" i="3"/>
  <c r="F1925" i="3"/>
  <c r="E1925" i="3"/>
  <c r="D1925" i="3"/>
  <c r="C1925" i="3"/>
  <c r="B1925" i="3"/>
  <c r="A1925" i="3"/>
  <c r="I1924" i="3"/>
  <c r="H1924" i="3"/>
  <c r="F1924" i="3"/>
  <c r="E1924" i="3"/>
  <c r="D1924" i="3"/>
  <c r="C1924" i="3"/>
  <c r="B1924" i="3"/>
  <c r="A1924" i="3"/>
  <c r="I1923" i="3"/>
  <c r="H1923" i="3"/>
  <c r="E1923" i="3"/>
  <c r="D1923" i="3"/>
  <c r="C1923" i="3"/>
  <c r="B1923" i="3"/>
  <c r="A1923" i="3"/>
  <c r="I1922" i="3"/>
  <c r="H1922" i="3"/>
  <c r="E1922" i="3"/>
  <c r="D1922" i="3"/>
  <c r="C1922" i="3"/>
  <c r="B1922" i="3"/>
  <c r="A1922" i="3"/>
  <c r="I1921" i="3"/>
  <c r="H1921" i="3"/>
  <c r="E1921" i="3"/>
  <c r="D1921" i="3"/>
  <c r="C1921" i="3"/>
  <c r="B1921" i="3"/>
  <c r="A1921" i="3"/>
  <c r="I1920" i="3"/>
  <c r="H1920" i="3"/>
  <c r="E1920" i="3"/>
  <c r="D1920" i="3"/>
  <c r="C1920" i="3"/>
  <c r="B1920" i="3"/>
  <c r="A1920" i="3"/>
  <c r="I1919" i="3"/>
  <c r="H1919" i="3"/>
  <c r="F1919" i="3"/>
  <c r="E1919" i="3"/>
  <c r="D1919" i="3"/>
  <c r="C1919" i="3"/>
  <c r="B1919" i="3"/>
  <c r="A1919" i="3"/>
  <c r="I1918" i="3"/>
  <c r="H1918" i="3"/>
  <c r="F1918" i="3"/>
  <c r="E1918" i="3"/>
  <c r="D1918" i="3"/>
  <c r="C1918" i="3"/>
  <c r="B1918" i="3"/>
  <c r="A1918" i="3"/>
  <c r="I1917" i="3"/>
  <c r="H1917" i="3"/>
  <c r="F1917" i="3"/>
  <c r="D1917" i="3"/>
  <c r="C1917" i="3"/>
  <c r="B1917" i="3"/>
  <c r="A1917" i="3"/>
  <c r="I1916" i="3"/>
  <c r="H1916" i="3"/>
  <c r="F1916" i="3"/>
  <c r="E1916" i="3"/>
  <c r="D1916" i="3"/>
  <c r="C1916" i="3"/>
  <c r="B1916" i="3"/>
  <c r="A1916" i="3"/>
  <c r="I1915" i="3"/>
  <c r="H1915" i="3"/>
  <c r="D1915" i="3"/>
  <c r="C1915" i="3"/>
  <c r="B1915" i="3"/>
  <c r="A1915" i="3"/>
  <c r="I1914" i="3"/>
  <c r="H1914" i="3"/>
  <c r="E1914" i="3"/>
  <c r="D1914" i="3"/>
  <c r="C1914" i="3"/>
  <c r="B1914" i="3"/>
  <c r="A1914" i="3"/>
  <c r="I1913" i="3"/>
  <c r="H1913" i="3"/>
  <c r="E1913" i="3"/>
  <c r="D1913" i="3"/>
  <c r="C1913" i="3"/>
  <c r="B1913" i="3"/>
  <c r="A1913" i="3"/>
  <c r="I1912" i="3"/>
  <c r="H1912" i="3"/>
  <c r="F1912" i="3"/>
  <c r="D1912" i="3"/>
  <c r="C1912" i="3"/>
  <c r="B1912" i="3"/>
  <c r="A1912" i="3"/>
  <c r="I1911" i="3"/>
  <c r="H1911" i="3"/>
  <c r="E1911" i="3"/>
  <c r="D1911" i="3"/>
  <c r="C1911" i="3"/>
  <c r="B1911" i="3"/>
  <c r="A1911" i="3"/>
  <c r="I1910" i="3"/>
  <c r="H1910" i="3"/>
  <c r="E1910" i="3"/>
  <c r="D1910" i="3"/>
  <c r="C1910" i="3"/>
  <c r="B1910" i="3"/>
  <c r="A1910" i="3"/>
  <c r="I1909" i="3"/>
  <c r="H1909" i="3"/>
  <c r="E1909" i="3"/>
  <c r="D1909" i="3"/>
  <c r="C1909" i="3"/>
  <c r="B1909" i="3"/>
  <c r="A1909" i="3"/>
  <c r="I1908" i="3"/>
  <c r="H1908" i="3"/>
  <c r="E1908" i="3"/>
  <c r="D1908" i="3"/>
  <c r="C1908" i="3"/>
  <c r="B1908" i="3"/>
  <c r="A1908" i="3"/>
  <c r="I1907" i="3"/>
  <c r="H1907" i="3"/>
  <c r="E1907" i="3"/>
  <c r="D1907" i="3"/>
  <c r="C1907" i="3"/>
  <c r="B1907" i="3"/>
  <c r="A1907" i="3"/>
  <c r="I1906" i="3"/>
  <c r="H1906" i="3"/>
  <c r="F1906" i="3"/>
  <c r="E1906" i="3"/>
  <c r="D1906" i="3"/>
  <c r="C1906" i="3"/>
  <c r="B1906" i="3"/>
  <c r="A1906" i="3"/>
  <c r="I1905" i="3"/>
  <c r="H1905" i="3"/>
  <c r="E1905" i="3"/>
  <c r="D1905" i="3"/>
  <c r="C1905" i="3"/>
  <c r="B1905" i="3"/>
  <c r="A1905" i="3"/>
  <c r="I1904" i="3"/>
  <c r="H1904" i="3"/>
  <c r="F1904" i="3"/>
  <c r="D1904" i="3"/>
  <c r="C1904" i="3"/>
  <c r="B1904" i="3"/>
  <c r="A1904" i="3"/>
  <c r="I1903" i="3"/>
  <c r="H1903" i="3"/>
  <c r="E1903" i="3"/>
  <c r="D1903" i="3"/>
  <c r="C1903" i="3"/>
  <c r="B1903" i="3"/>
  <c r="A1903" i="3"/>
  <c r="I1902" i="3"/>
  <c r="H1902" i="3"/>
  <c r="F1902" i="3"/>
  <c r="E1902" i="3"/>
  <c r="D1902" i="3"/>
  <c r="C1902" i="3"/>
  <c r="B1902" i="3"/>
  <c r="A1902" i="3"/>
  <c r="I1901" i="3"/>
  <c r="H1901" i="3"/>
  <c r="F1901" i="3"/>
  <c r="E1901" i="3"/>
  <c r="D1901" i="3"/>
  <c r="C1901" i="3"/>
  <c r="B1901" i="3"/>
  <c r="A1901" i="3"/>
  <c r="I1900" i="3"/>
  <c r="H1900" i="3"/>
  <c r="F1900" i="3"/>
  <c r="E1900" i="3"/>
  <c r="D1900" i="3"/>
  <c r="C1900" i="3"/>
  <c r="B1900" i="3"/>
  <c r="A1900" i="3"/>
  <c r="I1899" i="3"/>
  <c r="H1899" i="3"/>
  <c r="F1899" i="3"/>
  <c r="E1899" i="3"/>
  <c r="D1899" i="3"/>
  <c r="C1899" i="3"/>
  <c r="B1899" i="3"/>
  <c r="A1899" i="3"/>
  <c r="I1898" i="3"/>
  <c r="H1898" i="3"/>
  <c r="E1898" i="3"/>
  <c r="D1898" i="3"/>
  <c r="C1898" i="3"/>
  <c r="B1898" i="3"/>
  <c r="A1898" i="3"/>
  <c r="I1897" i="3"/>
  <c r="H1897" i="3"/>
  <c r="F1897" i="3"/>
  <c r="D1897" i="3"/>
  <c r="C1897" i="3"/>
  <c r="B1897" i="3"/>
  <c r="A1897" i="3"/>
  <c r="I1896" i="3"/>
  <c r="H1896" i="3"/>
  <c r="E1896" i="3"/>
  <c r="D1896" i="3"/>
  <c r="C1896" i="3"/>
  <c r="B1896" i="3"/>
  <c r="A1896" i="3"/>
  <c r="I1895" i="3"/>
  <c r="H1895" i="3"/>
  <c r="E1895" i="3"/>
  <c r="D1895" i="3"/>
  <c r="C1895" i="3"/>
  <c r="B1895" i="3"/>
  <c r="A1895" i="3"/>
  <c r="I1894" i="3"/>
  <c r="H1894" i="3"/>
  <c r="E1894" i="3"/>
  <c r="D1894" i="3"/>
  <c r="C1894" i="3"/>
  <c r="B1894" i="3"/>
  <c r="A1894" i="3"/>
  <c r="I1893" i="3"/>
  <c r="H1893" i="3"/>
  <c r="F1893" i="3"/>
  <c r="E1893" i="3"/>
  <c r="D1893" i="3"/>
  <c r="C1893" i="3"/>
  <c r="B1893" i="3"/>
  <c r="A1893" i="3"/>
  <c r="I1892" i="3"/>
  <c r="H1892" i="3"/>
  <c r="E1892" i="3"/>
  <c r="D1892" i="3"/>
  <c r="C1892" i="3"/>
  <c r="B1892" i="3"/>
  <c r="A1892" i="3"/>
  <c r="I1891" i="3"/>
  <c r="H1891" i="3"/>
  <c r="E1891" i="3"/>
  <c r="D1891" i="3"/>
  <c r="C1891" i="3"/>
  <c r="B1891" i="3"/>
  <c r="A1891" i="3"/>
  <c r="I1890" i="3"/>
  <c r="H1890" i="3"/>
  <c r="F1890" i="3"/>
  <c r="E1890" i="3"/>
  <c r="D1890" i="3"/>
  <c r="C1890" i="3"/>
  <c r="B1890" i="3"/>
  <c r="A1890" i="3"/>
  <c r="I1889" i="3"/>
  <c r="H1889" i="3"/>
  <c r="F1889" i="3"/>
  <c r="D1889" i="3"/>
  <c r="C1889" i="3"/>
  <c r="B1889" i="3"/>
  <c r="A1889" i="3"/>
  <c r="I1888" i="3"/>
  <c r="H1888" i="3"/>
  <c r="E1888" i="3"/>
  <c r="D1888" i="3"/>
  <c r="C1888" i="3"/>
  <c r="B1888" i="3"/>
  <c r="A1888" i="3"/>
  <c r="I1887" i="3"/>
  <c r="H1887" i="3"/>
  <c r="E1887" i="3"/>
  <c r="D1887" i="3"/>
  <c r="C1887" i="3"/>
  <c r="B1887" i="3"/>
  <c r="A1887" i="3"/>
  <c r="I1886" i="3"/>
  <c r="H1886" i="3"/>
  <c r="E1886" i="3"/>
  <c r="D1886" i="3"/>
  <c r="C1886" i="3"/>
  <c r="B1886" i="3"/>
  <c r="A1886" i="3"/>
  <c r="I1885" i="3"/>
  <c r="H1885" i="3"/>
  <c r="F1885" i="3"/>
  <c r="E1885" i="3"/>
  <c r="D1885" i="3"/>
  <c r="C1885" i="3"/>
  <c r="B1885" i="3"/>
  <c r="A1885" i="3"/>
  <c r="I1884" i="3"/>
  <c r="H1884" i="3"/>
  <c r="E1884" i="3"/>
  <c r="D1884" i="3"/>
  <c r="C1884" i="3"/>
  <c r="B1884" i="3"/>
  <c r="A1884" i="3"/>
  <c r="I1883" i="3"/>
  <c r="H1883" i="3"/>
  <c r="E1883" i="3"/>
  <c r="D1883" i="3"/>
  <c r="C1883" i="3"/>
  <c r="B1883" i="3"/>
  <c r="A1883" i="3"/>
  <c r="I1882" i="3"/>
  <c r="H1882" i="3"/>
  <c r="E1882" i="3"/>
  <c r="D1882" i="3"/>
  <c r="C1882" i="3"/>
  <c r="B1882" i="3"/>
  <c r="A1882" i="3"/>
  <c r="I1881" i="3"/>
  <c r="H1881" i="3"/>
  <c r="E1881" i="3"/>
  <c r="D1881" i="3"/>
  <c r="C1881" i="3"/>
  <c r="B1881" i="3"/>
  <c r="A1881" i="3"/>
  <c r="I1880" i="3"/>
  <c r="H1880" i="3"/>
  <c r="E1880" i="3"/>
  <c r="D1880" i="3"/>
  <c r="C1880" i="3"/>
  <c r="B1880" i="3"/>
  <c r="A1880" i="3"/>
  <c r="I1879" i="3"/>
  <c r="H1879" i="3"/>
  <c r="E1879" i="3"/>
  <c r="D1879" i="3"/>
  <c r="C1879" i="3"/>
  <c r="B1879" i="3"/>
  <c r="A1879" i="3"/>
  <c r="I1878" i="3"/>
  <c r="H1878" i="3"/>
  <c r="E1878" i="3"/>
  <c r="D1878" i="3"/>
  <c r="C1878" i="3"/>
  <c r="B1878" i="3"/>
  <c r="A1878" i="3"/>
  <c r="I1877" i="3"/>
  <c r="H1877" i="3"/>
  <c r="E1877" i="3"/>
  <c r="D1877" i="3"/>
  <c r="C1877" i="3"/>
  <c r="B1877" i="3"/>
  <c r="A1877" i="3"/>
  <c r="I1876" i="3"/>
  <c r="H1876" i="3"/>
  <c r="E1876" i="3"/>
  <c r="D1876" i="3"/>
  <c r="C1876" i="3"/>
  <c r="B1876" i="3"/>
  <c r="A1876" i="3"/>
  <c r="I1875" i="3"/>
  <c r="H1875" i="3"/>
  <c r="F1875" i="3"/>
  <c r="D1875" i="3"/>
  <c r="C1875" i="3"/>
  <c r="B1875" i="3"/>
  <c r="A1875" i="3"/>
  <c r="I1874" i="3"/>
  <c r="H1874" i="3"/>
  <c r="F1874" i="3"/>
  <c r="E1874" i="3"/>
  <c r="D1874" i="3"/>
  <c r="C1874" i="3"/>
  <c r="B1874" i="3"/>
  <c r="A1874" i="3"/>
  <c r="I1873" i="3"/>
  <c r="H1873" i="3"/>
  <c r="F1873" i="3"/>
  <c r="D1873" i="3"/>
  <c r="C1873" i="3"/>
  <c r="B1873" i="3"/>
  <c r="A1873" i="3"/>
  <c r="I1872" i="3"/>
  <c r="H1872" i="3"/>
  <c r="F1872" i="3"/>
  <c r="E1872" i="3"/>
  <c r="D1872" i="3"/>
  <c r="C1872" i="3"/>
  <c r="B1872" i="3"/>
  <c r="A1872" i="3"/>
  <c r="I1871" i="3"/>
  <c r="H1871" i="3"/>
  <c r="F1871" i="3"/>
  <c r="E1871" i="3"/>
  <c r="D1871" i="3"/>
  <c r="C1871" i="3"/>
  <c r="B1871" i="3"/>
  <c r="A1871" i="3"/>
  <c r="I1870" i="3"/>
  <c r="H1870" i="3"/>
  <c r="F1870" i="3"/>
  <c r="E1870" i="3"/>
  <c r="D1870" i="3"/>
  <c r="C1870" i="3"/>
  <c r="B1870" i="3"/>
  <c r="A1870" i="3"/>
  <c r="I1869" i="3"/>
  <c r="H1869" i="3"/>
  <c r="F1869" i="3"/>
  <c r="D1869" i="3"/>
  <c r="C1869" i="3"/>
  <c r="B1869" i="3"/>
  <c r="A1869" i="3"/>
  <c r="I1868" i="3"/>
  <c r="H1868" i="3"/>
  <c r="F1868" i="3"/>
  <c r="E1868" i="3"/>
  <c r="D1868" i="3"/>
  <c r="C1868" i="3"/>
  <c r="B1868" i="3"/>
  <c r="A1868" i="3"/>
  <c r="I1867" i="3"/>
  <c r="H1867" i="3"/>
  <c r="F1867" i="3"/>
  <c r="E1867" i="3"/>
  <c r="D1867" i="3"/>
  <c r="C1867" i="3"/>
  <c r="B1867" i="3"/>
  <c r="A1867" i="3"/>
  <c r="I1866" i="3"/>
  <c r="H1866" i="3"/>
  <c r="F1866" i="3"/>
  <c r="D1866" i="3"/>
  <c r="C1866" i="3"/>
  <c r="B1866" i="3"/>
  <c r="A1866" i="3"/>
  <c r="I1865" i="3"/>
  <c r="H1865" i="3"/>
  <c r="F1865" i="3"/>
  <c r="E1865" i="3"/>
  <c r="D1865" i="3"/>
  <c r="C1865" i="3"/>
  <c r="B1865" i="3"/>
  <c r="A1865" i="3"/>
  <c r="I1864" i="3"/>
  <c r="H1864" i="3"/>
  <c r="F1864" i="3"/>
  <c r="D1864" i="3"/>
  <c r="C1864" i="3"/>
  <c r="B1864" i="3"/>
  <c r="A1864" i="3"/>
  <c r="I1863" i="3"/>
  <c r="H1863" i="3"/>
  <c r="F1863" i="3"/>
  <c r="E1863" i="3"/>
  <c r="D1863" i="3"/>
  <c r="C1863" i="3"/>
  <c r="B1863" i="3"/>
  <c r="A1863" i="3"/>
  <c r="I1862" i="3"/>
  <c r="H1862" i="3"/>
  <c r="F1862" i="3"/>
  <c r="E1862" i="3"/>
  <c r="D1862" i="3"/>
  <c r="C1862" i="3"/>
  <c r="B1862" i="3"/>
  <c r="A1862" i="3"/>
  <c r="I1861" i="3"/>
  <c r="H1861" i="3"/>
  <c r="F1861" i="3"/>
  <c r="E1861" i="3"/>
  <c r="D1861" i="3"/>
  <c r="C1861" i="3"/>
  <c r="B1861" i="3"/>
  <c r="A1861" i="3"/>
  <c r="I1860" i="3"/>
  <c r="H1860" i="3"/>
  <c r="F1860" i="3"/>
  <c r="E1860" i="3"/>
  <c r="D1860" i="3"/>
  <c r="C1860" i="3"/>
  <c r="B1860" i="3"/>
  <c r="A1860" i="3"/>
  <c r="I1859" i="3"/>
  <c r="H1859" i="3"/>
  <c r="F1859" i="3"/>
  <c r="E1859" i="3"/>
  <c r="D1859" i="3"/>
  <c r="C1859" i="3"/>
  <c r="B1859" i="3"/>
  <c r="A1859" i="3"/>
  <c r="I1858" i="3"/>
  <c r="H1858" i="3"/>
  <c r="E1858" i="3"/>
  <c r="D1858" i="3"/>
  <c r="C1858" i="3"/>
  <c r="B1858" i="3"/>
  <c r="A1858" i="3"/>
  <c r="I1857" i="3"/>
  <c r="H1857" i="3"/>
  <c r="F1857" i="3"/>
  <c r="E1857" i="3"/>
  <c r="D1857" i="3"/>
  <c r="C1857" i="3"/>
  <c r="B1857" i="3"/>
  <c r="A1857" i="3"/>
  <c r="I1856" i="3"/>
  <c r="H1856" i="3"/>
  <c r="F1856" i="3"/>
  <c r="E1856" i="3"/>
  <c r="D1856" i="3"/>
  <c r="C1856" i="3"/>
  <c r="B1856" i="3"/>
  <c r="A1856" i="3"/>
  <c r="I1855" i="3"/>
  <c r="H1855" i="3"/>
  <c r="E1855" i="3"/>
  <c r="D1855" i="3"/>
  <c r="C1855" i="3"/>
  <c r="B1855" i="3"/>
  <c r="A1855" i="3"/>
  <c r="I1854" i="3"/>
  <c r="H1854" i="3"/>
  <c r="F1854" i="3"/>
  <c r="D1854" i="3"/>
  <c r="C1854" i="3"/>
  <c r="B1854" i="3"/>
  <c r="A1854" i="3"/>
  <c r="I1853" i="3"/>
  <c r="H1853" i="3"/>
  <c r="F1853" i="3"/>
  <c r="D1853" i="3"/>
  <c r="C1853" i="3"/>
  <c r="B1853" i="3"/>
  <c r="A1853" i="3"/>
  <c r="I1852" i="3"/>
  <c r="H1852" i="3"/>
  <c r="E1852" i="3"/>
  <c r="D1852" i="3"/>
  <c r="C1852" i="3"/>
  <c r="B1852" i="3"/>
  <c r="A1852" i="3"/>
  <c r="I1851" i="3"/>
  <c r="H1851" i="3"/>
  <c r="F1851" i="3"/>
  <c r="D1851" i="3"/>
  <c r="C1851" i="3"/>
  <c r="B1851" i="3"/>
  <c r="A1851" i="3"/>
  <c r="I1850" i="3"/>
  <c r="H1850" i="3"/>
  <c r="F1850" i="3"/>
  <c r="D1850" i="3"/>
  <c r="C1850" i="3"/>
  <c r="B1850" i="3"/>
  <c r="A1850" i="3"/>
  <c r="I1849" i="3"/>
  <c r="H1849" i="3"/>
  <c r="F1849" i="3"/>
  <c r="D1849" i="3"/>
  <c r="C1849" i="3"/>
  <c r="B1849" i="3"/>
  <c r="A1849" i="3"/>
  <c r="I1848" i="3"/>
  <c r="H1848" i="3"/>
  <c r="F1848" i="3"/>
  <c r="D1848" i="3"/>
  <c r="C1848" i="3"/>
  <c r="B1848" i="3"/>
  <c r="A1848" i="3"/>
  <c r="I1847" i="3"/>
  <c r="H1847" i="3"/>
  <c r="F1847" i="3"/>
  <c r="D1847" i="3"/>
  <c r="C1847" i="3"/>
  <c r="B1847" i="3"/>
  <c r="A1847" i="3"/>
  <c r="I1846" i="3"/>
  <c r="H1846" i="3"/>
  <c r="F1846" i="3"/>
  <c r="D1846" i="3"/>
  <c r="C1846" i="3"/>
  <c r="B1846" i="3"/>
  <c r="A1846" i="3"/>
  <c r="I1845" i="3"/>
  <c r="H1845" i="3"/>
  <c r="F1845" i="3"/>
  <c r="D1845" i="3"/>
  <c r="C1845" i="3"/>
  <c r="B1845" i="3"/>
  <c r="A1845" i="3"/>
  <c r="I1844" i="3"/>
  <c r="H1844" i="3"/>
  <c r="D1844" i="3"/>
  <c r="C1844" i="3"/>
  <c r="B1844" i="3"/>
  <c r="A1844" i="3"/>
  <c r="I1843" i="3"/>
  <c r="H1843" i="3"/>
  <c r="F1843" i="3"/>
  <c r="D1843" i="3"/>
  <c r="C1843" i="3"/>
  <c r="B1843" i="3"/>
  <c r="A1843" i="3"/>
  <c r="I1842" i="3"/>
  <c r="H1842" i="3"/>
  <c r="F1842" i="3"/>
  <c r="D1842" i="3"/>
  <c r="C1842" i="3"/>
  <c r="B1842" i="3"/>
  <c r="A1842" i="3"/>
  <c r="I1841" i="3"/>
  <c r="H1841" i="3"/>
  <c r="E1841" i="3"/>
  <c r="D1841" i="3"/>
  <c r="C1841" i="3"/>
  <c r="B1841" i="3"/>
  <c r="A1841" i="3"/>
  <c r="I1840" i="3"/>
  <c r="H1840" i="3"/>
  <c r="E1840" i="3"/>
  <c r="D1840" i="3"/>
  <c r="C1840" i="3"/>
  <c r="B1840" i="3"/>
  <c r="A1840" i="3"/>
  <c r="I1839" i="3"/>
  <c r="H1839" i="3"/>
  <c r="F1839" i="3"/>
  <c r="D1839" i="3"/>
  <c r="C1839" i="3"/>
  <c r="B1839" i="3"/>
  <c r="A1839" i="3"/>
  <c r="I1838" i="3"/>
  <c r="H1838" i="3"/>
  <c r="F1838" i="3"/>
  <c r="E1838" i="3"/>
  <c r="D1838" i="3"/>
  <c r="C1838" i="3"/>
  <c r="B1838" i="3"/>
  <c r="A1838" i="3"/>
  <c r="I1837" i="3"/>
  <c r="H1837" i="3"/>
  <c r="F1837" i="3"/>
  <c r="E1837" i="3"/>
  <c r="D1837" i="3"/>
  <c r="C1837" i="3"/>
  <c r="B1837" i="3"/>
  <c r="A1837" i="3"/>
  <c r="I1836" i="3"/>
  <c r="H1836" i="3"/>
  <c r="F1836" i="3"/>
  <c r="E1836" i="3"/>
  <c r="D1836" i="3"/>
  <c r="C1836" i="3"/>
  <c r="B1836" i="3"/>
  <c r="A1836" i="3"/>
  <c r="I1835" i="3"/>
  <c r="H1835" i="3"/>
  <c r="F1835" i="3"/>
  <c r="D1835" i="3"/>
  <c r="C1835" i="3"/>
  <c r="B1835" i="3"/>
  <c r="A1835" i="3"/>
  <c r="I1834" i="3"/>
  <c r="H1834" i="3"/>
  <c r="D1834" i="3"/>
  <c r="C1834" i="3"/>
  <c r="B1834" i="3"/>
  <c r="A1834" i="3"/>
  <c r="I1833" i="3"/>
  <c r="H1833" i="3"/>
  <c r="F1833" i="3"/>
  <c r="D1833" i="3"/>
  <c r="C1833" i="3"/>
  <c r="B1833" i="3"/>
  <c r="A1833" i="3"/>
  <c r="I1832" i="3"/>
  <c r="H1832" i="3"/>
  <c r="D1832" i="3"/>
  <c r="C1832" i="3"/>
  <c r="B1832" i="3"/>
  <c r="A1832" i="3"/>
  <c r="I1831" i="3"/>
  <c r="H1831" i="3"/>
  <c r="E1831" i="3"/>
  <c r="D1831" i="3"/>
  <c r="C1831" i="3"/>
  <c r="B1831" i="3"/>
  <c r="A1831" i="3"/>
  <c r="I1830" i="3"/>
  <c r="H1830" i="3"/>
  <c r="F1830" i="3"/>
  <c r="E1830" i="3"/>
  <c r="D1830" i="3"/>
  <c r="C1830" i="3"/>
  <c r="B1830" i="3"/>
  <c r="A1830" i="3"/>
  <c r="I1829" i="3"/>
  <c r="H1829" i="3"/>
  <c r="E1829" i="3"/>
  <c r="D1829" i="3"/>
  <c r="C1829" i="3"/>
  <c r="B1829" i="3"/>
  <c r="A1829" i="3"/>
  <c r="I1828" i="3"/>
  <c r="H1828" i="3"/>
  <c r="F1828" i="3"/>
  <c r="E1828" i="3"/>
  <c r="D1828" i="3"/>
  <c r="C1828" i="3"/>
  <c r="B1828" i="3"/>
  <c r="A1828" i="3"/>
  <c r="I1827" i="3"/>
  <c r="H1827" i="3"/>
  <c r="E1827" i="3"/>
  <c r="D1827" i="3"/>
  <c r="C1827" i="3"/>
  <c r="B1827" i="3"/>
  <c r="A1827" i="3"/>
  <c r="I1826" i="3"/>
  <c r="H1826" i="3"/>
  <c r="E1826" i="3"/>
  <c r="D1826" i="3"/>
  <c r="C1826" i="3"/>
  <c r="B1826" i="3"/>
  <c r="A1826" i="3"/>
  <c r="I1825" i="3"/>
  <c r="H1825" i="3"/>
  <c r="F1825" i="3"/>
  <c r="E1825" i="3"/>
  <c r="D1825" i="3"/>
  <c r="C1825" i="3"/>
  <c r="B1825" i="3"/>
  <c r="A1825" i="3"/>
  <c r="I1824" i="3"/>
  <c r="H1824" i="3"/>
  <c r="E1824" i="3"/>
  <c r="D1824" i="3"/>
  <c r="C1824" i="3"/>
  <c r="B1824" i="3"/>
  <c r="A1824" i="3"/>
  <c r="I1823" i="3"/>
  <c r="H1823" i="3"/>
  <c r="F1823" i="3"/>
  <c r="D1823" i="3"/>
  <c r="C1823" i="3"/>
  <c r="B1823" i="3"/>
  <c r="A1823" i="3"/>
  <c r="I1822" i="3"/>
  <c r="H1822" i="3"/>
  <c r="E1822" i="3"/>
  <c r="D1822" i="3"/>
  <c r="C1822" i="3"/>
  <c r="B1822" i="3"/>
  <c r="A1822" i="3"/>
  <c r="I1821" i="3"/>
  <c r="H1821" i="3"/>
  <c r="F1821" i="3"/>
  <c r="D1821" i="3"/>
  <c r="C1821" i="3"/>
  <c r="B1821" i="3"/>
  <c r="A1821" i="3"/>
  <c r="I1820" i="3"/>
  <c r="H1820" i="3"/>
  <c r="F1820" i="3"/>
  <c r="E1820" i="3"/>
  <c r="D1820" i="3"/>
  <c r="C1820" i="3"/>
  <c r="B1820" i="3"/>
  <c r="A1820" i="3"/>
  <c r="I1819" i="3"/>
  <c r="H1819" i="3"/>
  <c r="F1819" i="3"/>
  <c r="E1819" i="3"/>
  <c r="D1819" i="3"/>
  <c r="C1819" i="3"/>
  <c r="B1819" i="3"/>
  <c r="A1819" i="3"/>
  <c r="I1818" i="3"/>
  <c r="H1818" i="3"/>
  <c r="F1818" i="3"/>
  <c r="E1818" i="3"/>
  <c r="D1818" i="3"/>
  <c r="C1818" i="3"/>
  <c r="B1818" i="3"/>
  <c r="A1818" i="3"/>
  <c r="I1817" i="3"/>
  <c r="H1817" i="3"/>
  <c r="F1817" i="3"/>
  <c r="E1817" i="3"/>
  <c r="D1817" i="3"/>
  <c r="C1817" i="3"/>
  <c r="B1817" i="3"/>
  <c r="A1817" i="3"/>
  <c r="I1816" i="3"/>
  <c r="H1816" i="3"/>
  <c r="F1816" i="3"/>
  <c r="E1816" i="3"/>
  <c r="D1816" i="3"/>
  <c r="C1816" i="3"/>
  <c r="B1816" i="3"/>
  <c r="A1816" i="3"/>
  <c r="I1815" i="3"/>
  <c r="H1815" i="3"/>
  <c r="D1815" i="3"/>
  <c r="C1815" i="3"/>
  <c r="B1815" i="3"/>
  <c r="A1815" i="3"/>
  <c r="I1814" i="3"/>
  <c r="H1814" i="3"/>
  <c r="D1814" i="3"/>
  <c r="C1814" i="3"/>
  <c r="B1814" i="3"/>
  <c r="A1814" i="3"/>
  <c r="I1813" i="3"/>
  <c r="H1813" i="3"/>
  <c r="E1813" i="3"/>
  <c r="D1813" i="3"/>
  <c r="C1813" i="3"/>
  <c r="B1813" i="3"/>
  <c r="A1813" i="3"/>
  <c r="I1812" i="3"/>
  <c r="H1812" i="3"/>
  <c r="F1812" i="3"/>
  <c r="E1812" i="3"/>
  <c r="D1812" i="3"/>
  <c r="C1812" i="3"/>
  <c r="B1812" i="3"/>
  <c r="A1812" i="3"/>
  <c r="I1811" i="3"/>
  <c r="H1811" i="3"/>
  <c r="F1811" i="3"/>
  <c r="D1811" i="3"/>
  <c r="C1811" i="3"/>
  <c r="B1811" i="3"/>
  <c r="A1811" i="3"/>
  <c r="I1810" i="3"/>
  <c r="H1810" i="3"/>
  <c r="E1810" i="3"/>
  <c r="D1810" i="3"/>
  <c r="C1810" i="3"/>
  <c r="B1810" i="3"/>
  <c r="A1810" i="3"/>
  <c r="I1809" i="3"/>
  <c r="H1809" i="3"/>
  <c r="E1809" i="3"/>
  <c r="D1809" i="3"/>
  <c r="C1809" i="3"/>
  <c r="B1809" i="3"/>
  <c r="A1809" i="3"/>
  <c r="I1808" i="3"/>
  <c r="H1808" i="3"/>
  <c r="F1808" i="3"/>
  <c r="D1808" i="3"/>
  <c r="C1808" i="3"/>
  <c r="B1808" i="3"/>
  <c r="A1808" i="3"/>
  <c r="I1807" i="3"/>
  <c r="H1807" i="3"/>
  <c r="E1807" i="3"/>
  <c r="D1807" i="3"/>
  <c r="C1807" i="3"/>
  <c r="B1807" i="3"/>
  <c r="A1807" i="3"/>
  <c r="I1806" i="3"/>
  <c r="H1806" i="3"/>
  <c r="F1806" i="3"/>
  <c r="E1806" i="3"/>
  <c r="D1806" i="3"/>
  <c r="C1806" i="3"/>
  <c r="B1806" i="3"/>
  <c r="A1806" i="3"/>
  <c r="I1805" i="3"/>
  <c r="H1805" i="3"/>
  <c r="D1805" i="3"/>
  <c r="C1805" i="3"/>
  <c r="B1805" i="3"/>
  <c r="A1805" i="3"/>
  <c r="I1804" i="3"/>
  <c r="H1804" i="3"/>
  <c r="D1804" i="3"/>
  <c r="C1804" i="3"/>
  <c r="B1804" i="3"/>
  <c r="A1804" i="3"/>
  <c r="I1803" i="3"/>
  <c r="H1803" i="3"/>
  <c r="F1803" i="3"/>
  <c r="E1803" i="3"/>
  <c r="D1803" i="3"/>
  <c r="C1803" i="3"/>
  <c r="B1803" i="3"/>
  <c r="A1803" i="3"/>
  <c r="I1802" i="3"/>
  <c r="H1802" i="3"/>
  <c r="F1802" i="3"/>
  <c r="D1802" i="3"/>
  <c r="C1802" i="3"/>
  <c r="B1802" i="3"/>
  <c r="A1802" i="3"/>
  <c r="I1801" i="3"/>
  <c r="H1801" i="3"/>
  <c r="F1801" i="3"/>
  <c r="D1801" i="3"/>
  <c r="C1801" i="3"/>
  <c r="B1801" i="3"/>
  <c r="A1801" i="3"/>
  <c r="I1800" i="3"/>
  <c r="H1800" i="3"/>
  <c r="F1800" i="3"/>
  <c r="D1800" i="3"/>
  <c r="C1800" i="3"/>
  <c r="B1800" i="3"/>
  <c r="A1800" i="3"/>
  <c r="I1799" i="3"/>
  <c r="H1799" i="3"/>
  <c r="F1799" i="3"/>
  <c r="E1799" i="3"/>
  <c r="D1799" i="3"/>
  <c r="C1799" i="3"/>
  <c r="B1799" i="3"/>
  <c r="A1799" i="3"/>
  <c r="I1798" i="3"/>
  <c r="H1798" i="3"/>
  <c r="F1798" i="3"/>
  <c r="D1798" i="3"/>
  <c r="C1798" i="3"/>
  <c r="B1798" i="3"/>
  <c r="A1798" i="3"/>
  <c r="I1797" i="3"/>
  <c r="H1797" i="3"/>
  <c r="F1797" i="3"/>
  <c r="E1797" i="3"/>
  <c r="D1797" i="3"/>
  <c r="C1797" i="3"/>
  <c r="B1797" i="3"/>
  <c r="A1797" i="3"/>
  <c r="I1796" i="3"/>
  <c r="H1796" i="3"/>
  <c r="F1796" i="3"/>
  <c r="E1796" i="3"/>
  <c r="D1796" i="3"/>
  <c r="C1796" i="3"/>
  <c r="B1796" i="3"/>
  <c r="A1796" i="3"/>
  <c r="I1795" i="3"/>
  <c r="H1795" i="3"/>
  <c r="E1795" i="3"/>
  <c r="D1795" i="3"/>
  <c r="C1795" i="3"/>
  <c r="B1795" i="3"/>
  <c r="A1795" i="3"/>
  <c r="I1794" i="3"/>
  <c r="H1794" i="3"/>
  <c r="F1794" i="3"/>
  <c r="D1794" i="3"/>
  <c r="C1794" i="3"/>
  <c r="B1794" i="3"/>
  <c r="A1794" i="3"/>
  <c r="I1793" i="3"/>
  <c r="H1793" i="3"/>
  <c r="E1793" i="3"/>
  <c r="D1793" i="3"/>
  <c r="C1793" i="3"/>
  <c r="B1793" i="3"/>
  <c r="A1793" i="3"/>
  <c r="I1792" i="3"/>
  <c r="H1792" i="3"/>
  <c r="E1792" i="3"/>
  <c r="D1792" i="3"/>
  <c r="C1792" i="3"/>
  <c r="B1792" i="3"/>
  <c r="A1792" i="3"/>
  <c r="I1791" i="3"/>
  <c r="H1791" i="3"/>
  <c r="E1791" i="3"/>
  <c r="D1791" i="3"/>
  <c r="C1791" i="3"/>
  <c r="B1791" i="3"/>
  <c r="A1791" i="3"/>
  <c r="I1790" i="3"/>
  <c r="H1790" i="3"/>
  <c r="F1790" i="3"/>
  <c r="E1790" i="3"/>
  <c r="D1790" i="3"/>
  <c r="C1790" i="3"/>
  <c r="B1790" i="3"/>
  <c r="A1790" i="3"/>
  <c r="I1789" i="3"/>
  <c r="H1789" i="3"/>
  <c r="F1789" i="3"/>
  <c r="E1789" i="3"/>
  <c r="D1789" i="3"/>
  <c r="C1789" i="3"/>
  <c r="B1789" i="3"/>
  <c r="A1789" i="3"/>
  <c r="I1788" i="3"/>
  <c r="H1788" i="3"/>
  <c r="D1788" i="3"/>
  <c r="C1788" i="3"/>
  <c r="B1788" i="3"/>
  <c r="A1788" i="3"/>
  <c r="I1787" i="3"/>
  <c r="H1787" i="3"/>
  <c r="D1787" i="3"/>
  <c r="C1787" i="3"/>
  <c r="B1787" i="3"/>
  <c r="A1787" i="3"/>
  <c r="I1786" i="3"/>
  <c r="H1786" i="3"/>
  <c r="E1786" i="3"/>
  <c r="D1786" i="3"/>
  <c r="C1786" i="3"/>
  <c r="B1786" i="3"/>
  <c r="A1786" i="3"/>
  <c r="I1785" i="3"/>
  <c r="H1785" i="3"/>
  <c r="F1785" i="3"/>
  <c r="D1785" i="3"/>
  <c r="C1785" i="3"/>
  <c r="B1785" i="3"/>
  <c r="A1785" i="3"/>
  <c r="I1784" i="3"/>
  <c r="H1784" i="3"/>
  <c r="F1784" i="3"/>
  <c r="E1784" i="3"/>
  <c r="D1784" i="3"/>
  <c r="C1784" i="3"/>
  <c r="B1784" i="3"/>
  <c r="A1784" i="3"/>
  <c r="I1783" i="3"/>
  <c r="H1783" i="3"/>
  <c r="E1783" i="3"/>
  <c r="D1783" i="3"/>
  <c r="C1783" i="3"/>
  <c r="B1783" i="3"/>
  <c r="A1783" i="3"/>
  <c r="I1782" i="3"/>
  <c r="H1782" i="3"/>
  <c r="E1782" i="3"/>
  <c r="D1782" i="3"/>
  <c r="C1782" i="3"/>
  <c r="B1782" i="3"/>
  <c r="A1782" i="3"/>
  <c r="I1781" i="3"/>
  <c r="H1781" i="3"/>
  <c r="E1781" i="3"/>
  <c r="D1781" i="3"/>
  <c r="C1781" i="3"/>
  <c r="B1781" i="3"/>
  <c r="A1781" i="3"/>
  <c r="I1780" i="3"/>
  <c r="H1780" i="3"/>
  <c r="E1780" i="3"/>
  <c r="D1780" i="3"/>
  <c r="C1780" i="3"/>
  <c r="B1780" i="3"/>
  <c r="A1780" i="3"/>
  <c r="I1779" i="3"/>
  <c r="H1779" i="3"/>
  <c r="F1779" i="3"/>
  <c r="E1779" i="3"/>
  <c r="D1779" i="3"/>
  <c r="C1779" i="3"/>
  <c r="B1779" i="3"/>
  <c r="A1779" i="3"/>
  <c r="I1778" i="3"/>
  <c r="H1778" i="3"/>
  <c r="F1778" i="3"/>
  <c r="E1778" i="3"/>
  <c r="D1778" i="3"/>
  <c r="C1778" i="3"/>
  <c r="B1778" i="3"/>
  <c r="A1778" i="3"/>
  <c r="I1777" i="3"/>
  <c r="H1777" i="3"/>
  <c r="F1777" i="3"/>
  <c r="E1777" i="3"/>
  <c r="D1777" i="3"/>
  <c r="C1777" i="3"/>
  <c r="B1777" i="3"/>
  <c r="A1777" i="3"/>
  <c r="I1776" i="3"/>
  <c r="H1776" i="3"/>
  <c r="F1776" i="3"/>
  <c r="E1776" i="3"/>
  <c r="D1776" i="3"/>
  <c r="C1776" i="3"/>
  <c r="B1776" i="3"/>
  <c r="A1776" i="3"/>
  <c r="I1775" i="3"/>
  <c r="H1775" i="3"/>
  <c r="F1775" i="3"/>
  <c r="E1775" i="3"/>
  <c r="D1775" i="3"/>
  <c r="C1775" i="3"/>
  <c r="B1775" i="3"/>
  <c r="A1775" i="3"/>
  <c r="I1774" i="3"/>
  <c r="H1774" i="3"/>
  <c r="E1774" i="3"/>
  <c r="D1774" i="3"/>
  <c r="C1774" i="3"/>
  <c r="B1774" i="3"/>
  <c r="A1774" i="3"/>
  <c r="I1773" i="3"/>
  <c r="H1773" i="3"/>
  <c r="F1773" i="3"/>
  <c r="E1773" i="3"/>
  <c r="D1773" i="3"/>
  <c r="C1773" i="3"/>
  <c r="B1773" i="3"/>
  <c r="A1773" i="3"/>
  <c r="I1772" i="3"/>
  <c r="H1772" i="3"/>
  <c r="F1772" i="3"/>
  <c r="E1772" i="3"/>
  <c r="D1772" i="3"/>
  <c r="C1772" i="3"/>
  <c r="B1772" i="3"/>
  <c r="A1772" i="3"/>
  <c r="I1771" i="3"/>
  <c r="H1771" i="3"/>
  <c r="D1771" i="3"/>
  <c r="C1771" i="3"/>
  <c r="B1771" i="3"/>
  <c r="A1771" i="3"/>
  <c r="I1770" i="3"/>
  <c r="H1770" i="3"/>
  <c r="F1770" i="3"/>
  <c r="E1770" i="3"/>
  <c r="D1770" i="3"/>
  <c r="C1770" i="3"/>
  <c r="B1770" i="3"/>
  <c r="A1770" i="3"/>
  <c r="I1769" i="3"/>
  <c r="H1769" i="3"/>
  <c r="F1769" i="3"/>
  <c r="E1769" i="3"/>
  <c r="D1769" i="3"/>
  <c r="C1769" i="3"/>
  <c r="B1769" i="3"/>
  <c r="A1769" i="3"/>
  <c r="I1768" i="3"/>
  <c r="H1768" i="3"/>
  <c r="E1768" i="3"/>
  <c r="D1768" i="3"/>
  <c r="C1768" i="3"/>
  <c r="B1768" i="3"/>
  <c r="A1768" i="3"/>
  <c r="I1767" i="3"/>
  <c r="H1767" i="3"/>
  <c r="E1767" i="3"/>
  <c r="D1767" i="3"/>
  <c r="C1767" i="3"/>
  <c r="B1767" i="3"/>
  <c r="A1767" i="3"/>
  <c r="I1766" i="3"/>
  <c r="H1766" i="3"/>
  <c r="F1766" i="3"/>
  <c r="D1766" i="3"/>
  <c r="C1766" i="3"/>
  <c r="B1766" i="3"/>
  <c r="A1766" i="3"/>
  <c r="I1765" i="3"/>
  <c r="H1765" i="3"/>
  <c r="F1765" i="3"/>
  <c r="D1765" i="3"/>
  <c r="C1765" i="3"/>
  <c r="B1765" i="3"/>
  <c r="A1765" i="3"/>
  <c r="I1764" i="3"/>
  <c r="H1764" i="3"/>
  <c r="E1764" i="3"/>
  <c r="D1764" i="3"/>
  <c r="C1764" i="3"/>
  <c r="B1764" i="3"/>
  <c r="A1764" i="3"/>
  <c r="I1763" i="3"/>
  <c r="H1763" i="3"/>
  <c r="F1763" i="3"/>
  <c r="D1763" i="3"/>
  <c r="C1763" i="3"/>
  <c r="B1763" i="3"/>
  <c r="A1763" i="3"/>
  <c r="I1762" i="3"/>
  <c r="H1762" i="3"/>
  <c r="F1762" i="3"/>
  <c r="E1762" i="3"/>
  <c r="D1762" i="3"/>
  <c r="C1762" i="3"/>
  <c r="B1762" i="3"/>
  <c r="A1762" i="3"/>
  <c r="I1761" i="3"/>
  <c r="H1761" i="3"/>
  <c r="F1761" i="3"/>
  <c r="E1761" i="3"/>
  <c r="D1761" i="3"/>
  <c r="C1761" i="3"/>
  <c r="B1761" i="3"/>
  <c r="A1761" i="3"/>
  <c r="I1760" i="3"/>
  <c r="H1760" i="3"/>
  <c r="F1760" i="3"/>
  <c r="E1760" i="3"/>
  <c r="D1760" i="3"/>
  <c r="C1760" i="3"/>
  <c r="B1760" i="3"/>
  <c r="A1760" i="3"/>
  <c r="I1759" i="3"/>
  <c r="H1759" i="3"/>
  <c r="E1759" i="3"/>
  <c r="D1759" i="3"/>
  <c r="C1759" i="3"/>
  <c r="B1759" i="3"/>
  <c r="A1759" i="3"/>
  <c r="I1758" i="3"/>
  <c r="H1758" i="3"/>
  <c r="F1758" i="3"/>
  <c r="D1758" i="3"/>
  <c r="C1758" i="3"/>
  <c r="B1758" i="3"/>
  <c r="A1758" i="3"/>
  <c r="I1757" i="3"/>
  <c r="H1757" i="3"/>
  <c r="F1757" i="3"/>
  <c r="E1757" i="3"/>
  <c r="D1757" i="3"/>
  <c r="C1757" i="3"/>
  <c r="B1757" i="3"/>
  <c r="A1757" i="3"/>
  <c r="I1756" i="3"/>
  <c r="H1756" i="3"/>
  <c r="F1756" i="3"/>
  <c r="D1756" i="3"/>
  <c r="C1756" i="3"/>
  <c r="B1756" i="3"/>
  <c r="A1756" i="3"/>
  <c r="I1755" i="3"/>
  <c r="H1755" i="3"/>
  <c r="F1755" i="3"/>
  <c r="E1755" i="3"/>
  <c r="D1755" i="3"/>
  <c r="C1755" i="3"/>
  <c r="B1755" i="3"/>
  <c r="A1755" i="3"/>
  <c r="I1754" i="3"/>
  <c r="H1754" i="3"/>
  <c r="F1754" i="3"/>
  <c r="E1754" i="3"/>
  <c r="D1754" i="3"/>
  <c r="C1754" i="3"/>
  <c r="B1754" i="3"/>
  <c r="A1754" i="3"/>
  <c r="I1753" i="3"/>
  <c r="H1753" i="3"/>
  <c r="F1753" i="3"/>
  <c r="E1753" i="3"/>
  <c r="D1753" i="3"/>
  <c r="C1753" i="3"/>
  <c r="B1753" i="3"/>
  <c r="A1753" i="3"/>
  <c r="I1752" i="3"/>
  <c r="H1752" i="3"/>
  <c r="F1752" i="3"/>
  <c r="E1752" i="3"/>
  <c r="D1752" i="3"/>
  <c r="C1752" i="3"/>
  <c r="B1752" i="3"/>
  <c r="A1752" i="3"/>
  <c r="I1751" i="3"/>
  <c r="H1751" i="3"/>
  <c r="F1751" i="3"/>
  <c r="E1751" i="3"/>
  <c r="D1751" i="3"/>
  <c r="C1751" i="3"/>
  <c r="B1751" i="3"/>
  <c r="A1751" i="3"/>
  <c r="I1750" i="3"/>
  <c r="H1750" i="3"/>
  <c r="F1750" i="3"/>
  <c r="E1750" i="3"/>
  <c r="D1750" i="3"/>
  <c r="C1750" i="3"/>
  <c r="B1750" i="3"/>
  <c r="A1750" i="3"/>
  <c r="I1749" i="3"/>
  <c r="H1749" i="3"/>
  <c r="F1749" i="3"/>
  <c r="E1749" i="3"/>
  <c r="D1749" i="3"/>
  <c r="C1749" i="3"/>
  <c r="B1749" i="3"/>
  <c r="A1749" i="3"/>
  <c r="I1748" i="3"/>
  <c r="H1748" i="3"/>
  <c r="E1748" i="3"/>
  <c r="D1748" i="3"/>
  <c r="C1748" i="3"/>
  <c r="B1748" i="3"/>
  <c r="A1748" i="3"/>
  <c r="I1747" i="3"/>
  <c r="H1747" i="3"/>
  <c r="F1747" i="3"/>
  <c r="D1747" i="3"/>
  <c r="C1747" i="3"/>
  <c r="B1747" i="3"/>
  <c r="A1747" i="3"/>
  <c r="I1746" i="3"/>
  <c r="H1746" i="3"/>
  <c r="F1746" i="3"/>
  <c r="E1746" i="3"/>
  <c r="D1746" i="3"/>
  <c r="C1746" i="3"/>
  <c r="B1746" i="3"/>
  <c r="A1746" i="3"/>
  <c r="I1745" i="3"/>
  <c r="H1745" i="3"/>
  <c r="F1745" i="3"/>
  <c r="D1745" i="3"/>
  <c r="C1745" i="3"/>
  <c r="B1745" i="3"/>
  <c r="A1745" i="3"/>
  <c r="I1744" i="3"/>
  <c r="H1744" i="3"/>
  <c r="E1744" i="3"/>
  <c r="D1744" i="3"/>
  <c r="C1744" i="3"/>
  <c r="B1744" i="3"/>
  <c r="A1744" i="3"/>
  <c r="I1743" i="3"/>
  <c r="H1743" i="3"/>
  <c r="F1743" i="3"/>
  <c r="E1743" i="3"/>
  <c r="D1743" i="3"/>
  <c r="C1743" i="3"/>
  <c r="B1743" i="3"/>
  <c r="A1743" i="3"/>
  <c r="I1742" i="3"/>
  <c r="H1742" i="3"/>
  <c r="F1742" i="3"/>
  <c r="E1742" i="3"/>
  <c r="D1742" i="3"/>
  <c r="C1742" i="3"/>
  <c r="B1742" i="3"/>
  <c r="A1742" i="3"/>
  <c r="I1741" i="3"/>
  <c r="H1741" i="3"/>
  <c r="D1741" i="3"/>
  <c r="C1741" i="3"/>
  <c r="B1741" i="3"/>
  <c r="A1741" i="3"/>
  <c r="I1740" i="3"/>
  <c r="H1740" i="3"/>
  <c r="E1740" i="3"/>
  <c r="D1740" i="3"/>
  <c r="C1740" i="3"/>
  <c r="B1740" i="3"/>
  <c r="A1740" i="3"/>
  <c r="I1739" i="3"/>
  <c r="H1739" i="3"/>
  <c r="F1739" i="3"/>
  <c r="E1739" i="3"/>
  <c r="D1739" i="3"/>
  <c r="C1739" i="3"/>
  <c r="B1739" i="3"/>
  <c r="A1739" i="3"/>
  <c r="I1738" i="3"/>
  <c r="H1738" i="3"/>
  <c r="F1738" i="3"/>
  <c r="E1738" i="3"/>
  <c r="D1738" i="3"/>
  <c r="C1738" i="3"/>
  <c r="B1738" i="3"/>
  <c r="A1738" i="3"/>
  <c r="I1737" i="3"/>
  <c r="H1737" i="3"/>
  <c r="F1737" i="3"/>
  <c r="E1737" i="3"/>
  <c r="D1737" i="3"/>
  <c r="C1737" i="3"/>
  <c r="B1737" i="3"/>
  <c r="A1737" i="3"/>
  <c r="I1736" i="3"/>
  <c r="H1736" i="3"/>
  <c r="F1736" i="3"/>
  <c r="E1736" i="3"/>
  <c r="D1736" i="3"/>
  <c r="C1736" i="3"/>
  <c r="B1736" i="3"/>
  <c r="A1736" i="3"/>
  <c r="I1735" i="3"/>
  <c r="H1735" i="3"/>
  <c r="F1735" i="3"/>
  <c r="D1735" i="3"/>
  <c r="C1735" i="3"/>
  <c r="B1735" i="3"/>
  <c r="A1735" i="3"/>
  <c r="I1734" i="3"/>
  <c r="H1734" i="3"/>
  <c r="E1734" i="3"/>
  <c r="D1734" i="3"/>
  <c r="C1734" i="3"/>
  <c r="B1734" i="3"/>
  <c r="A1734" i="3"/>
  <c r="I1733" i="3"/>
  <c r="H1733" i="3"/>
  <c r="D1733" i="3"/>
  <c r="C1733" i="3"/>
  <c r="B1733" i="3"/>
  <c r="A1733" i="3"/>
  <c r="I1732" i="3"/>
  <c r="H1732" i="3"/>
  <c r="D1732" i="3"/>
  <c r="C1732" i="3"/>
  <c r="B1732" i="3"/>
  <c r="A1732" i="3"/>
  <c r="I1731" i="3"/>
  <c r="H1731" i="3"/>
  <c r="F1731" i="3"/>
  <c r="E1731" i="3"/>
  <c r="D1731" i="3"/>
  <c r="C1731" i="3"/>
  <c r="B1731" i="3"/>
  <c r="A1731" i="3"/>
  <c r="I1730" i="3"/>
  <c r="H1730" i="3"/>
  <c r="F1730" i="3"/>
  <c r="E1730" i="3"/>
  <c r="D1730" i="3"/>
  <c r="C1730" i="3"/>
  <c r="B1730" i="3"/>
  <c r="A1730" i="3"/>
  <c r="I1729" i="3"/>
  <c r="H1729" i="3"/>
  <c r="F1729" i="3"/>
  <c r="E1729" i="3"/>
  <c r="D1729" i="3"/>
  <c r="C1729" i="3"/>
  <c r="B1729" i="3"/>
  <c r="A1729" i="3"/>
  <c r="I1728" i="3"/>
  <c r="H1728" i="3"/>
  <c r="F1728" i="3"/>
  <c r="E1728" i="3"/>
  <c r="D1728" i="3"/>
  <c r="C1728" i="3"/>
  <c r="B1728" i="3"/>
  <c r="A1728" i="3"/>
  <c r="I1727" i="3"/>
  <c r="H1727" i="3"/>
  <c r="F1727" i="3"/>
  <c r="E1727" i="3"/>
  <c r="D1727" i="3"/>
  <c r="C1727" i="3"/>
  <c r="B1727" i="3"/>
  <c r="A1727" i="3"/>
  <c r="I1726" i="3"/>
  <c r="H1726" i="3"/>
  <c r="D1726" i="3"/>
  <c r="C1726" i="3"/>
  <c r="B1726" i="3"/>
  <c r="A1726" i="3"/>
  <c r="I1725" i="3"/>
  <c r="H1725" i="3"/>
  <c r="F1725" i="3"/>
  <c r="E1725" i="3"/>
  <c r="D1725" i="3"/>
  <c r="C1725" i="3"/>
  <c r="B1725" i="3"/>
  <c r="A1725" i="3"/>
  <c r="I1724" i="3"/>
  <c r="H1724" i="3"/>
  <c r="D1724" i="3"/>
  <c r="C1724" i="3"/>
  <c r="B1724" i="3"/>
  <c r="A1724" i="3"/>
  <c r="I1723" i="3"/>
  <c r="H1723" i="3"/>
  <c r="D1723" i="3"/>
  <c r="C1723" i="3"/>
  <c r="B1723" i="3"/>
  <c r="A1723" i="3"/>
  <c r="I1722" i="3"/>
  <c r="H1722" i="3"/>
  <c r="D1722" i="3"/>
  <c r="C1722" i="3"/>
  <c r="B1722" i="3"/>
  <c r="A1722" i="3"/>
  <c r="I1721" i="3"/>
  <c r="H1721" i="3"/>
  <c r="D1721" i="3"/>
  <c r="C1721" i="3"/>
  <c r="B1721" i="3"/>
  <c r="A1721" i="3"/>
  <c r="I1720" i="3"/>
  <c r="H1720" i="3"/>
  <c r="F1720" i="3"/>
  <c r="E1720" i="3"/>
  <c r="D1720" i="3"/>
  <c r="C1720" i="3"/>
  <c r="B1720" i="3"/>
  <c r="A1720" i="3"/>
  <c r="I1719" i="3"/>
  <c r="H1719" i="3"/>
  <c r="F1719" i="3"/>
  <c r="D1719" i="3"/>
  <c r="C1719" i="3"/>
  <c r="B1719" i="3"/>
  <c r="A1719" i="3"/>
  <c r="I1718" i="3"/>
  <c r="H1718" i="3"/>
  <c r="E1718" i="3"/>
  <c r="D1718" i="3"/>
  <c r="C1718" i="3"/>
  <c r="B1718" i="3"/>
  <c r="A1718" i="3"/>
  <c r="I1717" i="3"/>
  <c r="H1717" i="3"/>
  <c r="F1717" i="3"/>
  <c r="D1717" i="3"/>
  <c r="C1717" i="3"/>
  <c r="B1717" i="3"/>
  <c r="A1717" i="3"/>
  <c r="I1716" i="3"/>
  <c r="H1716" i="3"/>
  <c r="F1716" i="3"/>
  <c r="D1716" i="3"/>
  <c r="C1716" i="3"/>
  <c r="B1716" i="3"/>
  <c r="A1716" i="3"/>
  <c r="I1715" i="3"/>
  <c r="H1715" i="3"/>
  <c r="F1715" i="3"/>
  <c r="D1715" i="3"/>
  <c r="C1715" i="3"/>
  <c r="B1715" i="3"/>
  <c r="A1715" i="3"/>
  <c r="I1714" i="3"/>
  <c r="H1714" i="3"/>
  <c r="F1714" i="3"/>
  <c r="D1714" i="3"/>
  <c r="C1714" i="3"/>
  <c r="B1714" i="3"/>
  <c r="A1714" i="3"/>
  <c r="I1713" i="3"/>
  <c r="H1713" i="3"/>
  <c r="F1713" i="3"/>
  <c r="D1713" i="3"/>
  <c r="C1713" i="3"/>
  <c r="B1713" i="3"/>
  <c r="A1713" i="3"/>
  <c r="I1712" i="3"/>
  <c r="H1712" i="3"/>
  <c r="F1712" i="3"/>
  <c r="D1712" i="3"/>
  <c r="C1712" i="3"/>
  <c r="B1712" i="3"/>
  <c r="A1712" i="3"/>
  <c r="I1711" i="3"/>
  <c r="H1711" i="3"/>
  <c r="F1711" i="3"/>
  <c r="D1711" i="3"/>
  <c r="C1711" i="3"/>
  <c r="B1711" i="3"/>
  <c r="A1711" i="3"/>
  <c r="I1710" i="3"/>
  <c r="H1710" i="3"/>
  <c r="F1710" i="3"/>
  <c r="D1710" i="3"/>
  <c r="C1710" i="3"/>
  <c r="B1710" i="3"/>
  <c r="A1710" i="3"/>
  <c r="I1709" i="3"/>
  <c r="H1709" i="3"/>
  <c r="F1709" i="3"/>
  <c r="E1709" i="3"/>
  <c r="D1709" i="3"/>
  <c r="C1709" i="3"/>
  <c r="B1709" i="3"/>
  <c r="A1709" i="3"/>
  <c r="I1708" i="3"/>
  <c r="H1708" i="3"/>
  <c r="F1708" i="3"/>
  <c r="D1708" i="3"/>
  <c r="C1708" i="3"/>
  <c r="B1708" i="3"/>
  <c r="A1708" i="3"/>
  <c r="I1707" i="3"/>
  <c r="H1707" i="3"/>
  <c r="F1707" i="3"/>
  <c r="E1707" i="3"/>
  <c r="D1707" i="3"/>
  <c r="C1707" i="3"/>
  <c r="B1707" i="3"/>
  <c r="A1707" i="3"/>
  <c r="I1706" i="3"/>
  <c r="H1706" i="3"/>
  <c r="F1706" i="3"/>
  <c r="D1706" i="3"/>
  <c r="C1706" i="3"/>
  <c r="B1706" i="3"/>
  <c r="A1706" i="3"/>
  <c r="I1705" i="3"/>
  <c r="H1705" i="3"/>
  <c r="F1705" i="3"/>
  <c r="E1705" i="3"/>
  <c r="D1705" i="3"/>
  <c r="C1705" i="3"/>
  <c r="B1705" i="3"/>
  <c r="A1705" i="3"/>
  <c r="I1704" i="3"/>
  <c r="H1704" i="3"/>
  <c r="E1704" i="3"/>
  <c r="D1704" i="3"/>
  <c r="C1704" i="3"/>
  <c r="B1704" i="3"/>
  <c r="A1704" i="3"/>
  <c r="I1703" i="3"/>
  <c r="H1703" i="3"/>
  <c r="F1703" i="3"/>
  <c r="E1703" i="3"/>
  <c r="D1703" i="3"/>
  <c r="C1703" i="3"/>
  <c r="B1703" i="3"/>
  <c r="A1703" i="3"/>
  <c r="I1702" i="3"/>
  <c r="H1702" i="3"/>
  <c r="F1702" i="3"/>
  <c r="E1702" i="3"/>
  <c r="D1702" i="3"/>
  <c r="C1702" i="3"/>
  <c r="B1702" i="3"/>
  <c r="A1702" i="3"/>
  <c r="I1701" i="3"/>
  <c r="H1701" i="3"/>
  <c r="E1701" i="3"/>
  <c r="D1701" i="3"/>
  <c r="C1701" i="3"/>
  <c r="B1701" i="3"/>
  <c r="A1701" i="3"/>
  <c r="I1700" i="3"/>
  <c r="H1700" i="3"/>
  <c r="F1700" i="3"/>
  <c r="D1700" i="3"/>
  <c r="C1700" i="3"/>
  <c r="B1700" i="3"/>
  <c r="A1700" i="3"/>
  <c r="I1699" i="3"/>
  <c r="H1699" i="3"/>
  <c r="F1699" i="3"/>
  <c r="E1699" i="3"/>
  <c r="D1699" i="3"/>
  <c r="C1699" i="3"/>
  <c r="B1699" i="3"/>
  <c r="A1699" i="3"/>
  <c r="I1698" i="3"/>
  <c r="H1698" i="3"/>
  <c r="E1698" i="3"/>
  <c r="D1698" i="3"/>
  <c r="C1698" i="3"/>
  <c r="B1698" i="3"/>
  <c r="A1698" i="3"/>
  <c r="I1697" i="3"/>
  <c r="H1697" i="3"/>
  <c r="E1697" i="3"/>
  <c r="D1697" i="3"/>
  <c r="C1697" i="3"/>
  <c r="B1697" i="3"/>
  <c r="A1697" i="3"/>
  <c r="I1696" i="3"/>
  <c r="H1696" i="3"/>
  <c r="E1696" i="3"/>
  <c r="D1696" i="3"/>
  <c r="C1696" i="3"/>
  <c r="B1696" i="3"/>
  <c r="A1696" i="3"/>
  <c r="I1695" i="3"/>
  <c r="H1695" i="3"/>
  <c r="E1695" i="3"/>
  <c r="D1695" i="3"/>
  <c r="C1695" i="3"/>
  <c r="B1695" i="3"/>
  <c r="A1695" i="3"/>
  <c r="I1694" i="3"/>
  <c r="H1694" i="3"/>
  <c r="F1694" i="3"/>
  <c r="E1694" i="3"/>
  <c r="D1694" i="3"/>
  <c r="C1694" i="3"/>
  <c r="B1694" i="3"/>
  <c r="A1694" i="3"/>
  <c r="I1693" i="3"/>
  <c r="H1693" i="3"/>
  <c r="F1693" i="3"/>
  <c r="D1693" i="3"/>
  <c r="C1693" i="3"/>
  <c r="B1693" i="3"/>
  <c r="A1693" i="3"/>
  <c r="I1692" i="3"/>
  <c r="H1692" i="3"/>
  <c r="E1692" i="3"/>
  <c r="D1692" i="3"/>
  <c r="C1692" i="3"/>
  <c r="B1692" i="3"/>
  <c r="A1692" i="3"/>
  <c r="I1691" i="3"/>
  <c r="H1691" i="3"/>
  <c r="F1691" i="3"/>
  <c r="E1691" i="3"/>
  <c r="D1691" i="3"/>
  <c r="C1691" i="3"/>
  <c r="B1691" i="3"/>
  <c r="A1691" i="3"/>
  <c r="I1690" i="3"/>
  <c r="H1690" i="3"/>
  <c r="D1690" i="3"/>
  <c r="C1690" i="3"/>
  <c r="B1690" i="3"/>
  <c r="A1690" i="3"/>
  <c r="I1689" i="3"/>
  <c r="H1689" i="3"/>
  <c r="E1689" i="3"/>
  <c r="D1689" i="3"/>
  <c r="C1689" i="3"/>
  <c r="B1689" i="3"/>
  <c r="A1689" i="3"/>
  <c r="I1688" i="3"/>
  <c r="H1688" i="3"/>
  <c r="F1688" i="3"/>
  <c r="D1688" i="3"/>
  <c r="C1688" i="3"/>
  <c r="B1688" i="3"/>
  <c r="A1688" i="3"/>
  <c r="I1687" i="3"/>
  <c r="H1687" i="3"/>
  <c r="D1687" i="3"/>
  <c r="C1687" i="3"/>
  <c r="B1687" i="3"/>
  <c r="A1687" i="3"/>
  <c r="I1686" i="3"/>
  <c r="H1686" i="3"/>
  <c r="D1686" i="3"/>
  <c r="C1686" i="3"/>
  <c r="B1686" i="3"/>
  <c r="A1686" i="3"/>
  <c r="I1685" i="3"/>
  <c r="H1685" i="3"/>
  <c r="D1685" i="3"/>
  <c r="C1685" i="3"/>
  <c r="B1685" i="3"/>
  <c r="A1685" i="3"/>
  <c r="I1684" i="3"/>
  <c r="H1684" i="3"/>
  <c r="E1684" i="3"/>
  <c r="D1684" i="3"/>
  <c r="C1684" i="3"/>
  <c r="B1684" i="3"/>
  <c r="A1684" i="3"/>
  <c r="I1683" i="3"/>
  <c r="H1683" i="3"/>
  <c r="F1683" i="3"/>
  <c r="D1683" i="3"/>
  <c r="C1683" i="3"/>
  <c r="B1683" i="3"/>
  <c r="A1683" i="3"/>
  <c r="I1682" i="3"/>
  <c r="H1682" i="3"/>
  <c r="F1682" i="3"/>
  <c r="E1682" i="3"/>
  <c r="D1682" i="3"/>
  <c r="C1682" i="3"/>
  <c r="B1682" i="3"/>
  <c r="A1682" i="3"/>
  <c r="I1681" i="3"/>
  <c r="H1681" i="3"/>
  <c r="D1681" i="3"/>
  <c r="C1681" i="3"/>
  <c r="B1681" i="3"/>
  <c r="A1681" i="3"/>
  <c r="I1680" i="3"/>
  <c r="H1680" i="3"/>
  <c r="D1680" i="3"/>
  <c r="C1680" i="3"/>
  <c r="B1680" i="3"/>
  <c r="A1680" i="3"/>
  <c r="I1679" i="3"/>
  <c r="H1679" i="3"/>
  <c r="D1679" i="3"/>
  <c r="C1679" i="3"/>
  <c r="B1679" i="3"/>
  <c r="A1679" i="3"/>
  <c r="I1678" i="3"/>
  <c r="H1678" i="3"/>
  <c r="D1678" i="3"/>
  <c r="C1678" i="3"/>
  <c r="B1678" i="3"/>
  <c r="A1678" i="3"/>
  <c r="I1677" i="3"/>
  <c r="H1677" i="3"/>
  <c r="D1677" i="3"/>
  <c r="C1677" i="3"/>
  <c r="B1677" i="3"/>
  <c r="A1677" i="3"/>
  <c r="I1676" i="3"/>
  <c r="H1676" i="3"/>
  <c r="D1676" i="3"/>
  <c r="C1676" i="3"/>
  <c r="B1676" i="3"/>
  <c r="A1676" i="3"/>
  <c r="I1675" i="3"/>
  <c r="H1675" i="3"/>
  <c r="F1675" i="3"/>
  <c r="E1675" i="3"/>
  <c r="D1675" i="3"/>
  <c r="C1675" i="3"/>
  <c r="B1675" i="3"/>
  <c r="A1675" i="3"/>
  <c r="I1674" i="3"/>
  <c r="H1674" i="3"/>
  <c r="F1674" i="3"/>
  <c r="E1674" i="3"/>
  <c r="D1674" i="3"/>
  <c r="C1674" i="3"/>
  <c r="B1674" i="3"/>
  <c r="A1674" i="3"/>
  <c r="I1673" i="3"/>
  <c r="H1673" i="3"/>
  <c r="D1673" i="3"/>
  <c r="C1673" i="3"/>
  <c r="B1673" i="3"/>
  <c r="A1673" i="3"/>
  <c r="I1672" i="3"/>
  <c r="H1672" i="3"/>
  <c r="F1672" i="3"/>
  <c r="D1672" i="3"/>
  <c r="C1672" i="3"/>
  <c r="B1672" i="3"/>
  <c r="A1672" i="3"/>
  <c r="I1671" i="3"/>
  <c r="H1671" i="3"/>
  <c r="F1671" i="3"/>
  <c r="E1671" i="3"/>
  <c r="D1671" i="3"/>
  <c r="C1671" i="3"/>
  <c r="B1671" i="3"/>
  <c r="A1671" i="3"/>
  <c r="I1670" i="3"/>
  <c r="H1670" i="3"/>
  <c r="E1670" i="3"/>
  <c r="D1670" i="3"/>
  <c r="C1670" i="3"/>
  <c r="B1670" i="3"/>
  <c r="A1670" i="3"/>
  <c r="I1669" i="3"/>
  <c r="H1669" i="3"/>
  <c r="F1669" i="3"/>
  <c r="E1669" i="3"/>
  <c r="D1669" i="3"/>
  <c r="C1669" i="3"/>
  <c r="B1669" i="3"/>
  <c r="A1669" i="3"/>
  <c r="I1668" i="3"/>
  <c r="H1668" i="3"/>
  <c r="E1668" i="3"/>
  <c r="D1668" i="3"/>
  <c r="C1668" i="3"/>
  <c r="B1668" i="3"/>
  <c r="A1668" i="3"/>
  <c r="I1667" i="3"/>
  <c r="H1667" i="3"/>
  <c r="E1667" i="3"/>
  <c r="D1667" i="3"/>
  <c r="C1667" i="3"/>
  <c r="B1667" i="3"/>
  <c r="A1667" i="3"/>
  <c r="I1666" i="3"/>
  <c r="H1666" i="3"/>
  <c r="F1666" i="3"/>
  <c r="D1666" i="3"/>
  <c r="C1666" i="3"/>
  <c r="B1666" i="3"/>
  <c r="A1666" i="3"/>
  <c r="I1665" i="3"/>
  <c r="H1665" i="3"/>
  <c r="F1665" i="3"/>
  <c r="E1665" i="3"/>
  <c r="D1665" i="3"/>
  <c r="C1665" i="3"/>
  <c r="B1665" i="3"/>
  <c r="A1665" i="3"/>
  <c r="I1664" i="3"/>
  <c r="H1664" i="3"/>
  <c r="F1664" i="3"/>
  <c r="D1664" i="3"/>
  <c r="C1664" i="3"/>
  <c r="B1664" i="3"/>
  <c r="A1664" i="3"/>
  <c r="I1663" i="3"/>
  <c r="H1663" i="3"/>
  <c r="F1663" i="3"/>
  <c r="E1663" i="3"/>
  <c r="D1663" i="3"/>
  <c r="C1663" i="3"/>
  <c r="B1663" i="3"/>
  <c r="A1663" i="3"/>
  <c r="I1662" i="3"/>
  <c r="H1662" i="3"/>
  <c r="F1662" i="3"/>
  <c r="D1662" i="3"/>
  <c r="C1662" i="3"/>
  <c r="B1662" i="3"/>
  <c r="A1662" i="3"/>
  <c r="I1661" i="3"/>
  <c r="H1661" i="3"/>
  <c r="F1661" i="3"/>
  <c r="E1661" i="3"/>
  <c r="D1661" i="3"/>
  <c r="C1661" i="3"/>
  <c r="B1661" i="3"/>
  <c r="A1661" i="3"/>
  <c r="I1660" i="3"/>
  <c r="H1660" i="3"/>
  <c r="F1660" i="3"/>
  <c r="E1660" i="3"/>
  <c r="D1660" i="3"/>
  <c r="C1660" i="3"/>
  <c r="B1660" i="3"/>
  <c r="A1660" i="3"/>
  <c r="I1659" i="3"/>
  <c r="H1659" i="3"/>
  <c r="F1659" i="3"/>
  <c r="E1659" i="3"/>
  <c r="D1659" i="3"/>
  <c r="C1659" i="3"/>
  <c r="B1659" i="3"/>
  <c r="A1659" i="3"/>
  <c r="I1658" i="3"/>
  <c r="H1658" i="3"/>
  <c r="F1658" i="3"/>
  <c r="E1658" i="3"/>
  <c r="D1658" i="3"/>
  <c r="C1658" i="3"/>
  <c r="B1658" i="3"/>
  <c r="A1658" i="3"/>
  <c r="I1657" i="3"/>
  <c r="H1657" i="3"/>
  <c r="F1657" i="3"/>
  <c r="E1657" i="3"/>
  <c r="D1657" i="3"/>
  <c r="C1657" i="3"/>
  <c r="B1657" i="3"/>
  <c r="A1657" i="3"/>
  <c r="I1656" i="3"/>
  <c r="H1656" i="3"/>
  <c r="F1656" i="3"/>
  <c r="E1656" i="3"/>
  <c r="D1656" i="3"/>
  <c r="C1656" i="3"/>
  <c r="B1656" i="3"/>
  <c r="A1656" i="3"/>
  <c r="I1655" i="3"/>
  <c r="H1655" i="3"/>
  <c r="E1655" i="3"/>
  <c r="D1655" i="3"/>
  <c r="C1655" i="3"/>
  <c r="B1655" i="3"/>
  <c r="A1655" i="3"/>
  <c r="I1654" i="3"/>
  <c r="H1654" i="3"/>
  <c r="F1654" i="3"/>
  <c r="D1654" i="3"/>
  <c r="C1654" i="3"/>
  <c r="B1654" i="3"/>
  <c r="A1654" i="3"/>
  <c r="I1653" i="3"/>
  <c r="H1653" i="3"/>
  <c r="F1653" i="3"/>
  <c r="E1653" i="3"/>
  <c r="D1653" i="3"/>
  <c r="C1653" i="3"/>
  <c r="B1653" i="3"/>
  <c r="A1653" i="3"/>
  <c r="I1652" i="3"/>
  <c r="H1652" i="3"/>
  <c r="F1652" i="3"/>
  <c r="D1652" i="3"/>
  <c r="C1652" i="3"/>
  <c r="B1652" i="3"/>
  <c r="A1652" i="3"/>
  <c r="I1651" i="3"/>
  <c r="H1651" i="3"/>
  <c r="F1651" i="3"/>
  <c r="D1651" i="3"/>
  <c r="C1651" i="3"/>
  <c r="B1651" i="3"/>
  <c r="A1651" i="3"/>
  <c r="I1650" i="3"/>
  <c r="H1650" i="3"/>
  <c r="E1650" i="3"/>
  <c r="D1650" i="3"/>
  <c r="C1650" i="3"/>
  <c r="B1650" i="3"/>
  <c r="A1650" i="3"/>
  <c r="I1649" i="3"/>
  <c r="H1649" i="3"/>
  <c r="E1649" i="3"/>
  <c r="D1649" i="3"/>
  <c r="C1649" i="3"/>
  <c r="B1649" i="3"/>
  <c r="A1649" i="3"/>
  <c r="I1648" i="3"/>
  <c r="H1648" i="3"/>
  <c r="F1648" i="3"/>
  <c r="D1648" i="3"/>
  <c r="C1648" i="3"/>
  <c r="B1648" i="3"/>
  <c r="A1648" i="3"/>
  <c r="I1647" i="3"/>
  <c r="H1647" i="3"/>
  <c r="E1647" i="3"/>
  <c r="D1647" i="3"/>
  <c r="C1647" i="3"/>
  <c r="B1647" i="3"/>
  <c r="A1647" i="3"/>
  <c r="I1646" i="3"/>
  <c r="H1646" i="3"/>
  <c r="F1646" i="3"/>
  <c r="D1646" i="3"/>
  <c r="C1646" i="3"/>
  <c r="B1646" i="3"/>
  <c r="A1646" i="3"/>
  <c r="I1645" i="3"/>
  <c r="H1645" i="3"/>
  <c r="E1645" i="3"/>
  <c r="D1645" i="3"/>
  <c r="C1645" i="3"/>
  <c r="B1645" i="3"/>
  <c r="A1645" i="3"/>
  <c r="I1644" i="3"/>
  <c r="H1644" i="3"/>
  <c r="F1644" i="3"/>
  <c r="D1644" i="3"/>
  <c r="C1644" i="3"/>
  <c r="B1644" i="3"/>
  <c r="A1644" i="3"/>
  <c r="I1643" i="3"/>
  <c r="H1643" i="3"/>
  <c r="F1643" i="3"/>
  <c r="E1643" i="3"/>
  <c r="D1643" i="3"/>
  <c r="C1643" i="3"/>
  <c r="B1643" i="3"/>
  <c r="A1643" i="3"/>
  <c r="I1642" i="3"/>
  <c r="H1642" i="3"/>
  <c r="F1642" i="3"/>
  <c r="E1642" i="3"/>
  <c r="D1642" i="3"/>
  <c r="C1642" i="3"/>
  <c r="B1642" i="3"/>
  <c r="A1642" i="3"/>
  <c r="I1641" i="3"/>
  <c r="H1641" i="3"/>
  <c r="F1641" i="3"/>
  <c r="E1641" i="3"/>
  <c r="D1641" i="3"/>
  <c r="C1641" i="3"/>
  <c r="B1641" i="3"/>
  <c r="A1641" i="3"/>
  <c r="I1640" i="3"/>
  <c r="H1640" i="3"/>
  <c r="D1640" i="3"/>
  <c r="C1640" i="3"/>
  <c r="B1640" i="3"/>
  <c r="A1640" i="3"/>
  <c r="I1639" i="3"/>
  <c r="H1639" i="3"/>
  <c r="F1639" i="3"/>
  <c r="D1639" i="3"/>
  <c r="C1639" i="3"/>
  <c r="B1639" i="3"/>
  <c r="A1639" i="3"/>
  <c r="I1638" i="3"/>
  <c r="H1638" i="3"/>
  <c r="E1638" i="3"/>
  <c r="D1638" i="3"/>
  <c r="C1638" i="3"/>
  <c r="B1638" i="3"/>
  <c r="A1638" i="3"/>
  <c r="I1637" i="3"/>
  <c r="H1637" i="3"/>
  <c r="F1637" i="3"/>
  <c r="E1637" i="3"/>
  <c r="D1637" i="3"/>
  <c r="C1637" i="3"/>
  <c r="B1637" i="3"/>
  <c r="A1637" i="3"/>
  <c r="I1636" i="3"/>
  <c r="H1636" i="3"/>
  <c r="F1636" i="3"/>
  <c r="D1636" i="3"/>
  <c r="C1636" i="3"/>
  <c r="B1636" i="3"/>
  <c r="A1636" i="3"/>
  <c r="I1635" i="3"/>
  <c r="H1635" i="3"/>
  <c r="F1635" i="3"/>
  <c r="E1635" i="3"/>
  <c r="D1635" i="3"/>
  <c r="C1635" i="3"/>
  <c r="B1635" i="3"/>
  <c r="A1635" i="3"/>
  <c r="I1634" i="3"/>
  <c r="H1634" i="3"/>
  <c r="F1634" i="3"/>
  <c r="E1634" i="3"/>
  <c r="D1634" i="3"/>
  <c r="C1634" i="3"/>
  <c r="B1634" i="3"/>
  <c r="A1634" i="3"/>
  <c r="I1633" i="3"/>
  <c r="H1633" i="3"/>
  <c r="F1633" i="3"/>
  <c r="E1633" i="3"/>
  <c r="D1633" i="3"/>
  <c r="C1633" i="3"/>
  <c r="B1633" i="3"/>
  <c r="A1633" i="3"/>
  <c r="I1632" i="3"/>
  <c r="H1632" i="3"/>
  <c r="F1632" i="3"/>
  <c r="E1632" i="3"/>
  <c r="D1632" i="3"/>
  <c r="C1632" i="3"/>
  <c r="B1632" i="3"/>
  <c r="A1632" i="3"/>
  <c r="I1631" i="3"/>
  <c r="H1631" i="3"/>
  <c r="F1631" i="3"/>
  <c r="D1631" i="3"/>
  <c r="C1631" i="3"/>
  <c r="B1631" i="3"/>
  <c r="A1631" i="3"/>
  <c r="I1630" i="3"/>
  <c r="H1630" i="3"/>
  <c r="F1630" i="3"/>
  <c r="E1630" i="3"/>
  <c r="D1630" i="3"/>
  <c r="C1630" i="3"/>
  <c r="B1630" i="3"/>
  <c r="A1630" i="3"/>
  <c r="I1629" i="3"/>
  <c r="H1629" i="3"/>
  <c r="F1629" i="3"/>
  <c r="E1629" i="3"/>
  <c r="D1629" i="3"/>
  <c r="C1629" i="3"/>
  <c r="B1629" i="3"/>
  <c r="A1629" i="3"/>
  <c r="I1628" i="3"/>
  <c r="H1628" i="3"/>
  <c r="D1628" i="3"/>
  <c r="C1628" i="3"/>
  <c r="B1628" i="3"/>
  <c r="A1628" i="3"/>
  <c r="I1627" i="3"/>
  <c r="H1627" i="3"/>
  <c r="D1627" i="3"/>
  <c r="C1627" i="3"/>
  <c r="B1627" i="3"/>
  <c r="A1627" i="3"/>
  <c r="I1626" i="3"/>
  <c r="H1626" i="3"/>
  <c r="F1626" i="3"/>
  <c r="D1626" i="3"/>
  <c r="C1626" i="3"/>
  <c r="B1626" i="3"/>
  <c r="A1626" i="3"/>
  <c r="I1625" i="3"/>
  <c r="H1625" i="3"/>
  <c r="F1625" i="3"/>
  <c r="E1625" i="3"/>
  <c r="D1625" i="3"/>
  <c r="C1625" i="3"/>
  <c r="B1625" i="3"/>
  <c r="A1625" i="3"/>
  <c r="I1624" i="3"/>
  <c r="H1624" i="3"/>
  <c r="F1624" i="3"/>
  <c r="E1624" i="3"/>
  <c r="D1624" i="3"/>
  <c r="C1624" i="3"/>
  <c r="B1624" i="3"/>
  <c r="A1624" i="3"/>
  <c r="I1623" i="3"/>
  <c r="H1623" i="3"/>
  <c r="F1623" i="3"/>
  <c r="E1623" i="3"/>
  <c r="D1623" i="3"/>
  <c r="C1623" i="3"/>
  <c r="B1623" i="3"/>
  <c r="A1623" i="3"/>
  <c r="I1622" i="3"/>
  <c r="H1622" i="3"/>
  <c r="F1622" i="3"/>
  <c r="E1622" i="3"/>
  <c r="D1622" i="3"/>
  <c r="C1622" i="3"/>
  <c r="B1622" i="3"/>
  <c r="A1622" i="3"/>
  <c r="I1621" i="3"/>
  <c r="H1621" i="3"/>
  <c r="E1621" i="3"/>
  <c r="D1621" i="3"/>
  <c r="C1621" i="3"/>
  <c r="B1621" i="3"/>
  <c r="A1621" i="3"/>
  <c r="I1620" i="3"/>
  <c r="H1620" i="3"/>
  <c r="E1620" i="3"/>
  <c r="D1620" i="3"/>
  <c r="C1620" i="3"/>
  <c r="B1620" i="3"/>
  <c r="A1620" i="3"/>
  <c r="I1619" i="3"/>
  <c r="H1619" i="3"/>
  <c r="F1619" i="3"/>
  <c r="D1619" i="3"/>
  <c r="C1619" i="3"/>
  <c r="B1619" i="3"/>
  <c r="A1619" i="3"/>
  <c r="I1618" i="3"/>
  <c r="H1618" i="3"/>
  <c r="F1618" i="3"/>
  <c r="D1618" i="3"/>
  <c r="C1618" i="3"/>
  <c r="B1618" i="3"/>
  <c r="A1618" i="3"/>
  <c r="I1617" i="3"/>
  <c r="H1617" i="3"/>
  <c r="E1617" i="3"/>
  <c r="D1617" i="3"/>
  <c r="C1617" i="3"/>
  <c r="B1617" i="3"/>
  <c r="A1617" i="3"/>
  <c r="I1616" i="3"/>
  <c r="H1616" i="3"/>
  <c r="F1616" i="3"/>
  <c r="D1616" i="3"/>
  <c r="C1616" i="3"/>
  <c r="B1616" i="3"/>
  <c r="A1616" i="3"/>
  <c r="I1615" i="3"/>
  <c r="H1615" i="3"/>
  <c r="F1615" i="3"/>
  <c r="E1615" i="3"/>
  <c r="D1615" i="3"/>
  <c r="C1615" i="3"/>
  <c r="B1615" i="3"/>
  <c r="A1615" i="3"/>
  <c r="I1614" i="3"/>
  <c r="H1614" i="3"/>
  <c r="F1614" i="3"/>
  <c r="E1614" i="3"/>
  <c r="D1614" i="3"/>
  <c r="C1614" i="3"/>
  <c r="B1614" i="3"/>
  <c r="A1614" i="3"/>
  <c r="I1613" i="3"/>
  <c r="H1613" i="3"/>
  <c r="F1613" i="3"/>
  <c r="E1613" i="3"/>
  <c r="D1613" i="3"/>
  <c r="C1613" i="3"/>
  <c r="B1613" i="3"/>
  <c r="A1613" i="3"/>
  <c r="I1612" i="3"/>
  <c r="H1612" i="3"/>
  <c r="F1612" i="3"/>
  <c r="E1612" i="3"/>
  <c r="D1612" i="3"/>
  <c r="C1612" i="3"/>
  <c r="B1612" i="3"/>
  <c r="A1612" i="3"/>
  <c r="I1611" i="3"/>
  <c r="H1611" i="3"/>
  <c r="F1611" i="3"/>
  <c r="E1611" i="3"/>
  <c r="D1611" i="3"/>
  <c r="C1611" i="3"/>
  <c r="B1611" i="3"/>
  <c r="A1611" i="3"/>
  <c r="I1610" i="3"/>
  <c r="H1610" i="3"/>
  <c r="F1610" i="3"/>
  <c r="E1610" i="3"/>
  <c r="D1610" i="3"/>
  <c r="C1610" i="3"/>
  <c r="B1610" i="3"/>
  <c r="A1610" i="3"/>
  <c r="I1609" i="3"/>
  <c r="H1609" i="3"/>
  <c r="F1609" i="3"/>
  <c r="E1609" i="3"/>
  <c r="D1609" i="3"/>
  <c r="C1609" i="3"/>
  <c r="B1609" i="3"/>
  <c r="A1609" i="3"/>
  <c r="I1608" i="3"/>
  <c r="H1608" i="3"/>
  <c r="F1608" i="3"/>
  <c r="D1608" i="3"/>
  <c r="C1608" i="3"/>
  <c r="B1608" i="3"/>
  <c r="A1608" i="3"/>
  <c r="I1607" i="3"/>
  <c r="H1607" i="3"/>
  <c r="E1607" i="3"/>
  <c r="D1607" i="3"/>
  <c r="C1607" i="3"/>
  <c r="B1607" i="3"/>
  <c r="A1607" i="3"/>
  <c r="I1606" i="3"/>
  <c r="H1606" i="3"/>
  <c r="F1606" i="3"/>
  <c r="E1606" i="3"/>
  <c r="D1606" i="3"/>
  <c r="C1606" i="3"/>
  <c r="B1606" i="3"/>
  <c r="A1606" i="3"/>
  <c r="I1605" i="3"/>
  <c r="H1605" i="3"/>
  <c r="F1605" i="3"/>
  <c r="D1605" i="3"/>
  <c r="C1605" i="3"/>
  <c r="B1605" i="3"/>
  <c r="A1605" i="3"/>
  <c r="I1604" i="3"/>
  <c r="H1604" i="3"/>
  <c r="F1604" i="3"/>
  <c r="D1604" i="3"/>
  <c r="C1604" i="3"/>
  <c r="B1604" i="3"/>
  <c r="A1604" i="3"/>
  <c r="I1603" i="3"/>
  <c r="H1603" i="3"/>
  <c r="F1603" i="3"/>
  <c r="D1603" i="3"/>
  <c r="C1603" i="3"/>
  <c r="B1603" i="3"/>
  <c r="A1603" i="3"/>
  <c r="I1602" i="3"/>
  <c r="H1602" i="3"/>
  <c r="F1602" i="3"/>
  <c r="E1602" i="3"/>
  <c r="D1602" i="3"/>
  <c r="C1602" i="3"/>
  <c r="B1602" i="3"/>
  <c r="A1602" i="3"/>
  <c r="I1601" i="3"/>
  <c r="H1601" i="3"/>
  <c r="F1601" i="3"/>
  <c r="D1601" i="3"/>
  <c r="C1601" i="3"/>
  <c r="B1601" i="3"/>
  <c r="A1601" i="3"/>
  <c r="I1600" i="3"/>
  <c r="H1600" i="3"/>
  <c r="F1600" i="3"/>
  <c r="E1600" i="3"/>
  <c r="D1600" i="3"/>
  <c r="C1600" i="3"/>
  <c r="B1600" i="3"/>
  <c r="A1600" i="3"/>
  <c r="I1599" i="3"/>
  <c r="H1599" i="3"/>
  <c r="F1599" i="3"/>
  <c r="E1599" i="3"/>
  <c r="D1599" i="3"/>
  <c r="C1599" i="3"/>
  <c r="B1599" i="3"/>
  <c r="A1599" i="3"/>
  <c r="I1598" i="3"/>
  <c r="H1598" i="3"/>
  <c r="E1598" i="3"/>
  <c r="D1598" i="3"/>
  <c r="C1598" i="3"/>
  <c r="B1598" i="3"/>
  <c r="A1598" i="3"/>
  <c r="I1597" i="3"/>
  <c r="H1597" i="3"/>
  <c r="F1597" i="3"/>
  <c r="D1597" i="3"/>
  <c r="C1597" i="3"/>
  <c r="B1597" i="3"/>
  <c r="A1597" i="3"/>
  <c r="I1596" i="3"/>
  <c r="H1596" i="3"/>
  <c r="F1596" i="3"/>
  <c r="E1596" i="3"/>
  <c r="D1596" i="3"/>
  <c r="C1596" i="3"/>
  <c r="B1596" i="3"/>
  <c r="A1596" i="3"/>
  <c r="I1595" i="3"/>
  <c r="H1595" i="3"/>
  <c r="F1595" i="3"/>
  <c r="D1595" i="3"/>
  <c r="C1595" i="3"/>
  <c r="B1595" i="3"/>
  <c r="A1595" i="3"/>
  <c r="I1594" i="3"/>
  <c r="H1594" i="3"/>
  <c r="F1594" i="3"/>
  <c r="E1594" i="3"/>
  <c r="D1594" i="3"/>
  <c r="C1594" i="3"/>
  <c r="B1594" i="3"/>
  <c r="A1594" i="3"/>
  <c r="I1593" i="3"/>
  <c r="H1593" i="3"/>
  <c r="F1593" i="3"/>
  <c r="E1593" i="3"/>
  <c r="D1593" i="3"/>
  <c r="C1593" i="3"/>
  <c r="B1593" i="3"/>
  <c r="A1593" i="3"/>
  <c r="I1592" i="3"/>
  <c r="H1592" i="3"/>
  <c r="E1592" i="3"/>
  <c r="D1592" i="3"/>
  <c r="C1592" i="3"/>
  <c r="B1592" i="3"/>
  <c r="A1592" i="3"/>
  <c r="I1591" i="3"/>
  <c r="H1591" i="3"/>
  <c r="F1591" i="3"/>
  <c r="E1591" i="3"/>
  <c r="D1591" i="3"/>
  <c r="C1591" i="3"/>
  <c r="B1591" i="3"/>
  <c r="A1591" i="3"/>
  <c r="I1590" i="3"/>
  <c r="H1590" i="3"/>
  <c r="F1590" i="3"/>
  <c r="E1590" i="3"/>
  <c r="D1590" i="3"/>
  <c r="C1590" i="3"/>
  <c r="B1590" i="3"/>
  <c r="A1590" i="3"/>
  <c r="I1589" i="3"/>
  <c r="H1589" i="3"/>
  <c r="F1589" i="3"/>
  <c r="D1589" i="3"/>
  <c r="C1589" i="3"/>
  <c r="B1589" i="3"/>
  <c r="A1589" i="3"/>
  <c r="I1588" i="3"/>
  <c r="H1588" i="3"/>
  <c r="E1588" i="3"/>
  <c r="D1588" i="3"/>
  <c r="C1588" i="3"/>
  <c r="B1588" i="3"/>
  <c r="A1588" i="3"/>
  <c r="I1587" i="3"/>
  <c r="H1587" i="3"/>
  <c r="F1587" i="3"/>
  <c r="E1587" i="3"/>
  <c r="D1587" i="3"/>
  <c r="C1587" i="3"/>
  <c r="B1587" i="3"/>
  <c r="A1587" i="3"/>
  <c r="I1586" i="3"/>
  <c r="H1586" i="3"/>
  <c r="F1586" i="3"/>
  <c r="E1586" i="3"/>
  <c r="D1586" i="3"/>
  <c r="C1586" i="3"/>
  <c r="B1586" i="3"/>
  <c r="A1586" i="3"/>
  <c r="I1585" i="3"/>
  <c r="H1585" i="3"/>
  <c r="F1585" i="3"/>
  <c r="E1585" i="3"/>
  <c r="D1585" i="3"/>
  <c r="C1585" i="3"/>
  <c r="B1585" i="3"/>
  <c r="A1585" i="3"/>
  <c r="I1584" i="3"/>
  <c r="H1584" i="3"/>
  <c r="F1584" i="3"/>
  <c r="E1584" i="3"/>
  <c r="D1584" i="3"/>
  <c r="C1584" i="3"/>
  <c r="B1584" i="3"/>
  <c r="A1584" i="3"/>
  <c r="I1583" i="3"/>
  <c r="H1583" i="3"/>
  <c r="F1583" i="3"/>
  <c r="E1583" i="3"/>
  <c r="D1583" i="3"/>
  <c r="C1583" i="3"/>
  <c r="B1583" i="3"/>
  <c r="A1583" i="3"/>
  <c r="I1582" i="3"/>
  <c r="H1582" i="3"/>
  <c r="F1582" i="3"/>
  <c r="E1582" i="3"/>
  <c r="D1582" i="3"/>
  <c r="C1582" i="3"/>
  <c r="B1582" i="3"/>
  <c r="A1582" i="3"/>
  <c r="I1581" i="3"/>
  <c r="H1581" i="3"/>
  <c r="F1581" i="3"/>
  <c r="D1581" i="3"/>
  <c r="C1581" i="3"/>
  <c r="B1581" i="3"/>
  <c r="A1581" i="3"/>
  <c r="I1580" i="3"/>
  <c r="H1580" i="3"/>
  <c r="F1580" i="3"/>
  <c r="E1580" i="3"/>
  <c r="D1580" i="3"/>
  <c r="C1580" i="3"/>
  <c r="B1580" i="3"/>
  <c r="A1580" i="3"/>
  <c r="I1579" i="3"/>
  <c r="H1579" i="3"/>
  <c r="F1579" i="3"/>
  <c r="E1579" i="3"/>
  <c r="D1579" i="3"/>
  <c r="C1579" i="3"/>
  <c r="B1579" i="3"/>
  <c r="A1579" i="3"/>
  <c r="I1578" i="3"/>
  <c r="H1578" i="3"/>
  <c r="F1578" i="3"/>
  <c r="D1578" i="3"/>
  <c r="C1578" i="3"/>
  <c r="B1578" i="3"/>
  <c r="A1578" i="3"/>
  <c r="I1577" i="3"/>
  <c r="H1577" i="3"/>
  <c r="F1577" i="3"/>
  <c r="D1577" i="3"/>
  <c r="C1577" i="3"/>
  <c r="B1577" i="3"/>
  <c r="A1577" i="3"/>
  <c r="I1576" i="3"/>
  <c r="H1576" i="3"/>
  <c r="D1576" i="3"/>
  <c r="C1576" i="3"/>
  <c r="B1576" i="3"/>
  <c r="A1576" i="3"/>
  <c r="I1575" i="3"/>
  <c r="H1575" i="3"/>
  <c r="F1575" i="3"/>
  <c r="E1575" i="3"/>
  <c r="D1575" i="3"/>
  <c r="C1575" i="3"/>
  <c r="B1575" i="3"/>
  <c r="A1575" i="3"/>
  <c r="I1574" i="3"/>
  <c r="H1574" i="3"/>
  <c r="F1574" i="3"/>
  <c r="D1574" i="3"/>
  <c r="C1574" i="3"/>
  <c r="B1574" i="3"/>
  <c r="A1574" i="3"/>
  <c r="I1573" i="3"/>
  <c r="H1573" i="3"/>
  <c r="F1573" i="3"/>
  <c r="D1573" i="3"/>
  <c r="C1573" i="3"/>
  <c r="B1573" i="3"/>
  <c r="A1573" i="3"/>
  <c r="I1572" i="3"/>
  <c r="H1572" i="3"/>
  <c r="F1572" i="3"/>
  <c r="E1572" i="3"/>
  <c r="D1572" i="3"/>
  <c r="C1572" i="3"/>
  <c r="B1572" i="3"/>
  <c r="A1572" i="3"/>
  <c r="I1571" i="3"/>
  <c r="H1571" i="3"/>
  <c r="D1571" i="3"/>
  <c r="C1571" i="3"/>
  <c r="B1571" i="3"/>
  <c r="A1571" i="3"/>
  <c r="I1570" i="3"/>
  <c r="H1570" i="3"/>
  <c r="F1570" i="3"/>
  <c r="E1570" i="3"/>
  <c r="D1570" i="3"/>
  <c r="C1570" i="3"/>
  <c r="B1570" i="3"/>
  <c r="A1570" i="3"/>
  <c r="I1569" i="3"/>
  <c r="H1569" i="3"/>
  <c r="F1569" i="3"/>
  <c r="E1569" i="3"/>
  <c r="D1569" i="3"/>
  <c r="C1569" i="3"/>
  <c r="B1569" i="3"/>
  <c r="A1569" i="3"/>
  <c r="I1568" i="3"/>
  <c r="H1568" i="3"/>
  <c r="F1568" i="3"/>
  <c r="E1568" i="3"/>
  <c r="D1568" i="3"/>
  <c r="C1568" i="3"/>
  <c r="B1568" i="3"/>
  <c r="A1568" i="3"/>
  <c r="I1567" i="3"/>
  <c r="H1567" i="3"/>
  <c r="E1567" i="3"/>
  <c r="D1567" i="3"/>
  <c r="C1567" i="3"/>
  <c r="B1567" i="3"/>
  <c r="A1567" i="3"/>
  <c r="I1566" i="3"/>
  <c r="H1566" i="3"/>
  <c r="F1566" i="3"/>
  <c r="E1566" i="3"/>
  <c r="D1566" i="3"/>
  <c r="C1566" i="3"/>
  <c r="B1566" i="3"/>
  <c r="A1566" i="3"/>
  <c r="I1565" i="3"/>
  <c r="H1565" i="3"/>
  <c r="F1565" i="3"/>
  <c r="E1565" i="3"/>
  <c r="D1565" i="3"/>
  <c r="C1565" i="3"/>
  <c r="B1565" i="3"/>
  <c r="A1565" i="3"/>
  <c r="I1564" i="3"/>
  <c r="H1564" i="3"/>
  <c r="E1564" i="3"/>
  <c r="D1564" i="3"/>
  <c r="C1564" i="3"/>
  <c r="B1564" i="3"/>
  <c r="A1564" i="3"/>
  <c r="I1563" i="3"/>
  <c r="H1563" i="3"/>
  <c r="E1563" i="3"/>
  <c r="D1563" i="3"/>
  <c r="C1563" i="3"/>
  <c r="B1563" i="3"/>
  <c r="A1563" i="3"/>
  <c r="I1562" i="3"/>
  <c r="H1562" i="3"/>
  <c r="D1562" i="3"/>
  <c r="C1562" i="3"/>
  <c r="B1562" i="3"/>
  <c r="A1562" i="3"/>
  <c r="I1561" i="3"/>
  <c r="H1561" i="3"/>
  <c r="F1561" i="3"/>
  <c r="E1561" i="3"/>
  <c r="D1561" i="3"/>
  <c r="C1561" i="3"/>
  <c r="B1561" i="3"/>
  <c r="A1561" i="3"/>
  <c r="I1560" i="3"/>
  <c r="H1560" i="3"/>
  <c r="F1560" i="3"/>
  <c r="E1560" i="3"/>
  <c r="D1560" i="3"/>
  <c r="C1560" i="3"/>
  <c r="B1560" i="3"/>
  <c r="A1560" i="3"/>
  <c r="I1559" i="3"/>
  <c r="H1559" i="3"/>
  <c r="F1559" i="3"/>
  <c r="E1559" i="3"/>
  <c r="D1559" i="3"/>
  <c r="C1559" i="3"/>
  <c r="B1559" i="3"/>
  <c r="A1559" i="3"/>
  <c r="I1558" i="3"/>
  <c r="H1558" i="3"/>
  <c r="F1558" i="3"/>
  <c r="E1558" i="3"/>
  <c r="D1558" i="3"/>
  <c r="C1558" i="3"/>
  <c r="B1558" i="3"/>
  <c r="A1558" i="3"/>
  <c r="I1557" i="3"/>
  <c r="H1557" i="3"/>
  <c r="F1557" i="3"/>
  <c r="E1557" i="3"/>
  <c r="D1557" i="3"/>
  <c r="C1557" i="3"/>
  <c r="B1557" i="3"/>
  <c r="A1557" i="3"/>
  <c r="I1556" i="3"/>
  <c r="H1556" i="3"/>
  <c r="F1556" i="3"/>
  <c r="E1556" i="3"/>
  <c r="D1556" i="3"/>
  <c r="C1556" i="3"/>
  <c r="B1556" i="3"/>
  <c r="A1556" i="3"/>
  <c r="I1555" i="3"/>
  <c r="H1555" i="3"/>
  <c r="F1555" i="3"/>
  <c r="E1555" i="3"/>
  <c r="D1555" i="3"/>
  <c r="C1555" i="3"/>
  <c r="B1555" i="3"/>
  <c r="A1555" i="3"/>
  <c r="I1554" i="3"/>
  <c r="H1554" i="3"/>
  <c r="E1554" i="3"/>
  <c r="D1554" i="3"/>
  <c r="C1554" i="3"/>
  <c r="B1554" i="3"/>
  <c r="A1554" i="3"/>
  <c r="I1553" i="3"/>
  <c r="H1553" i="3"/>
  <c r="F1553" i="3"/>
  <c r="D1553" i="3"/>
  <c r="C1553" i="3"/>
  <c r="B1553" i="3"/>
  <c r="A1553" i="3"/>
  <c r="I1552" i="3"/>
  <c r="H1552" i="3"/>
  <c r="E1552" i="3"/>
  <c r="D1552" i="3"/>
  <c r="C1552" i="3"/>
  <c r="B1552" i="3"/>
  <c r="A1552" i="3"/>
  <c r="I1551" i="3"/>
  <c r="H1551" i="3"/>
  <c r="E1551" i="3"/>
  <c r="D1551" i="3"/>
  <c r="C1551" i="3"/>
  <c r="B1551" i="3"/>
  <c r="A1551" i="3"/>
  <c r="I1550" i="3"/>
  <c r="H1550" i="3"/>
  <c r="E1550" i="3"/>
  <c r="D1550" i="3"/>
  <c r="C1550" i="3"/>
  <c r="B1550" i="3"/>
  <c r="A1550" i="3"/>
  <c r="I1549" i="3"/>
  <c r="H1549" i="3"/>
  <c r="F1549" i="3"/>
  <c r="E1549" i="3"/>
  <c r="D1549" i="3"/>
  <c r="C1549" i="3"/>
  <c r="B1549" i="3"/>
  <c r="A1549" i="3"/>
  <c r="I1548" i="3"/>
  <c r="H1548" i="3"/>
  <c r="F1548" i="3"/>
  <c r="E1548" i="3"/>
  <c r="D1548" i="3"/>
  <c r="C1548" i="3"/>
  <c r="B1548" i="3"/>
  <c r="A1548" i="3"/>
  <c r="I1547" i="3"/>
  <c r="H1547" i="3"/>
  <c r="E1547" i="3"/>
  <c r="D1547" i="3"/>
  <c r="C1547" i="3"/>
  <c r="B1547" i="3"/>
  <c r="A1547" i="3"/>
  <c r="I1546" i="3"/>
  <c r="H1546" i="3"/>
  <c r="D1546" i="3"/>
  <c r="C1546" i="3"/>
  <c r="B1546" i="3"/>
  <c r="A1546" i="3"/>
  <c r="I1545" i="3"/>
  <c r="H1545" i="3"/>
  <c r="F1545" i="3"/>
  <c r="E1545" i="3"/>
  <c r="D1545" i="3"/>
  <c r="C1545" i="3"/>
  <c r="B1545" i="3"/>
  <c r="A1545" i="3"/>
  <c r="I1544" i="3"/>
  <c r="H1544" i="3"/>
  <c r="E1544" i="3"/>
  <c r="D1544" i="3"/>
  <c r="C1544" i="3"/>
  <c r="B1544" i="3"/>
  <c r="A1544" i="3"/>
  <c r="I1543" i="3"/>
  <c r="H1543" i="3"/>
  <c r="F1543" i="3"/>
  <c r="D1543" i="3"/>
  <c r="C1543" i="3"/>
  <c r="B1543" i="3"/>
  <c r="A1543" i="3"/>
  <c r="I1542" i="3"/>
  <c r="H1542" i="3"/>
  <c r="F1542" i="3"/>
  <c r="D1542" i="3"/>
  <c r="C1542" i="3"/>
  <c r="B1542" i="3"/>
  <c r="A1542" i="3"/>
  <c r="I1541" i="3"/>
  <c r="H1541" i="3"/>
  <c r="E1541" i="3"/>
  <c r="D1541" i="3"/>
  <c r="C1541" i="3"/>
  <c r="B1541" i="3"/>
  <c r="A1541" i="3"/>
  <c r="I1540" i="3"/>
  <c r="H1540" i="3"/>
  <c r="E1540" i="3"/>
  <c r="D1540" i="3"/>
  <c r="C1540" i="3"/>
  <c r="B1540" i="3"/>
  <c r="A1540" i="3"/>
  <c r="I1539" i="3"/>
  <c r="H1539" i="3"/>
  <c r="E1539" i="3"/>
  <c r="D1539" i="3"/>
  <c r="C1539" i="3"/>
  <c r="B1539" i="3"/>
  <c r="A1539" i="3"/>
  <c r="I1538" i="3"/>
  <c r="H1538" i="3"/>
  <c r="F1538" i="3"/>
  <c r="E1538" i="3"/>
  <c r="D1538" i="3"/>
  <c r="C1538" i="3"/>
  <c r="B1538" i="3"/>
  <c r="A1538" i="3"/>
  <c r="I1537" i="3"/>
  <c r="H1537" i="3"/>
  <c r="F1537" i="3"/>
  <c r="E1537" i="3"/>
  <c r="D1537" i="3"/>
  <c r="C1537" i="3"/>
  <c r="B1537" i="3"/>
  <c r="A1537" i="3"/>
  <c r="I1536" i="3"/>
  <c r="H1536" i="3"/>
  <c r="F1536" i="3"/>
  <c r="E1536" i="3"/>
  <c r="D1536" i="3"/>
  <c r="C1536" i="3"/>
  <c r="B1536" i="3"/>
  <c r="A1536" i="3"/>
  <c r="I1535" i="3"/>
  <c r="H1535" i="3"/>
  <c r="F1535" i="3"/>
  <c r="E1535" i="3"/>
  <c r="D1535" i="3"/>
  <c r="C1535" i="3"/>
  <c r="B1535" i="3"/>
  <c r="A1535" i="3"/>
  <c r="I1534" i="3"/>
  <c r="H1534" i="3"/>
  <c r="E1534" i="3"/>
  <c r="D1534" i="3"/>
  <c r="C1534" i="3"/>
  <c r="B1534" i="3"/>
  <c r="A1534" i="3"/>
  <c r="I1533" i="3"/>
  <c r="H1533" i="3"/>
  <c r="F1533" i="3"/>
  <c r="D1533" i="3"/>
  <c r="C1533" i="3"/>
  <c r="B1533" i="3"/>
  <c r="A1533" i="3"/>
  <c r="I1532" i="3"/>
  <c r="H1532" i="3"/>
  <c r="E1532" i="3"/>
  <c r="D1532" i="3"/>
  <c r="C1532" i="3"/>
  <c r="B1532" i="3"/>
  <c r="A1532" i="3"/>
  <c r="I1531" i="3"/>
  <c r="H1531" i="3"/>
  <c r="E1531" i="3"/>
  <c r="D1531" i="3"/>
  <c r="C1531" i="3"/>
  <c r="B1531" i="3"/>
  <c r="A1531" i="3"/>
  <c r="I1530" i="3"/>
  <c r="H1530" i="3"/>
  <c r="F1530" i="3"/>
  <c r="E1530" i="3"/>
  <c r="D1530" i="3"/>
  <c r="C1530" i="3"/>
  <c r="B1530" i="3"/>
  <c r="A1530" i="3"/>
  <c r="I1529" i="3"/>
  <c r="H1529" i="3"/>
  <c r="E1529" i="3"/>
  <c r="D1529" i="3"/>
  <c r="C1529" i="3"/>
  <c r="B1529" i="3"/>
  <c r="A1529" i="3"/>
  <c r="I1528" i="3"/>
  <c r="H1528" i="3"/>
  <c r="F1528" i="3"/>
  <c r="E1528" i="3"/>
  <c r="D1528" i="3"/>
  <c r="C1528" i="3"/>
  <c r="B1528" i="3"/>
  <c r="A1528" i="3"/>
  <c r="I1527" i="3"/>
  <c r="H1527" i="3"/>
  <c r="F1527" i="3"/>
  <c r="E1527" i="3"/>
  <c r="D1527" i="3"/>
  <c r="C1527" i="3"/>
  <c r="B1527" i="3"/>
  <c r="A1527" i="3"/>
  <c r="I1526" i="3"/>
  <c r="H1526" i="3"/>
  <c r="E1526" i="3"/>
  <c r="D1526" i="3"/>
  <c r="C1526" i="3"/>
  <c r="B1526" i="3"/>
  <c r="A1526" i="3"/>
  <c r="I1525" i="3"/>
  <c r="H1525" i="3"/>
  <c r="E1525" i="3"/>
  <c r="D1525" i="3"/>
  <c r="C1525" i="3"/>
  <c r="B1525" i="3"/>
  <c r="A1525" i="3"/>
  <c r="I1524" i="3"/>
  <c r="H1524" i="3"/>
  <c r="F1524" i="3"/>
  <c r="E1524" i="3"/>
  <c r="D1524" i="3"/>
  <c r="C1524" i="3"/>
  <c r="B1524" i="3"/>
  <c r="A1524" i="3"/>
  <c r="I1523" i="3"/>
  <c r="H1523" i="3"/>
  <c r="E1523" i="3"/>
  <c r="D1523" i="3"/>
  <c r="C1523" i="3"/>
  <c r="B1523" i="3"/>
  <c r="A1523" i="3"/>
  <c r="I1522" i="3"/>
  <c r="H1522" i="3"/>
  <c r="E1522" i="3"/>
  <c r="D1522" i="3"/>
  <c r="C1522" i="3"/>
  <c r="B1522" i="3"/>
  <c r="A1522" i="3"/>
  <c r="I1521" i="3"/>
  <c r="H1521" i="3"/>
  <c r="D1521" i="3"/>
  <c r="C1521" i="3"/>
  <c r="B1521" i="3"/>
  <c r="A1521" i="3"/>
  <c r="I1520" i="3"/>
  <c r="H1520" i="3"/>
  <c r="D1520" i="3"/>
  <c r="C1520" i="3"/>
  <c r="B1520" i="3"/>
  <c r="A1520" i="3"/>
  <c r="I1519" i="3"/>
  <c r="H1519" i="3"/>
  <c r="D1519" i="3"/>
  <c r="C1519" i="3"/>
  <c r="B1519" i="3"/>
  <c r="A1519" i="3"/>
  <c r="I1518" i="3"/>
  <c r="H1518" i="3"/>
  <c r="E1518" i="3"/>
  <c r="D1518" i="3"/>
  <c r="C1518" i="3"/>
  <c r="B1518" i="3"/>
  <c r="A1518" i="3"/>
  <c r="I1517" i="3"/>
  <c r="H1517" i="3"/>
  <c r="F1517" i="3"/>
  <c r="D1517" i="3"/>
  <c r="C1517" i="3"/>
  <c r="B1517" i="3"/>
  <c r="A1517" i="3"/>
  <c r="I1516" i="3"/>
  <c r="H1516" i="3"/>
  <c r="E1516" i="3"/>
  <c r="D1516" i="3"/>
  <c r="C1516" i="3"/>
  <c r="B1516" i="3"/>
  <c r="A1516" i="3"/>
  <c r="I1515" i="3"/>
  <c r="H1515" i="3"/>
  <c r="F1515" i="3"/>
  <c r="D1515" i="3"/>
  <c r="C1515" i="3"/>
  <c r="B1515" i="3"/>
  <c r="A1515" i="3"/>
  <c r="I1514" i="3"/>
  <c r="H1514" i="3"/>
  <c r="E1514" i="3"/>
  <c r="D1514" i="3"/>
  <c r="C1514" i="3"/>
  <c r="B1514" i="3"/>
  <c r="A1514" i="3"/>
  <c r="I1513" i="3"/>
  <c r="H1513" i="3"/>
  <c r="F1513" i="3"/>
  <c r="E1513" i="3"/>
  <c r="D1513" i="3"/>
  <c r="C1513" i="3"/>
  <c r="B1513" i="3"/>
  <c r="A1513" i="3"/>
  <c r="I1512" i="3"/>
  <c r="H1512" i="3"/>
  <c r="F1512" i="3"/>
  <c r="E1512" i="3"/>
  <c r="D1512" i="3"/>
  <c r="C1512" i="3"/>
  <c r="B1512" i="3"/>
  <c r="A1512" i="3"/>
  <c r="I1511" i="3"/>
  <c r="H1511" i="3"/>
  <c r="F1511" i="3"/>
  <c r="E1511" i="3"/>
  <c r="D1511" i="3"/>
  <c r="C1511" i="3"/>
  <c r="B1511" i="3"/>
  <c r="A1511" i="3"/>
  <c r="I1510" i="3"/>
  <c r="H1510" i="3"/>
  <c r="F1510" i="3"/>
  <c r="D1510" i="3"/>
  <c r="C1510" i="3"/>
  <c r="B1510" i="3"/>
  <c r="A1510" i="3"/>
  <c r="I1509" i="3"/>
  <c r="H1509" i="3"/>
  <c r="E1509" i="3"/>
  <c r="D1509" i="3"/>
  <c r="C1509" i="3"/>
  <c r="B1509" i="3"/>
  <c r="A1509" i="3"/>
  <c r="I1508" i="3"/>
  <c r="H1508" i="3"/>
  <c r="E1508" i="3"/>
  <c r="D1508" i="3"/>
  <c r="C1508" i="3"/>
  <c r="B1508" i="3"/>
  <c r="A1508" i="3"/>
  <c r="I1507" i="3"/>
  <c r="H1507" i="3"/>
  <c r="F1507" i="3"/>
  <c r="D1507" i="3"/>
  <c r="C1507" i="3"/>
  <c r="B1507" i="3"/>
  <c r="A1507" i="3"/>
  <c r="I1506" i="3"/>
  <c r="H1506" i="3"/>
  <c r="E1506" i="3"/>
  <c r="D1506" i="3"/>
  <c r="C1506" i="3"/>
  <c r="B1506" i="3"/>
  <c r="A1506" i="3"/>
  <c r="I1505" i="3"/>
  <c r="H1505" i="3"/>
  <c r="F1505" i="3"/>
  <c r="E1505" i="3"/>
  <c r="D1505" i="3"/>
  <c r="C1505" i="3"/>
  <c r="B1505" i="3"/>
  <c r="A1505" i="3"/>
  <c r="I1504" i="3"/>
  <c r="H1504" i="3"/>
  <c r="E1504" i="3"/>
  <c r="D1504" i="3"/>
  <c r="C1504" i="3"/>
  <c r="B1504" i="3"/>
  <c r="A1504" i="3"/>
  <c r="I1503" i="3"/>
  <c r="H1503" i="3"/>
  <c r="E1503" i="3"/>
  <c r="D1503" i="3"/>
  <c r="C1503" i="3"/>
  <c r="B1503" i="3"/>
  <c r="A1503" i="3"/>
  <c r="I1502" i="3"/>
  <c r="H1502" i="3"/>
  <c r="F1502" i="3"/>
  <c r="D1502" i="3"/>
  <c r="C1502" i="3"/>
  <c r="B1502" i="3"/>
  <c r="A1502" i="3"/>
  <c r="I1501" i="3"/>
  <c r="H1501" i="3"/>
  <c r="E1501" i="3"/>
  <c r="D1501" i="3"/>
  <c r="C1501" i="3"/>
  <c r="B1501" i="3"/>
  <c r="A1501" i="3"/>
  <c r="I1500" i="3"/>
  <c r="H1500" i="3"/>
  <c r="F1500" i="3"/>
  <c r="D1500" i="3"/>
  <c r="C1500" i="3"/>
  <c r="B1500" i="3"/>
  <c r="A1500" i="3"/>
  <c r="I1499" i="3"/>
  <c r="H1499" i="3"/>
  <c r="F1499" i="3"/>
  <c r="D1499" i="3"/>
  <c r="C1499" i="3"/>
  <c r="B1499" i="3"/>
  <c r="A1499" i="3"/>
  <c r="I1498" i="3"/>
  <c r="H1498" i="3"/>
  <c r="E1498" i="3"/>
  <c r="D1498" i="3"/>
  <c r="C1498" i="3"/>
  <c r="B1498" i="3"/>
  <c r="A1498" i="3"/>
  <c r="I1497" i="3"/>
  <c r="H1497" i="3"/>
  <c r="E1497" i="3"/>
  <c r="D1497" i="3"/>
  <c r="C1497" i="3"/>
  <c r="B1497" i="3"/>
  <c r="A1497" i="3"/>
  <c r="I1496" i="3"/>
  <c r="H1496" i="3"/>
  <c r="F1496" i="3"/>
  <c r="D1496" i="3"/>
  <c r="C1496" i="3"/>
  <c r="B1496" i="3"/>
  <c r="A1496" i="3"/>
  <c r="I1495" i="3"/>
  <c r="H1495" i="3"/>
  <c r="E1495" i="3"/>
  <c r="D1495" i="3"/>
  <c r="C1495" i="3"/>
  <c r="B1495" i="3"/>
  <c r="A1495" i="3"/>
  <c r="I1494" i="3"/>
  <c r="H1494" i="3"/>
  <c r="F1494" i="3"/>
  <c r="D1494" i="3"/>
  <c r="C1494" i="3"/>
  <c r="B1494" i="3"/>
  <c r="A1494" i="3"/>
  <c r="I1493" i="3"/>
  <c r="H1493" i="3"/>
  <c r="F1493" i="3"/>
  <c r="D1493" i="3"/>
  <c r="C1493" i="3"/>
  <c r="B1493" i="3"/>
  <c r="A1493" i="3"/>
  <c r="I1492" i="3"/>
  <c r="H1492" i="3"/>
  <c r="F1492" i="3"/>
  <c r="E1492" i="3"/>
  <c r="D1492" i="3"/>
  <c r="C1492" i="3"/>
  <c r="B1492" i="3"/>
  <c r="A1492" i="3"/>
  <c r="I1491" i="3"/>
  <c r="H1491" i="3"/>
  <c r="F1491" i="3"/>
  <c r="E1491" i="3"/>
  <c r="D1491" i="3"/>
  <c r="C1491" i="3"/>
  <c r="B1491" i="3"/>
  <c r="A1491" i="3"/>
  <c r="I1490" i="3"/>
  <c r="H1490" i="3"/>
  <c r="F1490" i="3"/>
  <c r="D1490" i="3"/>
  <c r="C1490" i="3"/>
  <c r="B1490" i="3"/>
  <c r="A1490" i="3"/>
  <c r="I1489" i="3"/>
  <c r="H1489" i="3"/>
  <c r="F1489" i="3"/>
  <c r="E1489" i="3"/>
  <c r="D1489" i="3"/>
  <c r="C1489" i="3"/>
  <c r="B1489" i="3"/>
  <c r="A1489" i="3"/>
  <c r="I1488" i="3"/>
  <c r="H1488" i="3"/>
  <c r="F1488" i="3"/>
  <c r="D1488" i="3"/>
  <c r="C1488" i="3"/>
  <c r="B1488" i="3"/>
  <c r="A1488" i="3"/>
  <c r="I1487" i="3"/>
  <c r="H1487" i="3"/>
  <c r="F1487" i="3"/>
  <c r="D1487" i="3"/>
  <c r="C1487" i="3"/>
  <c r="B1487" i="3"/>
  <c r="A1487" i="3"/>
  <c r="I1486" i="3"/>
  <c r="H1486" i="3"/>
  <c r="E1486" i="3"/>
  <c r="D1486" i="3"/>
  <c r="C1486" i="3"/>
  <c r="B1486" i="3"/>
  <c r="A1486" i="3"/>
  <c r="I1485" i="3"/>
  <c r="H1485" i="3"/>
  <c r="F1485" i="3"/>
  <c r="D1485" i="3"/>
  <c r="C1485" i="3"/>
  <c r="B1485" i="3"/>
  <c r="A1485" i="3"/>
  <c r="I1484" i="3"/>
  <c r="H1484" i="3"/>
  <c r="E1484" i="3"/>
  <c r="D1484" i="3"/>
  <c r="C1484" i="3"/>
  <c r="B1484" i="3"/>
  <c r="A1484" i="3"/>
  <c r="I1483" i="3"/>
  <c r="H1483" i="3"/>
  <c r="F1483" i="3"/>
  <c r="E1483" i="3"/>
  <c r="D1483" i="3"/>
  <c r="C1483" i="3"/>
  <c r="B1483" i="3"/>
  <c r="A1483" i="3"/>
  <c r="I1482" i="3"/>
  <c r="H1482" i="3"/>
  <c r="E1482" i="3"/>
  <c r="D1482" i="3"/>
  <c r="C1482" i="3"/>
  <c r="B1482" i="3"/>
  <c r="A1482" i="3"/>
  <c r="I1481" i="3"/>
  <c r="H1481" i="3"/>
  <c r="F1481" i="3"/>
  <c r="D1481" i="3"/>
  <c r="C1481" i="3"/>
  <c r="B1481" i="3"/>
  <c r="A1481" i="3"/>
  <c r="I1480" i="3"/>
  <c r="H1480" i="3"/>
  <c r="D1480" i="3"/>
  <c r="C1480" i="3"/>
  <c r="B1480" i="3"/>
  <c r="A1480" i="3"/>
  <c r="I1479" i="3"/>
  <c r="H1479" i="3"/>
  <c r="F1479" i="3"/>
  <c r="E1479" i="3"/>
  <c r="D1479" i="3"/>
  <c r="C1479" i="3"/>
  <c r="B1479" i="3"/>
  <c r="A1479" i="3"/>
  <c r="I1478" i="3"/>
  <c r="H1478" i="3"/>
  <c r="D1478" i="3"/>
  <c r="C1478" i="3"/>
  <c r="B1478" i="3"/>
  <c r="A1478" i="3"/>
  <c r="I1477" i="3"/>
  <c r="H1477" i="3"/>
  <c r="E1477" i="3"/>
  <c r="D1477" i="3"/>
  <c r="C1477" i="3"/>
  <c r="B1477" i="3"/>
  <c r="A1477" i="3"/>
  <c r="I1476" i="3"/>
  <c r="H1476" i="3"/>
  <c r="D1476" i="3"/>
  <c r="C1476" i="3"/>
  <c r="B1476" i="3"/>
  <c r="A1476" i="3"/>
  <c r="I1475" i="3"/>
  <c r="H1475" i="3"/>
  <c r="E1475" i="3"/>
  <c r="D1475" i="3"/>
  <c r="C1475" i="3"/>
  <c r="B1475" i="3"/>
  <c r="A1475" i="3"/>
  <c r="I1474" i="3"/>
  <c r="H1474" i="3"/>
  <c r="E1474" i="3"/>
  <c r="D1474" i="3"/>
  <c r="C1474" i="3"/>
  <c r="B1474" i="3"/>
  <c r="A1474" i="3"/>
  <c r="I1473" i="3"/>
  <c r="H1473" i="3"/>
  <c r="E1473" i="3"/>
  <c r="D1473" i="3"/>
  <c r="C1473" i="3"/>
  <c r="B1473" i="3"/>
  <c r="A1473" i="3"/>
  <c r="I1472" i="3"/>
  <c r="H1472" i="3"/>
  <c r="F1472" i="3"/>
  <c r="D1472" i="3"/>
  <c r="C1472" i="3"/>
  <c r="B1472" i="3"/>
  <c r="A1472" i="3"/>
  <c r="I1471" i="3"/>
  <c r="H1471" i="3"/>
  <c r="E1471" i="3"/>
  <c r="D1471" i="3"/>
  <c r="C1471" i="3"/>
  <c r="B1471" i="3"/>
  <c r="A1471" i="3"/>
  <c r="I1470" i="3"/>
  <c r="H1470" i="3"/>
  <c r="F1470" i="3"/>
  <c r="D1470" i="3"/>
  <c r="C1470" i="3"/>
  <c r="B1470" i="3"/>
  <c r="A1470" i="3"/>
  <c r="I1469" i="3"/>
  <c r="H1469" i="3"/>
  <c r="F1469" i="3"/>
  <c r="D1469" i="3"/>
  <c r="C1469" i="3"/>
  <c r="B1469" i="3"/>
  <c r="A1469" i="3"/>
  <c r="I1468" i="3"/>
  <c r="H1468" i="3"/>
  <c r="F1468" i="3"/>
  <c r="E1468" i="3"/>
  <c r="D1468" i="3"/>
  <c r="C1468" i="3"/>
  <c r="B1468" i="3"/>
  <c r="A1468" i="3"/>
  <c r="I1467" i="3"/>
  <c r="H1467" i="3"/>
  <c r="F1467" i="3"/>
  <c r="E1467" i="3"/>
  <c r="D1467" i="3"/>
  <c r="C1467" i="3"/>
  <c r="B1467" i="3"/>
  <c r="A1467" i="3"/>
  <c r="I1466" i="3"/>
  <c r="H1466" i="3"/>
  <c r="F1466" i="3"/>
  <c r="E1466" i="3"/>
  <c r="D1466" i="3"/>
  <c r="C1466" i="3"/>
  <c r="B1466" i="3"/>
  <c r="A1466" i="3"/>
  <c r="I1465" i="3"/>
  <c r="H1465" i="3"/>
  <c r="E1465" i="3"/>
  <c r="D1465" i="3"/>
  <c r="C1465" i="3"/>
  <c r="B1465" i="3"/>
  <c r="A1465" i="3"/>
  <c r="I1464" i="3"/>
  <c r="H1464" i="3"/>
  <c r="F1464" i="3"/>
  <c r="D1464" i="3"/>
  <c r="C1464" i="3"/>
  <c r="B1464" i="3"/>
  <c r="A1464" i="3"/>
  <c r="I1463" i="3"/>
  <c r="H1463" i="3"/>
  <c r="F1463" i="3"/>
  <c r="E1463" i="3"/>
  <c r="D1463" i="3"/>
  <c r="C1463" i="3"/>
  <c r="B1463" i="3"/>
  <c r="A1463" i="3"/>
  <c r="I1462" i="3"/>
  <c r="H1462" i="3"/>
  <c r="F1462" i="3"/>
  <c r="E1462" i="3"/>
  <c r="D1462" i="3"/>
  <c r="C1462" i="3"/>
  <c r="B1462" i="3"/>
  <c r="A1462" i="3"/>
  <c r="I1461" i="3"/>
  <c r="H1461" i="3"/>
  <c r="F1461" i="3"/>
  <c r="E1461" i="3"/>
  <c r="D1461" i="3"/>
  <c r="C1461" i="3"/>
  <c r="B1461" i="3"/>
  <c r="A1461" i="3"/>
  <c r="I1460" i="3"/>
  <c r="H1460" i="3"/>
  <c r="F1460" i="3"/>
  <c r="D1460" i="3"/>
  <c r="C1460" i="3"/>
  <c r="B1460" i="3"/>
  <c r="A1460" i="3"/>
  <c r="I1459" i="3"/>
  <c r="H1459" i="3"/>
  <c r="F1459" i="3"/>
  <c r="D1459" i="3"/>
  <c r="C1459" i="3"/>
  <c r="B1459" i="3"/>
  <c r="A1459" i="3"/>
  <c r="I1458" i="3"/>
  <c r="H1458" i="3"/>
  <c r="F1458" i="3"/>
  <c r="D1458" i="3"/>
  <c r="C1458" i="3"/>
  <c r="B1458" i="3"/>
  <c r="A1458" i="3"/>
  <c r="I1457" i="3"/>
  <c r="H1457" i="3"/>
  <c r="F1457" i="3"/>
  <c r="D1457" i="3"/>
  <c r="C1457" i="3"/>
  <c r="B1457" i="3"/>
  <c r="A1457" i="3"/>
  <c r="I1456" i="3"/>
  <c r="H1456" i="3"/>
  <c r="F1456" i="3"/>
  <c r="E1456" i="3"/>
  <c r="D1456" i="3"/>
  <c r="C1456" i="3"/>
  <c r="B1456" i="3"/>
  <c r="A1456" i="3"/>
  <c r="I1455" i="3"/>
  <c r="H1455" i="3"/>
  <c r="F1455" i="3"/>
  <c r="D1455" i="3"/>
  <c r="C1455" i="3"/>
  <c r="B1455" i="3"/>
  <c r="A1455" i="3"/>
  <c r="I1454" i="3"/>
  <c r="H1454" i="3"/>
  <c r="F1454" i="3"/>
  <c r="D1454" i="3"/>
  <c r="C1454" i="3"/>
  <c r="B1454" i="3"/>
  <c r="A1454" i="3"/>
  <c r="I1453" i="3"/>
  <c r="H1453" i="3"/>
  <c r="F1453" i="3"/>
  <c r="E1453" i="3"/>
  <c r="D1453" i="3"/>
  <c r="C1453" i="3"/>
  <c r="B1453" i="3"/>
  <c r="A1453" i="3"/>
  <c r="I1452" i="3"/>
  <c r="H1452" i="3"/>
  <c r="F1452" i="3"/>
  <c r="E1452" i="3"/>
  <c r="D1452" i="3"/>
  <c r="C1452" i="3"/>
  <c r="B1452" i="3"/>
  <c r="A1452" i="3"/>
  <c r="I1451" i="3"/>
  <c r="H1451" i="3"/>
  <c r="F1451" i="3"/>
  <c r="E1451" i="3"/>
  <c r="D1451" i="3"/>
  <c r="C1451" i="3"/>
  <c r="B1451" i="3"/>
  <c r="A1451" i="3"/>
  <c r="I1450" i="3"/>
  <c r="H1450" i="3"/>
  <c r="F1450" i="3"/>
  <c r="D1450" i="3"/>
  <c r="C1450" i="3"/>
  <c r="B1450" i="3"/>
  <c r="A1450" i="3"/>
  <c r="I1449" i="3"/>
  <c r="H1449" i="3"/>
  <c r="E1449" i="3"/>
  <c r="D1449" i="3"/>
  <c r="C1449" i="3"/>
  <c r="B1449" i="3"/>
  <c r="A1449" i="3"/>
  <c r="I1448" i="3"/>
  <c r="H1448" i="3"/>
  <c r="E1448" i="3"/>
  <c r="D1448" i="3"/>
  <c r="C1448" i="3"/>
  <c r="B1448" i="3"/>
  <c r="A1448" i="3"/>
  <c r="I1447" i="3"/>
  <c r="H1447" i="3"/>
  <c r="E1447" i="3"/>
  <c r="D1447" i="3"/>
  <c r="C1447" i="3"/>
  <c r="B1447" i="3"/>
  <c r="A1447" i="3"/>
  <c r="I1446" i="3"/>
  <c r="H1446" i="3"/>
  <c r="F1446" i="3"/>
  <c r="D1446" i="3"/>
  <c r="C1446" i="3"/>
  <c r="B1446" i="3"/>
  <c r="A1446" i="3"/>
  <c r="I1445" i="3"/>
  <c r="H1445" i="3"/>
  <c r="F1445" i="3"/>
  <c r="D1445" i="3"/>
  <c r="C1445" i="3"/>
  <c r="B1445" i="3"/>
  <c r="A1445" i="3"/>
  <c r="I1444" i="3"/>
  <c r="H1444" i="3"/>
  <c r="F1444" i="3"/>
  <c r="E1444" i="3"/>
  <c r="D1444" i="3"/>
  <c r="C1444" i="3"/>
  <c r="B1444" i="3"/>
  <c r="A1444" i="3"/>
  <c r="I1443" i="3"/>
  <c r="H1443" i="3"/>
  <c r="E1443" i="3"/>
  <c r="D1443" i="3"/>
  <c r="C1443" i="3"/>
  <c r="B1443" i="3"/>
  <c r="A1443" i="3"/>
  <c r="I1442" i="3"/>
  <c r="H1442" i="3"/>
  <c r="F1442" i="3"/>
  <c r="D1442" i="3"/>
  <c r="C1442" i="3"/>
  <c r="B1442" i="3"/>
  <c r="A1442" i="3"/>
  <c r="I1441" i="3"/>
  <c r="H1441" i="3"/>
  <c r="F1441" i="3"/>
  <c r="E1441" i="3"/>
  <c r="D1441" i="3"/>
  <c r="C1441" i="3"/>
  <c r="B1441" i="3"/>
  <c r="A1441" i="3"/>
  <c r="I1440" i="3"/>
  <c r="H1440" i="3"/>
  <c r="F1440" i="3"/>
  <c r="D1440" i="3"/>
  <c r="C1440" i="3"/>
  <c r="B1440" i="3"/>
  <c r="A1440" i="3"/>
  <c r="I1439" i="3"/>
  <c r="H1439" i="3"/>
  <c r="D1439" i="3"/>
  <c r="C1439" i="3"/>
  <c r="B1439" i="3"/>
  <c r="A1439" i="3"/>
  <c r="I1438" i="3"/>
  <c r="H1438" i="3"/>
  <c r="F1438" i="3"/>
  <c r="E1438" i="3"/>
  <c r="D1438" i="3"/>
  <c r="C1438" i="3"/>
  <c r="B1438" i="3"/>
  <c r="A1438" i="3"/>
  <c r="I1437" i="3"/>
  <c r="H1437" i="3"/>
  <c r="F1437" i="3"/>
  <c r="E1437" i="3"/>
  <c r="D1437" i="3"/>
  <c r="C1437" i="3"/>
  <c r="B1437" i="3"/>
  <c r="A1437" i="3"/>
  <c r="I1436" i="3"/>
  <c r="H1436" i="3"/>
  <c r="F1436" i="3"/>
  <c r="E1436" i="3"/>
  <c r="D1436" i="3"/>
  <c r="C1436" i="3"/>
  <c r="B1436" i="3"/>
  <c r="A1436" i="3"/>
  <c r="I1435" i="3"/>
  <c r="H1435" i="3"/>
  <c r="E1435" i="3"/>
  <c r="D1435" i="3"/>
  <c r="C1435" i="3"/>
  <c r="B1435" i="3"/>
  <c r="A1435" i="3"/>
  <c r="I1434" i="3"/>
  <c r="H1434" i="3"/>
  <c r="F1434" i="3"/>
  <c r="D1434" i="3"/>
  <c r="C1434" i="3"/>
  <c r="B1434" i="3"/>
  <c r="A1434" i="3"/>
  <c r="I1433" i="3"/>
  <c r="H1433" i="3"/>
  <c r="F1433" i="3"/>
  <c r="E1433" i="3"/>
  <c r="D1433" i="3"/>
  <c r="C1433" i="3"/>
  <c r="B1433" i="3"/>
  <c r="A1433" i="3"/>
  <c r="I1432" i="3"/>
  <c r="H1432" i="3"/>
  <c r="F1432" i="3"/>
  <c r="D1432" i="3"/>
  <c r="C1432" i="3"/>
  <c r="B1432" i="3"/>
  <c r="A1432" i="3"/>
  <c r="I1431" i="3"/>
  <c r="H1431" i="3"/>
  <c r="D1431" i="3"/>
  <c r="C1431" i="3"/>
  <c r="B1431" i="3"/>
  <c r="A1431" i="3"/>
  <c r="I1430" i="3"/>
  <c r="H1430" i="3"/>
  <c r="F1430" i="3"/>
  <c r="D1430" i="3"/>
  <c r="C1430" i="3"/>
  <c r="B1430" i="3"/>
  <c r="A1430" i="3"/>
  <c r="I1429" i="3"/>
  <c r="H1429" i="3"/>
  <c r="F1429" i="3"/>
  <c r="D1429" i="3"/>
  <c r="C1429" i="3"/>
  <c r="B1429" i="3"/>
  <c r="A1429" i="3"/>
  <c r="I1428" i="3"/>
  <c r="H1428" i="3"/>
  <c r="F1428" i="3"/>
  <c r="D1428" i="3"/>
  <c r="C1428" i="3"/>
  <c r="B1428" i="3"/>
  <c r="A1428" i="3"/>
  <c r="I1427" i="3"/>
  <c r="H1427" i="3"/>
  <c r="F1427" i="3"/>
  <c r="E1427" i="3"/>
  <c r="D1427" i="3"/>
  <c r="C1427" i="3"/>
  <c r="B1427" i="3"/>
  <c r="A1427" i="3"/>
  <c r="I1426" i="3"/>
  <c r="H1426" i="3"/>
  <c r="F1426" i="3"/>
  <c r="D1426" i="3"/>
  <c r="C1426" i="3"/>
  <c r="B1426" i="3"/>
  <c r="A1426" i="3"/>
  <c r="I1425" i="3"/>
  <c r="H1425" i="3"/>
  <c r="E1425" i="3"/>
  <c r="D1425" i="3"/>
  <c r="C1425" i="3"/>
  <c r="B1425" i="3"/>
  <c r="A1425" i="3"/>
  <c r="I1424" i="3"/>
  <c r="H1424" i="3"/>
  <c r="F1424" i="3"/>
  <c r="D1424" i="3"/>
  <c r="C1424" i="3"/>
  <c r="B1424" i="3"/>
  <c r="A1424" i="3"/>
  <c r="I1423" i="3"/>
  <c r="H1423" i="3"/>
  <c r="F1423" i="3"/>
  <c r="E1423" i="3"/>
  <c r="D1423" i="3"/>
  <c r="C1423" i="3"/>
  <c r="B1423" i="3"/>
  <c r="A1423" i="3"/>
  <c r="I1422" i="3"/>
  <c r="H1422" i="3"/>
  <c r="F1422" i="3"/>
  <c r="D1422" i="3"/>
  <c r="C1422" i="3"/>
  <c r="B1422" i="3"/>
  <c r="A1422" i="3"/>
  <c r="I1421" i="3"/>
  <c r="H1421" i="3"/>
  <c r="F1421" i="3"/>
  <c r="D1421" i="3"/>
  <c r="C1421" i="3"/>
  <c r="B1421" i="3"/>
  <c r="A1421" i="3"/>
  <c r="I1420" i="3"/>
  <c r="H1420" i="3"/>
  <c r="F1420" i="3"/>
  <c r="E1420" i="3"/>
  <c r="D1420" i="3"/>
  <c r="C1420" i="3"/>
  <c r="B1420" i="3"/>
  <c r="A1420" i="3"/>
  <c r="I1419" i="3"/>
  <c r="H1419" i="3"/>
  <c r="D1419" i="3"/>
  <c r="C1419" i="3"/>
  <c r="B1419" i="3"/>
  <c r="A1419" i="3"/>
  <c r="I1418" i="3"/>
  <c r="H1418" i="3"/>
  <c r="E1418" i="3"/>
  <c r="D1418" i="3"/>
  <c r="C1418" i="3"/>
  <c r="B1418" i="3"/>
  <c r="A1418" i="3"/>
  <c r="I1417" i="3"/>
  <c r="H1417" i="3"/>
  <c r="F1417" i="3"/>
  <c r="D1417" i="3"/>
  <c r="C1417" i="3"/>
  <c r="B1417" i="3"/>
  <c r="A1417" i="3"/>
  <c r="I1416" i="3"/>
  <c r="H1416" i="3"/>
  <c r="F1416" i="3"/>
  <c r="E1416" i="3"/>
  <c r="D1416" i="3"/>
  <c r="C1416" i="3"/>
  <c r="B1416" i="3"/>
  <c r="A1416" i="3"/>
  <c r="I1415" i="3"/>
  <c r="H1415" i="3"/>
  <c r="F1415" i="3"/>
  <c r="E1415" i="3"/>
  <c r="D1415" i="3"/>
  <c r="C1415" i="3"/>
  <c r="B1415" i="3"/>
  <c r="A1415" i="3"/>
  <c r="I1414" i="3"/>
  <c r="H1414" i="3"/>
  <c r="F1414" i="3"/>
  <c r="E1414" i="3"/>
  <c r="D1414" i="3"/>
  <c r="C1414" i="3"/>
  <c r="B1414" i="3"/>
  <c r="A1414" i="3"/>
  <c r="I1413" i="3"/>
  <c r="H1413" i="3"/>
  <c r="F1413" i="3"/>
  <c r="D1413" i="3"/>
  <c r="C1413" i="3"/>
  <c r="B1413" i="3"/>
  <c r="A1413" i="3"/>
  <c r="I1412" i="3"/>
  <c r="H1412" i="3"/>
  <c r="E1412" i="3"/>
  <c r="D1412" i="3"/>
  <c r="C1412" i="3"/>
  <c r="B1412" i="3"/>
  <c r="A1412" i="3"/>
  <c r="I1411" i="3"/>
  <c r="H1411" i="3"/>
  <c r="F1411" i="3"/>
  <c r="D1411" i="3"/>
  <c r="C1411" i="3"/>
  <c r="B1411" i="3"/>
  <c r="A1411" i="3"/>
  <c r="I1410" i="3"/>
  <c r="H1410" i="3"/>
  <c r="E1410" i="3"/>
  <c r="D1410" i="3"/>
  <c r="C1410" i="3"/>
  <c r="B1410" i="3"/>
  <c r="A1410" i="3"/>
  <c r="I1409" i="3"/>
  <c r="H1409" i="3"/>
  <c r="F1409" i="3"/>
  <c r="E1409" i="3"/>
  <c r="D1409" i="3"/>
  <c r="C1409" i="3"/>
  <c r="B1409" i="3"/>
  <c r="A1409" i="3"/>
  <c r="I1408" i="3"/>
  <c r="H1408" i="3"/>
  <c r="F1408" i="3"/>
  <c r="D1408" i="3"/>
  <c r="C1408" i="3"/>
  <c r="B1408" i="3"/>
  <c r="A1408" i="3"/>
  <c r="I1407" i="3"/>
  <c r="H1407" i="3"/>
  <c r="F1407" i="3"/>
  <c r="E1407" i="3"/>
  <c r="D1407" i="3"/>
  <c r="C1407" i="3"/>
  <c r="B1407" i="3"/>
  <c r="A1407" i="3"/>
  <c r="I1406" i="3"/>
  <c r="H1406" i="3"/>
  <c r="F1406" i="3"/>
  <c r="E1406" i="3"/>
  <c r="D1406" i="3"/>
  <c r="C1406" i="3"/>
  <c r="B1406" i="3"/>
  <c r="A1406" i="3"/>
  <c r="I1405" i="3"/>
  <c r="H1405" i="3"/>
  <c r="F1405" i="3"/>
  <c r="E1405" i="3"/>
  <c r="D1405" i="3"/>
  <c r="C1405" i="3"/>
  <c r="B1405" i="3"/>
  <c r="A1405" i="3"/>
  <c r="I1404" i="3"/>
  <c r="H1404" i="3"/>
  <c r="E1404" i="3"/>
  <c r="D1404" i="3"/>
  <c r="C1404" i="3"/>
  <c r="B1404" i="3"/>
  <c r="A1404" i="3"/>
  <c r="I1403" i="3"/>
  <c r="H1403" i="3"/>
  <c r="E1403" i="3"/>
  <c r="D1403" i="3"/>
  <c r="C1403" i="3"/>
  <c r="B1403" i="3"/>
  <c r="A1403" i="3"/>
  <c r="I1402" i="3"/>
  <c r="H1402" i="3"/>
  <c r="E1402" i="3"/>
  <c r="D1402" i="3"/>
  <c r="C1402" i="3"/>
  <c r="B1402" i="3"/>
  <c r="A1402" i="3"/>
  <c r="I1401" i="3"/>
  <c r="H1401" i="3"/>
  <c r="F1401" i="3"/>
  <c r="D1401" i="3"/>
  <c r="C1401" i="3"/>
  <c r="B1401" i="3"/>
  <c r="A1401" i="3"/>
  <c r="I1400" i="3"/>
  <c r="H1400" i="3"/>
  <c r="F1400" i="3"/>
  <c r="E1400" i="3"/>
  <c r="D1400" i="3"/>
  <c r="C1400" i="3"/>
  <c r="B1400" i="3"/>
  <c r="A1400" i="3"/>
  <c r="I1399" i="3"/>
  <c r="H1399" i="3"/>
  <c r="F1399" i="3"/>
  <c r="E1399" i="3"/>
  <c r="D1399" i="3"/>
  <c r="C1399" i="3"/>
  <c r="B1399" i="3"/>
  <c r="A1399" i="3"/>
  <c r="I1398" i="3"/>
  <c r="H1398" i="3"/>
  <c r="F1398" i="3"/>
  <c r="D1398" i="3"/>
  <c r="C1398" i="3"/>
  <c r="B1398" i="3"/>
  <c r="A1398" i="3"/>
  <c r="I1397" i="3"/>
  <c r="H1397" i="3"/>
  <c r="F1397" i="3"/>
  <c r="D1397" i="3"/>
  <c r="C1397" i="3"/>
  <c r="B1397" i="3"/>
  <c r="A1397" i="3"/>
  <c r="I1396" i="3"/>
  <c r="H1396" i="3"/>
  <c r="F1396" i="3"/>
  <c r="D1396" i="3"/>
  <c r="C1396" i="3"/>
  <c r="B1396" i="3"/>
  <c r="A1396" i="3"/>
  <c r="I1395" i="3"/>
  <c r="H1395" i="3"/>
  <c r="F1395" i="3"/>
  <c r="D1395" i="3"/>
  <c r="C1395" i="3"/>
  <c r="B1395" i="3"/>
  <c r="A1395" i="3"/>
  <c r="I1394" i="3"/>
  <c r="H1394" i="3"/>
  <c r="D1394" i="3"/>
  <c r="C1394" i="3"/>
  <c r="B1394" i="3"/>
  <c r="A1394" i="3"/>
  <c r="I1393" i="3"/>
  <c r="H1393" i="3"/>
  <c r="F1393" i="3"/>
  <c r="D1393" i="3"/>
  <c r="C1393" i="3"/>
  <c r="B1393" i="3"/>
  <c r="A1393" i="3"/>
  <c r="I1392" i="3"/>
  <c r="H1392" i="3"/>
  <c r="E1392" i="3"/>
  <c r="D1392" i="3"/>
  <c r="C1392" i="3"/>
  <c r="B1392" i="3"/>
  <c r="A1392" i="3"/>
  <c r="I1391" i="3"/>
  <c r="H1391" i="3"/>
  <c r="F1391" i="3"/>
  <c r="E1391" i="3"/>
  <c r="D1391" i="3"/>
  <c r="C1391" i="3"/>
  <c r="B1391" i="3"/>
  <c r="A1391" i="3"/>
  <c r="I1390" i="3"/>
  <c r="H1390" i="3"/>
  <c r="F1390" i="3"/>
  <c r="E1390" i="3"/>
  <c r="D1390" i="3"/>
  <c r="C1390" i="3"/>
  <c r="B1390" i="3"/>
  <c r="A1390" i="3"/>
  <c r="I1389" i="3"/>
  <c r="H1389" i="3"/>
  <c r="F1389" i="3"/>
  <c r="E1389" i="3"/>
  <c r="D1389" i="3"/>
  <c r="C1389" i="3"/>
  <c r="B1389" i="3"/>
  <c r="A1389" i="3"/>
  <c r="I1388" i="3"/>
  <c r="H1388" i="3"/>
  <c r="F1388" i="3"/>
  <c r="D1388" i="3"/>
  <c r="C1388" i="3"/>
  <c r="B1388" i="3"/>
  <c r="A1388" i="3"/>
  <c r="I1387" i="3"/>
  <c r="H1387" i="3"/>
  <c r="F1387" i="3"/>
  <c r="E1387" i="3"/>
  <c r="D1387" i="3"/>
  <c r="C1387" i="3"/>
  <c r="B1387" i="3"/>
  <c r="A1387" i="3"/>
  <c r="I1386" i="3"/>
  <c r="H1386" i="3"/>
  <c r="E1386" i="3"/>
  <c r="D1386" i="3"/>
  <c r="C1386" i="3"/>
  <c r="B1386" i="3"/>
  <c r="A1386" i="3"/>
  <c r="I1385" i="3"/>
  <c r="H1385" i="3"/>
  <c r="F1385" i="3"/>
  <c r="D1385" i="3"/>
  <c r="C1385" i="3"/>
  <c r="B1385" i="3"/>
  <c r="A1385" i="3"/>
  <c r="I1384" i="3"/>
  <c r="H1384" i="3"/>
  <c r="F1384" i="3"/>
  <c r="D1384" i="3"/>
  <c r="C1384" i="3"/>
  <c r="B1384" i="3"/>
  <c r="A1384" i="3"/>
  <c r="I1383" i="3"/>
  <c r="H1383" i="3"/>
  <c r="F1383" i="3"/>
  <c r="D1383" i="3"/>
  <c r="C1383" i="3"/>
  <c r="B1383" i="3"/>
  <c r="A1383" i="3"/>
  <c r="I1382" i="3"/>
  <c r="H1382" i="3"/>
  <c r="F1382" i="3"/>
  <c r="E1382" i="3"/>
  <c r="D1382" i="3"/>
  <c r="C1382" i="3"/>
  <c r="B1382" i="3"/>
  <c r="A1382" i="3"/>
  <c r="I1381" i="3"/>
  <c r="H1381" i="3"/>
  <c r="F1381" i="3"/>
  <c r="D1381" i="3"/>
  <c r="C1381" i="3"/>
  <c r="B1381" i="3"/>
  <c r="A1381" i="3"/>
  <c r="I1380" i="3"/>
  <c r="H1380" i="3"/>
  <c r="F1380" i="3"/>
  <c r="D1380" i="3"/>
  <c r="C1380" i="3"/>
  <c r="B1380" i="3"/>
  <c r="A1380" i="3"/>
  <c r="I1379" i="3"/>
  <c r="H1379" i="3"/>
  <c r="E1379" i="3"/>
  <c r="D1379" i="3"/>
  <c r="C1379" i="3"/>
  <c r="B1379" i="3"/>
  <c r="A1379" i="3"/>
  <c r="I1378" i="3"/>
  <c r="H1378" i="3"/>
  <c r="F1378" i="3"/>
  <c r="E1378" i="3"/>
  <c r="D1378" i="3"/>
  <c r="C1378" i="3"/>
  <c r="B1378" i="3"/>
  <c r="A1378" i="3"/>
  <c r="I1377" i="3"/>
  <c r="H1377" i="3"/>
  <c r="F1377" i="3"/>
  <c r="E1377" i="3"/>
  <c r="D1377" i="3"/>
  <c r="C1377" i="3"/>
  <c r="B1377" i="3"/>
  <c r="A1377" i="3"/>
  <c r="I1376" i="3"/>
  <c r="H1376" i="3"/>
  <c r="F1376" i="3"/>
  <c r="D1376" i="3"/>
  <c r="C1376" i="3"/>
  <c r="B1376" i="3"/>
  <c r="A1376" i="3"/>
  <c r="I1375" i="3"/>
  <c r="H1375" i="3"/>
  <c r="F1375" i="3"/>
  <c r="E1375" i="3"/>
  <c r="D1375" i="3"/>
  <c r="C1375" i="3"/>
  <c r="B1375" i="3"/>
  <c r="A1375" i="3"/>
  <c r="I1374" i="3"/>
  <c r="H1374" i="3"/>
  <c r="F1374" i="3"/>
  <c r="E1374" i="3"/>
  <c r="D1374" i="3"/>
  <c r="C1374" i="3"/>
  <c r="B1374" i="3"/>
  <c r="A1374" i="3"/>
  <c r="I1373" i="3"/>
  <c r="H1373" i="3"/>
  <c r="F1373" i="3"/>
  <c r="E1373" i="3"/>
  <c r="D1373" i="3"/>
  <c r="C1373" i="3"/>
  <c r="B1373" i="3"/>
  <c r="A1373" i="3"/>
  <c r="I1372" i="3"/>
  <c r="H1372" i="3"/>
  <c r="E1372" i="3"/>
  <c r="D1372" i="3"/>
  <c r="C1372" i="3"/>
  <c r="B1372" i="3"/>
  <c r="A1372" i="3"/>
  <c r="I1371" i="3"/>
  <c r="H1371" i="3"/>
  <c r="F1371" i="3"/>
  <c r="D1371" i="3"/>
  <c r="C1371" i="3"/>
  <c r="B1371" i="3"/>
  <c r="A1371" i="3"/>
  <c r="I1370" i="3"/>
  <c r="H1370" i="3"/>
  <c r="E1370" i="3"/>
  <c r="D1370" i="3"/>
  <c r="C1370" i="3"/>
  <c r="B1370" i="3"/>
  <c r="A1370" i="3"/>
  <c r="I1369" i="3"/>
  <c r="H1369" i="3"/>
  <c r="F1369" i="3"/>
  <c r="D1369" i="3"/>
  <c r="C1369" i="3"/>
  <c r="B1369" i="3"/>
  <c r="A1369" i="3"/>
  <c r="I1368" i="3"/>
  <c r="H1368" i="3"/>
  <c r="F1368" i="3"/>
  <c r="E1368" i="3"/>
  <c r="D1368" i="3"/>
  <c r="C1368" i="3"/>
  <c r="B1368" i="3"/>
  <c r="A1368" i="3"/>
  <c r="I1367" i="3"/>
  <c r="H1367" i="3"/>
  <c r="F1367" i="3"/>
  <c r="E1367" i="3"/>
  <c r="D1367" i="3"/>
  <c r="C1367" i="3"/>
  <c r="B1367" i="3"/>
  <c r="A1367" i="3"/>
  <c r="I1366" i="3"/>
  <c r="H1366" i="3"/>
  <c r="F1366" i="3"/>
  <c r="E1366" i="3"/>
  <c r="D1366" i="3"/>
  <c r="C1366" i="3"/>
  <c r="B1366" i="3"/>
  <c r="A1366" i="3"/>
  <c r="I1365" i="3"/>
  <c r="H1365" i="3"/>
  <c r="F1365" i="3"/>
  <c r="D1365" i="3"/>
  <c r="C1365" i="3"/>
  <c r="B1365" i="3"/>
  <c r="A1365" i="3"/>
  <c r="I1364" i="3"/>
  <c r="H1364" i="3"/>
  <c r="F1364" i="3"/>
  <c r="D1364" i="3"/>
  <c r="C1364" i="3"/>
  <c r="B1364" i="3"/>
  <c r="A1364" i="3"/>
  <c r="I1363" i="3"/>
  <c r="H1363" i="3"/>
  <c r="F1363" i="3"/>
  <c r="D1363" i="3"/>
  <c r="C1363" i="3"/>
  <c r="B1363" i="3"/>
  <c r="A1363" i="3"/>
  <c r="I1362" i="3"/>
  <c r="H1362" i="3"/>
  <c r="E1362" i="3"/>
  <c r="D1362" i="3"/>
  <c r="C1362" i="3"/>
  <c r="B1362" i="3"/>
  <c r="A1362" i="3"/>
  <c r="I1361" i="3"/>
  <c r="H1361" i="3"/>
  <c r="F1361" i="3"/>
  <c r="D1361" i="3"/>
  <c r="C1361" i="3"/>
  <c r="B1361" i="3"/>
  <c r="A1361" i="3"/>
  <c r="I1360" i="3"/>
  <c r="H1360" i="3"/>
  <c r="F1360" i="3"/>
  <c r="D1360" i="3"/>
  <c r="C1360" i="3"/>
  <c r="B1360" i="3"/>
  <c r="A1360" i="3"/>
  <c r="I1359" i="3"/>
  <c r="H1359" i="3"/>
  <c r="F1359" i="3"/>
  <c r="D1359" i="3"/>
  <c r="C1359" i="3"/>
  <c r="B1359" i="3"/>
  <c r="A1359" i="3"/>
  <c r="I1358" i="3"/>
  <c r="H1358" i="3"/>
  <c r="D1358" i="3"/>
  <c r="C1358" i="3"/>
  <c r="B1358" i="3"/>
  <c r="A1358" i="3"/>
  <c r="I1357" i="3"/>
  <c r="H1357" i="3"/>
  <c r="D1357" i="3"/>
  <c r="C1357" i="3"/>
  <c r="B1357" i="3"/>
  <c r="A1357" i="3"/>
  <c r="I1356" i="3"/>
  <c r="H1356" i="3"/>
  <c r="E1356" i="3"/>
  <c r="D1356" i="3"/>
  <c r="C1356" i="3"/>
  <c r="B1356" i="3"/>
  <c r="A1356" i="3"/>
  <c r="I1355" i="3"/>
  <c r="H1355" i="3"/>
  <c r="F1355" i="3"/>
  <c r="D1355" i="3"/>
  <c r="C1355" i="3"/>
  <c r="B1355" i="3"/>
  <c r="A1355" i="3"/>
  <c r="I1354" i="3"/>
  <c r="H1354" i="3"/>
  <c r="D1354" i="3"/>
  <c r="C1354" i="3"/>
  <c r="B1354" i="3"/>
  <c r="A1354" i="3"/>
  <c r="I1353" i="3"/>
  <c r="H1353" i="3"/>
  <c r="D1353" i="3"/>
  <c r="C1353" i="3"/>
  <c r="B1353" i="3"/>
  <c r="A1353" i="3"/>
  <c r="I1352" i="3"/>
  <c r="H1352" i="3"/>
  <c r="F1352" i="3"/>
  <c r="E1352" i="3"/>
  <c r="D1352" i="3"/>
  <c r="C1352" i="3"/>
  <c r="B1352" i="3"/>
  <c r="A1352" i="3"/>
  <c r="I1351" i="3"/>
  <c r="H1351" i="3"/>
  <c r="F1351" i="3"/>
  <c r="D1351" i="3"/>
  <c r="C1351" i="3"/>
  <c r="B1351" i="3"/>
  <c r="A1351" i="3"/>
  <c r="I1350" i="3"/>
  <c r="H1350" i="3"/>
  <c r="F1350" i="3"/>
  <c r="D1350" i="3"/>
  <c r="C1350" i="3"/>
  <c r="B1350" i="3"/>
  <c r="A1350" i="3"/>
  <c r="I1349" i="3"/>
  <c r="H1349" i="3"/>
  <c r="E1349" i="3"/>
  <c r="D1349" i="3"/>
  <c r="C1349" i="3"/>
  <c r="B1349" i="3"/>
  <c r="A1349" i="3"/>
  <c r="I1348" i="3"/>
  <c r="H1348" i="3"/>
  <c r="E1348" i="3"/>
  <c r="D1348" i="3"/>
  <c r="C1348" i="3"/>
  <c r="B1348" i="3"/>
  <c r="A1348" i="3"/>
  <c r="I1347" i="3"/>
  <c r="H1347" i="3"/>
  <c r="D1347" i="3"/>
  <c r="C1347" i="3"/>
  <c r="B1347" i="3"/>
  <c r="A1347" i="3"/>
  <c r="I1346" i="3"/>
  <c r="H1346" i="3"/>
  <c r="F1346" i="3"/>
  <c r="E1346" i="3"/>
  <c r="D1346" i="3"/>
  <c r="C1346" i="3"/>
  <c r="B1346" i="3"/>
  <c r="A1346" i="3"/>
  <c r="I1345" i="3"/>
  <c r="H1345" i="3"/>
  <c r="F1345" i="3"/>
  <c r="E1345" i="3"/>
  <c r="D1345" i="3"/>
  <c r="C1345" i="3"/>
  <c r="B1345" i="3"/>
  <c r="A1345" i="3"/>
  <c r="I1344" i="3"/>
  <c r="H1344" i="3"/>
  <c r="F1344" i="3"/>
  <c r="D1344" i="3"/>
  <c r="C1344" i="3"/>
  <c r="B1344" i="3"/>
  <c r="A1344" i="3"/>
  <c r="I1343" i="3"/>
  <c r="H1343" i="3"/>
  <c r="E1343" i="3"/>
  <c r="D1343" i="3"/>
  <c r="C1343" i="3"/>
  <c r="B1343" i="3"/>
  <c r="A1343" i="3"/>
  <c r="I1342" i="3"/>
  <c r="H1342" i="3"/>
  <c r="D1342" i="3"/>
  <c r="C1342" i="3"/>
  <c r="B1342" i="3"/>
  <c r="A1342" i="3"/>
  <c r="I1341" i="3"/>
  <c r="H1341" i="3"/>
  <c r="D1341" i="3"/>
  <c r="C1341" i="3"/>
  <c r="B1341" i="3"/>
  <c r="A1341" i="3"/>
  <c r="I1340" i="3"/>
  <c r="H1340" i="3"/>
  <c r="D1340" i="3"/>
  <c r="C1340" i="3"/>
  <c r="B1340" i="3"/>
  <c r="A1340" i="3"/>
  <c r="I1339" i="3"/>
  <c r="H1339" i="3"/>
  <c r="F1339" i="3"/>
  <c r="E1339" i="3"/>
  <c r="D1339" i="3"/>
  <c r="C1339" i="3"/>
  <c r="B1339" i="3"/>
  <c r="A1339" i="3"/>
  <c r="I1338" i="3"/>
  <c r="H1338" i="3"/>
  <c r="F1338" i="3"/>
  <c r="D1338" i="3"/>
  <c r="C1338" i="3"/>
  <c r="B1338" i="3"/>
  <c r="A1338" i="3"/>
  <c r="I1337" i="3"/>
  <c r="H1337" i="3"/>
  <c r="F1337" i="3"/>
  <c r="D1337" i="3"/>
  <c r="C1337" i="3"/>
  <c r="B1337" i="3"/>
  <c r="A1337" i="3"/>
  <c r="I1336" i="3"/>
  <c r="H1336" i="3"/>
  <c r="E1336" i="3"/>
  <c r="D1336" i="3"/>
  <c r="C1336" i="3"/>
  <c r="B1336" i="3"/>
  <c r="A1336" i="3"/>
  <c r="I1335" i="3"/>
  <c r="H1335" i="3"/>
  <c r="E1335" i="3"/>
  <c r="D1335" i="3"/>
  <c r="C1335" i="3"/>
  <c r="B1335" i="3"/>
  <c r="A1335" i="3"/>
  <c r="I1334" i="3"/>
  <c r="H1334" i="3"/>
  <c r="F1334" i="3"/>
  <c r="D1334" i="3"/>
  <c r="C1334" i="3"/>
  <c r="B1334" i="3"/>
  <c r="A1334" i="3"/>
  <c r="I1333" i="3"/>
  <c r="H1333" i="3"/>
  <c r="F1333" i="3"/>
  <c r="E1333" i="3"/>
  <c r="D1333" i="3"/>
  <c r="C1333" i="3"/>
  <c r="B1333" i="3"/>
  <c r="A1333" i="3"/>
  <c r="I1332" i="3"/>
  <c r="H1332" i="3"/>
  <c r="F1332" i="3"/>
  <c r="E1332" i="3"/>
  <c r="D1332" i="3"/>
  <c r="C1332" i="3"/>
  <c r="B1332" i="3"/>
  <c r="A1332" i="3"/>
  <c r="I1331" i="3"/>
  <c r="H1331" i="3"/>
  <c r="F1331" i="3"/>
  <c r="E1331" i="3"/>
  <c r="D1331" i="3"/>
  <c r="C1331" i="3"/>
  <c r="B1331" i="3"/>
  <c r="A1331" i="3"/>
  <c r="I1330" i="3"/>
  <c r="H1330" i="3"/>
  <c r="F1330" i="3"/>
  <c r="D1330" i="3"/>
  <c r="C1330" i="3"/>
  <c r="B1330" i="3"/>
  <c r="A1330" i="3"/>
  <c r="I1329" i="3"/>
  <c r="H1329" i="3"/>
  <c r="F1329" i="3"/>
  <c r="E1329" i="3"/>
  <c r="D1329" i="3"/>
  <c r="C1329" i="3"/>
  <c r="B1329" i="3"/>
  <c r="A1329" i="3"/>
  <c r="I1328" i="3"/>
  <c r="H1328" i="3"/>
  <c r="F1328" i="3"/>
  <c r="D1328" i="3"/>
  <c r="C1328" i="3"/>
  <c r="B1328" i="3"/>
  <c r="A1328" i="3"/>
  <c r="I1327" i="3"/>
  <c r="H1327" i="3"/>
  <c r="F1327" i="3"/>
  <c r="D1327" i="3"/>
  <c r="C1327" i="3"/>
  <c r="B1327" i="3"/>
  <c r="A1327" i="3"/>
  <c r="I1326" i="3"/>
  <c r="H1326" i="3"/>
  <c r="F1326" i="3"/>
  <c r="E1326" i="3"/>
  <c r="D1326" i="3"/>
  <c r="C1326" i="3"/>
  <c r="B1326" i="3"/>
  <c r="A1326" i="3"/>
  <c r="I1325" i="3"/>
  <c r="H1325" i="3"/>
  <c r="F1325" i="3"/>
  <c r="D1325" i="3"/>
  <c r="C1325" i="3"/>
  <c r="B1325" i="3"/>
  <c r="A1325" i="3"/>
  <c r="I1324" i="3"/>
  <c r="H1324" i="3"/>
  <c r="F1324" i="3"/>
  <c r="D1324" i="3"/>
  <c r="C1324" i="3"/>
  <c r="B1324" i="3"/>
  <c r="A1324" i="3"/>
  <c r="I1323" i="3"/>
  <c r="H1323" i="3"/>
  <c r="F1323" i="3"/>
  <c r="D1323" i="3"/>
  <c r="C1323" i="3"/>
  <c r="B1323" i="3"/>
  <c r="A1323" i="3"/>
  <c r="I1322" i="3"/>
  <c r="H1322" i="3"/>
  <c r="F1322" i="3"/>
  <c r="E1322" i="3"/>
  <c r="D1322" i="3"/>
  <c r="C1322" i="3"/>
  <c r="B1322" i="3"/>
  <c r="A1322" i="3"/>
  <c r="I1321" i="3"/>
  <c r="H1321" i="3"/>
  <c r="E1321" i="3"/>
  <c r="D1321" i="3"/>
  <c r="C1321" i="3"/>
  <c r="B1321" i="3"/>
  <c r="A1321" i="3"/>
  <c r="I1320" i="3"/>
  <c r="H1320" i="3"/>
  <c r="F1320" i="3"/>
  <c r="D1320" i="3"/>
  <c r="C1320" i="3"/>
  <c r="B1320" i="3"/>
  <c r="A1320" i="3"/>
  <c r="I1319" i="3"/>
  <c r="H1319" i="3"/>
  <c r="F1319" i="3"/>
  <c r="D1319" i="3"/>
  <c r="C1319" i="3"/>
  <c r="B1319" i="3"/>
  <c r="A1319" i="3"/>
  <c r="I1318" i="3"/>
  <c r="H1318" i="3"/>
  <c r="F1318" i="3"/>
  <c r="E1318" i="3"/>
  <c r="D1318" i="3"/>
  <c r="C1318" i="3"/>
  <c r="B1318" i="3"/>
  <c r="A1318" i="3"/>
  <c r="I1317" i="3"/>
  <c r="H1317" i="3"/>
  <c r="F1317" i="3"/>
  <c r="E1317" i="3"/>
  <c r="D1317" i="3"/>
  <c r="C1317" i="3"/>
  <c r="B1317" i="3"/>
  <c r="A1317" i="3"/>
  <c r="I1316" i="3"/>
  <c r="H1316" i="3"/>
  <c r="F1316" i="3"/>
  <c r="E1316" i="3"/>
  <c r="D1316" i="3"/>
  <c r="C1316" i="3"/>
  <c r="B1316" i="3"/>
  <c r="A1316" i="3"/>
  <c r="I1315" i="3"/>
  <c r="H1315" i="3"/>
  <c r="F1315" i="3"/>
  <c r="D1315" i="3"/>
  <c r="C1315" i="3"/>
  <c r="B1315" i="3"/>
  <c r="A1315" i="3"/>
  <c r="I1314" i="3"/>
  <c r="H1314" i="3"/>
  <c r="F1314" i="3"/>
  <c r="D1314" i="3"/>
  <c r="C1314" i="3"/>
  <c r="B1314" i="3"/>
  <c r="A1314" i="3"/>
  <c r="I1313" i="3"/>
  <c r="H1313" i="3"/>
  <c r="F1313" i="3"/>
  <c r="D1313" i="3"/>
  <c r="C1313" i="3"/>
  <c r="B1313" i="3"/>
  <c r="A1313" i="3"/>
  <c r="I1312" i="3"/>
  <c r="H1312" i="3"/>
  <c r="F1312" i="3"/>
  <c r="E1312" i="3"/>
  <c r="D1312" i="3"/>
  <c r="C1312" i="3"/>
  <c r="B1312" i="3"/>
  <c r="A1312" i="3"/>
  <c r="I1311" i="3"/>
  <c r="H1311" i="3"/>
  <c r="F1311" i="3"/>
  <c r="D1311" i="3"/>
  <c r="C1311" i="3"/>
  <c r="B1311" i="3"/>
  <c r="A1311" i="3"/>
  <c r="I1310" i="3"/>
  <c r="H1310" i="3"/>
  <c r="F1310" i="3"/>
  <c r="D1310" i="3"/>
  <c r="C1310" i="3"/>
  <c r="B1310" i="3"/>
  <c r="A1310" i="3"/>
  <c r="I1309" i="3"/>
  <c r="H1309" i="3"/>
  <c r="F1309" i="3"/>
  <c r="D1309" i="3"/>
  <c r="C1309" i="3"/>
  <c r="B1309" i="3"/>
  <c r="A1309" i="3"/>
  <c r="I1308" i="3"/>
  <c r="H1308" i="3"/>
  <c r="F1308" i="3"/>
  <c r="D1308" i="3"/>
  <c r="C1308" i="3"/>
  <c r="B1308" i="3"/>
  <c r="A1308" i="3"/>
  <c r="I1307" i="3"/>
  <c r="H1307" i="3"/>
  <c r="F1307" i="3"/>
  <c r="E1307" i="3"/>
  <c r="D1307" i="3"/>
  <c r="C1307" i="3"/>
  <c r="B1307" i="3"/>
  <c r="A1307" i="3"/>
  <c r="I1306" i="3"/>
  <c r="H1306" i="3"/>
  <c r="E1306" i="3"/>
  <c r="D1306" i="3"/>
  <c r="C1306" i="3"/>
  <c r="B1306" i="3"/>
  <c r="A1306" i="3"/>
  <c r="I1305" i="3"/>
  <c r="H1305" i="3"/>
  <c r="F1305" i="3"/>
  <c r="D1305" i="3"/>
  <c r="C1305" i="3"/>
  <c r="B1305" i="3"/>
  <c r="A1305" i="3"/>
  <c r="I1304" i="3"/>
  <c r="H1304" i="3"/>
  <c r="F1304" i="3"/>
  <c r="D1304" i="3"/>
  <c r="C1304" i="3"/>
  <c r="B1304" i="3"/>
  <c r="A1304" i="3"/>
  <c r="I1303" i="3"/>
  <c r="H1303" i="3"/>
  <c r="F1303" i="3"/>
  <c r="E1303" i="3"/>
  <c r="D1303" i="3"/>
  <c r="C1303" i="3"/>
  <c r="B1303" i="3"/>
  <c r="A1303" i="3"/>
  <c r="I1302" i="3"/>
  <c r="H1302" i="3"/>
  <c r="F1302" i="3"/>
  <c r="E1302" i="3"/>
  <c r="D1302" i="3"/>
  <c r="C1302" i="3"/>
  <c r="B1302" i="3"/>
  <c r="A1302" i="3"/>
  <c r="I1301" i="3"/>
  <c r="H1301" i="3"/>
  <c r="F1301" i="3"/>
  <c r="E1301" i="3"/>
  <c r="D1301" i="3"/>
  <c r="C1301" i="3"/>
  <c r="B1301" i="3"/>
  <c r="A1301" i="3"/>
  <c r="I1300" i="3"/>
  <c r="H1300" i="3"/>
  <c r="F1300" i="3"/>
  <c r="E1300" i="3"/>
  <c r="D1300" i="3"/>
  <c r="C1300" i="3"/>
  <c r="B1300" i="3"/>
  <c r="A1300" i="3"/>
  <c r="I1299" i="3"/>
  <c r="H1299" i="3"/>
  <c r="D1299" i="3"/>
  <c r="C1299" i="3"/>
  <c r="B1299" i="3"/>
  <c r="A1299" i="3"/>
  <c r="I1298" i="3"/>
  <c r="H1298" i="3"/>
  <c r="F1298" i="3"/>
  <c r="D1298" i="3"/>
  <c r="C1298" i="3"/>
  <c r="B1298" i="3"/>
  <c r="A1298" i="3"/>
  <c r="I1297" i="3"/>
  <c r="H1297" i="3"/>
  <c r="E1297" i="3"/>
  <c r="D1297" i="3"/>
  <c r="C1297" i="3"/>
  <c r="B1297" i="3"/>
  <c r="A1297" i="3"/>
  <c r="I1296" i="3"/>
  <c r="H1296" i="3"/>
  <c r="F1296" i="3"/>
  <c r="D1296" i="3"/>
  <c r="C1296" i="3"/>
  <c r="B1296" i="3"/>
  <c r="A1296" i="3"/>
  <c r="I1295" i="3"/>
  <c r="H1295" i="3"/>
  <c r="F1295" i="3"/>
  <c r="D1295" i="3"/>
  <c r="C1295" i="3"/>
  <c r="B1295" i="3"/>
  <c r="A1295" i="3"/>
  <c r="I1294" i="3"/>
  <c r="H1294" i="3"/>
  <c r="E1294" i="3"/>
  <c r="D1294" i="3"/>
  <c r="C1294" i="3"/>
  <c r="B1294" i="3"/>
  <c r="A1294" i="3"/>
  <c r="I1293" i="3"/>
  <c r="H1293" i="3"/>
  <c r="F1293" i="3"/>
  <c r="D1293" i="3"/>
  <c r="C1293" i="3"/>
  <c r="B1293" i="3"/>
  <c r="A1293" i="3"/>
  <c r="I1292" i="3"/>
  <c r="H1292" i="3"/>
  <c r="E1292" i="3"/>
  <c r="D1292" i="3"/>
  <c r="C1292" i="3"/>
  <c r="B1292" i="3"/>
  <c r="A1292" i="3"/>
  <c r="I1291" i="3"/>
  <c r="H1291" i="3"/>
  <c r="F1291" i="3"/>
  <c r="D1291" i="3"/>
  <c r="C1291" i="3"/>
  <c r="B1291" i="3"/>
  <c r="A1291" i="3"/>
  <c r="I1290" i="3"/>
  <c r="H1290" i="3"/>
  <c r="F1290" i="3"/>
  <c r="D1290" i="3"/>
  <c r="C1290" i="3"/>
  <c r="B1290" i="3"/>
  <c r="A1290" i="3"/>
  <c r="I1289" i="3"/>
  <c r="H1289" i="3"/>
  <c r="F1289" i="3"/>
  <c r="D1289" i="3"/>
  <c r="C1289" i="3"/>
  <c r="B1289" i="3"/>
  <c r="A1289" i="3"/>
  <c r="I1288" i="3"/>
  <c r="H1288" i="3"/>
  <c r="F1288" i="3"/>
  <c r="D1288" i="3"/>
  <c r="C1288" i="3"/>
  <c r="B1288" i="3"/>
  <c r="A1288" i="3"/>
  <c r="I1287" i="3"/>
  <c r="H1287" i="3"/>
  <c r="F1287" i="3"/>
  <c r="D1287" i="3"/>
  <c r="C1287" i="3"/>
  <c r="B1287" i="3"/>
  <c r="A1287" i="3"/>
  <c r="I1286" i="3"/>
  <c r="H1286" i="3"/>
  <c r="F1286" i="3"/>
  <c r="D1286" i="3"/>
  <c r="C1286" i="3"/>
  <c r="B1286" i="3"/>
  <c r="A1286" i="3"/>
  <c r="I1285" i="3"/>
  <c r="H1285" i="3"/>
  <c r="F1285" i="3"/>
  <c r="D1285" i="3"/>
  <c r="C1285" i="3"/>
  <c r="B1285" i="3"/>
  <c r="A1285" i="3"/>
  <c r="I1284" i="3"/>
  <c r="H1284" i="3"/>
  <c r="F1284" i="3"/>
  <c r="D1284" i="3"/>
  <c r="C1284" i="3"/>
  <c r="B1284" i="3"/>
  <c r="A1284" i="3"/>
  <c r="I1283" i="3"/>
  <c r="H1283" i="3"/>
  <c r="E1283" i="3"/>
  <c r="D1283" i="3"/>
  <c r="C1283" i="3"/>
  <c r="B1283" i="3"/>
  <c r="A1283" i="3"/>
  <c r="I1282" i="3"/>
  <c r="H1282" i="3"/>
  <c r="F1282" i="3"/>
  <c r="D1282" i="3"/>
  <c r="C1282" i="3"/>
  <c r="B1282" i="3"/>
  <c r="A1282" i="3"/>
  <c r="I1281" i="3"/>
  <c r="H1281" i="3"/>
  <c r="F1281" i="3"/>
  <c r="E1281" i="3"/>
  <c r="D1281" i="3"/>
  <c r="C1281" i="3"/>
  <c r="B1281" i="3"/>
  <c r="A1281" i="3"/>
  <c r="I1280" i="3"/>
  <c r="H1280" i="3"/>
  <c r="F1280" i="3"/>
  <c r="E1280" i="3"/>
  <c r="D1280" i="3"/>
  <c r="C1280" i="3"/>
  <c r="B1280" i="3"/>
  <c r="A1280" i="3"/>
  <c r="I1279" i="3"/>
  <c r="H1279" i="3"/>
  <c r="E1279" i="3"/>
  <c r="D1279" i="3"/>
  <c r="C1279" i="3"/>
  <c r="B1279" i="3"/>
  <c r="A1279" i="3"/>
  <c r="I1278" i="3"/>
  <c r="H1278" i="3"/>
  <c r="F1278" i="3"/>
  <c r="E1278" i="3"/>
  <c r="D1278" i="3"/>
  <c r="C1278" i="3"/>
  <c r="B1278" i="3"/>
  <c r="A1278" i="3"/>
  <c r="I1277" i="3"/>
  <c r="H1277" i="3"/>
  <c r="E1277" i="3"/>
  <c r="D1277" i="3"/>
  <c r="C1277" i="3"/>
  <c r="B1277" i="3"/>
  <c r="A1277" i="3"/>
  <c r="I1276" i="3"/>
  <c r="H1276" i="3"/>
  <c r="F1276" i="3"/>
  <c r="E1276" i="3"/>
  <c r="D1276" i="3"/>
  <c r="C1276" i="3"/>
  <c r="B1276" i="3"/>
  <c r="A1276" i="3"/>
  <c r="I1275" i="3"/>
  <c r="H1275" i="3"/>
  <c r="F1275" i="3"/>
  <c r="E1275" i="3"/>
  <c r="D1275" i="3"/>
  <c r="C1275" i="3"/>
  <c r="B1275" i="3"/>
  <c r="A1275" i="3"/>
  <c r="I1274" i="3"/>
  <c r="H1274" i="3"/>
  <c r="F1274" i="3"/>
  <c r="D1274" i="3"/>
  <c r="C1274" i="3"/>
  <c r="B1274" i="3"/>
  <c r="A1274" i="3"/>
  <c r="I1273" i="3"/>
  <c r="H1273" i="3"/>
  <c r="E1273" i="3"/>
  <c r="D1273" i="3"/>
  <c r="C1273" i="3"/>
  <c r="B1273" i="3"/>
  <c r="A1273" i="3"/>
  <c r="I1272" i="3"/>
  <c r="H1272" i="3"/>
  <c r="E1272" i="3"/>
  <c r="D1272" i="3"/>
  <c r="C1272" i="3"/>
  <c r="B1272" i="3"/>
  <c r="A1272" i="3"/>
  <c r="I1271" i="3"/>
  <c r="H1271" i="3"/>
  <c r="F1271" i="3"/>
  <c r="E1271" i="3"/>
  <c r="D1271" i="3"/>
  <c r="C1271" i="3"/>
  <c r="B1271" i="3"/>
  <c r="A1271" i="3"/>
  <c r="I1270" i="3"/>
  <c r="H1270" i="3"/>
  <c r="F1270" i="3"/>
  <c r="D1270" i="3"/>
  <c r="C1270" i="3"/>
  <c r="B1270" i="3"/>
  <c r="A1270" i="3"/>
  <c r="I1269" i="3"/>
  <c r="H1269" i="3"/>
  <c r="F1269" i="3"/>
  <c r="D1269" i="3"/>
  <c r="C1269" i="3"/>
  <c r="B1269" i="3"/>
  <c r="A1269" i="3"/>
  <c r="I1268" i="3"/>
  <c r="H1268" i="3"/>
  <c r="E1268" i="3"/>
  <c r="D1268" i="3"/>
  <c r="C1268" i="3"/>
  <c r="B1268" i="3"/>
  <c r="A1268" i="3"/>
  <c r="I1267" i="3"/>
  <c r="H1267" i="3"/>
  <c r="F1267" i="3"/>
  <c r="D1267" i="3"/>
  <c r="C1267" i="3"/>
  <c r="B1267" i="3"/>
  <c r="A1267" i="3"/>
  <c r="I1266" i="3"/>
  <c r="H1266" i="3"/>
  <c r="F1266" i="3"/>
  <c r="E1266" i="3"/>
  <c r="C1266" i="3"/>
  <c r="B1266" i="3"/>
  <c r="A1266" i="3"/>
  <c r="I1265" i="3"/>
  <c r="H1265" i="3"/>
  <c r="F1265" i="3"/>
  <c r="D1265" i="3"/>
  <c r="C1265" i="3"/>
  <c r="B1265" i="3"/>
  <c r="A1265" i="3"/>
  <c r="I1264" i="3"/>
  <c r="H1264" i="3"/>
  <c r="F1264" i="3"/>
  <c r="E1264" i="3"/>
  <c r="D1264" i="3"/>
  <c r="C1264" i="3"/>
  <c r="B1264" i="3"/>
  <c r="A1264" i="3"/>
  <c r="I1263" i="3"/>
  <c r="H1263" i="3"/>
  <c r="F1263" i="3"/>
  <c r="E1263" i="3"/>
  <c r="D1263" i="3"/>
  <c r="C1263" i="3"/>
  <c r="B1263" i="3"/>
  <c r="A1263" i="3"/>
  <c r="I1262" i="3"/>
  <c r="H1262" i="3"/>
  <c r="F1262" i="3"/>
  <c r="E1262" i="3"/>
  <c r="D1262" i="3"/>
  <c r="C1262" i="3"/>
  <c r="B1262" i="3"/>
  <c r="A1262" i="3"/>
  <c r="I1261" i="3"/>
  <c r="H1261" i="3"/>
  <c r="F1261" i="3"/>
  <c r="E1261" i="3"/>
  <c r="D1261" i="3"/>
  <c r="C1261" i="3"/>
  <c r="B1261" i="3"/>
  <c r="A1261" i="3"/>
  <c r="I1260" i="3"/>
  <c r="H1260" i="3"/>
  <c r="E1260" i="3"/>
  <c r="D1260" i="3"/>
  <c r="C1260" i="3"/>
  <c r="B1260" i="3"/>
  <c r="A1260" i="3"/>
  <c r="I1259" i="3"/>
  <c r="H1259" i="3"/>
  <c r="F1259" i="3"/>
  <c r="D1259" i="3"/>
  <c r="C1259" i="3"/>
  <c r="B1259" i="3"/>
  <c r="A1259" i="3"/>
  <c r="I1258" i="3"/>
  <c r="H1258" i="3"/>
  <c r="F1258" i="3"/>
  <c r="E1258" i="3"/>
  <c r="D1258" i="3"/>
  <c r="C1258" i="3"/>
  <c r="B1258" i="3"/>
  <c r="A1258" i="3"/>
  <c r="I1257" i="3"/>
  <c r="H1257" i="3"/>
  <c r="E1257" i="3"/>
  <c r="D1257" i="3"/>
  <c r="C1257" i="3"/>
  <c r="B1257" i="3"/>
  <c r="A1257" i="3"/>
  <c r="I1256" i="3"/>
  <c r="H1256" i="3"/>
  <c r="E1256" i="3"/>
  <c r="D1256" i="3"/>
  <c r="C1256" i="3"/>
  <c r="B1256" i="3"/>
  <c r="A1256" i="3"/>
  <c r="I1255" i="3"/>
  <c r="H1255" i="3"/>
  <c r="F1255" i="3"/>
  <c r="D1255" i="3"/>
  <c r="C1255" i="3"/>
  <c r="B1255" i="3"/>
  <c r="A1255" i="3"/>
  <c r="I1254" i="3"/>
  <c r="H1254" i="3"/>
  <c r="E1254" i="3"/>
  <c r="D1254" i="3"/>
  <c r="C1254" i="3"/>
  <c r="B1254" i="3"/>
  <c r="A1254" i="3"/>
  <c r="I1253" i="3"/>
  <c r="H1253" i="3"/>
  <c r="E1253" i="3"/>
  <c r="D1253" i="3"/>
  <c r="C1253" i="3"/>
  <c r="B1253" i="3"/>
  <c r="A1253" i="3"/>
  <c r="I1252" i="3"/>
  <c r="H1252" i="3"/>
  <c r="F1252" i="3"/>
  <c r="D1252" i="3"/>
  <c r="C1252" i="3"/>
  <c r="B1252" i="3"/>
  <c r="A1252" i="3"/>
  <c r="I1251" i="3"/>
  <c r="H1251" i="3"/>
  <c r="F1251" i="3"/>
  <c r="D1251" i="3"/>
  <c r="C1251" i="3"/>
  <c r="B1251" i="3"/>
  <c r="A1251" i="3"/>
  <c r="I1250" i="3"/>
  <c r="H1250" i="3"/>
  <c r="E1250" i="3"/>
  <c r="D1250" i="3"/>
  <c r="C1250" i="3"/>
  <c r="B1250" i="3"/>
  <c r="A1250" i="3"/>
  <c r="I1249" i="3"/>
  <c r="H1249" i="3"/>
  <c r="E1249" i="3"/>
  <c r="D1249" i="3"/>
  <c r="C1249" i="3"/>
  <c r="B1249" i="3"/>
  <c r="A1249" i="3"/>
  <c r="I1248" i="3"/>
  <c r="H1248" i="3"/>
  <c r="F1248" i="3"/>
  <c r="D1248" i="3"/>
  <c r="C1248" i="3"/>
  <c r="B1248" i="3"/>
  <c r="A1248" i="3"/>
  <c r="I1247" i="3"/>
  <c r="H1247" i="3"/>
  <c r="E1247" i="3"/>
  <c r="D1247" i="3"/>
  <c r="C1247" i="3"/>
  <c r="B1247" i="3"/>
  <c r="A1247" i="3"/>
  <c r="I1246" i="3"/>
  <c r="H1246" i="3"/>
  <c r="F1246" i="3"/>
  <c r="E1246" i="3"/>
  <c r="D1246" i="3"/>
  <c r="C1246" i="3"/>
  <c r="B1246" i="3"/>
  <c r="A1246" i="3"/>
  <c r="I1245" i="3"/>
  <c r="H1245" i="3"/>
  <c r="D1245" i="3"/>
  <c r="C1245" i="3"/>
  <c r="B1245" i="3"/>
  <c r="A1245" i="3"/>
  <c r="I1244" i="3"/>
  <c r="H1244" i="3"/>
  <c r="E1244" i="3"/>
  <c r="D1244" i="3"/>
  <c r="C1244" i="3"/>
  <c r="B1244" i="3"/>
  <c r="A1244" i="3"/>
  <c r="I1243" i="3"/>
  <c r="H1243" i="3"/>
  <c r="F1243" i="3"/>
  <c r="E1243" i="3"/>
  <c r="D1243" i="3"/>
  <c r="C1243" i="3"/>
  <c r="B1243" i="3"/>
  <c r="A1243" i="3"/>
  <c r="I1242" i="3"/>
  <c r="H1242" i="3"/>
  <c r="F1242" i="3"/>
  <c r="E1242" i="3"/>
  <c r="D1242" i="3"/>
  <c r="C1242" i="3"/>
  <c r="B1242" i="3"/>
  <c r="A1242" i="3"/>
  <c r="I1241" i="3"/>
  <c r="H1241" i="3"/>
  <c r="E1241" i="3"/>
  <c r="D1241" i="3"/>
  <c r="C1241" i="3"/>
  <c r="B1241" i="3"/>
  <c r="A1241" i="3"/>
  <c r="I1240" i="3"/>
  <c r="H1240" i="3"/>
  <c r="F1240" i="3"/>
  <c r="D1240" i="3"/>
  <c r="C1240" i="3"/>
  <c r="B1240" i="3"/>
  <c r="A1240" i="3"/>
  <c r="I1239" i="3"/>
  <c r="H1239" i="3"/>
  <c r="E1239" i="3"/>
  <c r="D1239" i="3"/>
  <c r="C1239" i="3"/>
  <c r="B1239" i="3"/>
  <c r="A1239" i="3"/>
  <c r="I1238" i="3"/>
  <c r="H1238" i="3"/>
  <c r="E1238" i="3"/>
  <c r="D1238" i="3"/>
  <c r="C1238" i="3"/>
  <c r="B1238" i="3"/>
  <c r="A1238" i="3"/>
  <c r="I1237" i="3"/>
  <c r="H1237" i="3"/>
  <c r="E1237" i="3"/>
  <c r="D1237" i="3"/>
  <c r="C1237" i="3"/>
  <c r="B1237" i="3"/>
  <c r="A1237" i="3"/>
  <c r="I1236" i="3"/>
  <c r="H1236" i="3"/>
  <c r="F1236" i="3"/>
  <c r="E1236" i="3"/>
  <c r="D1236" i="3"/>
  <c r="C1236" i="3"/>
  <c r="B1236" i="3"/>
  <c r="A1236" i="3"/>
  <c r="I1235" i="3"/>
  <c r="H1235" i="3"/>
  <c r="F1235" i="3"/>
  <c r="D1235" i="3"/>
  <c r="C1235" i="3"/>
  <c r="B1235" i="3"/>
  <c r="A1235" i="3"/>
  <c r="I1234" i="3"/>
  <c r="H1234" i="3"/>
  <c r="F1234" i="3"/>
  <c r="E1234" i="3"/>
  <c r="D1234" i="3"/>
  <c r="C1234" i="3"/>
  <c r="B1234" i="3"/>
  <c r="A1234" i="3"/>
  <c r="I1233" i="3"/>
  <c r="H1233" i="3"/>
  <c r="F1233" i="3"/>
  <c r="E1233" i="3"/>
  <c r="D1233" i="3"/>
  <c r="C1233" i="3"/>
  <c r="B1233" i="3"/>
  <c r="A1233" i="3"/>
  <c r="I1232" i="3"/>
  <c r="H1232" i="3"/>
  <c r="F1232" i="3"/>
  <c r="E1232" i="3"/>
  <c r="D1232" i="3"/>
  <c r="C1232" i="3"/>
  <c r="B1232" i="3"/>
  <c r="A1232" i="3"/>
  <c r="I1231" i="3"/>
  <c r="H1231" i="3"/>
  <c r="F1231" i="3"/>
  <c r="D1231" i="3"/>
  <c r="C1231" i="3"/>
  <c r="B1231" i="3"/>
  <c r="A1231" i="3"/>
  <c r="I1230" i="3"/>
  <c r="H1230" i="3"/>
  <c r="E1230" i="3"/>
  <c r="D1230" i="3"/>
  <c r="C1230" i="3"/>
  <c r="B1230" i="3"/>
  <c r="A1230" i="3"/>
  <c r="I1229" i="3"/>
  <c r="H1229" i="3"/>
  <c r="D1229" i="3"/>
  <c r="C1229" i="3"/>
  <c r="B1229" i="3"/>
  <c r="A1229" i="3"/>
  <c r="I1228" i="3"/>
  <c r="H1228" i="3"/>
  <c r="F1228" i="3"/>
  <c r="D1228" i="3"/>
  <c r="C1228" i="3"/>
  <c r="B1228" i="3"/>
  <c r="A1228" i="3"/>
  <c r="I1227" i="3"/>
  <c r="H1227" i="3"/>
  <c r="F1227" i="3"/>
  <c r="E1227" i="3"/>
  <c r="D1227" i="3"/>
  <c r="C1227" i="3"/>
  <c r="B1227" i="3"/>
  <c r="A1227" i="3"/>
  <c r="I1226" i="3"/>
  <c r="H1226" i="3"/>
  <c r="F1226" i="3"/>
  <c r="E1226" i="3"/>
  <c r="D1226" i="3"/>
  <c r="C1226" i="3"/>
  <c r="B1226" i="3"/>
  <c r="A1226" i="3"/>
  <c r="I1225" i="3"/>
  <c r="H1225" i="3"/>
  <c r="F1225" i="3"/>
  <c r="E1225" i="3"/>
  <c r="D1225" i="3"/>
  <c r="C1225" i="3"/>
  <c r="B1225" i="3"/>
  <c r="A1225" i="3"/>
  <c r="I1224" i="3"/>
  <c r="H1224" i="3"/>
  <c r="F1224" i="3"/>
  <c r="E1224" i="3"/>
  <c r="D1224" i="3"/>
  <c r="C1224" i="3"/>
  <c r="B1224" i="3"/>
  <c r="A1224" i="3"/>
  <c r="I1223" i="3"/>
  <c r="H1223" i="3"/>
  <c r="F1223" i="3"/>
  <c r="E1223" i="3"/>
  <c r="D1223" i="3"/>
  <c r="C1223" i="3"/>
  <c r="B1223" i="3"/>
  <c r="A1223" i="3"/>
  <c r="I1222" i="3"/>
  <c r="H1222" i="3"/>
  <c r="F1222" i="3"/>
  <c r="E1222" i="3"/>
  <c r="D1222" i="3"/>
  <c r="C1222" i="3"/>
  <c r="B1222" i="3"/>
  <c r="A1222" i="3"/>
  <c r="I1221" i="3"/>
  <c r="H1221" i="3"/>
  <c r="F1221" i="3"/>
  <c r="E1221" i="3"/>
  <c r="D1221" i="3"/>
  <c r="C1221" i="3"/>
  <c r="B1221" i="3"/>
  <c r="A1221" i="3"/>
  <c r="I1220" i="3"/>
  <c r="H1220" i="3"/>
  <c r="F1220" i="3"/>
  <c r="D1220" i="3"/>
  <c r="C1220" i="3"/>
  <c r="B1220" i="3"/>
  <c r="A1220" i="3"/>
  <c r="I1219" i="3"/>
  <c r="H1219" i="3"/>
  <c r="D1219" i="3"/>
  <c r="C1219" i="3"/>
  <c r="B1219" i="3"/>
  <c r="A1219" i="3"/>
  <c r="I1218" i="3"/>
  <c r="H1218" i="3"/>
  <c r="F1218" i="3"/>
  <c r="E1218" i="3"/>
  <c r="D1218" i="3"/>
  <c r="C1218" i="3"/>
  <c r="B1218" i="3"/>
  <c r="A1218" i="3"/>
  <c r="I1217" i="3"/>
  <c r="H1217" i="3"/>
  <c r="F1217" i="3"/>
  <c r="E1217" i="3"/>
  <c r="D1217" i="3"/>
  <c r="C1217" i="3"/>
  <c r="B1217" i="3"/>
  <c r="A1217" i="3"/>
  <c r="I1216" i="3"/>
  <c r="H1216" i="3"/>
  <c r="F1216" i="3"/>
  <c r="D1216" i="3"/>
  <c r="C1216" i="3"/>
  <c r="B1216" i="3"/>
  <c r="A1216" i="3"/>
  <c r="I1215" i="3"/>
  <c r="H1215" i="3"/>
  <c r="F1215" i="3"/>
  <c r="E1215" i="3"/>
  <c r="D1215" i="3"/>
  <c r="C1215" i="3"/>
  <c r="B1215" i="3"/>
  <c r="A1215" i="3"/>
  <c r="I1214" i="3"/>
  <c r="H1214" i="3"/>
  <c r="F1214" i="3"/>
  <c r="E1214" i="3"/>
  <c r="D1214" i="3"/>
  <c r="C1214" i="3"/>
  <c r="B1214" i="3"/>
  <c r="A1214" i="3"/>
  <c r="I1213" i="3"/>
  <c r="H1213" i="3"/>
  <c r="F1213" i="3"/>
  <c r="E1213" i="3"/>
  <c r="D1213" i="3"/>
  <c r="C1213" i="3"/>
  <c r="B1213" i="3"/>
  <c r="A1213" i="3"/>
  <c r="I1212" i="3"/>
  <c r="H1212" i="3"/>
  <c r="E1212" i="3"/>
  <c r="D1212" i="3"/>
  <c r="C1212" i="3"/>
  <c r="B1212" i="3"/>
  <c r="A1212" i="3"/>
  <c r="I1211" i="3"/>
  <c r="H1211" i="3"/>
  <c r="F1211" i="3"/>
  <c r="D1211" i="3"/>
  <c r="C1211" i="3"/>
  <c r="B1211" i="3"/>
  <c r="A1211" i="3"/>
  <c r="I1210" i="3"/>
  <c r="H1210" i="3"/>
  <c r="F1210" i="3"/>
  <c r="E1210" i="3"/>
  <c r="D1210" i="3"/>
  <c r="C1210" i="3"/>
  <c r="B1210" i="3"/>
  <c r="A1210" i="3"/>
  <c r="I1209" i="3"/>
  <c r="H1209" i="3"/>
  <c r="D1209" i="3"/>
  <c r="C1209" i="3"/>
  <c r="B1209" i="3"/>
  <c r="A1209" i="3"/>
  <c r="I1208" i="3"/>
  <c r="H1208" i="3"/>
  <c r="F1208" i="3"/>
  <c r="D1208" i="3"/>
  <c r="C1208" i="3"/>
  <c r="B1208" i="3"/>
  <c r="A1208" i="3"/>
  <c r="I1207" i="3"/>
  <c r="H1207" i="3"/>
  <c r="F1207" i="3"/>
  <c r="E1207" i="3"/>
  <c r="D1207" i="3"/>
  <c r="C1207" i="3"/>
  <c r="B1207" i="3"/>
  <c r="A1207" i="3"/>
  <c r="I1206" i="3"/>
  <c r="H1206" i="3"/>
  <c r="F1206" i="3"/>
  <c r="D1206" i="3"/>
  <c r="C1206" i="3"/>
  <c r="B1206" i="3"/>
  <c r="A1206" i="3"/>
  <c r="I1205" i="3"/>
  <c r="H1205" i="3"/>
  <c r="F1205" i="3"/>
  <c r="E1205" i="3"/>
  <c r="D1205" i="3"/>
  <c r="C1205" i="3"/>
  <c r="B1205" i="3"/>
  <c r="A1205" i="3"/>
  <c r="I1204" i="3"/>
  <c r="H1204" i="3"/>
  <c r="E1204" i="3"/>
  <c r="D1204" i="3"/>
  <c r="C1204" i="3"/>
  <c r="B1204" i="3"/>
  <c r="A1204" i="3"/>
  <c r="I1203" i="3"/>
  <c r="H1203" i="3"/>
  <c r="F1203" i="3"/>
  <c r="D1203" i="3"/>
  <c r="C1203" i="3"/>
  <c r="B1203" i="3"/>
  <c r="A1203" i="3"/>
  <c r="I1202" i="3"/>
  <c r="H1202" i="3"/>
  <c r="F1202" i="3"/>
  <c r="D1202" i="3"/>
  <c r="C1202" i="3"/>
  <c r="B1202" i="3"/>
  <c r="A1202" i="3"/>
  <c r="I1201" i="3"/>
  <c r="H1201" i="3"/>
  <c r="D1201" i="3"/>
  <c r="C1201" i="3"/>
  <c r="B1201" i="3"/>
  <c r="A1201" i="3"/>
  <c r="I1200" i="3"/>
  <c r="H1200" i="3"/>
  <c r="F1200" i="3"/>
  <c r="E1200" i="3"/>
  <c r="D1200" i="3"/>
  <c r="C1200" i="3"/>
  <c r="B1200" i="3"/>
  <c r="A1200" i="3"/>
  <c r="I1199" i="3"/>
  <c r="H1199" i="3"/>
  <c r="D1199" i="3"/>
  <c r="C1199" i="3"/>
  <c r="B1199" i="3"/>
  <c r="A1199" i="3"/>
  <c r="I1198" i="3"/>
  <c r="H1198" i="3"/>
  <c r="F1198" i="3"/>
  <c r="E1198" i="3"/>
  <c r="D1198" i="3"/>
  <c r="C1198" i="3"/>
  <c r="B1198" i="3"/>
  <c r="A1198" i="3"/>
  <c r="I1197" i="3"/>
  <c r="H1197" i="3"/>
  <c r="F1197" i="3"/>
  <c r="D1197" i="3"/>
  <c r="C1197" i="3"/>
  <c r="B1197" i="3"/>
  <c r="A1197" i="3"/>
  <c r="I1196" i="3"/>
  <c r="H1196" i="3"/>
  <c r="F1196" i="3"/>
  <c r="E1196" i="3"/>
  <c r="D1196" i="3"/>
  <c r="C1196" i="3"/>
  <c r="B1196" i="3"/>
  <c r="A1196" i="3"/>
  <c r="I1195" i="3"/>
  <c r="H1195" i="3"/>
  <c r="F1195" i="3"/>
  <c r="D1195" i="3"/>
  <c r="C1195" i="3"/>
  <c r="B1195" i="3"/>
  <c r="A1195" i="3"/>
  <c r="I1194" i="3"/>
  <c r="H1194" i="3"/>
  <c r="D1194" i="3"/>
  <c r="C1194" i="3"/>
  <c r="B1194" i="3"/>
  <c r="A1194" i="3"/>
  <c r="I1193" i="3"/>
  <c r="H1193" i="3"/>
  <c r="D1193" i="3"/>
  <c r="C1193" i="3"/>
  <c r="B1193" i="3"/>
  <c r="A1193" i="3"/>
  <c r="I1192" i="3"/>
  <c r="H1192" i="3"/>
  <c r="D1192" i="3"/>
  <c r="C1192" i="3"/>
  <c r="B1192" i="3"/>
  <c r="A1192" i="3"/>
  <c r="I1191" i="3"/>
  <c r="H1191" i="3"/>
  <c r="D1191" i="3"/>
  <c r="C1191" i="3"/>
  <c r="B1191" i="3"/>
  <c r="A1191" i="3"/>
  <c r="I1190" i="3"/>
  <c r="H1190" i="3"/>
  <c r="D1190" i="3"/>
  <c r="C1190" i="3"/>
  <c r="B1190" i="3"/>
  <c r="A1190" i="3"/>
  <c r="I1189" i="3"/>
  <c r="H1189" i="3"/>
  <c r="D1189" i="3"/>
  <c r="C1189" i="3"/>
  <c r="B1189" i="3"/>
  <c r="A1189" i="3"/>
  <c r="I1188" i="3"/>
  <c r="H1188" i="3"/>
  <c r="D1188" i="3"/>
  <c r="C1188" i="3"/>
  <c r="B1188" i="3"/>
  <c r="A1188" i="3"/>
  <c r="I1187" i="3"/>
  <c r="H1187" i="3"/>
  <c r="D1187" i="3"/>
  <c r="C1187" i="3"/>
  <c r="B1187" i="3"/>
  <c r="A1187" i="3"/>
  <c r="I1186" i="3"/>
  <c r="H1186" i="3"/>
  <c r="E1186" i="3"/>
  <c r="D1186" i="3"/>
  <c r="C1186" i="3"/>
  <c r="B1186" i="3"/>
  <c r="A1186" i="3"/>
  <c r="I1185" i="3"/>
  <c r="H1185" i="3"/>
  <c r="D1185" i="3"/>
  <c r="C1185" i="3"/>
  <c r="B1185" i="3"/>
  <c r="A1185" i="3"/>
  <c r="I1184" i="3"/>
  <c r="H1184" i="3"/>
  <c r="D1184" i="3"/>
  <c r="C1184" i="3"/>
  <c r="B1184" i="3"/>
  <c r="A1184" i="3"/>
  <c r="I1183" i="3"/>
  <c r="H1183" i="3"/>
  <c r="D1183" i="3"/>
  <c r="C1183" i="3"/>
  <c r="B1183" i="3"/>
  <c r="A1183" i="3"/>
  <c r="I1182" i="3"/>
  <c r="H1182" i="3"/>
  <c r="D1182" i="3"/>
  <c r="C1182" i="3"/>
  <c r="B1182" i="3"/>
  <c r="A1182" i="3"/>
  <c r="I1181" i="3"/>
  <c r="H1181" i="3"/>
  <c r="D1181" i="3"/>
  <c r="C1181" i="3"/>
  <c r="B1181" i="3"/>
  <c r="A1181" i="3"/>
  <c r="I1180" i="3"/>
  <c r="H1180" i="3"/>
  <c r="D1180" i="3"/>
  <c r="C1180" i="3"/>
  <c r="B1180" i="3"/>
  <c r="A1180" i="3"/>
  <c r="I1179" i="3"/>
  <c r="H1179" i="3"/>
  <c r="D1179" i="3"/>
  <c r="C1179" i="3"/>
  <c r="B1179" i="3"/>
  <c r="A1179" i="3"/>
  <c r="I1178" i="3"/>
  <c r="H1178" i="3"/>
  <c r="E1178" i="3"/>
  <c r="D1178" i="3"/>
  <c r="C1178" i="3"/>
  <c r="B1178" i="3"/>
  <c r="A1178" i="3"/>
  <c r="I1177" i="3"/>
  <c r="H1177" i="3"/>
  <c r="F1177" i="3"/>
  <c r="E1177" i="3"/>
  <c r="D1177" i="3"/>
  <c r="C1177" i="3"/>
  <c r="B1177" i="3"/>
  <c r="A1177" i="3"/>
  <c r="I1176" i="3"/>
  <c r="H1176" i="3"/>
  <c r="F1176" i="3"/>
  <c r="E1176" i="3"/>
  <c r="D1176" i="3"/>
  <c r="C1176" i="3"/>
  <c r="B1176" i="3"/>
  <c r="A1176" i="3"/>
  <c r="I1175" i="3"/>
  <c r="H1175" i="3"/>
  <c r="F1175" i="3"/>
  <c r="E1175" i="3"/>
  <c r="D1175" i="3"/>
  <c r="C1175" i="3"/>
  <c r="B1175" i="3"/>
  <c r="A1175" i="3"/>
  <c r="I1174" i="3"/>
  <c r="H1174" i="3"/>
  <c r="F1174" i="3"/>
  <c r="E1174" i="3"/>
  <c r="D1174" i="3"/>
  <c r="C1174" i="3"/>
  <c r="B1174" i="3"/>
  <c r="A1174" i="3"/>
  <c r="I1173" i="3"/>
  <c r="H1173" i="3"/>
  <c r="E1173" i="3"/>
  <c r="D1173" i="3"/>
  <c r="C1173" i="3"/>
  <c r="B1173" i="3"/>
  <c r="A1173" i="3"/>
  <c r="I1172" i="3"/>
  <c r="H1172" i="3"/>
  <c r="E1172" i="3"/>
  <c r="D1172" i="3"/>
  <c r="C1172" i="3"/>
  <c r="B1172" i="3"/>
  <c r="A1172" i="3"/>
  <c r="I1171" i="3"/>
  <c r="H1171" i="3"/>
  <c r="E1171" i="3"/>
  <c r="D1171" i="3"/>
  <c r="C1171" i="3"/>
  <c r="B1171" i="3"/>
  <c r="A1171" i="3"/>
  <c r="I1170" i="3"/>
  <c r="H1170" i="3"/>
  <c r="F1170" i="3"/>
  <c r="D1170" i="3"/>
  <c r="C1170" i="3"/>
  <c r="B1170" i="3"/>
  <c r="A1170" i="3"/>
  <c r="I1169" i="3"/>
  <c r="H1169" i="3"/>
  <c r="F1169" i="3"/>
  <c r="D1169" i="3"/>
  <c r="C1169" i="3"/>
  <c r="B1169" i="3"/>
  <c r="A1169" i="3"/>
  <c r="I1168" i="3"/>
  <c r="H1168" i="3"/>
  <c r="F1168" i="3"/>
  <c r="D1168" i="3"/>
  <c r="C1168" i="3"/>
  <c r="B1168" i="3"/>
  <c r="A1168" i="3"/>
  <c r="I1167" i="3"/>
  <c r="H1167" i="3"/>
  <c r="E1167" i="3"/>
  <c r="D1167" i="3"/>
  <c r="C1167" i="3"/>
  <c r="B1167" i="3"/>
  <c r="A1167" i="3"/>
  <c r="I1166" i="3"/>
  <c r="H1166" i="3"/>
  <c r="F1166" i="3"/>
  <c r="E1166" i="3"/>
  <c r="D1166" i="3"/>
  <c r="C1166" i="3"/>
  <c r="B1166" i="3"/>
  <c r="A1166" i="3"/>
  <c r="I1165" i="3"/>
  <c r="H1165" i="3"/>
  <c r="F1165" i="3"/>
  <c r="E1165" i="3"/>
  <c r="D1165" i="3"/>
  <c r="C1165" i="3"/>
  <c r="B1165" i="3"/>
  <c r="A1165" i="3"/>
  <c r="I1164" i="3"/>
  <c r="H1164" i="3"/>
  <c r="E1164" i="3"/>
  <c r="D1164" i="3"/>
  <c r="C1164" i="3"/>
  <c r="B1164" i="3"/>
  <c r="A1164" i="3"/>
  <c r="I1163" i="3"/>
  <c r="H1163" i="3"/>
  <c r="F1163" i="3"/>
  <c r="E1163" i="3"/>
  <c r="D1163" i="3"/>
  <c r="C1163" i="3"/>
  <c r="B1163" i="3"/>
  <c r="A1163" i="3"/>
  <c r="I1162" i="3"/>
  <c r="H1162" i="3"/>
  <c r="D1162" i="3"/>
  <c r="C1162" i="3"/>
  <c r="B1162" i="3"/>
  <c r="A1162" i="3"/>
  <c r="I1161" i="3"/>
  <c r="H1161" i="3"/>
  <c r="F1161" i="3"/>
  <c r="E1161" i="3"/>
  <c r="D1161" i="3"/>
  <c r="C1161" i="3"/>
  <c r="B1161" i="3"/>
  <c r="A1161" i="3"/>
  <c r="I1160" i="3"/>
  <c r="H1160" i="3"/>
  <c r="D1160" i="3"/>
  <c r="C1160" i="3"/>
  <c r="B1160" i="3"/>
  <c r="A1160" i="3"/>
  <c r="I1159" i="3"/>
  <c r="H1159" i="3"/>
  <c r="F1159" i="3"/>
  <c r="D1159" i="3"/>
  <c r="C1159" i="3"/>
  <c r="B1159" i="3"/>
  <c r="A1159" i="3"/>
  <c r="I1158" i="3"/>
  <c r="H1158" i="3"/>
  <c r="F1158" i="3"/>
  <c r="E1158" i="3"/>
  <c r="D1158" i="3"/>
  <c r="C1158" i="3"/>
  <c r="B1158" i="3"/>
  <c r="A1158" i="3"/>
  <c r="I1157" i="3"/>
  <c r="H1157" i="3"/>
  <c r="F1157" i="3"/>
  <c r="E1157" i="3"/>
  <c r="D1157" i="3"/>
  <c r="C1157" i="3"/>
  <c r="B1157" i="3"/>
  <c r="A1157" i="3"/>
  <c r="I1156" i="3"/>
  <c r="H1156" i="3"/>
  <c r="F1156" i="3"/>
  <c r="E1156" i="3"/>
  <c r="D1156" i="3"/>
  <c r="C1156" i="3"/>
  <c r="B1156" i="3"/>
  <c r="A1156" i="3"/>
  <c r="I1155" i="3"/>
  <c r="H1155" i="3"/>
  <c r="F1155" i="3"/>
  <c r="E1155" i="3"/>
  <c r="D1155" i="3"/>
  <c r="C1155" i="3"/>
  <c r="B1155" i="3"/>
  <c r="A1155" i="3"/>
  <c r="I1154" i="3"/>
  <c r="H1154" i="3"/>
  <c r="E1154" i="3"/>
  <c r="D1154" i="3"/>
  <c r="C1154" i="3"/>
  <c r="B1154" i="3"/>
  <c r="A1154" i="3"/>
  <c r="I1153" i="3"/>
  <c r="H1153" i="3"/>
  <c r="F1153" i="3"/>
  <c r="D1153" i="3"/>
  <c r="C1153" i="3"/>
  <c r="B1153" i="3"/>
  <c r="A1153" i="3"/>
  <c r="I1152" i="3"/>
  <c r="H1152" i="3"/>
  <c r="F1152" i="3"/>
  <c r="E1152" i="3"/>
  <c r="D1152" i="3"/>
  <c r="C1152" i="3"/>
  <c r="B1152" i="3"/>
  <c r="A1152" i="3"/>
  <c r="I1151" i="3"/>
  <c r="H1151" i="3"/>
  <c r="F1151" i="3"/>
  <c r="E1151" i="3"/>
  <c r="D1151" i="3"/>
  <c r="C1151" i="3"/>
  <c r="B1151" i="3"/>
  <c r="A1151" i="3"/>
  <c r="I1150" i="3"/>
  <c r="H1150" i="3"/>
  <c r="E1150" i="3"/>
  <c r="D1150" i="3"/>
  <c r="C1150" i="3"/>
  <c r="B1150" i="3"/>
  <c r="A1150" i="3"/>
  <c r="I1149" i="3"/>
  <c r="H1149" i="3"/>
  <c r="F1149" i="3"/>
  <c r="D1149" i="3"/>
  <c r="C1149" i="3"/>
  <c r="B1149" i="3"/>
  <c r="A1149" i="3"/>
  <c r="I1148" i="3"/>
  <c r="H1148" i="3"/>
  <c r="F1148" i="3"/>
  <c r="D1148" i="3"/>
  <c r="C1148" i="3"/>
  <c r="B1148" i="3"/>
  <c r="A1148" i="3"/>
  <c r="I1147" i="3"/>
  <c r="H1147" i="3"/>
  <c r="F1147" i="3"/>
  <c r="D1147" i="3"/>
  <c r="C1147" i="3"/>
  <c r="B1147" i="3"/>
  <c r="A1147" i="3"/>
  <c r="I1146" i="3"/>
  <c r="H1146" i="3"/>
  <c r="F1146" i="3"/>
  <c r="D1146" i="3"/>
  <c r="C1146" i="3"/>
  <c r="B1146" i="3"/>
  <c r="A1146" i="3"/>
  <c r="I1145" i="3"/>
  <c r="H1145" i="3"/>
  <c r="E1145" i="3"/>
  <c r="D1145" i="3"/>
  <c r="C1145" i="3"/>
  <c r="B1145" i="3"/>
  <c r="A1145" i="3"/>
  <c r="I1144" i="3"/>
  <c r="H1144" i="3"/>
  <c r="F1144" i="3"/>
  <c r="D1144" i="3"/>
  <c r="C1144" i="3"/>
  <c r="B1144" i="3"/>
  <c r="A1144" i="3"/>
  <c r="I1143" i="3"/>
  <c r="H1143" i="3"/>
  <c r="E1143" i="3"/>
  <c r="D1143" i="3"/>
  <c r="C1143" i="3"/>
  <c r="B1143" i="3"/>
  <c r="A1143" i="3"/>
  <c r="I1142" i="3"/>
  <c r="H1142" i="3"/>
  <c r="E1142" i="3"/>
  <c r="D1142" i="3"/>
  <c r="C1142" i="3"/>
  <c r="B1142" i="3"/>
  <c r="A1142" i="3"/>
  <c r="I1141" i="3"/>
  <c r="H1141" i="3"/>
  <c r="D1141" i="3"/>
  <c r="C1141" i="3"/>
  <c r="B1141" i="3"/>
  <c r="A1141" i="3"/>
  <c r="I1140" i="3"/>
  <c r="H1140" i="3"/>
  <c r="D1140" i="3"/>
  <c r="C1140" i="3"/>
  <c r="B1140" i="3"/>
  <c r="A1140" i="3"/>
  <c r="I1139" i="3"/>
  <c r="H1139" i="3"/>
  <c r="F1139" i="3"/>
  <c r="E1139" i="3"/>
  <c r="D1139" i="3"/>
  <c r="C1139" i="3"/>
  <c r="B1139" i="3"/>
  <c r="A1139" i="3"/>
  <c r="I1138" i="3"/>
  <c r="H1138" i="3"/>
  <c r="F1138" i="3"/>
  <c r="E1138" i="3"/>
  <c r="D1138" i="3"/>
  <c r="C1138" i="3"/>
  <c r="B1138" i="3"/>
  <c r="A1138" i="3"/>
  <c r="I1137" i="3"/>
  <c r="H1137" i="3"/>
  <c r="E1137" i="3"/>
  <c r="D1137" i="3"/>
  <c r="C1137" i="3"/>
  <c r="B1137" i="3"/>
  <c r="A1137" i="3"/>
  <c r="I1136" i="3"/>
  <c r="H1136" i="3"/>
  <c r="F1136" i="3"/>
  <c r="D1136" i="3"/>
  <c r="C1136" i="3"/>
  <c r="B1136" i="3"/>
  <c r="A1136" i="3"/>
  <c r="I1135" i="3"/>
  <c r="H1135" i="3"/>
  <c r="E1135" i="3"/>
  <c r="D1135" i="3"/>
  <c r="C1135" i="3"/>
  <c r="B1135" i="3"/>
  <c r="A1135" i="3"/>
  <c r="I1134" i="3"/>
  <c r="H1134" i="3"/>
  <c r="E1134" i="3"/>
  <c r="D1134" i="3"/>
  <c r="C1134" i="3"/>
  <c r="B1134" i="3"/>
  <c r="A1134" i="3"/>
  <c r="I1133" i="3"/>
  <c r="H1133" i="3"/>
  <c r="F1133" i="3"/>
  <c r="D1133" i="3"/>
  <c r="C1133" i="3"/>
  <c r="B1133" i="3"/>
  <c r="A1133" i="3"/>
  <c r="I1132" i="3"/>
  <c r="H1132" i="3"/>
  <c r="F1132" i="3"/>
  <c r="E1132" i="3"/>
  <c r="D1132" i="3"/>
  <c r="C1132" i="3"/>
  <c r="B1132" i="3"/>
  <c r="A1132" i="3"/>
  <c r="I1131" i="3"/>
  <c r="H1131" i="3"/>
  <c r="E1131" i="3"/>
  <c r="D1131" i="3"/>
  <c r="C1131" i="3"/>
  <c r="B1131" i="3"/>
  <c r="A1131" i="3"/>
  <c r="I1130" i="3"/>
  <c r="H1130" i="3"/>
  <c r="F1130" i="3"/>
  <c r="E1130" i="3"/>
  <c r="D1130" i="3"/>
  <c r="C1130" i="3"/>
  <c r="B1130" i="3"/>
  <c r="A1130" i="3"/>
  <c r="I1129" i="3"/>
  <c r="H1129" i="3"/>
  <c r="F1129" i="3"/>
  <c r="D1129" i="3"/>
  <c r="C1129" i="3"/>
  <c r="B1129" i="3"/>
  <c r="A1129" i="3"/>
  <c r="I1128" i="3"/>
  <c r="H1128" i="3"/>
  <c r="E1128" i="3"/>
  <c r="D1128" i="3"/>
  <c r="C1128" i="3"/>
  <c r="B1128" i="3"/>
  <c r="A1128" i="3"/>
  <c r="I1127" i="3"/>
  <c r="H1127" i="3"/>
  <c r="F1127" i="3"/>
  <c r="D1127" i="3"/>
  <c r="C1127" i="3"/>
  <c r="B1127" i="3"/>
  <c r="A1127" i="3"/>
  <c r="I1126" i="3"/>
  <c r="H1126" i="3"/>
  <c r="E1126" i="3"/>
  <c r="D1126" i="3"/>
  <c r="C1126" i="3"/>
  <c r="B1126" i="3"/>
  <c r="A1126" i="3"/>
  <c r="I1125" i="3"/>
  <c r="H1125" i="3"/>
  <c r="F1125" i="3"/>
  <c r="E1125" i="3"/>
  <c r="D1125" i="3"/>
  <c r="C1125" i="3"/>
  <c r="B1125" i="3"/>
  <c r="A1125" i="3"/>
  <c r="I1124" i="3"/>
  <c r="H1124" i="3"/>
  <c r="E1124" i="3"/>
  <c r="D1124" i="3"/>
  <c r="C1124" i="3"/>
  <c r="B1124" i="3"/>
  <c r="A1124" i="3"/>
  <c r="I1123" i="3"/>
  <c r="H1123" i="3"/>
  <c r="F1123" i="3"/>
  <c r="D1123" i="3"/>
  <c r="C1123" i="3"/>
  <c r="B1123" i="3"/>
  <c r="A1123" i="3"/>
  <c r="I1122" i="3"/>
  <c r="H1122" i="3"/>
  <c r="E1122" i="3"/>
  <c r="D1122" i="3"/>
  <c r="C1122" i="3"/>
  <c r="B1122" i="3"/>
  <c r="A1122" i="3"/>
  <c r="I1121" i="3"/>
  <c r="H1121" i="3"/>
  <c r="F1121" i="3"/>
  <c r="D1121" i="3"/>
  <c r="C1121" i="3"/>
  <c r="B1121" i="3"/>
  <c r="A1121" i="3"/>
  <c r="I1120" i="3"/>
  <c r="H1120" i="3"/>
  <c r="F1120" i="3"/>
  <c r="E1120" i="3"/>
  <c r="D1120" i="3"/>
  <c r="C1120" i="3"/>
  <c r="B1120" i="3"/>
  <c r="A1120" i="3"/>
  <c r="I1119" i="3"/>
  <c r="H1119" i="3"/>
  <c r="F1119" i="3"/>
  <c r="E1119" i="3"/>
  <c r="D1119" i="3"/>
  <c r="C1119" i="3"/>
  <c r="B1119" i="3"/>
  <c r="A1119" i="3"/>
  <c r="I1118" i="3"/>
  <c r="H1118" i="3"/>
  <c r="E1118" i="3"/>
  <c r="D1118" i="3"/>
  <c r="C1118" i="3"/>
  <c r="B1118" i="3"/>
  <c r="A1118" i="3"/>
  <c r="I1117" i="3"/>
  <c r="H1117" i="3"/>
  <c r="F1117" i="3"/>
  <c r="D1117" i="3"/>
  <c r="C1117" i="3"/>
  <c r="B1117" i="3"/>
  <c r="A1117" i="3"/>
  <c r="I1116" i="3"/>
  <c r="H1116" i="3"/>
  <c r="D1116" i="3"/>
  <c r="C1116" i="3"/>
  <c r="B1116" i="3"/>
  <c r="A1116" i="3"/>
  <c r="I1115" i="3"/>
  <c r="H1115" i="3"/>
  <c r="E1115" i="3"/>
  <c r="D1115" i="3"/>
  <c r="C1115" i="3"/>
  <c r="B1115" i="3"/>
  <c r="A1115" i="3"/>
  <c r="I1114" i="3"/>
  <c r="H1114" i="3"/>
  <c r="F1114" i="3"/>
  <c r="D1114" i="3"/>
  <c r="C1114" i="3"/>
  <c r="B1114" i="3"/>
  <c r="A1114" i="3"/>
  <c r="I1113" i="3"/>
  <c r="H1113" i="3"/>
  <c r="E1113" i="3"/>
  <c r="D1113" i="3"/>
  <c r="C1113" i="3"/>
  <c r="B1113" i="3"/>
  <c r="A1113" i="3"/>
  <c r="I1112" i="3"/>
  <c r="H1112" i="3"/>
  <c r="F1112" i="3"/>
  <c r="E1112" i="3"/>
  <c r="D1112" i="3"/>
  <c r="C1112" i="3"/>
  <c r="B1112" i="3"/>
  <c r="A1112" i="3"/>
  <c r="I1111" i="3"/>
  <c r="H1111" i="3"/>
  <c r="E1111" i="3"/>
  <c r="D1111" i="3"/>
  <c r="C1111" i="3"/>
  <c r="B1111" i="3"/>
  <c r="A1111" i="3"/>
  <c r="I1110" i="3"/>
  <c r="H1110" i="3"/>
  <c r="E1110" i="3"/>
  <c r="D1110" i="3"/>
  <c r="C1110" i="3"/>
  <c r="B1110" i="3"/>
  <c r="A1110" i="3"/>
  <c r="I1109" i="3"/>
  <c r="H1109" i="3"/>
  <c r="F1109" i="3"/>
  <c r="D1109" i="3"/>
  <c r="C1109" i="3"/>
  <c r="B1109" i="3"/>
  <c r="A1109" i="3"/>
  <c r="I1108" i="3"/>
  <c r="H1108" i="3"/>
  <c r="E1108" i="3"/>
  <c r="D1108" i="3"/>
  <c r="C1108" i="3"/>
  <c r="B1108" i="3"/>
  <c r="A1108" i="3"/>
  <c r="I1107" i="3"/>
  <c r="H1107" i="3"/>
  <c r="F1107" i="3"/>
  <c r="E1107" i="3"/>
  <c r="D1107" i="3"/>
  <c r="C1107" i="3"/>
  <c r="B1107" i="3"/>
  <c r="A1107" i="3"/>
  <c r="I1106" i="3"/>
  <c r="H1106" i="3"/>
  <c r="D1106" i="3"/>
  <c r="C1106" i="3"/>
  <c r="B1106" i="3"/>
  <c r="A1106" i="3"/>
  <c r="I1105" i="3"/>
  <c r="H1105" i="3"/>
  <c r="F1105" i="3"/>
  <c r="E1105" i="3"/>
  <c r="D1105" i="3"/>
  <c r="C1105" i="3"/>
  <c r="B1105" i="3"/>
  <c r="A1105" i="3"/>
  <c r="I1104" i="3"/>
  <c r="H1104" i="3"/>
  <c r="E1104" i="3"/>
  <c r="D1104" i="3"/>
  <c r="C1104" i="3"/>
  <c r="B1104" i="3"/>
  <c r="A1104" i="3"/>
  <c r="I1103" i="3"/>
  <c r="H1103" i="3"/>
  <c r="E1103" i="3"/>
  <c r="D1103" i="3"/>
  <c r="C1103" i="3"/>
  <c r="B1103" i="3"/>
  <c r="A1103" i="3"/>
  <c r="I1102" i="3"/>
  <c r="H1102" i="3"/>
  <c r="F1102" i="3"/>
  <c r="D1102" i="3"/>
  <c r="C1102" i="3"/>
  <c r="B1102" i="3"/>
  <c r="A1102" i="3"/>
  <c r="I1101" i="3"/>
  <c r="H1101" i="3"/>
  <c r="F1101" i="3"/>
  <c r="E1101" i="3"/>
  <c r="D1101" i="3"/>
  <c r="C1101" i="3"/>
  <c r="B1101" i="3"/>
  <c r="A1101" i="3"/>
  <c r="I1100" i="3"/>
  <c r="H1100" i="3"/>
  <c r="F1100" i="3"/>
  <c r="D1100" i="3"/>
  <c r="C1100" i="3"/>
  <c r="B1100" i="3"/>
  <c r="A1100" i="3"/>
  <c r="I1099" i="3"/>
  <c r="H1099" i="3"/>
  <c r="F1099" i="3"/>
  <c r="D1099" i="3"/>
  <c r="C1099" i="3"/>
  <c r="B1099" i="3"/>
  <c r="A1099" i="3"/>
  <c r="I1098" i="3"/>
  <c r="H1098" i="3"/>
  <c r="F1098" i="3"/>
  <c r="E1098" i="3"/>
  <c r="D1098" i="3"/>
  <c r="C1098" i="3"/>
  <c r="B1098" i="3"/>
  <c r="A1098" i="3"/>
  <c r="I1097" i="3"/>
  <c r="H1097" i="3"/>
  <c r="F1097" i="3"/>
  <c r="E1097" i="3"/>
  <c r="D1097" i="3"/>
  <c r="C1097" i="3"/>
  <c r="B1097" i="3"/>
  <c r="A1097" i="3"/>
  <c r="I1096" i="3"/>
  <c r="H1096" i="3"/>
  <c r="F1096" i="3"/>
  <c r="E1096" i="3"/>
  <c r="D1096" i="3"/>
  <c r="C1096" i="3"/>
  <c r="B1096" i="3"/>
  <c r="A1096" i="3"/>
  <c r="I1095" i="3"/>
  <c r="H1095" i="3"/>
  <c r="F1095" i="3"/>
  <c r="D1095" i="3"/>
  <c r="C1095" i="3"/>
  <c r="B1095" i="3"/>
  <c r="A1095" i="3"/>
  <c r="I1094" i="3"/>
  <c r="H1094" i="3"/>
  <c r="F1094" i="3"/>
  <c r="E1094" i="3"/>
  <c r="D1094" i="3"/>
  <c r="C1094" i="3"/>
  <c r="B1094" i="3"/>
  <c r="A1094" i="3"/>
  <c r="I1093" i="3"/>
  <c r="H1093" i="3"/>
  <c r="E1093" i="3"/>
  <c r="D1093" i="3"/>
  <c r="C1093" i="3"/>
  <c r="B1093" i="3"/>
  <c r="A1093" i="3"/>
  <c r="I1092" i="3"/>
  <c r="H1092" i="3"/>
  <c r="F1092" i="3"/>
  <c r="D1092" i="3"/>
  <c r="C1092" i="3"/>
  <c r="B1092" i="3"/>
  <c r="A1092" i="3"/>
  <c r="I1091" i="3"/>
  <c r="H1091" i="3"/>
  <c r="F1091" i="3"/>
  <c r="E1091" i="3"/>
  <c r="D1091" i="3"/>
  <c r="C1091" i="3"/>
  <c r="B1091" i="3"/>
  <c r="A1091" i="3"/>
  <c r="I1090" i="3"/>
  <c r="H1090" i="3"/>
  <c r="E1090" i="3"/>
  <c r="D1090" i="3"/>
  <c r="C1090" i="3"/>
  <c r="B1090" i="3"/>
  <c r="A1090" i="3"/>
  <c r="I1089" i="3"/>
  <c r="H1089" i="3"/>
  <c r="F1089" i="3"/>
  <c r="E1089" i="3"/>
  <c r="D1089" i="3"/>
  <c r="C1089" i="3"/>
  <c r="B1089" i="3"/>
  <c r="A1089" i="3"/>
  <c r="I1088" i="3"/>
  <c r="H1088" i="3"/>
  <c r="F1088" i="3"/>
  <c r="E1088" i="3"/>
  <c r="D1088" i="3"/>
  <c r="C1088" i="3"/>
  <c r="B1088" i="3"/>
  <c r="A1088" i="3"/>
  <c r="I1087" i="3"/>
  <c r="H1087" i="3"/>
  <c r="D1087" i="3"/>
  <c r="C1087" i="3"/>
  <c r="B1087" i="3"/>
  <c r="A1087" i="3"/>
  <c r="I1086" i="3"/>
  <c r="H1086" i="3"/>
  <c r="F1086" i="3"/>
  <c r="D1086" i="3"/>
  <c r="C1086" i="3"/>
  <c r="B1086" i="3"/>
  <c r="A1086" i="3"/>
  <c r="I1085" i="3"/>
  <c r="H1085" i="3"/>
  <c r="F1085" i="3"/>
  <c r="E1085" i="3"/>
  <c r="D1085" i="3"/>
  <c r="C1085" i="3"/>
  <c r="B1085" i="3"/>
  <c r="A1085" i="3"/>
  <c r="I1084" i="3"/>
  <c r="H1084" i="3"/>
  <c r="F1084" i="3"/>
  <c r="E1084" i="3"/>
  <c r="D1084" i="3"/>
  <c r="C1084" i="3"/>
  <c r="B1084" i="3"/>
  <c r="A1084" i="3"/>
  <c r="I1083" i="3"/>
  <c r="H1083" i="3"/>
  <c r="F1083" i="3"/>
  <c r="E1083" i="3"/>
  <c r="D1083" i="3"/>
  <c r="C1083" i="3"/>
  <c r="B1083" i="3"/>
  <c r="A1083" i="3"/>
  <c r="I1082" i="3"/>
  <c r="H1082" i="3"/>
  <c r="F1082" i="3"/>
  <c r="E1082" i="3"/>
  <c r="D1082" i="3"/>
  <c r="C1082" i="3"/>
  <c r="B1082" i="3"/>
  <c r="A1082" i="3"/>
  <c r="I1081" i="3"/>
  <c r="H1081" i="3"/>
  <c r="E1081" i="3"/>
  <c r="D1081" i="3"/>
  <c r="C1081" i="3"/>
  <c r="B1081" i="3"/>
  <c r="A1081" i="3"/>
  <c r="I1080" i="3"/>
  <c r="H1080" i="3"/>
  <c r="F1080" i="3"/>
  <c r="D1080" i="3"/>
  <c r="C1080" i="3"/>
  <c r="B1080" i="3"/>
  <c r="A1080" i="3"/>
  <c r="I1079" i="3"/>
  <c r="H1079" i="3"/>
  <c r="F1079" i="3"/>
  <c r="E1079" i="3"/>
  <c r="D1079" i="3"/>
  <c r="C1079" i="3"/>
  <c r="B1079" i="3"/>
  <c r="A1079" i="3"/>
  <c r="I1078" i="3"/>
  <c r="H1078" i="3"/>
  <c r="D1078" i="3"/>
  <c r="C1078" i="3"/>
  <c r="B1078" i="3"/>
  <c r="A1078" i="3"/>
  <c r="I1077" i="3"/>
  <c r="H1077" i="3"/>
  <c r="D1077" i="3"/>
  <c r="C1077" i="3"/>
  <c r="B1077" i="3"/>
  <c r="A1077" i="3"/>
  <c r="I1076" i="3"/>
  <c r="H1076" i="3"/>
  <c r="E1076" i="3"/>
  <c r="D1076" i="3"/>
  <c r="C1076" i="3"/>
  <c r="B1076" i="3"/>
  <c r="A1076" i="3"/>
  <c r="I1075" i="3"/>
  <c r="H1075" i="3"/>
  <c r="F1075" i="3"/>
  <c r="E1075" i="3"/>
  <c r="D1075" i="3"/>
  <c r="C1075" i="3"/>
  <c r="B1075" i="3"/>
  <c r="A1075" i="3"/>
  <c r="I1074" i="3"/>
  <c r="H1074" i="3"/>
  <c r="E1074" i="3"/>
  <c r="D1074" i="3"/>
  <c r="C1074" i="3"/>
  <c r="B1074" i="3"/>
  <c r="A1074" i="3"/>
  <c r="I1073" i="3"/>
  <c r="H1073" i="3"/>
  <c r="F1073" i="3"/>
  <c r="D1073" i="3"/>
  <c r="C1073" i="3"/>
  <c r="B1073" i="3"/>
  <c r="A1073" i="3"/>
  <c r="I1072" i="3"/>
  <c r="H1072" i="3"/>
  <c r="E1072" i="3"/>
  <c r="D1072" i="3"/>
  <c r="C1072" i="3"/>
  <c r="B1072" i="3"/>
  <c r="A1072" i="3"/>
  <c r="I1071" i="3"/>
  <c r="H1071" i="3"/>
  <c r="F1071" i="3"/>
  <c r="D1071" i="3"/>
  <c r="C1071" i="3"/>
  <c r="B1071" i="3"/>
  <c r="A1071" i="3"/>
  <c r="I1070" i="3"/>
  <c r="H1070" i="3"/>
  <c r="F1070" i="3"/>
  <c r="D1070" i="3"/>
  <c r="C1070" i="3"/>
  <c r="B1070" i="3"/>
  <c r="A1070" i="3"/>
  <c r="I1069" i="3"/>
  <c r="H1069" i="3"/>
  <c r="D1069" i="3"/>
  <c r="C1069" i="3"/>
  <c r="B1069" i="3"/>
  <c r="A1069" i="3"/>
  <c r="I1068" i="3"/>
  <c r="H1068" i="3"/>
  <c r="E1068" i="3"/>
  <c r="D1068" i="3"/>
  <c r="C1068" i="3"/>
  <c r="B1068" i="3"/>
  <c r="A1068" i="3"/>
  <c r="I1067" i="3"/>
  <c r="H1067" i="3"/>
  <c r="F1067" i="3"/>
  <c r="D1067" i="3"/>
  <c r="C1067" i="3"/>
  <c r="B1067" i="3"/>
  <c r="A1067" i="3"/>
  <c r="I1066" i="3"/>
  <c r="H1066" i="3"/>
  <c r="F1066" i="3"/>
  <c r="E1066" i="3"/>
  <c r="D1066" i="3"/>
  <c r="C1066" i="3"/>
  <c r="B1066" i="3"/>
  <c r="A1066" i="3"/>
  <c r="I1065" i="3"/>
  <c r="H1065" i="3"/>
  <c r="E1065" i="3"/>
  <c r="D1065" i="3"/>
  <c r="C1065" i="3"/>
  <c r="B1065" i="3"/>
  <c r="A1065" i="3"/>
  <c r="I1064" i="3"/>
  <c r="H1064" i="3"/>
  <c r="E1064" i="3"/>
  <c r="D1064" i="3"/>
  <c r="C1064" i="3"/>
  <c r="B1064" i="3"/>
  <c r="A1064" i="3"/>
  <c r="I1063" i="3"/>
  <c r="H1063" i="3"/>
  <c r="F1063" i="3"/>
  <c r="E1063" i="3"/>
  <c r="D1063" i="3"/>
  <c r="C1063" i="3"/>
  <c r="B1063" i="3"/>
  <c r="A1063" i="3"/>
  <c r="I1062" i="3"/>
  <c r="H1062" i="3"/>
  <c r="F1062" i="3"/>
  <c r="E1062" i="3"/>
  <c r="D1062" i="3"/>
  <c r="C1062" i="3"/>
  <c r="B1062" i="3"/>
  <c r="A1062" i="3"/>
  <c r="I1061" i="3"/>
  <c r="H1061" i="3"/>
  <c r="D1061" i="3"/>
  <c r="C1061" i="3"/>
  <c r="B1061" i="3"/>
  <c r="A1061" i="3"/>
  <c r="I1060" i="3"/>
  <c r="H1060" i="3"/>
  <c r="E1060" i="3"/>
  <c r="D1060" i="3"/>
  <c r="C1060" i="3"/>
  <c r="B1060" i="3"/>
  <c r="A1060" i="3"/>
  <c r="I1059" i="3"/>
  <c r="H1059" i="3"/>
  <c r="F1059" i="3"/>
  <c r="E1059" i="3"/>
  <c r="D1059" i="3"/>
  <c r="C1059" i="3"/>
  <c r="B1059" i="3"/>
  <c r="A1059" i="3"/>
  <c r="I1058" i="3"/>
  <c r="H1058" i="3"/>
  <c r="F1058" i="3"/>
  <c r="E1058" i="3"/>
  <c r="D1058" i="3"/>
  <c r="C1058" i="3"/>
  <c r="B1058" i="3"/>
  <c r="A1058" i="3"/>
  <c r="I1057" i="3"/>
  <c r="H1057" i="3"/>
  <c r="F1057" i="3"/>
  <c r="E1057" i="3"/>
  <c r="D1057" i="3"/>
  <c r="C1057" i="3"/>
  <c r="B1057" i="3"/>
  <c r="A1057" i="3"/>
  <c r="I1056" i="3"/>
  <c r="H1056" i="3"/>
  <c r="F1056" i="3"/>
  <c r="E1056" i="3"/>
  <c r="D1056" i="3"/>
  <c r="C1056" i="3"/>
  <c r="B1056" i="3"/>
  <c r="A1056" i="3"/>
  <c r="I1055" i="3"/>
  <c r="H1055" i="3"/>
  <c r="F1055" i="3"/>
  <c r="D1055" i="3"/>
  <c r="C1055" i="3"/>
  <c r="B1055" i="3"/>
  <c r="A1055" i="3"/>
  <c r="I1054" i="3"/>
  <c r="H1054" i="3"/>
  <c r="E1054" i="3"/>
  <c r="D1054" i="3"/>
  <c r="C1054" i="3"/>
  <c r="B1054" i="3"/>
  <c r="A1054" i="3"/>
  <c r="I1053" i="3"/>
  <c r="H1053" i="3"/>
  <c r="F1053" i="3"/>
  <c r="E1053" i="3"/>
  <c r="D1053" i="3"/>
  <c r="C1053" i="3"/>
  <c r="B1053" i="3"/>
  <c r="A1053" i="3"/>
  <c r="I1052" i="3"/>
  <c r="H1052" i="3"/>
  <c r="F1052" i="3"/>
  <c r="E1052" i="3"/>
  <c r="D1052" i="3"/>
  <c r="C1052" i="3"/>
  <c r="B1052" i="3"/>
  <c r="A1052" i="3"/>
  <c r="I1051" i="3"/>
  <c r="H1051" i="3"/>
  <c r="E1051" i="3"/>
  <c r="D1051" i="3"/>
  <c r="C1051" i="3"/>
  <c r="B1051" i="3"/>
  <c r="A1051" i="3"/>
  <c r="I1050" i="3"/>
  <c r="H1050" i="3"/>
  <c r="F1050" i="3"/>
  <c r="E1050" i="3"/>
  <c r="D1050" i="3"/>
  <c r="C1050" i="3"/>
  <c r="B1050" i="3"/>
  <c r="A1050" i="3"/>
  <c r="I1049" i="3"/>
  <c r="H1049" i="3"/>
  <c r="E1049" i="3"/>
  <c r="D1049" i="3"/>
  <c r="C1049" i="3"/>
  <c r="B1049" i="3"/>
  <c r="A1049" i="3"/>
  <c r="I1048" i="3"/>
  <c r="H1048" i="3"/>
  <c r="E1048" i="3"/>
  <c r="D1048" i="3"/>
  <c r="C1048" i="3"/>
  <c r="B1048" i="3"/>
  <c r="A1048" i="3"/>
  <c r="I1047" i="3"/>
  <c r="H1047" i="3"/>
  <c r="D1047" i="3"/>
  <c r="C1047" i="3"/>
  <c r="B1047" i="3"/>
  <c r="A1047" i="3"/>
  <c r="I1046" i="3"/>
  <c r="H1046" i="3"/>
  <c r="F1046" i="3"/>
  <c r="D1046" i="3"/>
  <c r="C1046" i="3"/>
  <c r="B1046" i="3"/>
  <c r="A1046" i="3"/>
  <c r="I1045" i="3"/>
  <c r="H1045" i="3"/>
  <c r="D1045" i="3"/>
  <c r="C1045" i="3"/>
  <c r="B1045" i="3"/>
  <c r="A1045" i="3"/>
  <c r="I1044" i="3"/>
  <c r="H1044" i="3"/>
  <c r="E1044" i="3"/>
  <c r="D1044" i="3"/>
  <c r="C1044" i="3"/>
  <c r="B1044" i="3"/>
  <c r="A1044" i="3"/>
  <c r="I1043" i="3"/>
  <c r="H1043" i="3"/>
  <c r="F1043" i="3"/>
  <c r="D1043" i="3"/>
  <c r="C1043" i="3"/>
  <c r="B1043" i="3"/>
  <c r="A1043" i="3"/>
  <c r="I1042" i="3"/>
  <c r="H1042" i="3"/>
  <c r="E1042" i="3"/>
  <c r="D1042" i="3"/>
  <c r="C1042" i="3"/>
  <c r="B1042" i="3"/>
  <c r="A1042" i="3"/>
  <c r="I1041" i="3"/>
  <c r="H1041" i="3"/>
  <c r="F1041" i="3"/>
  <c r="E1041" i="3"/>
  <c r="D1041" i="3"/>
  <c r="C1041" i="3"/>
  <c r="B1041" i="3"/>
  <c r="A1041" i="3"/>
  <c r="I1040" i="3"/>
  <c r="H1040" i="3"/>
  <c r="F1040" i="3"/>
  <c r="E1040" i="3"/>
  <c r="D1040" i="3"/>
  <c r="C1040" i="3"/>
  <c r="B1040" i="3"/>
  <c r="A1040" i="3"/>
  <c r="I1039" i="3"/>
  <c r="H1039" i="3"/>
  <c r="F1039" i="3"/>
  <c r="D1039" i="3"/>
  <c r="C1039" i="3"/>
  <c r="B1039" i="3"/>
  <c r="A1039" i="3"/>
  <c r="I1038" i="3"/>
  <c r="H1038" i="3"/>
  <c r="F1038" i="3"/>
  <c r="E1038" i="3"/>
  <c r="D1038" i="3"/>
  <c r="C1038" i="3"/>
  <c r="B1038" i="3"/>
  <c r="A1038" i="3"/>
  <c r="I1037" i="3"/>
  <c r="H1037" i="3"/>
  <c r="F1037" i="3"/>
  <c r="E1037" i="3"/>
  <c r="D1037" i="3"/>
  <c r="C1037" i="3"/>
  <c r="B1037" i="3"/>
  <c r="A1037" i="3"/>
  <c r="I1036" i="3"/>
  <c r="H1036" i="3"/>
  <c r="F1036" i="3"/>
  <c r="D1036" i="3"/>
  <c r="C1036" i="3"/>
  <c r="B1036" i="3"/>
  <c r="A1036" i="3"/>
  <c r="I1035" i="3"/>
  <c r="H1035" i="3"/>
  <c r="F1035" i="3"/>
  <c r="D1035" i="3"/>
  <c r="C1035" i="3"/>
  <c r="B1035" i="3"/>
  <c r="A1035" i="3"/>
  <c r="I1034" i="3"/>
  <c r="H1034" i="3"/>
  <c r="D1034" i="3"/>
  <c r="C1034" i="3"/>
  <c r="B1034" i="3"/>
  <c r="A1034" i="3"/>
  <c r="I1033" i="3"/>
  <c r="H1033" i="3"/>
  <c r="F1033" i="3"/>
  <c r="D1033" i="3"/>
  <c r="C1033" i="3"/>
  <c r="B1033" i="3"/>
  <c r="A1033" i="3"/>
  <c r="I1032" i="3"/>
  <c r="H1032" i="3"/>
  <c r="D1032" i="3"/>
  <c r="C1032" i="3"/>
  <c r="B1032" i="3"/>
  <c r="A1032" i="3"/>
  <c r="I1031" i="3"/>
  <c r="H1031" i="3"/>
  <c r="F1031" i="3"/>
  <c r="E1031" i="3"/>
  <c r="D1031" i="3"/>
  <c r="C1031" i="3"/>
  <c r="B1031" i="3"/>
  <c r="A1031" i="3"/>
  <c r="I1030" i="3"/>
  <c r="H1030" i="3"/>
  <c r="F1030" i="3"/>
  <c r="E1030" i="3"/>
  <c r="D1030" i="3"/>
  <c r="C1030" i="3"/>
  <c r="B1030" i="3"/>
  <c r="A1030" i="3"/>
  <c r="I1029" i="3"/>
  <c r="H1029" i="3"/>
  <c r="F1029" i="3"/>
  <c r="D1029" i="3"/>
  <c r="C1029" i="3"/>
  <c r="B1029" i="3"/>
  <c r="A1029" i="3"/>
  <c r="I1028" i="3"/>
  <c r="H1028" i="3"/>
  <c r="E1028" i="3"/>
  <c r="D1028" i="3"/>
  <c r="C1028" i="3"/>
  <c r="B1028" i="3"/>
  <c r="A1028" i="3"/>
  <c r="I1027" i="3"/>
  <c r="H1027" i="3"/>
  <c r="F1027" i="3"/>
  <c r="E1027" i="3"/>
  <c r="D1027" i="3"/>
  <c r="C1027" i="3"/>
  <c r="B1027" i="3"/>
  <c r="A1027" i="3"/>
  <c r="I1026" i="3"/>
  <c r="H1026" i="3"/>
  <c r="E1026" i="3"/>
  <c r="D1026" i="3"/>
  <c r="C1026" i="3"/>
  <c r="B1026" i="3"/>
  <c r="A1026" i="3"/>
  <c r="I1025" i="3"/>
  <c r="H1025" i="3"/>
  <c r="F1025" i="3"/>
  <c r="D1025" i="3"/>
  <c r="C1025" i="3"/>
  <c r="B1025" i="3"/>
  <c r="A1025" i="3"/>
  <c r="I1024" i="3"/>
  <c r="H1024" i="3"/>
  <c r="D1024" i="3"/>
  <c r="C1024" i="3"/>
  <c r="B1024" i="3"/>
  <c r="A1024" i="3"/>
  <c r="I1023" i="3"/>
  <c r="H1023" i="3"/>
  <c r="F1023" i="3"/>
  <c r="E1023" i="3"/>
  <c r="D1023" i="3"/>
  <c r="C1023" i="3"/>
  <c r="B1023" i="3"/>
  <c r="A1023" i="3"/>
  <c r="I1022" i="3"/>
  <c r="H1022" i="3"/>
  <c r="D1022" i="3"/>
  <c r="C1022" i="3"/>
  <c r="B1022" i="3"/>
  <c r="A1022" i="3"/>
  <c r="I1021" i="3"/>
  <c r="H1021" i="3"/>
  <c r="F1021" i="3"/>
  <c r="E1021" i="3"/>
  <c r="D1021" i="3"/>
  <c r="C1021" i="3"/>
  <c r="B1021" i="3"/>
  <c r="A1021" i="3"/>
  <c r="I1020" i="3"/>
  <c r="H1020" i="3"/>
  <c r="D1020" i="3"/>
  <c r="C1020" i="3"/>
  <c r="B1020" i="3"/>
  <c r="A1020" i="3"/>
  <c r="I1019" i="3"/>
  <c r="H1019" i="3"/>
  <c r="D1019" i="3"/>
  <c r="C1019" i="3"/>
  <c r="B1019" i="3"/>
  <c r="A1019" i="3"/>
  <c r="I1018" i="3"/>
  <c r="H1018" i="3"/>
  <c r="E1018" i="3"/>
  <c r="D1018" i="3"/>
  <c r="C1018" i="3"/>
  <c r="B1018" i="3"/>
  <c r="A1018" i="3"/>
  <c r="I1017" i="3"/>
  <c r="H1017" i="3"/>
  <c r="F1017" i="3"/>
  <c r="E1017" i="3"/>
  <c r="D1017" i="3"/>
  <c r="C1017" i="3"/>
  <c r="B1017" i="3"/>
  <c r="A1017" i="3"/>
  <c r="I1016" i="3"/>
  <c r="H1016" i="3"/>
  <c r="F1016" i="3"/>
  <c r="E1016" i="3"/>
  <c r="D1016" i="3"/>
  <c r="C1016" i="3"/>
  <c r="B1016" i="3"/>
  <c r="A1016" i="3"/>
  <c r="I1015" i="3"/>
  <c r="H1015" i="3"/>
  <c r="F1015" i="3"/>
  <c r="D1015" i="3"/>
  <c r="C1015" i="3"/>
  <c r="B1015" i="3"/>
  <c r="A1015" i="3"/>
  <c r="I1014" i="3"/>
  <c r="H1014" i="3"/>
  <c r="F1014" i="3"/>
  <c r="E1014" i="3"/>
  <c r="D1014" i="3"/>
  <c r="C1014" i="3"/>
  <c r="B1014" i="3"/>
  <c r="A1014" i="3"/>
  <c r="I1013" i="3"/>
  <c r="H1013" i="3"/>
  <c r="D1013" i="3"/>
  <c r="C1013" i="3"/>
  <c r="B1013" i="3"/>
  <c r="A1013" i="3"/>
  <c r="I1012" i="3"/>
  <c r="H1012" i="3"/>
  <c r="F1012" i="3"/>
  <c r="D1012" i="3"/>
  <c r="C1012" i="3"/>
  <c r="B1012" i="3"/>
  <c r="A1012" i="3"/>
  <c r="I1011" i="3"/>
  <c r="H1011" i="3"/>
  <c r="F1011" i="3"/>
  <c r="E1011" i="3"/>
  <c r="D1011" i="3"/>
  <c r="C1011" i="3"/>
  <c r="B1011" i="3"/>
  <c r="A1011" i="3"/>
  <c r="I1010" i="3"/>
  <c r="H1010" i="3"/>
  <c r="F1010" i="3"/>
  <c r="E1010" i="3"/>
  <c r="D1010" i="3"/>
  <c r="C1010" i="3"/>
  <c r="B1010" i="3"/>
  <c r="A1010" i="3"/>
  <c r="I1009" i="3"/>
  <c r="H1009" i="3"/>
  <c r="D1009" i="3"/>
  <c r="C1009" i="3"/>
  <c r="B1009" i="3"/>
  <c r="A1009" i="3"/>
  <c r="I1008" i="3"/>
  <c r="H1008" i="3"/>
  <c r="F1008" i="3"/>
  <c r="E1008" i="3"/>
  <c r="D1008" i="3"/>
  <c r="C1008" i="3"/>
  <c r="B1008" i="3"/>
  <c r="A1008" i="3"/>
  <c r="I1007" i="3"/>
  <c r="H1007" i="3"/>
  <c r="F1007" i="3"/>
  <c r="E1007" i="3"/>
  <c r="D1007" i="3"/>
  <c r="C1007" i="3"/>
  <c r="B1007" i="3"/>
  <c r="A1007" i="3"/>
  <c r="I1006" i="3"/>
  <c r="H1006" i="3"/>
  <c r="F1006" i="3"/>
  <c r="E1006" i="3"/>
  <c r="D1006" i="3"/>
  <c r="C1006" i="3"/>
  <c r="B1006" i="3"/>
  <c r="A1006" i="3"/>
  <c r="I1005" i="3"/>
  <c r="H1005" i="3"/>
  <c r="F1005" i="3"/>
  <c r="E1005" i="3"/>
  <c r="D1005" i="3"/>
  <c r="C1005" i="3"/>
  <c r="B1005" i="3"/>
  <c r="A1005" i="3"/>
  <c r="I1004" i="3"/>
  <c r="H1004" i="3"/>
  <c r="F1004" i="3"/>
  <c r="E1004" i="3"/>
  <c r="D1004" i="3"/>
  <c r="C1004" i="3"/>
  <c r="B1004" i="3"/>
  <c r="A1004" i="3"/>
  <c r="I1003" i="3"/>
  <c r="H1003" i="3"/>
  <c r="F1003" i="3"/>
  <c r="E1003" i="3"/>
  <c r="D1003" i="3"/>
  <c r="C1003" i="3"/>
  <c r="B1003" i="3"/>
  <c r="A1003" i="3"/>
  <c r="I1002" i="3"/>
  <c r="H1002" i="3"/>
  <c r="F1002" i="3"/>
  <c r="E1002" i="3"/>
  <c r="D1002" i="3"/>
  <c r="C1002" i="3"/>
  <c r="B1002" i="3"/>
  <c r="A1002" i="3"/>
  <c r="I1001" i="3"/>
  <c r="H1001" i="3"/>
  <c r="F1001" i="3"/>
  <c r="E1001" i="3"/>
  <c r="D1001" i="3"/>
  <c r="C1001" i="3"/>
  <c r="B1001" i="3"/>
  <c r="A1001" i="3"/>
  <c r="I1000" i="3"/>
  <c r="H1000" i="3"/>
  <c r="F1000" i="3"/>
  <c r="E1000" i="3"/>
  <c r="D1000" i="3"/>
  <c r="C1000" i="3"/>
  <c r="B1000" i="3"/>
  <c r="A1000" i="3"/>
  <c r="I999" i="3"/>
  <c r="H999" i="3"/>
  <c r="F999" i="3"/>
  <c r="E999" i="3"/>
  <c r="D999" i="3"/>
  <c r="C999" i="3"/>
  <c r="B999" i="3"/>
  <c r="A999" i="3"/>
  <c r="I998" i="3"/>
  <c r="H998" i="3"/>
  <c r="F998" i="3"/>
  <c r="E998" i="3"/>
  <c r="D998" i="3"/>
  <c r="C998" i="3"/>
  <c r="B998" i="3"/>
  <c r="A998" i="3"/>
  <c r="I997" i="3"/>
  <c r="H997" i="3"/>
  <c r="D997" i="3"/>
  <c r="C997" i="3"/>
  <c r="B997" i="3"/>
  <c r="A997" i="3"/>
  <c r="I996" i="3"/>
  <c r="H996" i="3"/>
  <c r="D996" i="3"/>
  <c r="C996" i="3"/>
  <c r="B996" i="3"/>
  <c r="A996" i="3"/>
  <c r="I995" i="3"/>
  <c r="H995" i="3"/>
  <c r="E995" i="3"/>
  <c r="D995" i="3"/>
  <c r="C995" i="3"/>
  <c r="B995" i="3"/>
  <c r="A995" i="3"/>
  <c r="I994" i="3"/>
  <c r="H994" i="3"/>
  <c r="F994" i="3"/>
  <c r="D994" i="3"/>
  <c r="C994" i="3"/>
  <c r="B994" i="3"/>
  <c r="A994" i="3"/>
  <c r="I993" i="3"/>
  <c r="H993" i="3"/>
  <c r="F993" i="3"/>
  <c r="E993" i="3"/>
  <c r="D993" i="3"/>
  <c r="C993" i="3"/>
  <c r="B993" i="3"/>
  <c r="A993" i="3"/>
  <c r="I992" i="3"/>
  <c r="H992" i="3"/>
  <c r="F992" i="3"/>
  <c r="E992" i="3"/>
  <c r="D992" i="3"/>
  <c r="C992" i="3"/>
  <c r="B992" i="3"/>
  <c r="A992" i="3"/>
  <c r="I991" i="3"/>
  <c r="H991" i="3"/>
  <c r="F991" i="3"/>
  <c r="E991" i="3"/>
  <c r="D991" i="3"/>
  <c r="C991" i="3"/>
  <c r="B991" i="3"/>
  <c r="A991" i="3"/>
  <c r="I990" i="3"/>
  <c r="H990" i="3"/>
  <c r="F990" i="3"/>
  <c r="D990" i="3"/>
  <c r="C990" i="3"/>
  <c r="B990" i="3"/>
  <c r="A990" i="3"/>
  <c r="I989" i="3"/>
  <c r="H989" i="3"/>
  <c r="E989" i="3"/>
  <c r="D989" i="3"/>
  <c r="C989" i="3"/>
  <c r="B989" i="3"/>
  <c r="A989" i="3"/>
  <c r="I988" i="3"/>
  <c r="H988" i="3"/>
  <c r="F988" i="3"/>
  <c r="D988" i="3"/>
  <c r="C988" i="3"/>
  <c r="B988" i="3"/>
  <c r="A988" i="3"/>
  <c r="I987" i="3"/>
  <c r="H987" i="3"/>
  <c r="F987" i="3"/>
  <c r="D987" i="3"/>
  <c r="C987" i="3"/>
  <c r="B987" i="3"/>
  <c r="A987" i="3"/>
  <c r="I986" i="3"/>
  <c r="H986" i="3"/>
  <c r="F986" i="3"/>
  <c r="D986" i="3"/>
  <c r="C986" i="3"/>
  <c r="B986" i="3"/>
  <c r="A986" i="3"/>
  <c r="I985" i="3"/>
  <c r="H985" i="3"/>
  <c r="F985" i="3"/>
  <c r="E985" i="3"/>
  <c r="D985" i="3"/>
  <c r="C985" i="3"/>
  <c r="B985" i="3"/>
  <c r="A985" i="3"/>
  <c r="I984" i="3"/>
  <c r="H984" i="3"/>
  <c r="F984" i="3"/>
  <c r="D984" i="3"/>
  <c r="C984" i="3"/>
  <c r="B984" i="3"/>
  <c r="A984" i="3"/>
  <c r="I983" i="3"/>
  <c r="H983" i="3"/>
  <c r="E983" i="3"/>
  <c r="D983" i="3"/>
  <c r="C983" i="3"/>
  <c r="B983" i="3"/>
  <c r="A983" i="3"/>
  <c r="I982" i="3"/>
  <c r="H982" i="3"/>
  <c r="D982" i="3"/>
  <c r="C982" i="3"/>
  <c r="B982" i="3"/>
  <c r="A982" i="3"/>
  <c r="I981" i="3"/>
  <c r="H981" i="3"/>
  <c r="D981" i="3"/>
  <c r="C981" i="3"/>
  <c r="B981" i="3"/>
  <c r="A981" i="3"/>
  <c r="I980" i="3"/>
  <c r="H980" i="3"/>
  <c r="E980" i="3"/>
  <c r="D980" i="3"/>
  <c r="C980" i="3"/>
  <c r="B980" i="3"/>
  <c r="A980" i="3"/>
  <c r="I979" i="3"/>
  <c r="H979" i="3"/>
  <c r="E979" i="3"/>
  <c r="D979" i="3"/>
  <c r="C979" i="3"/>
  <c r="B979" i="3"/>
  <c r="A979" i="3"/>
  <c r="I978" i="3"/>
  <c r="H978" i="3"/>
  <c r="F978" i="3"/>
  <c r="E978" i="3"/>
  <c r="D978" i="3"/>
  <c r="C978" i="3"/>
  <c r="B978" i="3"/>
  <c r="A978" i="3"/>
  <c r="I977" i="3"/>
  <c r="H977" i="3"/>
  <c r="E977" i="3"/>
  <c r="D977" i="3"/>
  <c r="C977" i="3"/>
  <c r="B977" i="3"/>
  <c r="A977" i="3"/>
  <c r="I976" i="3"/>
  <c r="H976" i="3"/>
  <c r="F976" i="3"/>
  <c r="E976" i="3"/>
  <c r="D976" i="3"/>
  <c r="C976" i="3"/>
  <c r="B976" i="3"/>
  <c r="A976" i="3"/>
  <c r="I975" i="3"/>
  <c r="H975" i="3"/>
  <c r="F975" i="3"/>
  <c r="D975" i="3"/>
  <c r="C975" i="3"/>
  <c r="B975" i="3"/>
  <c r="A975" i="3"/>
  <c r="I974" i="3"/>
  <c r="H974" i="3"/>
  <c r="D974" i="3"/>
  <c r="C974" i="3"/>
  <c r="B974" i="3"/>
  <c r="A974" i="3"/>
  <c r="I973" i="3"/>
  <c r="H973" i="3"/>
  <c r="F973" i="3"/>
  <c r="D973" i="3"/>
  <c r="C973" i="3"/>
  <c r="B973" i="3"/>
  <c r="A973" i="3"/>
  <c r="I972" i="3"/>
  <c r="H972" i="3"/>
  <c r="E972" i="3"/>
  <c r="D972" i="3"/>
  <c r="C972" i="3"/>
  <c r="B972" i="3"/>
  <c r="A972" i="3"/>
  <c r="I971" i="3"/>
  <c r="H971" i="3"/>
  <c r="D971" i="3"/>
  <c r="C971" i="3"/>
  <c r="B971" i="3"/>
  <c r="A971" i="3"/>
  <c r="I970" i="3"/>
  <c r="H970" i="3"/>
  <c r="F970" i="3"/>
  <c r="D970" i="3"/>
  <c r="C970" i="3"/>
  <c r="B970" i="3"/>
  <c r="A970" i="3"/>
  <c r="I969" i="3"/>
  <c r="H969" i="3"/>
  <c r="E969" i="3"/>
  <c r="D969" i="3"/>
  <c r="C969" i="3"/>
  <c r="B969" i="3"/>
  <c r="A969" i="3"/>
  <c r="I968" i="3"/>
  <c r="H968" i="3"/>
  <c r="E968" i="3"/>
  <c r="D968" i="3"/>
  <c r="C968" i="3"/>
  <c r="B968" i="3"/>
  <c r="A968" i="3"/>
  <c r="I967" i="3"/>
  <c r="H967" i="3"/>
  <c r="F967" i="3"/>
  <c r="D967" i="3"/>
  <c r="C967" i="3"/>
  <c r="B967" i="3"/>
  <c r="A967" i="3"/>
  <c r="I966" i="3"/>
  <c r="H966" i="3"/>
  <c r="F966" i="3"/>
  <c r="E966" i="3"/>
  <c r="D966" i="3"/>
  <c r="C966" i="3"/>
  <c r="B966" i="3"/>
  <c r="A966" i="3"/>
  <c r="I965" i="3"/>
  <c r="H965" i="3"/>
  <c r="F965" i="3"/>
  <c r="E965" i="3"/>
  <c r="D965" i="3"/>
  <c r="C965" i="3"/>
  <c r="B965" i="3"/>
  <c r="A965" i="3"/>
  <c r="I964" i="3"/>
  <c r="H964" i="3"/>
  <c r="E964" i="3"/>
  <c r="D964" i="3"/>
  <c r="C964" i="3"/>
  <c r="B964" i="3"/>
  <c r="A964" i="3"/>
  <c r="I963" i="3"/>
  <c r="H963" i="3"/>
  <c r="D963" i="3"/>
  <c r="C963" i="3"/>
  <c r="B963" i="3"/>
  <c r="A963" i="3"/>
  <c r="I962" i="3"/>
  <c r="H962" i="3"/>
  <c r="F962" i="3"/>
  <c r="D962" i="3"/>
  <c r="C962" i="3"/>
  <c r="B962" i="3"/>
  <c r="A962" i="3"/>
  <c r="I961" i="3"/>
  <c r="H961" i="3"/>
  <c r="F961" i="3"/>
  <c r="E961" i="3"/>
  <c r="D961" i="3"/>
  <c r="C961" i="3"/>
  <c r="B961" i="3"/>
  <c r="A961" i="3"/>
  <c r="I960" i="3"/>
  <c r="H960" i="3"/>
  <c r="F960" i="3"/>
  <c r="E960" i="3"/>
  <c r="D960" i="3"/>
  <c r="C960" i="3"/>
  <c r="B960" i="3"/>
  <c r="A960" i="3"/>
  <c r="I959" i="3"/>
  <c r="H959" i="3"/>
  <c r="D959" i="3"/>
  <c r="C959" i="3"/>
  <c r="B959" i="3"/>
  <c r="A959" i="3"/>
  <c r="I958" i="3"/>
  <c r="H958" i="3"/>
  <c r="E958" i="3"/>
  <c r="D958" i="3"/>
  <c r="C958" i="3"/>
  <c r="B958" i="3"/>
  <c r="A958" i="3"/>
  <c r="I957" i="3"/>
  <c r="H957" i="3"/>
  <c r="E957" i="3"/>
  <c r="D957" i="3"/>
  <c r="C957" i="3"/>
  <c r="B957" i="3"/>
  <c r="A957" i="3"/>
  <c r="I956" i="3"/>
  <c r="H956" i="3"/>
  <c r="F956" i="3"/>
  <c r="E956" i="3"/>
  <c r="D956" i="3"/>
  <c r="C956" i="3"/>
  <c r="B956" i="3"/>
  <c r="A956" i="3"/>
  <c r="I955" i="3"/>
  <c r="H955" i="3"/>
  <c r="F955" i="3"/>
  <c r="D955" i="3"/>
  <c r="C955" i="3"/>
  <c r="B955" i="3"/>
  <c r="A955" i="3"/>
  <c r="I954" i="3"/>
  <c r="H954" i="3"/>
  <c r="D954" i="3"/>
  <c r="C954" i="3"/>
  <c r="B954" i="3"/>
  <c r="A954" i="3"/>
  <c r="I953" i="3"/>
  <c r="H953" i="3"/>
  <c r="F953" i="3"/>
  <c r="D953" i="3"/>
  <c r="C953" i="3"/>
  <c r="B953" i="3"/>
  <c r="A953" i="3"/>
  <c r="I952" i="3"/>
  <c r="H952" i="3"/>
  <c r="F952" i="3"/>
  <c r="E952" i="3"/>
  <c r="D952" i="3"/>
  <c r="C952" i="3"/>
  <c r="B952" i="3"/>
  <c r="A952" i="3"/>
  <c r="I951" i="3"/>
  <c r="H951" i="3"/>
  <c r="E951" i="3"/>
  <c r="D951" i="3"/>
  <c r="C951" i="3"/>
  <c r="B951" i="3"/>
  <c r="A951" i="3"/>
  <c r="I950" i="3"/>
  <c r="H950" i="3"/>
  <c r="F950" i="3"/>
  <c r="D950" i="3"/>
  <c r="C950" i="3"/>
  <c r="B950" i="3"/>
  <c r="A950" i="3"/>
  <c r="I949" i="3"/>
  <c r="H949" i="3"/>
  <c r="D949" i="3"/>
  <c r="C949" i="3"/>
  <c r="B949" i="3"/>
  <c r="A949" i="3"/>
  <c r="I948" i="3"/>
  <c r="H948" i="3"/>
  <c r="F948" i="3"/>
  <c r="E948" i="3"/>
  <c r="D948" i="3"/>
  <c r="C948" i="3"/>
  <c r="B948" i="3"/>
  <c r="A948" i="3"/>
  <c r="I947" i="3"/>
  <c r="H947" i="3"/>
  <c r="F947" i="3"/>
  <c r="D947" i="3"/>
  <c r="C947" i="3"/>
  <c r="B947" i="3"/>
  <c r="A947" i="3"/>
  <c r="I946" i="3"/>
  <c r="H946" i="3"/>
  <c r="F946" i="3"/>
  <c r="D946" i="3"/>
  <c r="C946" i="3"/>
  <c r="B946" i="3"/>
  <c r="A946" i="3"/>
  <c r="I945" i="3"/>
  <c r="H945" i="3"/>
  <c r="F945" i="3"/>
  <c r="E945" i="3"/>
  <c r="D945" i="3"/>
  <c r="C945" i="3"/>
  <c r="B945" i="3"/>
  <c r="A945" i="3"/>
  <c r="I944" i="3"/>
  <c r="H944" i="3"/>
  <c r="F944" i="3"/>
  <c r="E944" i="3"/>
  <c r="D944" i="3"/>
  <c r="C944" i="3"/>
  <c r="B944" i="3"/>
  <c r="A944" i="3"/>
  <c r="I943" i="3"/>
  <c r="H943" i="3"/>
  <c r="F943" i="3"/>
  <c r="E943" i="3"/>
  <c r="D943" i="3"/>
  <c r="C943" i="3"/>
  <c r="B943" i="3"/>
  <c r="A943" i="3"/>
  <c r="I942" i="3"/>
  <c r="H942" i="3"/>
  <c r="F942" i="3"/>
  <c r="D942" i="3"/>
  <c r="C942" i="3"/>
  <c r="B942" i="3"/>
  <c r="A942" i="3"/>
  <c r="I941" i="3"/>
  <c r="H941" i="3"/>
  <c r="F941" i="3"/>
  <c r="D941" i="3"/>
  <c r="C941" i="3"/>
  <c r="B941" i="3"/>
  <c r="A941" i="3"/>
  <c r="I940" i="3"/>
  <c r="H940" i="3"/>
  <c r="E940" i="3"/>
  <c r="D940" i="3"/>
  <c r="C940" i="3"/>
  <c r="B940" i="3"/>
  <c r="A940" i="3"/>
  <c r="I939" i="3"/>
  <c r="H939" i="3"/>
  <c r="F939" i="3"/>
  <c r="D939" i="3"/>
  <c r="C939" i="3"/>
  <c r="B939" i="3"/>
  <c r="A939" i="3"/>
  <c r="I938" i="3"/>
  <c r="H938" i="3"/>
  <c r="F938" i="3"/>
  <c r="D938" i="3"/>
  <c r="C938" i="3"/>
  <c r="B938" i="3"/>
  <c r="A938" i="3"/>
  <c r="I937" i="3"/>
  <c r="H937" i="3"/>
  <c r="E937" i="3"/>
  <c r="D937" i="3"/>
  <c r="C937" i="3"/>
  <c r="B937" i="3"/>
  <c r="A937" i="3"/>
  <c r="I936" i="3"/>
  <c r="H936" i="3"/>
  <c r="F936" i="3"/>
  <c r="D936" i="3"/>
  <c r="C936" i="3"/>
  <c r="B936" i="3"/>
  <c r="A936" i="3"/>
  <c r="I935" i="3"/>
  <c r="H935" i="3"/>
  <c r="F935" i="3"/>
  <c r="E935" i="3"/>
  <c r="D935" i="3"/>
  <c r="C935" i="3"/>
  <c r="B935" i="3"/>
  <c r="A935" i="3"/>
  <c r="I934" i="3"/>
  <c r="H934" i="3"/>
  <c r="F934" i="3"/>
  <c r="E934" i="3"/>
  <c r="D934" i="3"/>
  <c r="C934" i="3"/>
  <c r="B934" i="3"/>
  <c r="A934" i="3"/>
  <c r="I933" i="3"/>
  <c r="H933" i="3"/>
  <c r="F933" i="3"/>
  <c r="E933" i="3"/>
  <c r="D933" i="3"/>
  <c r="C933" i="3"/>
  <c r="B933" i="3"/>
  <c r="A933" i="3"/>
  <c r="I932" i="3"/>
  <c r="H932" i="3"/>
  <c r="F932" i="3"/>
  <c r="E932" i="3"/>
  <c r="D932" i="3"/>
  <c r="C932" i="3"/>
  <c r="B932" i="3"/>
  <c r="A932" i="3"/>
  <c r="I931" i="3"/>
  <c r="H931" i="3"/>
  <c r="F931" i="3"/>
  <c r="D931" i="3"/>
  <c r="C931" i="3"/>
  <c r="B931" i="3"/>
  <c r="A931" i="3"/>
  <c r="I930" i="3"/>
  <c r="H930" i="3"/>
  <c r="F930" i="3"/>
  <c r="D930" i="3"/>
  <c r="C930" i="3"/>
  <c r="B930" i="3"/>
  <c r="A930" i="3"/>
  <c r="I929" i="3"/>
  <c r="H929" i="3"/>
  <c r="F929" i="3"/>
  <c r="D929" i="3"/>
  <c r="C929" i="3"/>
  <c r="B929" i="3"/>
  <c r="A929" i="3"/>
  <c r="I928" i="3"/>
  <c r="H928" i="3"/>
  <c r="F928" i="3"/>
  <c r="E928" i="3"/>
  <c r="D928" i="3"/>
  <c r="C928" i="3"/>
  <c r="B928" i="3"/>
  <c r="A928" i="3"/>
  <c r="I927" i="3"/>
  <c r="H927" i="3"/>
  <c r="F927" i="3"/>
  <c r="E927" i="3"/>
  <c r="D927" i="3"/>
  <c r="C927" i="3"/>
  <c r="B927" i="3"/>
  <c r="A927" i="3"/>
  <c r="I926" i="3"/>
  <c r="H926" i="3"/>
  <c r="F926" i="3"/>
  <c r="D926" i="3"/>
  <c r="C926" i="3"/>
  <c r="B926" i="3"/>
  <c r="A926" i="3"/>
  <c r="I925" i="3"/>
  <c r="H925" i="3"/>
  <c r="F925" i="3"/>
  <c r="D925" i="3"/>
  <c r="C925" i="3"/>
  <c r="B925" i="3"/>
  <c r="A925" i="3"/>
  <c r="I924" i="3"/>
  <c r="H924" i="3"/>
  <c r="F924" i="3"/>
  <c r="D924" i="3"/>
  <c r="C924" i="3"/>
  <c r="B924" i="3"/>
  <c r="A924" i="3"/>
  <c r="I923" i="3"/>
  <c r="H923" i="3"/>
  <c r="E923" i="3"/>
  <c r="D923" i="3"/>
  <c r="C923" i="3"/>
  <c r="B923" i="3"/>
  <c r="A923" i="3"/>
  <c r="I922" i="3"/>
  <c r="H922" i="3"/>
  <c r="F922" i="3"/>
  <c r="D922" i="3"/>
  <c r="C922" i="3"/>
  <c r="B922" i="3"/>
  <c r="A922" i="3"/>
  <c r="I921" i="3"/>
  <c r="H921" i="3"/>
  <c r="F921" i="3"/>
  <c r="D921" i="3"/>
  <c r="C921" i="3"/>
  <c r="B921" i="3"/>
  <c r="A921" i="3"/>
  <c r="I920" i="3"/>
  <c r="H920" i="3"/>
  <c r="E920" i="3"/>
  <c r="D920" i="3"/>
  <c r="C920" i="3"/>
  <c r="B920" i="3"/>
  <c r="A920" i="3"/>
  <c r="I919" i="3"/>
  <c r="H919" i="3"/>
  <c r="F919" i="3"/>
  <c r="D919" i="3"/>
  <c r="C919" i="3"/>
  <c r="B919" i="3"/>
  <c r="A919" i="3"/>
  <c r="I918" i="3"/>
  <c r="H918" i="3"/>
  <c r="F918" i="3"/>
  <c r="D918" i="3"/>
  <c r="C918" i="3"/>
  <c r="B918" i="3"/>
  <c r="A918" i="3"/>
  <c r="I917" i="3"/>
  <c r="H917" i="3"/>
  <c r="E917" i="3"/>
  <c r="D917" i="3"/>
  <c r="C917" i="3"/>
  <c r="B917" i="3"/>
  <c r="A917" i="3"/>
  <c r="I916" i="3"/>
  <c r="H916" i="3"/>
  <c r="F916" i="3"/>
  <c r="D916" i="3"/>
  <c r="C916" i="3"/>
  <c r="B916" i="3"/>
  <c r="A916" i="3"/>
  <c r="I915" i="3"/>
  <c r="H915" i="3"/>
  <c r="F915" i="3"/>
  <c r="D915" i="3"/>
  <c r="C915" i="3"/>
  <c r="B915" i="3"/>
  <c r="A915" i="3"/>
  <c r="I914" i="3"/>
  <c r="H914" i="3"/>
  <c r="E914" i="3"/>
  <c r="D914" i="3"/>
  <c r="C914" i="3"/>
  <c r="B914" i="3"/>
  <c r="A914" i="3"/>
  <c r="I913" i="3"/>
  <c r="H913" i="3"/>
  <c r="F913" i="3"/>
  <c r="D913" i="3"/>
  <c r="C913" i="3"/>
  <c r="B913" i="3"/>
  <c r="A913" i="3"/>
  <c r="I912" i="3"/>
  <c r="H912" i="3"/>
  <c r="F912" i="3"/>
  <c r="E912" i="3"/>
  <c r="D912" i="3"/>
  <c r="C912" i="3"/>
  <c r="B912" i="3"/>
  <c r="A912" i="3"/>
  <c r="I911" i="3"/>
  <c r="H911" i="3"/>
  <c r="F911" i="3"/>
  <c r="D911" i="3"/>
  <c r="C911" i="3"/>
  <c r="B911" i="3"/>
  <c r="A911" i="3"/>
  <c r="I910" i="3"/>
  <c r="H910" i="3"/>
  <c r="F910" i="3"/>
  <c r="E910" i="3"/>
  <c r="D910" i="3"/>
  <c r="C910" i="3"/>
  <c r="B910" i="3"/>
  <c r="A910" i="3"/>
  <c r="I909" i="3"/>
  <c r="H909" i="3"/>
  <c r="F909" i="3"/>
  <c r="E909" i="3"/>
  <c r="D909" i="3"/>
  <c r="C909" i="3"/>
  <c r="B909" i="3"/>
  <c r="A909" i="3"/>
  <c r="I908" i="3"/>
  <c r="H908" i="3"/>
  <c r="F908" i="3"/>
  <c r="E908" i="3"/>
  <c r="D908" i="3"/>
  <c r="C908" i="3"/>
  <c r="B908" i="3"/>
  <c r="A908" i="3"/>
  <c r="I907" i="3"/>
  <c r="H907" i="3"/>
  <c r="E907" i="3"/>
  <c r="D907" i="3"/>
  <c r="C907" i="3"/>
  <c r="B907" i="3"/>
  <c r="A907" i="3"/>
  <c r="I906" i="3"/>
  <c r="H906" i="3"/>
  <c r="F906" i="3"/>
  <c r="D906" i="3"/>
  <c r="C906" i="3"/>
  <c r="B906" i="3"/>
  <c r="A906" i="3"/>
  <c r="I905" i="3"/>
  <c r="H905" i="3"/>
  <c r="F905" i="3"/>
  <c r="E905" i="3"/>
  <c r="D905" i="3"/>
  <c r="C905" i="3"/>
  <c r="B905" i="3"/>
  <c r="A905" i="3"/>
  <c r="I904" i="3"/>
  <c r="H904" i="3"/>
  <c r="F904" i="3"/>
  <c r="D904" i="3"/>
  <c r="C904" i="3"/>
  <c r="B904" i="3"/>
  <c r="A904" i="3"/>
  <c r="I903" i="3"/>
  <c r="H903" i="3"/>
  <c r="E903" i="3"/>
  <c r="D903" i="3"/>
  <c r="C903" i="3"/>
  <c r="B903" i="3"/>
  <c r="A903" i="3"/>
  <c r="I902" i="3"/>
  <c r="H902" i="3"/>
  <c r="F902" i="3"/>
  <c r="D902" i="3"/>
  <c r="C902" i="3"/>
  <c r="B902" i="3"/>
  <c r="A902" i="3"/>
  <c r="I901" i="3"/>
  <c r="H901" i="3"/>
  <c r="F901" i="3"/>
  <c r="D901" i="3"/>
  <c r="C901" i="3"/>
  <c r="B901" i="3"/>
  <c r="A901" i="3"/>
  <c r="I900" i="3"/>
  <c r="H900" i="3"/>
  <c r="F900" i="3"/>
  <c r="D900" i="3"/>
  <c r="C900" i="3"/>
  <c r="B900" i="3"/>
  <c r="A900" i="3"/>
  <c r="I899" i="3"/>
  <c r="H899" i="3"/>
  <c r="F899" i="3"/>
  <c r="D899" i="3"/>
  <c r="C899" i="3"/>
  <c r="B899" i="3"/>
  <c r="A899" i="3"/>
  <c r="I898" i="3"/>
  <c r="H898" i="3"/>
  <c r="F898" i="3"/>
  <c r="D898" i="3"/>
  <c r="C898" i="3"/>
  <c r="B898" i="3"/>
  <c r="A898" i="3"/>
  <c r="I897" i="3"/>
  <c r="H897" i="3"/>
  <c r="F897" i="3"/>
  <c r="D897" i="3"/>
  <c r="C897" i="3"/>
  <c r="B897" i="3"/>
  <c r="A897" i="3"/>
  <c r="I896" i="3"/>
  <c r="H896" i="3"/>
  <c r="F896" i="3"/>
  <c r="D896" i="3"/>
  <c r="C896" i="3"/>
  <c r="B896" i="3"/>
  <c r="A896" i="3"/>
  <c r="I895" i="3"/>
  <c r="H895" i="3"/>
  <c r="F895" i="3"/>
  <c r="D895" i="3"/>
  <c r="C895" i="3"/>
  <c r="B895" i="3"/>
  <c r="A895" i="3"/>
  <c r="I894" i="3"/>
  <c r="H894" i="3"/>
  <c r="E894" i="3"/>
  <c r="D894" i="3"/>
  <c r="C894" i="3"/>
  <c r="B894" i="3"/>
  <c r="A894" i="3"/>
  <c r="I893" i="3"/>
  <c r="H893" i="3"/>
  <c r="F893" i="3"/>
  <c r="D893" i="3"/>
  <c r="C893" i="3"/>
  <c r="B893" i="3"/>
  <c r="A893" i="3"/>
  <c r="I892" i="3"/>
  <c r="H892" i="3"/>
  <c r="F892" i="3"/>
  <c r="E892" i="3"/>
  <c r="D892" i="3"/>
  <c r="C892" i="3"/>
  <c r="B892" i="3"/>
  <c r="A892" i="3"/>
  <c r="I891" i="3"/>
  <c r="H891" i="3"/>
  <c r="D891" i="3"/>
  <c r="C891" i="3"/>
  <c r="B891" i="3"/>
  <c r="A891" i="3"/>
  <c r="I890" i="3"/>
  <c r="H890" i="3"/>
  <c r="D890" i="3"/>
  <c r="C890" i="3"/>
  <c r="B890" i="3"/>
  <c r="A890" i="3"/>
  <c r="I889" i="3"/>
  <c r="H889" i="3"/>
  <c r="E889" i="3"/>
  <c r="D889" i="3"/>
  <c r="C889" i="3"/>
  <c r="B889" i="3"/>
  <c r="A889" i="3"/>
  <c r="I888" i="3"/>
  <c r="H888" i="3"/>
  <c r="D888" i="3"/>
  <c r="C888" i="3"/>
  <c r="B888" i="3"/>
  <c r="A888" i="3"/>
  <c r="I887" i="3"/>
  <c r="H887" i="3"/>
  <c r="F887" i="3"/>
  <c r="E887" i="3"/>
  <c r="D887" i="3"/>
  <c r="C887" i="3"/>
  <c r="B887" i="3"/>
  <c r="A887" i="3"/>
  <c r="I886" i="3"/>
  <c r="H886" i="3"/>
  <c r="F886" i="3"/>
  <c r="E886" i="3"/>
  <c r="D886" i="3"/>
  <c r="C886" i="3"/>
  <c r="B886" i="3"/>
  <c r="A886" i="3"/>
  <c r="I885" i="3"/>
  <c r="H885" i="3"/>
  <c r="F885" i="3"/>
  <c r="E885" i="3"/>
  <c r="D885" i="3"/>
  <c r="C885" i="3"/>
  <c r="B885" i="3"/>
  <c r="A885" i="3"/>
  <c r="I884" i="3"/>
  <c r="H884" i="3"/>
  <c r="F884" i="3"/>
  <c r="E884" i="3"/>
  <c r="D884" i="3"/>
  <c r="C884" i="3"/>
  <c r="B884" i="3"/>
  <c r="A884" i="3"/>
  <c r="I883" i="3"/>
  <c r="H883" i="3"/>
  <c r="E883" i="3"/>
  <c r="D883" i="3"/>
  <c r="C883" i="3"/>
  <c r="B883" i="3"/>
  <c r="A883" i="3"/>
  <c r="I882" i="3"/>
  <c r="H882" i="3"/>
  <c r="F882" i="3"/>
  <c r="E882" i="3"/>
  <c r="D882" i="3"/>
  <c r="C882" i="3"/>
  <c r="B882" i="3"/>
  <c r="A882" i="3"/>
  <c r="I881" i="3"/>
  <c r="H881" i="3"/>
  <c r="E881" i="3"/>
  <c r="D881" i="3"/>
  <c r="C881" i="3"/>
  <c r="B881" i="3"/>
  <c r="A881" i="3"/>
  <c r="I880" i="3"/>
  <c r="H880" i="3"/>
  <c r="F880" i="3"/>
  <c r="D880" i="3"/>
  <c r="C880" i="3"/>
  <c r="B880" i="3"/>
  <c r="A880" i="3"/>
  <c r="I879" i="3"/>
  <c r="H879" i="3"/>
  <c r="D879" i="3"/>
  <c r="C879" i="3"/>
  <c r="B879" i="3"/>
  <c r="A879" i="3"/>
  <c r="I878" i="3"/>
  <c r="H878" i="3"/>
  <c r="D878" i="3"/>
  <c r="C878" i="3"/>
  <c r="B878" i="3"/>
  <c r="A878" i="3"/>
  <c r="I877" i="3"/>
  <c r="H877" i="3"/>
  <c r="D877" i="3"/>
  <c r="C877" i="3"/>
  <c r="B877" i="3"/>
  <c r="A877" i="3"/>
  <c r="I876" i="3"/>
  <c r="H876" i="3"/>
  <c r="F876" i="3"/>
  <c r="E876" i="3"/>
  <c r="D876" i="3"/>
  <c r="C876" i="3"/>
  <c r="B876" i="3"/>
  <c r="A876" i="3"/>
  <c r="I875" i="3"/>
  <c r="H875" i="3"/>
  <c r="F875" i="3"/>
  <c r="E875" i="3"/>
  <c r="D875" i="3"/>
  <c r="C875" i="3"/>
  <c r="B875" i="3"/>
  <c r="A875" i="3"/>
  <c r="I874" i="3"/>
  <c r="H874" i="3"/>
  <c r="F874" i="3"/>
  <c r="E874" i="3"/>
  <c r="D874" i="3"/>
  <c r="C874" i="3"/>
  <c r="B874" i="3"/>
  <c r="A874" i="3"/>
  <c r="I873" i="3"/>
  <c r="H873" i="3"/>
  <c r="F873" i="3"/>
  <c r="E873" i="3"/>
  <c r="D873" i="3"/>
  <c r="C873" i="3"/>
  <c r="B873" i="3"/>
  <c r="A873" i="3"/>
  <c r="I872" i="3"/>
  <c r="H872" i="3"/>
  <c r="F872" i="3"/>
  <c r="E872" i="3"/>
  <c r="D872" i="3"/>
  <c r="C872" i="3"/>
  <c r="B872" i="3"/>
  <c r="A872" i="3"/>
  <c r="I871" i="3"/>
  <c r="H871" i="3"/>
  <c r="F871" i="3"/>
  <c r="E871" i="3"/>
  <c r="D871" i="3"/>
  <c r="C871" i="3"/>
  <c r="B871" i="3"/>
  <c r="A871" i="3"/>
  <c r="I870" i="3"/>
  <c r="H870" i="3"/>
  <c r="F870" i="3"/>
  <c r="D870" i="3"/>
  <c r="C870" i="3"/>
  <c r="B870" i="3"/>
  <c r="A870" i="3"/>
  <c r="I869" i="3"/>
  <c r="H869" i="3"/>
  <c r="E869" i="3"/>
  <c r="D869" i="3"/>
  <c r="C869" i="3"/>
  <c r="B869" i="3"/>
  <c r="A869" i="3"/>
  <c r="I868" i="3"/>
  <c r="H868" i="3"/>
  <c r="F868" i="3"/>
  <c r="E868" i="3"/>
  <c r="D868" i="3"/>
  <c r="C868" i="3"/>
  <c r="B868" i="3"/>
  <c r="A868" i="3"/>
  <c r="I867" i="3"/>
  <c r="H867" i="3"/>
  <c r="F867" i="3"/>
  <c r="D867" i="3"/>
  <c r="C867" i="3"/>
  <c r="B867" i="3"/>
  <c r="A867" i="3"/>
  <c r="I866" i="3"/>
  <c r="H866" i="3"/>
  <c r="F866" i="3"/>
  <c r="E866" i="3"/>
  <c r="D866" i="3"/>
  <c r="C866" i="3"/>
  <c r="B866" i="3"/>
  <c r="A866" i="3"/>
  <c r="I865" i="3"/>
  <c r="H865" i="3"/>
  <c r="D865" i="3"/>
  <c r="C865" i="3"/>
  <c r="B865" i="3"/>
  <c r="A865" i="3"/>
  <c r="I864" i="3"/>
  <c r="H864" i="3"/>
  <c r="F864" i="3"/>
  <c r="E864" i="3"/>
  <c r="D864" i="3"/>
  <c r="C864" i="3"/>
  <c r="B864" i="3"/>
  <c r="A864" i="3"/>
  <c r="I863" i="3"/>
  <c r="H863" i="3"/>
  <c r="F863" i="3"/>
  <c r="E863" i="3"/>
  <c r="D863" i="3"/>
  <c r="C863" i="3"/>
  <c r="B863" i="3"/>
  <c r="A863" i="3"/>
  <c r="I862" i="3"/>
  <c r="H862" i="3"/>
  <c r="F862" i="3"/>
  <c r="E862" i="3"/>
  <c r="D862" i="3"/>
  <c r="C862" i="3"/>
  <c r="B862" i="3"/>
  <c r="A862" i="3"/>
  <c r="I861" i="3"/>
  <c r="H861" i="3"/>
  <c r="F861" i="3"/>
  <c r="E861" i="3"/>
  <c r="D861" i="3"/>
  <c r="C861" i="3"/>
  <c r="B861" i="3"/>
  <c r="A861" i="3"/>
  <c r="I860" i="3"/>
  <c r="H860" i="3"/>
  <c r="F860" i="3"/>
  <c r="E860" i="3"/>
  <c r="D860" i="3"/>
  <c r="C860" i="3"/>
  <c r="B860" i="3"/>
  <c r="A860" i="3"/>
  <c r="I859" i="3"/>
  <c r="H859" i="3"/>
  <c r="E859" i="3"/>
  <c r="D859" i="3"/>
  <c r="C859" i="3"/>
  <c r="B859" i="3"/>
  <c r="A859" i="3"/>
  <c r="I858" i="3"/>
  <c r="H858" i="3"/>
  <c r="F858" i="3"/>
  <c r="D858" i="3"/>
  <c r="C858" i="3"/>
  <c r="B858" i="3"/>
  <c r="A858" i="3"/>
  <c r="I857" i="3"/>
  <c r="H857" i="3"/>
  <c r="E857" i="3"/>
  <c r="D857" i="3"/>
  <c r="C857" i="3"/>
  <c r="B857" i="3"/>
  <c r="A857" i="3"/>
  <c r="I856" i="3"/>
  <c r="H856" i="3"/>
  <c r="F856" i="3"/>
  <c r="D856" i="3"/>
  <c r="C856" i="3"/>
  <c r="B856" i="3"/>
  <c r="A856" i="3"/>
  <c r="I855" i="3"/>
  <c r="H855" i="3"/>
  <c r="E855" i="3"/>
  <c r="D855" i="3"/>
  <c r="C855" i="3"/>
  <c r="B855" i="3"/>
  <c r="A855" i="3"/>
  <c r="I854" i="3"/>
  <c r="H854" i="3"/>
  <c r="E854" i="3"/>
  <c r="D854" i="3"/>
  <c r="C854" i="3"/>
  <c r="B854" i="3"/>
  <c r="A854" i="3"/>
  <c r="I853" i="3"/>
  <c r="H853" i="3"/>
  <c r="E853" i="3"/>
  <c r="D853" i="3"/>
  <c r="C853" i="3"/>
  <c r="B853" i="3"/>
  <c r="A853" i="3"/>
  <c r="I852" i="3"/>
  <c r="H852" i="3"/>
  <c r="F852" i="3"/>
  <c r="D852" i="3"/>
  <c r="C852" i="3"/>
  <c r="B852" i="3"/>
  <c r="A852" i="3"/>
  <c r="I851" i="3"/>
  <c r="H851" i="3"/>
  <c r="F851" i="3"/>
  <c r="E851" i="3"/>
  <c r="D851" i="3"/>
  <c r="C851" i="3"/>
  <c r="B851" i="3"/>
  <c r="A851" i="3"/>
  <c r="I850" i="3"/>
  <c r="H850" i="3"/>
  <c r="F850" i="3"/>
  <c r="E850" i="3"/>
  <c r="D850" i="3"/>
  <c r="C850" i="3"/>
  <c r="B850" i="3"/>
  <c r="A850" i="3"/>
  <c r="I849" i="3"/>
  <c r="H849" i="3"/>
  <c r="F849" i="3"/>
  <c r="D849" i="3"/>
  <c r="C849" i="3"/>
  <c r="B849" i="3"/>
  <c r="A849" i="3"/>
  <c r="I848" i="3"/>
  <c r="H848" i="3"/>
  <c r="F848" i="3"/>
  <c r="E848" i="3"/>
  <c r="D848" i="3"/>
  <c r="C848" i="3"/>
  <c r="B848" i="3"/>
  <c r="A848" i="3"/>
  <c r="I847" i="3"/>
  <c r="H847" i="3"/>
  <c r="F847" i="3"/>
  <c r="E847" i="3"/>
  <c r="D847" i="3"/>
  <c r="C847" i="3"/>
  <c r="B847" i="3"/>
  <c r="A847" i="3"/>
  <c r="I846" i="3"/>
  <c r="H846" i="3"/>
  <c r="F846" i="3"/>
  <c r="E846" i="3"/>
  <c r="D846" i="3"/>
  <c r="C846" i="3"/>
  <c r="B846" i="3"/>
  <c r="A846" i="3"/>
  <c r="I845" i="3"/>
  <c r="H845" i="3"/>
  <c r="F845" i="3"/>
  <c r="E845" i="3"/>
  <c r="D845" i="3"/>
  <c r="C845" i="3"/>
  <c r="B845" i="3"/>
  <c r="A845" i="3"/>
  <c r="I844" i="3"/>
  <c r="H844" i="3"/>
  <c r="F844" i="3"/>
  <c r="E844" i="3"/>
  <c r="D844" i="3"/>
  <c r="C844" i="3"/>
  <c r="B844" i="3"/>
  <c r="A844" i="3"/>
  <c r="I843" i="3"/>
  <c r="H843" i="3"/>
  <c r="F843" i="3"/>
  <c r="E843" i="3"/>
  <c r="D843" i="3"/>
  <c r="C843" i="3"/>
  <c r="B843" i="3"/>
  <c r="A843" i="3"/>
  <c r="I842" i="3"/>
  <c r="H842" i="3"/>
  <c r="F842" i="3"/>
  <c r="E842" i="3"/>
  <c r="D842" i="3"/>
  <c r="C842" i="3"/>
  <c r="B842" i="3"/>
  <c r="A842" i="3"/>
  <c r="I841" i="3"/>
  <c r="H841" i="3"/>
  <c r="E841" i="3"/>
  <c r="D841" i="3"/>
  <c r="C841" i="3"/>
  <c r="B841" i="3"/>
  <c r="A841" i="3"/>
  <c r="I840" i="3"/>
  <c r="H840" i="3"/>
  <c r="E840" i="3"/>
  <c r="D840" i="3"/>
  <c r="C840" i="3"/>
  <c r="B840" i="3"/>
  <c r="A840" i="3"/>
  <c r="I839" i="3"/>
  <c r="H839" i="3"/>
  <c r="D839" i="3"/>
  <c r="C839" i="3"/>
  <c r="B839" i="3"/>
  <c r="A839" i="3"/>
  <c r="I838" i="3"/>
  <c r="H838" i="3"/>
  <c r="F838" i="3"/>
  <c r="E838" i="3"/>
  <c r="D838" i="3"/>
  <c r="C838" i="3"/>
  <c r="B838" i="3"/>
  <c r="A838" i="3"/>
  <c r="I837" i="3"/>
  <c r="H837" i="3"/>
  <c r="E837" i="3"/>
  <c r="D837" i="3"/>
  <c r="C837" i="3"/>
  <c r="B837" i="3"/>
  <c r="A837" i="3"/>
  <c r="I836" i="3"/>
  <c r="H836" i="3"/>
  <c r="D836" i="3"/>
  <c r="C836" i="3"/>
  <c r="B836" i="3"/>
  <c r="A836" i="3"/>
  <c r="I835" i="3"/>
  <c r="H835" i="3"/>
  <c r="D835" i="3"/>
  <c r="C835" i="3"/>
  <c r="B835" i="3"/>
  <c r="A835" i="3"/>
  <c r="I834" i="3"/>
  <c r="H834" i="3"/>
  <c r="F834" i="3"/>
  <c r="E834" i="3"/>
  <c r="D834" i="3"/>
  <c r="C834" i="3"/>
  <c r="B834" i="3"/>
  <c r="A834" i="3"/>
  <c r="I833" i="3"/>
  <c r="H833" i="3"/>
  <c r="F833" i="3"/>
  <c r="E833" i="3"/>
  <c r="D833" i="3"/>
  <c r="C833" i="3"/>
  <c r="B833" i="3"/>
  <c r="A833" i="3"/>
  <c r="I832" i="3"/>
  <c r="H832" i="3"/>
  <c r="E832" i="3"/>
  <c r="D832" i="3"/>
  <c r="C832" i="3"/>
  <c r="B832" i="3"/>
  <c r="A832" i="3"/>
  <c r="I831" i="3"/>
  <c r="H831" i="3"/>
  <c r="F831" i="3"/>
  <c r="E831" i="3"/>
  <c r="D831" i="3"/>
  <c r="C831" i="3"/>
  <c r="B831" i="3"/>
  <c r="A831" i="3"/>
  <c r="I830" i="3"/>
  <c r="H830" i="3"/>
  <c r="F830" i="3"/>
  <c r="E830" i="3"/>
  <c r="D830" i="3"/>
  <c r="C830" i="3"/>
  <c r="B830" i="3"/>
  <c r="A830" i="3"/>
  <c r="I829" i="3"/>
  <c r="H829" i="3"/>
  <c r="F829" i="3"/>
  <c r="E829" i="3"/>
  <c r="D829" i="3"/>
  <c r="C829" i="3"/>
  <c r="B829" i="3"/>
  <c r="A829" i="3"/>
  <c r="I828" i="3"/>
  <c r="H828" i="3"/>
  <c r="F828" i="3"/>
  <c r="E828" i="3"/>
  <c r="D828" i="3"/>
  <c r="C828" i="3"/>
  <c r="B828" i="3"/>
  <c r="A828" i="3"/>
  <c r="I827" i="3"/>
  <c r="H827" i="3"/>
  <c r="F827" i="3"/>
  <c r="E827" i="3"/>
  <c r="D827" i="3"/>
  <c r="C827" i="3"/>
  <c r="B827" i="3"/>
  <c r="A827" i="3"/>
  <c r="I826" i="3"/>
  <c r="H826" i="3"/>
  <c r="D826" i="3"/>
  <c r="C826" i="3"/>
  <c r="B826" i="3"/>
  <c r="A826" i="3"/>
  <c r="I825" i="3"/>
  <c r="H825" i="3"/>
  <c r="F825" i="3"/>
  <c r="E825" i="3"/>
  <c r="D825" i="3"/>
  <c r="C825" i="3"/>
  <c r="B825" i="3"/>
  <c r="A825" i="3"/>
  <c r="I824" i="3"/>
  <c r="H824" i="3"/>
  <c r="D824" i="3"/>
  <c r="C824" i="3"/>
  <c r="B824" i="3"/>
  <c r="A824" i="3"/>
  <c r="I823" i="3"/>
  <c r="H823" i="3"/>
  <c r="E823" i="3"/>
  <c r="D823" i="3"/>
  <c r="C823" i="3"/>
  <c r="B823" i="3"/>
  <c r="A823" i="3"/>
  <c r="I822" i="3"/>
  <c r="H822" i="3"/>
  <c r="F822" i="3"/>
  <c r="D822" i="3"/>
  <c r="C822" i="3"/>
  <c r="B822" i="3"/>
  <c r="A822" i="3"/>
  <c r="I821" i="3"/>
  <c r="H821" i="3"/>
  <c r="F821" i="3"/>
  <c r="D821" i="3"/>
  <c r="C821" i="3"/>
  <c r="B821" i="3"/>
  <c r="A821" i="3"/>
  <c r="I820" i="3"/>
  <c r="H820" i="3"/>
  <c r="E820" i="3"/>
  <c r="D820" i="3"/>
  <c r="C820" i="3"/>
  <c r="B820" i="3"/>
  <c r="A820" i="3"/>
  <c r="I819" i="3"/>
  <c r="H819" i="3"/>
  <c r="E819" i="3"/>
  <c r="D819" i="3"/>
  <c r="C819" i="3"/>
  <c r="B819" i="3"/>
  <c r="A819" i="3"/>
  <c r="I818" i="3"/>
  <c r="H818" i="3"/>
  <c r="F818" i="3"/>
  <c r="D818" i="3"/>
  <c r="C818" i="3"/>
  <c r="B818" i="3"/>
  <c r="A818" i="3"/>
  <c r="I817" i="3"/>
  <c r="H817" i="3"/>
  <c r="F817" i="3"/>
  <c r="D817" i="3"/>
  <c r="C817" i="3"/>
  <c r="B817" i="3"/>
  <c r="A817" i="3"/>
  <c r="I816" i="3"/>
  <c r="H816" i="3"/>
  <c r="F816" i="3"/>
  <c r="D816" i="3"/>
  <c r="C816" i="3"/>
  <c r="B816" i="3"/>
  <c r="A816" i="3"/>
  <c r="I815" i="3"/>
  <c r="H815" i="3"/>
  <c r="F815" i="3"/>
  <c r="D815" i="3"/>
  <c r="C815" i="3"/>
  <c r="B815" i="3"/>
  <c r="A815" i="3"/>
  <c r="I814" i="3"/>
  <c r="H814" i="3"/>
  <c r="F814" i="3"/>
  <c r="D814" i="3"/>
  <c r="C814" i="3"/>
  <c r="B814" i="3"/>
  <c r="A814" i="3"/>
  <c r="I813" i="3"/>
  <c r="H813" i="3"/>
  <c r="F813" i="3"/>
  <c r="D813" i="3"/>
  <c r="C813" i="3"/>
  <c r="B813" i="3"/>
  <c r="A813" i="3"/>
  <c r="I812" i="3"/>
  <c r="H812" i="3"/>
  <c r="F812" i="3"/>
  <c r="D812" i="3"/>
  <c r="C812" i="3"/>
  <c r="B812" i="3"/>
  <c r="A812" i="3"/>
  <c r="I811" i="3"/>
  <c r="H811" i="3"/>
  <c r="E811" i="3"/>
  <c r="D811" i="3"/>
  <c r="C811" i="3"/>
  <c r="B811" i="3"/>
  <c r="A811" i="3"/>
  <c r="I810" i="3"/>
  <c r="H810" i="3"/>
  <c r="F810" i="3"/>
  <c r="E810" i="3"/>
  <c r="D810" i="3"/>
  <c r="C810" i="3"/>
  <c r="B810" i="3"/>
  <c r="A810" i="3"/>
  <c r="I809" i="3"/>
  <c r="H809" i="3"/>
  <c r="D809" i="3"/>
  <c r="C809" i="3"/>
  <c r="B809" i="3"/>
  <c r="A809" i="3"/>
  <c r="I808" i="3"/>
  <c r="H808" i="3"/>
  <c r="F808" i="3"/>
  <c r="E808" i="3"/>
  <c r="D808" i="3"/>
  <c r="C808" i="3"/>
  <c r="B808" i="3"/>
  <c r="A808" i="3"/>
  <c r="I807" i="3"/>
  <c r="H807" i="3"/>
  <c r="F807" i="3"/>
  <c r="E807" i="3"/>
  <c r="D807" i="3"/>
  <c r="C807" i="3"/>
  <c r="B807" i="3"/>
  <c r="A807" i="3"/>
  <c r="I806" i="3"/>
  <c r="H806" i="3"/>
  <c r="F806" i="3"/>
  <c r="E806" i="3"/>
  <c r="D806" i="3"/>
  <c r="C806" i="3"/>
  <c r="B806" i="3"/>
  <c r="A806" i="3"/>
  <c r="I805" i="3"/>
  <c r="H805" i="3"/>
  <c r="F805" i="3"/>
  <c r="E805" i="3"/>
  <c r="D805" i="3"/>
  <c r="C805" i="3"/>
  <c r="B805" i="3"/>
  <c r="A805" i="3"/>
  <c r="I804" i="3"/>
  <c r="H804" i="3"/>
  <c r="D804" i="3"/>
  <c r="C804" i="3"/>
  <c r="B804" i="3"/>
  <c r="A804" i="3"/>
  <c r="I803" i="3"/>
  <c r="H803" i="3"/>
  <c r="F803" i="3"/>
  <c r="E803" i="3"/>
  <c r="D803" i="3"/>
  <c r="C803" i="3"/>
  <c r="B803" i="3"/>
  <c r="A803" i="3"/>
  <c r="I802" i="3"/>
  <c r="H802" i="3"/>
  <c r="F802" i="3"/>
  <c r="E802" i="3"/>
  <c r="D802" i="3"/>
  <c r="C802" i="3"/>
  <c r="B802" i="3"/>
  <c r="A802" i="3"/>
  <c r="I801" i="3"/>
  <c r="H801" i="3"/>
  <c r="F801" i="3"/>
  <c r="E801" i="3"/>
  <c r="D801" i="3"/>
  <c r="C801" i="3"/>
  <c r="B801" i="3"/>
  <c r="A801" i="3"/>
  <c r="I800" i="3"/>
  <c r="H800" i="3"/>
  <c r="F800" i="3"/>
  <c r="E800" i="3"/>
  <c r="D800" i="3"/>
  <c r="C800" i="3"/>
  <c r="B800" i="3"/>
  <c r="A800" i="3"/>
  <c r="I799" i="3"/>
  <c r="H799" i="3"/>
  <c r="F799" i="3"/>
  <c r="D799" i="3"/>
  <c r="C799" i="3"/>
  <c r="B799" i="3"/>
  <c r="A799" i="3"/>
  <c r="I798" i="3"/>
  <c r="H798" i="3"/>
  <c r="F798" i="3"/>
  <c r="E798" i="3"/>
  <c r="D798" i="3"/>
  <c r="C798" i="3"/>
  <c r="B798" i="3"/>
  <c r="A798" i="3"/>
  <c r="I797" i="3"/>
  <c r="H797" i="3"/>
  <c r="F797" i="3"/>
  <c r="D797" i="3"/>
  <c r="C797" i="3"/>
  <c r="B797" i="3"/>
  <c r="A797" i="3"/>
  <c r="I796" i="3"/>
  <c r="H796" i="3"/>
  <c r="F796" i="3"/>
  <c r="D796" i="3"/>
  <c r="C796" i="3"/>
  <c r="B796" i="3"/>
  <c r="A796" i="3"/>
  <c r="I795" i="3"/>
  <c r="H795" i="3"/>
  <c r="F795" i="3"/>
  <c r="D795" i="3"/>
  <c r="C795" i="3"/>
  <c r="B795" i="3"/>
  <c r="A795" i="3"/>
  <c r="I794" i="3"/>
  <c r="H794" i="3"/>
  <c r="F794" i="3"/>
  <c r="D794" i="3"/>
  <c r="C794" i="3"/>
  <c r="B794" i="3"/>
  <c r="A794" i="3"/>
  <c r="I793" i="3"/>
  <c r="H793" i="3"/>
  <c r="F793" i="3"/>
  <c r="D793" i="3"/>
  <c r="C793" i="3"/>
  <c r="B793" i="3"/>
  <c r="A793" i="3"/>
  <c r="I792" i="3"/>
  <c r="H792" i="3"/>
  <c r="F792" i="3"/>
  <c r="E792" i="3"/>
  <c r="D792" i="3"/>
  <c r="C792" i="3"/>
  <c r="B792" i="3"/>
  <c r="A792" i="3"/>
  <c r="I791" i="3"/>
  <c r="H791" i="3"/>
  <c r="F791" i="3"/>
  <c r="E791" i="3"/>
  <c r="D791" i="3"/>
  <c r="C791" i="3"/>
  <c r="B791" i="3"/>
  <c r="A791" i="3"/>
  <c r="I790" i="3"/>
  <c r="H790" i="3"/>
  <c r="F790" i="3"/>
  <c r="E790" i="3"/>
  <c r="D790" i="3"/>
  <c r="C790" i="3"/>
  <c r="B790" i="3"/>
  <c r="A790" i="3"/>
  <c r="I789" i="3"/>
  <c r="H789" i="3"/>
  <c r="F789" i="3"/>
  <c r="E789" i="3"/>
  <c r="D789" i="3"/>
  <c r="C789" i="3"/>
  <c r="B789" i="3"/>
  <c r="A789" i="3"/>
  <c r="I788" i="3"/>
  <c r="H788" i="3"/>
  <c r="E788" i="3"/>
  <c r="D788" i="3"/>
  <c r="C788" i="3"/>
  <c r="B788" i="3"/>
  <c r="A788" i="3"/>
  <c r="I787" i="3"/>
  <c r="H787" i="3"/>
  <c r="F787" i="3"/>
  <c r="D787" i="3"/>
  <c r="C787" i="3"/>
  <c r="B787" i="3"/>
  <c r="A787" i="3"/>
  <c r="I786" i="3"/>
  <c r="H786" i="3"/>
  <c r="F786" i="3"/>
  <c r="E786" i="3"/>
  <c r="D786" i="3"/>
  <c r="C786" i="3"/>
  <c r="B786" i="3"/>
  <c r="A786" i="3"/>
  <c r="I785" i="3"/>
  <c r="H785" i="3"/>
  <c r="F785" i="3"/>
  <c r="E785" i="3"/>
  <c r="D785" i="3"/>
  <c r="C785" i="3"/>
  <c r="B785" i="3"/>
  <c r="A785" i="3"/>
  <c r="I784" i="3"/>
  <c r="H784" i="3"/>
  <c r="F784" i="3"/>
  <c r="E784" i="3"/>
  <c r="D784" i="3"/>
  <c r="C784" i="3"/>
  <c r="B784" i="3"/>
  <c r="A784" i="3"/>
  <c r="I783" i="3"/>
  <c r="H783" i="3"/>
  <c r="F783" i="3"/>
  <c r="D783" i="3"/>
  <c r="C783" i="3"/>
  <c r="B783" i="3"/>
  <c r="A783" i="3"/>
  <c r="I782" i="3"/>
  <c r="H782" i="3"/>
  <c r="F782" i="3"/>
  <c r="D782" i="3"/>
  <c r="C782" i="3"/>
  <c r="B782" i="3"/>
  <c r="A782" i="3"/>
  <c r="I781" i="3"/>
  <c r="H781" i="3"/>
  <c r="F781" i="3"/>
  <c r="E781" i="3"/>
  <c r="D781" i="3"/>
  <c r="C781" i="3"/>
  <c r="B781" i="3"/>
  <c r="A781" i="3"/>
  <c r="I780" i="3"/>
  <c r="H780" i="3"/>
  <c r="F780" i="3"/>
  <c r="E780" i="3"/>
  <c r="D780" i="3"/>
  <c r="C780" i="3"/>
  <c r="B780" i="3"/>
  <c r="A780" i="3"/>
  <c r="I779" i="3"/>
  <c r="H779" i="3"/>
  <c r="F779" i="3"/>
  <c r="D779" i="3"/>
  <c r="C779" i="3"/>
  <c r="B779" i="3"/>
  <c r="A779" i="3"/>
  <c r="I778" i="3"/>
  <c r="H778" i="3"/>
  <c r="E778" i="3"/>
  <c r="D778" i="3"/>
  <c r="C778" i="3"/>
  <c r="B778" i="3"/>
  <c r="A778" i="3"/>
  <c r="I777" i="3"/>
  <c r="H777" i="3"/>
  <c r="F777" i="3"/>
  <c r="D777" i="3"/>
  <c r="C777" i="3"/>
  <c r="B777" i="3"/>
  <c r="A777" i="3"/>
  <c r="I776" i="3"/>
  <c r="H776" i="3"/>
  <c r="F776" i="3"/>
  <c r="D776" i="3"/>
  <c r="C776" i="3"/>
  <c r="B776" i="3"/>
  <c r="A776" i="3"/>
  <c r="I775" i="3"/>
  <c r="H775" i="3"/>
  <c r="F775" i="3"/>
  <c r="E775" i="3"/>
  <c r="D775" i="3"/>
  <c r="C775" i="3"/>
  <c r="B775" i="3"/>
  <c r="A775" i="3"/>
  <c r="I774" i="3"/>
  <c r="H774" i="3"/>
  <c r="F774" i="3"/>
  <c r="D774" i="3"/>
  <c r="C774" i="3"/>
  <c r="B774" i="3"/>
  <c r="A774" i="3"/>
  <c r="I773" i="3"/>
  <c r="H773" i="3"/>
  <c r="F773" i="3"/>
  <c r="D773" i="3"/>
  <c r="C773" i="3"/>
  <c r="B773" i="3"/>
  <c r="A773" i="3"/>
  <c r="I772" i="3"/>
  <c r="H772" i="3"/>
  <c r="F772" i="3"/>
  <c r="E772" i="3"/>
  <c r="D772" i="3"/>
  <c r="C772" i="3"/>
  <c r="B772" i="3"/>
  <c r="A772" i="3"/>
  <c r="I771" i="3"/>
  <c r="H771" i="3"/>
  <c r="F771" i="3"/>
  <c r="E771" i="3"/>
  <c r="D771" i="3"/>
  <c r="C771" i="3"/>
  <c r="B771" i="3"/>
  <c r="A771" i="3"/>
  <c r="I770" i="3"/>
  <c r="H770" i="3"/>
  <c r="F770" i="3"/>
  <c r="E770" i="3"/>
  <c r="D770" i="3"/>
  <c r="C770" i="3"/>
  <c r="B770" i="3"/>
  <c r="A770" i="3"/>
  <c r="I769" i="3"/>
  <c r="H769" i="3"/>
  <c r="F769" i="3"/>
  <c r="E769" i="3"/>
  <c r="D769" i="3"/>
  <c r="C769" i="3"/>
  <c r="B769" i="3"/>
  <c r="A769" i="3"/>
  <c r="I768" i="3"/>
  <c r="H768" i="3"/>
  <c r="F768" i="3"/>
  <c r="D768" i="3"/>
  <c r="C768" i="3"/>
  <c r="B768" i="3"/>
  <c r="A768" i="3"/>
  <c r="I767" i="3"/>
  <c r="H767" i="3"/>
  <c r="F767" i="3"/>
  <c r="D767" i="3"/>
  <c r="C767" i="3"/>
  <c r="B767" i="3"/>
  <c r="A767" i="3"/>
  <c r="I766" i="3"/>
  <c r="H766" i="3"/>
  <c r="F766" i="3"/>
  <c r="E766" i="3"/>
  <c r="D766" i="3"/>
  <c r="C766" i="3"/>
  <c r="B766" i="3"/>
  <c r="A766" i="3"/>
  <c r="I765" i="3"/>
  <c r="H765" i="3"/>
  <c r="F765" i="3"/>
  <c r="E765" i="3"/>
  <c r="D765" i="3"/>
  <c r="C765" i="3"/>
  <c r="B765" i="3"/>
  <c r="A765" i="3"/>
  <c r="I764" i="3"/>
  <c r="H764" i="3"/>
  <c r="F764" i="3"/>
  <c r="E764" i="3"/>
  <c r="D764" i="3"/>
  <c r="C764" i="3"/>
  <c r="B764" i="3"/>
  <c r="A764" i="3"/>
  <c r="I763" i="3"/>
  <c r="H763" i="3"/>
  <c r="F763" i="3"/>
  <c r="E763" i="3"/>
  <c r="D763" i="3"/>
  <c r="C763" i="3"/>
  <c r="B763" i="3"/>
  <c r="A763" i="3"/>
  <c r="I762" i="3"/>
  <c r="H762" i="3"/>
  <c r="D762" i="3"/>
  <c r="C762" i="3"/>
  <c r="B762" i="3"/>
  <c r="A762" i="3"/>
  <c r="I761" i="3"/>
  <c r="H761" i="3"/>
  <c r="F761" i="3"/>
  <c r="E761" i="3"/>
  <c r="D761" i="3"/>
  <c r="C761" i="3"/>
  <c r="B761" i="3"/>
  <c r="A761" i="3"/>
  <c r="I760" i="3"/>
  <c r="H760" i="3"/>
  <c r="F760" i="3"/>
  <c r="E760" i="3"/>
  <c r="D760" i="3"/>
  <c r="C760" i="3"/>
  <c r="B760" i="3"/>
  <c r="A760" i="3"/>
  <c r="I759" i="3"/>
  <c r="H759" i="3"/>
  <c r="F759" i="3"/>
  <c r="E759" i="3"/>
  <c r="D759" i="3"/>
  <c r="C759" i="3"/>
  <c r="B759" i="3"/>
  <c r="A759" i="3"/>
  <c r="I758" i="3"/>
  <c r="H758" i="3"/>
  <c r="F758" i="3"/>
  <c r="E758" i="3"/>
  <c r="D758" i="3"/>
  <c r="C758" i="3"/>
  <c r="B758" i="3"/>
  <c r="A758" i="3"/>
  <c r="I757" i="3"/>
  <c r="H757" i="3"/>
  <c r="D757" i="3"/>
  <c r="C757" i="3"/>
  <c r="B757" i="3"/>
  <c r="A757" i="3"/>
  <c r="I756" i="3"/>
  <c r="H756" i="3"/>
  <c r="D756" i="3"/>
  <c r="C756" i="3"/>
  <c r="B756" i="3"/>
  <c r="A756" i="3"/>
  <c r="I755" i="3"/>
  <c r="H755" i="3"/>
  <c r="D755" i="3"/>
  <c r="C755" i="3"/>
  <c r="B755" i="3"/>
  <c r="A755" i="3"/>
  <c r="I754" i="3"/>
  <c r="H754" i="3"/>
  <c r="F754" i="3"/>
  <c r="E754" i="3"/>
  <c r="D754" i="3"/>
  <c r="C754" i="3"/>
  <c r="B754" i="3"/>
  <c r="A754" i="3"/>
  <c r="I753" i="3"/>
  <c r="H753" i="3"/>
  <c r="E753" i="3"/>
  <c r="D753" i="3"/>
  <c r="C753" i="3"/>
  <c r="B753" i="3"/>
  <c r="A753" i="3"/>
  <c r="I752" i="3"/>
  <c r="H752" i="3"/>
  <c r="F752" i="3"/>
  <c r="E752" i="3"/>
  <c r="D752" i="3"/>
  <c r="C752" i="3"/>
  <c r="B752" i="3"/>
  <c r="A752" i="3"/>
  <c r="I751" i="3"/>
  <c r="H751" i="3"/>
  <c r="F751" i="3"/>
  <c r="E751" i="3"/>
  <c r="D751" i="3"/>
  <c r="C751" i="3"/>
  <c r="B751" i="3"/>
  <c r="A751" i="3"/>
  <c r="I750" i="3"/>
  <c r="H750" i="3"/>
  <c r="F750" i="3"/>
  <c r="E750" i="3"/>
  <c r="D750" i="3"/>
  <c r="C750" i="3"/>
  <c r="B750" i="3"/>
  <c r="A750" i="3"/>
  <c r="I749" i="3"/>
  <c r="H749" i="3"/>
  <c r="E749" i="3"/>
  <c r="D749" i="3"/>
  <c r="C749" i="3"/>
  <c r="B749" i="3"/>
  <c r="A749" i="3"/>
  <c r="I748" i="3"/>
  <c r="H748" i="3"/>
  <c r="F748" i="3"/>
  <c r="E748" i="3"/>
  <c r="D748" i="3"/>
  <c r="C748" i="3"/>
  <c r="B748" i="3"/>
  <c r="A748" i="3"/>
  <c r="I747" i="3"/>
  <c r="H747" i="3"/>
  <c r="F747" i="3"/>
  <c r="E747" i="3"/>
  <c r="D747" i="3"/>
  <c r="C747" i="3"/>
  <c r="B747" i="3"/>
  <c r="A747" i="3"/>
  <c r="I746" i="3"/>
  <c r="H746" i="3"/>
  <c r="E746" i="3"/>
  <c r="D746" i="3"/>
  <c r="C746" i="3"/>
  <c r="B746" i="3"/>
  <c r="A746" i="3"/>
  <c r="I745" i="3"/>
  <c r="H745" i="3"/>
  <c r="E745" i="3"/>
  <c r="D745" i="3"/>
  <c r="C745" i="3"/>
  <c r="B745" i="3"/>
  <c r="A745" i="3"/>
  <c r="I744" i="3"/>
  <c r="H744" i="3"/>
  <c r="F744" i="3"/>
  <c r="E744" i="3"/>
  <c r="D744" i="3"/>
  <c r="C744" i="3"/>
  <c r="B744" i="3"/>
  <c r="A744" i="3"/>
  <c r="I743" i="3"/>
  <c r="H743" i="3"/>
  <c r="F743" i="3"/>
  <c r="D743" i="3"/>
  <c r="C743" i="3"/>
  <c r="B743" i="3"/>
  <c r="A743" i="3"/>
  <c r="I742" i="3"/>
  <c r="H742" i="3"/>
  <c r="F742" i="3"/>
  <c r="D742" i="3"/>
  <c r="C742" i="3"/>
  <c r="B742" i="3"/>
  <c r="A742" i="3"/>
  <c r="I741" i="3"/>
  <c r="H741" i="3"/>
  <c r="F741" i="3"/>
  <c r="E741" i="3"/>
  <c r="D741" i="3"/>
  <c r="C741" i="3"/>
  <c r="B741" i="3"/>
  <c r="A741" i="3"/>
  <c r="I740" i="3"/>
  <c r="H740" i="3"/>
  <c r="F740" i="3"/>
  <c r="D740" i="3"/>
  <c r="C740" i="3"/>
  <c r="B740" i="3"/>
  <c r="A740" i="3"/>
  <c r="I739" i="3"/>
  <c r="H739" i="3"/>
  <c r="E739" i="3"/>
  <c r="D739" i="3"/>
  <c r="C739" i="3"/>
  <c r="B739" i="3"/>
  <c r="A739" i="3"/>
  <c r="I738" i="3"/>
  <c r="H738" i="3"/>
  <c r="F738" i="3"/>
  <c r="E738" i="3"/>
  <c r="D738" i="3"/>
  <c r="C738" i="3"/>
  <c r="B738" i="3"/>
  <c r="A738" i="3"/>
  <c r="I737" i="3"/>
  <c r="H737" i="3"/>
  <c r="E737" i="3"/>
  <c r="D737" i="3"/>
  <c r="C737" i="3"/>
  <c r="B737" i="3"/>
  <c r="A737" i="3"/>
  <c r="I736" i="3"/>
  <c r="H736" i="3"/>
  <c r="F736" i="3"/>
  <c r="E736" i="3"/>
  <c r="D736" i="3"/>
  <c r="C736" i="3"/>
  <c r="B736" i="3"/>
  <c r="A736" i="3"/>
  <c r="I735" i="3"/>
  <c r="H735" i="3"/>
  <c r="F735" i="3"/>
  <c r="E735" i="3"/>
  <c r="D735" i="3"/>
  <c r="C735" i="3"/>
  <c r="B735" i="3"/>
  <c r="A735" i="3"/>
  <c r="I734" i="3"/>
  <c r="H734" i="3"/>
  <c r="E734" i="3"/>
  <c r="D734" i="3"/>
  <c r="C734" i="3"/>
  <c r="B734" i="3"/>
  <c r="A734" i="3"/>
  <c r="I733" i="3"/>
  <c r="H733" i="3"/>
  <c r="F733" i="3"/>
  <c r="E733" i="3"/>
  <c r="D733" i="3"/>
  <c r="C733" i="3"/>
  <c r="B733" i="3"/>
  <c r="A733" i="3"/>
  <c r="I732" i="3"/>
  <c r="H732" i="3"/>
  <c r="D732" i="3"/>
  <c r="C732" i="3"/>
  <c r="B732" i="3"/>
  <c r="A732" i="3"/>
  <c r="I731" i="3"/>
  <c r="H731" i="3"/>
  <c r="F731" i="3"/>
  <c r="E731" i="3"/>
  <c r="D731" i="3"/>
  <c r="C731" i="3"/>
  <c r="B731" i="3"/>
  <c r="A731" i="3"/>
  <c r="I730" i="3"/>
  <c r="H730" i="3"/>
  <c r="F730" i="3"/>
  <c r="E730" i="3"/>
  <c r="D730" i="3"/>
  <c r="C730" i="3"/>
  <c r="B730" i="3"/>
  <c r="A730" i="3"/>
  <c r="I729" i="3"/>
  <c r="H729" i="3"/>
  <c r="F729" i="3"/>
  <c r="E729" i="3"/>
  <c r="D729" i="3"/>
  <c r="C729" i="3"/>
  <c r="B729" i="3"/>
  <c r="A729" i="3"/>
  <c r="I728" i="3"/>
  <c r="H728" i="3"/>
  <c r="E728" i="3"/>
  <c r="D728" i="3"/>
  <c r="C728" i="3"/>
  <c r="B728" i="3"/>
  <c r="A728" i="3"/>
  <c r="I727" i="3"/>
  <c r="H727" i="3"/>
  <c r="F727" i="3"/>
  <c r="D727" i="3"/>
  <c r="C727" i="3"/>
  <c r="B727" i="3"/>
  <c r="A727" i="3"/>
  <c r="I726" i="3"/>
  <c r="H726" i="3"/>
  <c r="F726" i="3"/>
  <c r="E726" i="3"/>
  <c r="D726" i="3"/>
  <c r="C726" i="3"/>
  <c r="B726" i="3"/>
  <c r="A726" i="3"/>
  <c r="I725" i="3"/>
  <c r="H725" i="3"/>
  <c r="F725" i="3"/>
  <c r="E725" i="3"/>
  <c r="D725" i="3"/>
  <c r="C725" i="3"/>
  <c r="B725" i="3"/>
  <c r="A725" i="3"/>
  <c r="I724" i="3"/>
  <c r="H724" i="3"/>
  <c r="F724" i="3"/>
  <c r="E724" i="3"/>
  <c r="D724" i="3"/>
  <c r="C724" i="3"/>
  <c r="B724" i="3"/>
  <c r="A724" i="3"/>
  <c r="I723" i="3"/>
  <c r="H723" i="3"/>
  <c r="F723" i="3"/>
  <c r="E723" i="3"/>
  <c r="D723" i="3"/>
  <c r="C723" i="3"/>
  <c r="B723" i="3"/>
  <c r="A723" i="3"/>
  <c r="I722" i="3"/>
  <c r="H722" i="3"/>
  <c r="E722" i="3"/>
  <c r="D722" i="3"/>
  <c r="C722" i="3"/>
  <c r="B722" i="3"/>
  <c r="A722" i="3"/>
  <c r="I721" i="3"/>
  <c r="H721" i="3"/>
  <c r="D721" i="3"/>
  <c r="C721" i="3"/>
  <c r="B721" i="3"/>
  <c r="A721" i="3"/>
  <c r="I720" i="3"/>
  <c r="H720" i="3"/>
  <c r="D720" i="3"/>
  <c r="C720" i="3"/>
  <c r="B720" i="3"/>
  <c r="A720" i="3"/>
  <c r="I719" i="3"/>
  <c r="H719" i="3"/>
  <c r="D719" i="3"/>
  <c r="C719" i="3"/>
  <c r="B719" i="3"/>
  <c r="A719" i="3"/>
  <c r="I718" i="3"/>
  <c r="H718" i="3"/>
  <c r="F718" i="3"/>
  <c r="D718" i="3"/>
  <c r="C718" i="3"/>
  <c r="B718" i="3"/>
  <c r="A718" i="3"/>
  <c r="I717" i="3"/>
  <c r="H717" i="3"/>
  <c r="E717" i="3"/>
  <c r="D717" i="3"/>
  <c r="C717" i="3"/>
  <c r="B717" i="3"/>
  <c r="A717" i="3"/>
  <c r="I716" i="3"/>
  <c r="H716" i="3"/>
  <c r="F716" i="3"/>
  <c r="D716" i="3"/>
  <c r="C716" i="3"/>
  <c r="B716" i="3"/>
  <c r="A716" i="3"/>
  <c r="I715" i="3"/>
  <c r="H715" i="3"/>
  <c r="F715" i="3"/>
  <c r="E715" i="3"/>
  <c r="D715" i="3"/>
  <c r="C715" i="3"/>
  <c r="B715" i="3"/>
  <c r="A715" i="3"/>
  <c r="I714" i="3"/>
  <c r="H714" i="3"/>
  <c r="F714" i="3"/>
  <c r="D714" i="3"/>
  <c r="C714" i="3"/>
  <c r="B714" i="3"/>
  <c r="A714" i="3"/>
  <c r="I713" i="3"/>
  <c r="H713" i="3"/>
  <c r="F713" i="3"/>
  <c r="E713" i="3"/>
  <c r="D713" i="3"/>
  <c r="C713" i="3"/>
  <c r="B713" i="3"/>
  <c r="A713" i="3"/>
  <c r="I712" i="3"/>
  <c r="H712" i="3"/>
  <c r="F712" i="3"/>
  <c r="D712" i="3"/>
  <c r="C712" i="3"/>
  <c r="B712" i="3"/>
  <c r="A712" i="3"/>
  <c r="I711" i="3"/>
  <c r="H711" i="3"/>
  <c r="F711" i="3"/>
  <c r="E711" i="3"/>
  <c r="D711" i="3"/>
  <c r="C711" i="3"/>
  <c r="B711" i="3"/>
  <c r="A711" i="3"/>
  <c r="I710" i="3"/>
  <c r="H710" i="3"/>
  <c r="E710" i="3"/>
  <c r="D710" i="3"/>
  <c r="C710" i="3"/>
  <c r="B710" i="3"/>
  <c r="A710" i="3"/>
  <c r="I709" i="3"/>
  <c r="H709" i="3"/>
  <c r="E709" i="3"/>
  <c r="D709" i="3"/>
  <c r="C709" i="3"/>
  <c r="B709" i="3"/>
  <c r="A709" i="3"/>
  <c r="I708" i="3"/>
  <c r="H708" i="3"/>
  <c r="F708" i="3"/>
  <c r="D708" i="3"/>
  <c r="C708" i="3"/>
  <c r="B708" i="3"/>
  <c r="A708" i="3"/>
  <c r="I707" i="3"/>
  <c r="H707" i="3"/>
  <c r="F707" i="3"/>
  <c r="E707" i="3"/>
  <c r="D707" i="3"/>
  <c r="C707" i="3"/>
  <c r="B707" i="3"/>
  <c r="A707" i="3"/>
  <c r="I706" i="3"/>
  <c r="H706" i="3"/>
  <c r="F706" i="3"/>
  <c r="E706" i="3"/>
  <c r="D706" i="3"/>
  <c r="C706" i="3"/>
  <c r="B706" i="3"/>
  <c r="A706" i="3"/>
  <c r="I705" i="3"/>
  <c r="H705" i="3"/>
  <c r="E705" i="3"/>
  <c r="D705" i="3"/>
  <c r="C705" i="3"/>
  <c r="B705" i="3"/>
  <c r="A705" i="3"/>
  <c r="I704" i="3"/>
  <c r="H704" i="3"/>
  <c r="E704" i="3"/>
  <c r="D704" i="3"/>
  <c r="C704" i="3"/>
  <c r="B704" i="3"/>
  <c r="A704" i="3"/>
  <c r="I703" i="3"/>
  <c r="H703" i="3"/>
  <c r="E703" i="3"/>
  <c r="D703" i="3"/>
  <c r="C703" i="3"/>
  <c r="B703" i="3"/>
  <c r="A703" i="3"/>
  <c r="I702" i="3"/>
  <c r="H702" i="3"/>
  <c r="F702" i="3"/>
  <c r="E702" i="3"/>
  <c r="D702" i="3"/>
  <c r="C702" i="3"/>
  <c r="B702" i="3"/>
  <c r="A702" i="3"/>
  <c r="I701" i="3"/>
  <c r="H701" i="3"/>
  <c r="F701" i="3"/>
  <c r="E701" i="3"/>
  <c r="D701" i="3"/>
  <c r="C701" i="3"/>
  <c r="B701" i="3"/>
  <c r="A701" i="3"/>
  <c r="I700" i="3"/>
  <c r="H700" i="3"/>
  <c r="F700" i="3"/>
  <c r="E700" i="3"/>
  <c r="D700" i="3"/>
  <c r="C700" i="3"/>
  <c r="B700" i="3"/>
  <c r="A700" i="3"/>
  <c r="I699" i="3"/>
  <c r="H699" i="3"/>
  <c r="F699" i="3"/>
  <c r="E699" i="3"/>
  <c r="D699" i="3"/>
  <c r="C699" i="3"/>
  <c r="B699" i="3"/>
  <c r="A699" i="3"/>
  <c r="I698" i="3"/>
  <c r="H698" i="3"/>
  <c r="E698" i="3"/>
  <c r="D698" i="3"/>
  <c r="C698" i="3"/>
  <c r="B698" i="3"/>
  <c r="A698" i="3"/>
  <c r="I697" i="3"/>
  <c r="H697" i="3"/>
  <c r="F697" i="3"/>
  <c r="E697" i="3"/>
  <c r="D697" i="3"/>
  <c r="C697" i="3"/>
  <c r="B697" i="3"/>
  <c r="A697" i="3"/>
  <c r="I696" i="3"/>
  <c r="H696" i="3"/>
  <c r="E696" i="3"/>
  <c r="D696" i="3"/>
  <c r="C696" i="3"/>
  <c r="B696" i="3"/>
  <c r="A696" i="3"/>
  <c r="I695" i="3"/>
  <c r="H695" i="3"/>
  <c r="F695" i="3"/>
  <c r="D695" i="3"/>
  <c r="C695" i="3"/>
  <c r="B695" i="3"/>
  <c r="A695" i="3"/>
  <c r="I694" i="3"/>
  <c r="H694" i="3"/>
  <c r="F694" i="3"/>
  <c r="D694" i="3"/>
  <c r="C694" i="3"/>
  <c r="B694" i="3"/>
  <c r="A694" i="3"/>
  <c r="I693" i="3"/>
  <c r="H693" i="3"/>
  <c r="F693" i="3"/>
  <c r="E693" i="3"/>
  <c r="D693" i="3"/>
  <c r="C693" i="3"/>
  <c r="B693" i="3"/>
  <c r="A693" i="3"/>
  <c r="I692" i="3"/>
  <c r="H692" i="3"/>
  <c r="F692" i="3"/>
  <c r="E692" i="3"/>
  <c r="D692" i="3"/>
  <c r="C692" i="3"/>
  <c r="B692" i="3"/>
  <c r="A692" i="3"/>
  <c r="I691" i="3"/>
  <c r="H691" i="3"/>
  <c r="F691" i="3"/>
  <c r="E691" i="3"/>
  <c r="D691" i="3"/>
  <c r="C691" i="3"/>
  <c r="B691" i="3"/>
  <c r="A691" i="3"/>
  <c r="I690" i="3"/>
  <c r="H690" i="3"/>
  <c r="F690" i="3"/>
  <c r="E690" i="3"/>
  <c r="D690" i="3"/>
  <c r="C690" i="3"/>
  <c r="B690" i="3"/>
  <c r="A690" i="3"/>
  <c r="I689" i="3"/>
  <c r="H689" i="3"/>
  <c r="F689" i="3"/>
  <c r="E689" i="3"/>
  <c r="D689" i="3"/>
  <c r="C689" i="3"/>
  <c r="B689" i="3"/>
  <c r="A689" i="3"/>
  <c r="I688" i="3"/>
  <c r="H688" i="3"/>
  <c r="F688" i="3"/>
  <c r="E688" i="3"/>
  <c r="D688" i="3"/>
  <c r="C688" i="3"/>
  <c r="B688" i="3"/>
  <c r="A688" i="3"/>
  <c r="I687" i="3"/>
  <c r="H687" i="3"/>
  <c r="F687" i="3"/>
  <c r="E687" i="3"/>
  <c r="D687" i="3"/>
  <c r="C687" i="3"/>
  <c r="B687" i="3"/>
  <c r="A687" i="3"/>
  <c r="I686" i="3"/>
  <c r="H686" i="3"/>
  <c r="E686" i="3"/>
  <c r="D686" i="3"/>
  <c r="C686" i="3"/>
  <c r="B686" i="3"/>
  <c r="A686" i="3"/>
  <c r="I685" i="3"/>
  <c r="H685" i="3"/>
  <c r="F685" i="3"/>
  <c r="D685" i="3"/>
  <c r="C685" i="3"/>
  <c r="B685" i="3"/>
  <c r="A685" i="3"/>
  <c r="I684" i="3"/>
  <c r="H684" i="3"/>
  <c r="D684" i="3"/>
  <c r="C684" i="3"/>
  <c r="B684" i="3"/>
  <c r="A684" i="3"/>
  <c r="I683" i="3"/>
  <c r="H683" i="3"/>
  <c r="F683" i="3"/>
  <c r="E683" i="3"/>
  <c r="D683" i="3"/>
  <c r="C683" i="3"/>
  <c r="B683" i="3"/>
  <c r="A683" i="3"/>
  <c r="I682" i="3"/>
  <c r="H682" i="3"/>
  <c r="F682" i="3"/>
  <c r="D682" i="3"/>
  <c r="C682" i="3"/>
  <c r="B682" i="3"/>
  <c r="A682" i="3"/>
  <c r="I681" i="3"/>
  <c r="H681" i="3"/>
  <c r="E681" i="3"/>
  <c r="D681" i="3"/>
  <c r="C681" i="3"/>
  <c r="B681" i="3"/>
  <c r="A681" i="3"/>
  <c r="I680" i="3"/>
  <c r="H680" i="3"/>
  <c r="E680" i="3"/>
  <c r="D680" i="3"/>
  <c r="C680" i="3"/>
  <c r="B680" i="3"/>
  <c r="A680" i="3"/>
  <c r="I679" i="3"/>
  <c r="H679" i="3"/>
  <c r="F679" i="3"/>
  <c r="E679" i="3"/>
  <c r="D679" i="3"/>
  <c r="C679" i="3"/>
  <c r="B679" i="3"/>
  <c r="A679" i="3"/>
  <c r="I678" i="3"/>
  <c r="H678" i="3"/>
  <c r="F678" i="3"/>
  <c r="E678" i="3"/>
  <c r="D678" i="3"/>
  <c r="C678" i="3"/>
  <c r="B678" i="3"/>
  <c r="A678" i="3"/>
  <c r="I677" i="3"/>
  <c r="H677" i="3"/>
  <c r="F677" i="3"/>
  <c r="E677" i="3"/>
  <c r="D677" i="3"/>
  <c r="C677" i="3"/>
  <c r="B677" i="3"/>
  <c r="A677" i="3"/>
  <c r="I676" i="3"/>
  <c r="H676" i="3"/>
  <c r="F676" i="3"/>
  <c r="E676" i="3"/>
  <c r="D676" i="3"/>
  <c r="C676" i="3"/>
  <c r="B676" i="3"/>
  <c r="A676" i="3"/>
  <c r="I675" i="3"/>
  <c r="H675" i="3"/>
  <c r="D675" i="3"/>
  <c r="C675" i="3"/>
  <c r="B675" i="3"/>
  <c r="A675" i="3"/>
  <c r="I674" i="3"/>
  <c r="H674" i="3"/>
  <c r="D674" i="3"/>
  <c r="C674" i="3"/>
  <c r="B674" i="3"/>
  <c r="A674" i="3"/>
  <c r="I673" i="3"/>
  <c r="H673" i="3"/>
  <c r="F673" i="3"/>
  <c r="E673" i="3"/>
  <c r="D673" i="3"/>
  <c r="C673" i="3"/>
  <c r="B673" i="3"/>
  <c r="A673" i="3"/>
  <c r="I672" i="3"/>
  <c r="H672" i="3"/>
  <c r="F672" i="3"/>
  <c r="E672" i="3"/>
  <c r="D672" i="3"/>
  <c r="C672" i="3"/>
  <c r="B672" i="3"/>
  <c r="A672" i="3"/>
  <c r="I671" i="3"/>
  <c r="H671" i="3"/>
  <c r="F671" i="3"/>
  <c r="E671" i="3"/>
  <c r="D671" i="3"/>
  <c r="C671" i="3"/>
  <c r="B671" i="3"/>
  <c r="A671" i="3"/>
  <c r="I670" i="3"/>
  <c r="H670" i="3"/>
  <c r="F670" i="3"/>
  <c r="E670" i="3"/>
  <c r="D670" i="3"/>
  <c r="C670" i="3"/>
  <c r="B670" i="3"/>
  <c r="A670" i="3"/>
  <c r="I669" i="3"/>
  <c r="F669" i="3"/>
  <c r="E669" i="3"/>
  <c r="D669" i="3"/>
  <c r="C669" i="3"/>
  <c r="B669" i="3"/>
  <c r="A669" i="3"/>
  <c r="I668" i="3"/>
  <c r="H668" i="3"/>
  <c r="F668" i="3"/>
  <c r="E668" i="3"/>
  <c r="D668" i="3"/>
  <c r="C668" i="3"/>
  <c r="B668" i="3"/>
  <c r="A668" i="3"/>
  <c r="I667" i="3"/>
  <c r="H667" i="3"/>
  <c r="F667" i="3"/>
  <c r="E667" i="3"/>
  <c r="D667" i="3"/>
  <c r="C667" i="3"/>
  <c r="B667" i="3"/>
  <c r="A667" i="3"/>
  <c r="I666" i="3"/>
  <c r="H666" i="3"/>
  <c r="E666" i="3"/>
  <c r="D666" i="3"/>
  <c r="C666" i="3"/>
  <c r="B666" i="3"/>
  <c r="A666" i="3"/>
  <c r="I665" i="3"/>
  <c r="H665" i="3"/>
  <c r="F665" i="3"/>
  <c r="D665" i="3"/>
  <c r="C665" i="3"/>
  <c r="B665" i="3"/>
  <c r="A665" i="3"/>
  <c r="I664" i="3"/>
  <c r="H664" i="3"/>
  <c r="E664" i="3"/>
  <c r="D664" i="3"/>
  <c r="C664" i="3"/>
  <c r="B664" i="3"/>
  <c r="A664" i="3"/>
  <c r="I663" i="3"/>
  <c r="H663" i="3"/>
  <c r="E663" i="3"/>
  <c r="D663" i="3"/>
  <c r="C663" i="3"/>
  <c r="B663" i="3"/>
  <c r="A663" i="3"/>
  <c r="I662" i="3"/>
  <c r="H662" i="3"/>
  <c r="F662" i="3"/>
  <c r="E662" i="3"/>
  <c r="D662" i="3"/>
  <c r="C662" i="3"/>
  <c r="B662" i="3"/>
  <c r="A662" i="3"/>
  <c r="I661" i="3"/>
  <c r="H661" i="3"/>
  <c r="F661" i="3"/>
  <c r="E661" i="3"/>
  <c r="D661" i="3"/>
  <c r="C661" i="3"/>
  <c r="B661" i="3"/>
  <c r="A661" i="3"/>
  <c r="I660" i="3"/>
  <c r="H660" i="3"/>
  <c r="E660" i="3"/>
  <c r="D660" i="3"/>
  <c r="C660" i="3"/>
  <c r="B660" i="3"/>
  <c r="A660" i="3"/>
  <c r="I659" i="3"/>
  <c r="H659" i="3"/>
  <c r="E659" i="3"/>
  <c r="D659" i="3"/>
  <c r="C659" i="3"/>
  <c r="B659" i="3"/>
  <c r="A659" i="3"/>
  <c r="I658" i="3"/>
  <c r="H658" i="3"/>
  <c r="D658" i="3"/>
  <c r="C658" i="3"/>
  <c r="B658" i="3"/>
  <c r="A658" i="3"/>
  <c r="I657" i="3"/>
  <c r="H657" i="3"/>
  <c r="E657" i="3"/>
  <c r="D657" i="3"/>
  <c r="C657" i="3"/>
  <c r="B657" i="3"/>
  <c r="A657" i="3"/>
  <c r="I656" i="3"/>
  <c r="H656" i="3"/>
  <c r="F656" i="3"/>
  <c r="E656" i="3"/>
  <c r="D656" i="3"/>
  <c r="C656" i="3"/>
  <c r="B656" i="3"/>
  <c r="A656" i="3"/>
  <c r="I655" i="3"/>
  <c r="H655" i="3"/>
  <c r="F655" i="3"/>
  <c r="E655" i="3"/>
  <c r="D655" i="3"/>
  <c r="C655" i="3"/>
  <c r="B655" i="3"/>
  <c r="A655" i="3"/>
  <c r="I654" i="3"/>
  <c r="H654" i="3"/>
  <c r="F654" i="3"/>
  <c r="E654" i="3"/>
  <c r="D654" i="3"/>
  <c r="C654" i="3"/>
  <c r="B654" i="3"/>
  <c r="A654" i="3"/>
  <c r="I653" i="3"/>
  <c r="H653" i="3"/>
  <c r="F653" i="3"/>
  <c r="E653" i="3"/>
  <c r="D653" i="3"/>
  <c r="C653" i="3"/>
  <c r="B653" i="3"/>
  <c r="A653" i="3"/>
  <c r="I652" i="3"/>
  <c r="H652" i="3"/>
  <c r="F652" i="3"/>
  <c r="E652" i="3"/>
  <c r="D652" i="3"/>
  <c r="C652" i="3"/>
  <c r="B652" i="3"/>
  <c r="A652" i="3"/>
  <c r="I651" i="3"/>
  <c r="H651" i="3"/>
  <c r="E651" i="3"/>
  <c r="D651" i="3"/>
  <c r="C651" i="3"/>
  <c r="B651" i="3"/>
  <c r="A651" i="3"/>
  <c r="I650" i="3"/>
  <c r="H650" i="3"/>
  <c r="F650" i="3"/>
  <c r="D650" i="3"/>
  <c r="C650" i="3"/>
  <c r="B650" i="3"/>
  <c r="A650" i="3"/>
  <c r="I649" i="3"/>
  <c r="H649" i="3"/>
  <c r="F649" i="3"/>
  <c r="E649" i="3"/>
  <c r="D649" i="3"/>
  <c r="C649" i="3"/>
  <c r="B649" i="3"/>
  <c r="A649" i="3"/>
  <c r="I648" i="3"/>
  <c r="H648" i="3"/>
  <c r="F648" i="3"/>
  <c r="E648" i="3"/>
  <c r="D648" i="3"/>
  <c r="C648" i="3"/>
  <c r="B648" i="3"/>
  <c r="A648" i="3"/>
  <c r="I647" i="3"/>
  <c r="H647" i="3"/>
  <c r="F647" i="3"/>
  <c r="E647" i="3"/>
  <c r="D647" i="3"/>
  <c r="C647" i="3"/>
  <c r="B647" i="3"/>
  <c r="A647" i="3"/>
  <c r="I646" i="3"/>
  <c r="H646" i="3"/>
  <c r="E646" i="3"/>
  <c r="D646" i="3"/>
  <c r="C646" i="3"/>
  <c r="B646" i="3"/>
  <c r="A646" i="3"/>
  <c r="I645" i="3"/>
  <c r="H645" i="3"/>
  <c r="F645" i="3"/>
  <c r="D645" i="3"/>
  <c r="C645" i="3"/>
  <c r="B645" i="3"/>
  <c r="A645" i="3"/>
  <c r="I644" i="3"/>
  <c r="H644" i="3"/>
  <c r="D644" i="3"/>
  <c r="C644" i="3"/>
  <c r="B644" i="3"/>
  <c r="A644" i="3"/>
  <c r="I643" i="3"/>
  <c r="H643" i="3"/>
  <c r="F643" i="3"/>
  <c r="E643" i="3"/>
  <c r="D643" i="3"/>
  <c r="C643" i="3"/>
  <c r="B643" i="3"/>
  <c r="A643" i="3"/>
  <c r="I642" i="3"/>
  <c r="H642" i="3"/>
  <c r="F642" i="3"/>
  <c r="E642" i="3"/>
  <c r="D642" i="3"/>
  <c r="C642" i="3"/>
  <c r="B642" i="3"/>
  <c r="A642" i="3"/>
  <c r="I641" i="3"/>
  <c r="H641" i="3"/>
  <c r="F641" i="3"/>
  <c r="E641" i="3"/>
  <c r="D641" i="3"/>
  <c r="C641" i="3"/>
  <c r="B641" i="3"/>
  <c r="A641" i="3"/>
  <c r="I640" i="3"/>
  <c r="H640" i="3"/>
  <c r="E640" i="3"/>
  <c r="D640" i="3"/>
  <c r="C640" i="3"/>
  <c r="B640" i="3"/>
  <c r="A640" i="3"/>
  <c r="I639" i="3"/>
  <c r="H639" i="3"/>
  <c r="E639" i="3"/>
  <c r="D639" i="3"/>
  <c r="C639" i="3"/>
  <c r="B639" i="3"/>
  <c r="A639" i="3"/>
  <c r="I638" i="3"/>
  <c r="H638" i="3"/>
  <c r="D638" i="3"/>
  <c r="C638" i="3"/>
  <c r="B638" i="3"/>
  <c r="A638" i="3"/>
  <c r="I637" i="3"/>
  <c r="H637" i="3"/>
  <c r="D637" i="3"/>
  <c r="C637" i="3"/>
  <c r="B637" i="3"/>
  <c r="A637" i="3"/>
  <c r="I636" i="3"/>
  <c r="H636" i="3"/>
  <c r="D636" i="3"/>
  <c r="C636" i="3"/>
  <c r="B636" i="3"/>
  <c r="A636" i="3"/>
  <c r="I635" i="3"/>
  <c r="H635" i="3"/>
  <c r="F635" i="3"/>
  <c r="E635" i="3"/>
  <c r="D635" i="3"/>
  <c r="C635" i="3"/>
  <c r="B635" i="3"/>
  <c r="A635" i="3"/>
  <c r="I634" i="3"/>
  <c r="H634" i="3"/>
  <c r="D634" i="3"/>
  <c r="C634" i="3"/>
  <c r="B634" i="3"/>
  <c r="A634" i="3"/>
  <c r="I633" i="3"/>
  <c r="H633" i="3"/>
  <c r="E633" i="3"/>
  <c r="D633" i="3"/>
  <c r="C633" i="3"/>
  <c r="B633" i="3"/>
  <c r="A633" i="3"/>
  <c r="I632" i="3"/>
  <c r="H632" i="3"/>
  <c r="F632" i="3"/>
  <c r="E632" i="3"/>
  <c r="D632" i="3"/>
  <c r="C632" i="3"/>
  <c r="B632" i="3"/>
  <c r="A632" i="3"/>
  <c r="I631" i="3"/>
  <c r="H631" i="3"/>
  <c r="D631" i="3"/>
  <c r="C631" i="3"/>
  <c r="B631" i="3"/>
  <c r="A631" i="3"/>
  <c r="I630" i="3"/>
  <c r="H630" i="3"/>
  <c r="F630" i="3"/>
  <c r="D630" i="3"/>
  <c r="C630" i="3"/>
  <c r="B630" i="3"/>
  <c r="A630" i="3"/>
  <c r="I629" i="3"/>
  <c r="H629" i="3"/>
  <c r="F629" i="3"/>
  <c r="E629" i="3"/>
  <c r="D629" i="3"/>
  <c r="C629" i="3"/>
  <c r="B629" i="3"/>
  <c r="A629" i="3"/>
  <c r="I628" i="3"/>
  <c r="F628" i="3"/>
  <c r="D628" i="3"/>
  <c r="C628" i="3"/>
  <c r="B628" i="3"/>
  <c r="A628" i="3"/>
  <c r="I627" i="3"/>
  <c r="H627" i="3"/>
  <c r="E627" i="3"/>
  <c r="D627" i="3"/>
  <c r="C627" i="3"/>
  <c r="B627" i="3"/>
  <c r="A627" i="3"/>
  <c r="I626" i="3"/>
  <c r="H626" i="3"/>
  <c r="E626" i="3"/>
  <c r="D626" i="3"/>
  <c r="C626" i="3"/>
  <c r="B626" i="3"/>
  <c r="A626" i="3"/>
  <c r="I625" i="3"/>
  <c r="H625" i="3"/>
  <c r="D625" i="3"/>
  <c r="C625" i="3"/>
  <c r="B625" i="3"/>
  <c r="A625" i="3"/>
  <c r="I624" i="3"/>
  <c r="H624" i="3"/>
  <c r="D624" i="3"/>
  <c r="C624" i="3"/>
  <c r="B624" i="3"/>
  <c r="A624" i="3"/>
  <c r="I623" i="3"/>
  <c r="H623" i="3"/>
  <c r="E623" i="3"/>
  <c r="D623" i="3"/>
  <c r="C623" i="3"/>
  <c r="B623" i="3"/>
  <c r="A623" i="3"/>
  <c r="I622" i="3"/>
  <c r="H622" i="3"/>
  <c r="F622" i="3"/>
  <c r="D622" i="3"/>
  <c r="C622" i="3"/>
  <c r="B622" i="3"/>
  <c r="A622" i="3"/>
  <c r="I621" i="3"/>
  <c r="H621" i="3"/>
  <c r="D621" i="3"/>
  <c r="C621" i="3"/>
  <c r="B621" i="3"/>
  <c r="A621" i="3"/>
  <c r="I620" i="3"/>
  <c r="H620" i="3"/>
  <c r="D620" i="3"/>
  <c r="C620" i="3"/>
  <c r="B620" i="3"/>
  <c r="A620" i="3"/>
  <c r="I619" i="3"/>
  <c r="H619" i="3"/>
  <c r="D619" i="3"/>
  <c r="C619" i="3"/>
  <c r="B619" i="3"/>
  <c r="A619" i="3"/>
  <c r="I618" i="3"/>
  <c r="H618" i="3"/>
  <c r="D618" i="3"/>
  <c r="C618" i="3"/>
  <c r="B618" i="3"/>
  <c r="A618" i="3"/>
  <c r="I617" i="3"/>
  <c r="H617" i="3"/>
  <c r="D617" i="3"/>
  <c r="C617" i="3"/>
  <c r="B617" i="3"/>
  <c r="A617" i="3"/>
  <c r="I616" i="3"/>
  <c r="H616" i="3"/>
  <c r="D616" i="3"/>
  <c r="C616" i="3"/>
  <c r="B616" i="3"/>
  <c r="A616" i="3"/>
  <c r="I615" i="3"/>
  <c r="H615" i="3"/>
  <c r="D615" i="3"/>
  <c r="C615" i="3"/>
  <c r="B615" i="3"/>
  <c r="A615" i="3"/>
  <c r="I614" i="3"/>
  <c r="H614" i="3"/>
  <c r="F614" i="3"/>
  <c r="E614" i="3"/>
  <c r="D614" i="3"/>
  <c r="C614" i="3"/>
  <c r="B614" i="3"/>
  <c r="A614" i="3"/>
  <c r="I613" i="3"/>
  <c r="H613" i="3"/>
  <c r="F613" i="3"/>
  <c r="E613" i="3"/>
  <c r="D613" i="3"/>
  <c r="C613" i="3"/>
  <c r="B613" i="3"/>
  <c r="A613" i="3"/>
  <c r="I612" i="3"/>
  <c r="H612" i="3"/>
  <c r="F612" i="3"/>
  <c r="E612" i="3"/>
  <c r="D612" i="3"/>
  <c r="C612" i="3"/>
  <c r="B612" i="3"/>
  <c r="A612" i="3"/>
  <c r="I611" i="3"/>
  <c r="H611" i="3"/>
  <c r="F611" i="3"/>
  <c r="E611" i="3"/>
  <c r="D611" i="3"/>
  <c r="C611" i="3"/>
  <c r="B611" i="3"/>
  <c r="A611" i="3"/>
  <c r="I610" i="3"/>
  <c r="H610" i="3"/>
  <c r="D610" i="3"/>
  <c r="C610" i="3"/>
  <c r="B610" i="3"/>
  <c r="A610" i="3"/>
  <c r="I609" i="3"/>
  <c r="H609" i="3"/>
  <c r="E609" i="3"/>
  <c r="D609" i="3"/>
  <c r="C609" i="3"/>
  <c r="B609" i="3"/>
  <c r="A609" i="3"/>
  <c r="I608" i="3"/>
  <c r="H608" i="3"/>
  <c r="D608" i="3"/>
  <c r="C608" i="3"/>
  <c r="B608" i="3"/>
  <c r="A608" i="3"/>
  <c r="I607" i="3"/>
  <c r="H607" i="3"/>
  <c r="E607" i="3"/>
  <c r="D607" i="3"/>
  <c r="C607" i="3"/>
  <c r="B607" i="3"/>
  <c r="A607" i="3"/>
  <c r="I606" i="3"/>
  <c r="H606" i="3"/>
  <c r="E606" i="3"/>
  <c r="D606" i="3"/>
  <c r="C606" i="3"/>
  <c r="B606" i="3"/>
  <c r="A606" i="3"/>
  <c r="I605" i="3"/>
  <c r="H605" i="3"/>
  <c r="E605" i="3"/>
  <c r="D605" i="3"/>
  <c r="C605" i="3"/>
  <c r="B605" i="3"/>
  <c r="A605" i="3"/>
  <c r="I604" i="3"/>
  <c r="H604" i="3"/>
  <c r="E604" i="3"/>
  <c r="D604" i="3"/>
  <c r="C604" i="3"/>
  <c r="B604" i="3"/>
  <c r="A604" i="3"/>
  <c r="I603" i="3"/>
  <c r="H603" i="3"/>
  <c r="E603" i="3"/>
  <c r="D603" i="3"/>
  <c r="C603" i="3"/>
  <c r="B603" i="3"/>
  <c r="A603" i="3"/>
  <c r="I602" i="3"/>
  <c r="H602" i="3"/>
  <c r="F602" i="3"/>
  <c r="E602" i="3"/>
  <c r="D602" i="3"/>
  <c r="C602" i="3"/>
  <c r="B602" i="3"/>
  <c r="A602" i="3"/>
  <c r="I601" i="3"/>
  <c r="H601" i="3"/>
  <c r="E601" i="3"/>
  <c r="D601" i="3"/>
  <c r="C601" i="3"/>
  <c r="B601" i="3"/>
  <c r="A601" i="3"/>
  <c r="I600" i="3"/>
  <c r="H600" i="3"/>
  <c r="F600" i="3"/>
  <c r="E600" i="3"/>
  <c r="D600" i="3"/>
  <c r="C600" i="3"/>
  <c r="B600" i="3"/>
  <c r="A600" i="3"/>
  <c r="I599" i="3"/>
  <c r="H599" i="3"/>
  <c r="D599" i="3"/>
  <c r="C599" i="3"/>
  <c r="B599" i="3"/>
  <c r="A599" i="3"/>
  <c r="I598" i="3"/>
  <c r="H598" i="3"/>
  <c r="E598" i="3"/>
  <c r="D598" i="3"/>
  <c r="C598" i="3"/>
  <c r="B598" i="3"/>
  <c r="A598" i="3"/>
  <c r="I597" i="3"/>
  <c r="H597" i="3"/>
  <c r="F597" i="3"/>
  <c r="D597" i="3"/>
  <c r="C597" i="3"/>
  <c r="B597" i="3"/>
  <c r="A597" i="3"/>
  <c r="I596" i="3"/>
  <c r="H596" i="3"/>
  <c r="E596" i="3"/>
  <c r="D596" i="3"/>
  <c r="C596" i="3"/>
  <c r="B596" i="3"/>
  <c r="A596" i="3"/>
  <c r="I595" i="3"/>
  <c r="H595" i="3"/>
  <c r="E595" i="3"/>
  <c r="D595" i="3"/>
  <c r="C595" i="3"/>
  <c r="B595" i="3"/>
  <c r="A595" i="3"/>
  <c r="I594" i="3"/>
  <c r="H594" i="3"/>
  <c r="E594" i="3"/>
  <c r="D594" i="3"/>
  <c r="C594" i="3"/>
  <c r="B594" i="3"/>
  <c r="A594" i="3"/>
  <c r="I593" i="3"/>
  <c r="H593" i="3"/>
  <c r="F593" i="3"/>
  <c r="E593" i="3"/>
  <c r="D593" i="3"/>
  <c r="C593" i="3"/>
  <c r="B593" i="3"/>
  <c r="A593" i="3"/>
  <c r="I592" i="3"/>
  <c r="H592" i="3"/>
  <c r="D592" i="3"/>
  <c r="C592" i="3"/>
  <c r="B592" i="3"/>
  <c r="A592" i="3"/>
  <c r="I591" i="3"/>
  <c r="H591" i="3"/>
  <c r="D591" i="3"/>
  <c r="C591" i="3"/>
  <c r="B591" i="3"/>
  <c r="A591" i="3"/>
  <c r="I590" i="3"/>
  <c r="H590" i="3"/>
  <c r="F590" i="3"/>
  <c r="D590" i="3"/>
  <c r="C590" i="3"/>
  <c r="B590" i="3"/>
  <c r="A590" i="3"/>
  <c r="I589" i="3"/>
  <c r="H589" i="3"/>
  <c r="D589" i="3"/>
  <c r="C589" i="3"/>
  <c r="B589" i="3"/>
  <c r="A589" i="3"/>
  <c r="I588" i="3"/>
  <c r="H588" i="3"/>
  <c r="E588" i="3"/>
  <c r="D588" i="3"/>
  <c r="C588" i="3"/>
  <c r="B588" i="3"/>
  <c r="A588" i="3"/>
  <c r="I587" i="3"/>
  <c r="H587" i="3"/>
  <c r="D587" i="3"/>
  <c r="C587" i="3"/>
  <c r="B587" i="3"/>
  <c r="A587" i="3"/>
  <c r="I586" i="3"/>
  <c r="H586" i="3"/>
  <c r="F586" i="3"/>
  <c r="E586" i="3"/>
  <c r="D586" i="3"/>
  <c r="C586" i="3"/>
  <c r="B586" i="3"/>
  <c r="A586" i="3"/>
  <c r="I585" i="3"/>
  <c r="H585" i="3"/>
  <c r="D585" i="3"/>
  <c r="C585" i="3"/>
  <c r="B585" i="3"/>
  <c r="A585" i="3"/>
  <c r="I584" i="3"/>
  <c r="H584" i="3"/>
  <c r="F584" i="3"/>
  <c r="E584" i="3"/>
  <c r="D584" i="3"/>
  <c r="C584" i="3"/>
  <c r="B584" i="3"/>
  <c r="A584" i="3"/>
  <c r="I583" i="3"/>
  <c r="H583" i="3"/>
  <c r="F583" i="3"/>
  <c r="E583" i="3"/>
  <c r="D583" i="3"/>
  <c r="C583" i="3"/>
  <c r="B583" i="3"/>
  <c r="A583" i="3"/>
  <c r="I582" i="3"/>
  <c r="H582" i="3"/>
  <c r="D582" i="3"/>
  <c r="C582" i="3"/>
  <c r="B582" i="3"/>
  <c r="A582" i="3"/>
  <c r="I581" i="3"/>
  <c r="H581" i="3"/>
  <c r="D581" i="3"/>
  <c r="C581" i="3"/>
  <c r="B581" i="3"/>
  <c r="A581" i="3"/>
  <c r="I580" i="3"/>
  <c r="H580" i="3"/>
  <c r="E580" i="3"/>
  <c r="D580" i="3"/>
  <c r="C580" i="3"/>
  <c r="B580" i="3"/>
  <c r="A580" i="3"/>
  <c r="I579" i="3"/>
  <c r="H579" i="3"/>
  <c r="F579" i="3"/>
  <c r="D579" i="3"/>
  <c r="C579" i="3"/>
  <c r="B579" i="3"/>
  <c r="A579" i="3"/>
  <c r="I578" i="3"/>
  <c r="H578" i="3"/>
  <c r="F578" i="3"/>
  <c r="D578" i="3"/>
  <c r="C578" i="3"/>
  <c r="B578" i="3"/>
  <c r="A578" i="3"/>
  <c r="I577" i="3"/>
  <c r="H577" i="3"/>
  <c r="F577" i="3"/>
  <c r="E577" i="3"/>
  <c r="D577" i="3"/>
  <c r="C577" i="3"/>
  <c r="B577" i="3"/>
  <c r="A577" i="3"/>
  <c r="I576" i="3"/>
  <c r="H576" i="3"/>
  <c r="F576" i="3"/>
  <c r="D576" i="3"/>
  <c r="C576" i="3"/>
  <c r="B576" i="3"/>
  <c r="A576" i="3"/>
  <c r="I575" i="3"/>
  <c r="H575" i="3"/>
  <c r="E575" i="3"/>
  <c r="D575" i="3"/>
  <c r="C575" i="3"/>
  <c r="B575" i="3"/>
  <c r="A575" i="3"/>
  <c r="I574" i="3"/>
  <c r="H574" i="3"/>
  <c r="E574" i="3"/>
  <c r="D574" i="3"/>
  <c r="C574" i="3"/>
  <c r="B574" i="3"/>
  <c r="A574" i="3"/>
  <c r="I573" i="3"/>
  <c r="H573" i="3"/>
  <c r="F573" i="3"/>
  <c r="E573" i="3"/>
  <c r="D573" i="3"/>
  <c r="C573" i="3"/>
  <c r="B573" i="3"/>
  <c r="A573" i="3"/>
  <c r="I572" i="3"/>
  <c r="H572" i="3"/>
  <c r="F572" i="3"/>
  <c r="D572" i="3"/>
  <c r="C572" i="3"/>
  <c r="B572" i="3"/>
  <c r="A572" i="3"/>
  <c r="I571" i="3"/>
  <c r="H571" i="3"/>
  <c r="F571" i="3"/>
  <c r="D571" i="3"/>
  <c r="C571" i="3"/>
  <c r="B571" i="3"/>
  <c r="A571" i="3"/>
  <c r="I570" i="3"/>
  <c r="H570" i="3"/>
  <c r="D570" i="3"/>
  <c r="C570" i="3"/>
  <c r="B570" i="3"/>
  <c r="A570" i="3"/>
  <c r="I569" i="3"/>
  <c r="D569" i="3"/>
  <c r="C569" i="3"/>
  <c r="B569" i="3"/>
  <c r="A569" i="3"/>
  <c r="I568" i="3"/>
  <c r="H568" i="3"/>
  <c r="F568" i="3"/>
  <c r="E568" i="3"/>
  <c r="D568" i="3"/>
  <c r="C568" i="3"/>
  <c r="B568" i="3"/>
  <c r="A568" i="3"/>
  <c r="I567" i="3"/>
  <c r="H567" i="3"/>
  <c r="F567" i="3"/>
  <c r="D567" i="3"/>
  <c r="C567" i="3"/>
  <c r="B567" i="3"/>
  <c r="A567" i="3"/>
  <c r="I566" i="3"/>
  <c r="H566" i="3"/>
  <c r="F566" i="3"/>
  <c r="E566" i="3"/>
  <c r="D566" i="3"/>
  <c r="C566" i="3"/>
  <c r="B566" i="3"/>
  <c r="A566" i="3"/>
  <c r="I565" i="3"/>
  <c r="H565" i="3"/>
  <c r="E565" i="3"/>
  <c r="D565" i="3"/>
  <c r="C565" i="3"/>
  <c r="B565" i="3"/>
  <c r="A565" i="3"/>
  <c r="I564" i="3"/>
  <c r="H564" i="3"/>
  <c r="F564" i="3"/>
  <c r="D564" i="3"/>
  <c r="C564" i="3"/>
  <c r="B564" i="3"/>
  <c r="A564" i="3"/>
  <c r="I563" i="3"/>
  <c r="H563" i="3"/>
  <c r="D563" i="3"/>
  <c r="C563" i="3"/>
  <c r="B563" i="3"/>
  <c r="A563" i="3"/>
  <c r="I562" i="3"/>
  <c r="D562" i="3"/>
  <c r="C562" i="3"/>
  <c r="B562" i="3"/>
  <c r="A562" i="3"/>
  <c r="I561" i="3"/>
  <c r="E561" i="3"/>
  <c r="D561" i="3"/>
  <c r="C561" i="3"/>
  <c r="B561" i="3"/>
  <c r="A561" i="3"/>
  <c r="I560" i="3"/>
  <c r="H560" i="3"/>
  <c r="F560" i="3"/>
  <c r="E560" i="3"/>
  <c r="D560" i="3"/>
  <c r="C560" i="3"/>
  <c r="B560" i="3"/>
  <c r="A560" i="3"/>
  <c r="I559" i="3"/>
  <c r="H559" i="3"/>
  <c r="F559" i="3"/>
  <c r="E559" i="3"/>
  <c r="D559" i="3"/>
  <c r="C559" i="3"/>
  <c r="B559" i="3"/>
  <c r="A559" i="3"/>
  <c r="I558" i="3"/>
  <c r="H558" i="3"/>
  <c r="F558" i="3"/>
  <c r="E558" i="3"/>
  <c r="D558" i="3"/>
  <c r="C558" i="3"/>
  <c r="B558" i="3"/>
  <c r="A558" i="3"/>
  <c r="I557" i="3"/>
  <c r="H557" i="3"/>
  <c r="D557" i="3"/>
  <c r="C557" i="3"/>
  <c r="B557" i="3"/>
  <c r="A557" i="3"/>
  <c r="I556" i="3"/>
  <c r="H556" i="3"/>
  <c r="F556" i="3"/>
  <c r="E556" i="3"/>
  <c r="D556" i="3"/>
  <c r="C556" i="3"/>
  <c r="B556" i="3"/>
  <c r="A556" i="3"/>
  <c r="I555" i="3"/>
  <c r="H555" i="3"/>
  <c r="D555" i="3"/>
  <c r="C555" i="3"/>
  <c r="B555" i="3"/>
  <c r="A555" i="3"/>
  <c r="I554" i="3"/>
  <c r="H554" i="3"/>
  <c r="F554" i="3"/>
  <c r="E554" i="3"/>
  <c r="D554" i="3"/>
  <c r="C554" i="3"/>
  <c r="B554" i="3"/>
  <c r="A554" i="3"/>
  <c r="I553" i="3"/>
  <c r="H553" i="3"/>
  <c r="D553" i="3"/>
  <c r="C553" i="3"/>
  <c r="B553" i="3"/>
  <c r="A553" i="3"/>
  <c r="I552" i="3"/>
  <c r="H552" i="3"/>
  <c r="E552" i="3"/>
  <c r="D552" i="3"/>
  <c r="C552" i="3"/>
  <c r="B552" i="3"/>
  <c r="A552" i="3"/>
  <c r="I551" i="3"/>
  <c r="H551" i="3"/>
  <c r="D551" i="3"/>
  <c r="C551" i="3"/>
  <c r="B551" i="3"/>
  <c r="A551" i="3"/>
  <c r="I550" i="3"/>
  <c r="H550" i="3"/>
  <c r="D550" i="3"/>
  <c r="C550" i="3"/>
  <c r="B550" i="3"/>
  <c r="A550" i="3"/>
  <c r="I549" i="3"/>
  <c r="H549" i="3"/>
  <c r="D549" i="3"/>
  <c r="C549" i="3"/>
  <c r="B549" i="3"/>
  <c r="A549" i="3"/>
  <c r="I548" i="3"/>
  <c r="H548" i="3"/>
  <c r="D548" i="3"/>
  <c r="C548" i="3"/>
  <c r="B548" i="3"/>
  <c r="A548" i="3"/>
  <c r="I547" i="3"/>
  <c r="H547" i="3"/>
  <c r="E547" i="3"/>
  <c r="D547" i="3"/>
  <c r="C547" i="3"/>
  <c r="B547" i="3"/>
  <c r="A547" i="3"/>
  <c r="I546" i="3"/>
  <c r="H546" i="3"/>
  <c r="F546" i="3"/>
  <c r="E546" i="3"/>
  <c r="D546" i="3"/>
  <c r="C546" i="3"/>
  <c r="B546" i="3"/>
  <c r="A546" i="3"/>
  <c r="I545" i="3"/>
  <c r="F545" i="3"/>
  <c r="E545" i="3"/>
  <c r="D545" i="3"/>
  <c r="C545" i="3"/>
  <c r="B545" i="3"/>
  <c r="A545" i="3"/>
  <c r="I544" i="3"/>
  <c r="H544" i="3"/>
  <c r="F544" i="3"/>
  <c r="E544" i="3"/>
  <c r="D544" i="3"/>
  <c r="C544" i="3"/>
  <c r="B544" i="3"/>
  <c r="A544" i="3"/>
  <c r="I543" i="3"/>
  <c r="H543" i="3"/>
  <c r="F543" i="3"/>
  <c r="E543" i="3"/>
  <c r="D543" i="3"/>
  <c r="C543" i="3"/>
  <c r="B543" i="3"/>
  <c r="A543" i="3"/>
  <c r="I542" i="3"/>
  <c r="H542" i="3"/>
  <c r="E542" i="3"/>
  <c r="D542" i="3"/>
  <c r="C542" i="3"/>
  <c r="B542" i="3"/>
  <c r="A542" i="3"/>
  <c r="I541" i="3"/>
  <c r="H541" i="3"/>
  <c r="F541" i="3"/>
  <c r="E541" i="3"/>
  <c r="D541" i="3"/>
  <c r="C541" i="3"/>
  <c r="B541" i="3"/>
  <c r="A541" i="3"/>
  <c r="I540" i="3"/>
  <c r="H540" i="3"/>
  <c r="F540" i="3"/>
  <c r="E540" i="3"/>
  <c r="D540" i="3"/>
  <c r="C540" i="3"/>
  <c r="B540" i="3"/>
  <c r="A540" i="3"/>
  <c r="I539" i="3"/>
  <c r="H539" i="3"/>
  <c r="D539" i="3"/>
  <c r="C539" i="3"/>
  <c r="B539" i="3"/>
  <c r="A539" i="3"/>
  <c r="I538" i="3"/>
  <c r="H538" i="3"/>
  <c r="D538" i="3"/>
  <c r="C538" i="3"/>
  <c r="B538" i="3"/>
  <c r="A538" i="3"/>
  <c r="I537" i="3"/>
  <c r="H537" i="3"/>
  <c r="D537" i="3"/>
  <c r="C537" i="3"/>
  <c r="B537" i="3"/>
  <c r="A537" i="3"/>
  <c r="I536" i="3"/>
  <c r="D536" i="3"/>
  <c r="C536" i="3"/>
  <c r="B536" i="3"/>
  <c r="A536" i="3"/>
  <c r="I535" i="3"/>
  <c r="H535" i="3"/>
  <c r="F535" i="3"/>
  <c r="E535" i="3"/>
  <c r="D535" i="3"/>
  <c r="C535" i="3"/>
  <c r="B535" i="3"/>
  <c r="A535" i="3"/>
  <c r="I534" i="3"/>
  <c r="H534" i="3"/>
  <c r="E534" i="3"/>
  <c r="D534" i="3"/>
  <c r="C534" i="3"/>
  <c r="B534" i="3"/>
  <c r="A534" i="3"/>
  <c r="I533" i="3"/>
  <c r="H533" i="3"/>
  <c r="F533" i="3"/>
  <c r="D533" i="3"/>
  <c r="C533" i="3"/>
  <c r="B533" i="3"/>
  <c r="A533" i="3"/>
  <c r="I532" i="3"/>
  <c r="H532" i="3"/>
  <c r="F532" i="3"/>
  <c r="E532" i="3"/>
  <c r="D532" i="3"/>
  <c r="C532" i="3"/>
  <c r="B532" i="3"/>
  <c r="A532" i="3"/>
  <c r="I531" i="3"/>
  <c r="H531" i="3"/>
  <c r="D531" i="3"/>
  <c r="C531" i="3"/>
  <c r="B531" i="3"/>
  <c r="A531" i="3"/>
  <c r="I530" i="3"/>
  <c r="H530" i="3"/>
  <c r="F530" i="3"/>
  <c r="D530" i="3"/>
  <c r="C530" i="3"/>
  <c r="B530" i="3"/>
  <c r="A530" i="3"/>
  <c r="I529" i="3"/>
  <c r="H529" i="3"/>
  <c r="D529" i="3"/>
  <c r="C529" i="3"/>
  <c r="B529" i="3"/>
  <c r="A529" i="3"/>
  <c r="I528" i="3"/>
  <c r="H528" i="3"/>
  <c r="D528" i="3"/>
  <c r="C528" i="3"/>
  <c r="B528" i="3"/>
  <c r="A528" i="3"/>
  <c r="I527" i="3"/>
  <c r="H527" i="3"/>
  <c r="D527" i="3"/>
  <c r="C527" i="3"/>
  <c r="B527" i="3"/>
  <c r="A527" i="3"/>
  <c r="I526" i="3"/>
  <c r="H526" i="3"/>
  <c r="D526" i="3"/>
  <c r="C526" i="3"/>
  <c r="B526" i="3"/>
  <c r="A526" i="3"/>
  <c r="I525" i="3"/>
  <c r="H525" i="3"/>
  <c r="D525" i="3"/>
  <c r="C525" i="3"/>
  <c r="B525" i="3"/>
  <c r="A525" i="3"/>
  <c r="I524" i="3"/>
  <c r="H524" i="3"/>
  <c r="D524" i="3"/>
  <c r="C524" i="3"/>
  <c r="B524" i="3"/>
  <c r="A524" i="3"/>
  <c r="I523" i="3"/>
  <c r="H523" i="3"/>
  <c r="D523" i="3"/>
  <c r="C523" i="3"/>
  <c r="B523" i="3"/>
  <c r="A523" i="3"/>
  <c r="I522" i="3"/>
  <c r="H522" i="3"/>
  <c r="D522" i="3"/>
  <c r="C522" i="3"/>
  <c r="B522" i="3"/>
  <c r="A522" i="3"/>
  <c r="I521" i="3"/>
  <c r="D521" i="3"/>
  <c r="C521" i="3"/>
  <c r="B521" i="3"/>
  <c r="A521" i="3"/>
  <c r="I520" i="3"/>
  <c r="H520" i="3"/>
  <c r="E520" i="3"/>
  <c r="D520" i="3"/>
  <c r="C520" i="3"/>
  <c r="B520" i="3"/>
  <c r="A520" i="3"/>
  <c r="I519" i="3"/>
  <c r="H519" i="3"/>
  <c r="F519" i="3"/>
  <c r="D519" i="3"/>
  <c r="C519" i="3"/>
  <c r="B519" i="3"/>
  <c r="A519" i="3"/>
  <c r="I518" i="3"/>
  <c r="H518" i="3"/>
  <c r="D518" i="3"/>
  <c r="C518" i="3"/>
  <c r="B518" i="3"/>
  <c r="A518" i="3"/>
  <c r="I517" i="3"/>
  <c r="H517" i="3"/>
  <c r="E517" i="3"/>
  <c r="D517" i="3"/>
  <c r="C517" i="3"/>
  <c r="B517" i="3"/>
  <c r="A517" i="3"/>
  <c r="I516" i="3"/>
  <c r="H516" i="3"/>
  <c r="F516" i="3"/>
  <c r="D516" i="3"/>
  <c r="C516" i="3"/>
  <c r="B516" i="3"/>
  <c r="A516" i="3"/>
  <c r="I515" i="3"/>
  <c r="H515" i="3"/>
  <c r="D515" i="3"/>
  <c r="C515" i="3"/>
  <c r="B515" i="3"/>
  <c r="A515" i="3"/>
  <c r="I514" i="3"/>
  <c r="H514" i="3"/>
  <c r="F514" i="3"/>
  <c r="E514" i="3"/>
  <c r="D514" i="3"/>
  <c r="C514" i="3"/>
  <c r="B514" i="3"/>
  <c r="A514" i="3"/>
  <c r="I513" i="3"/>
  <c r="H513" i="3"/>
  <c r="F513" i="3"/>
  <c r="E513" i="3"/>
  <c r="D513" i="3"/>
  <c r="C513" i="3"/>
  <c r="B513" i="3"/>
  <c r="A513" i="3"/>
  <c r="I512" i="3"/>
  <c r="H512" i="3"/>
  <c r="F512" i="3"/>
  <c r="E512" i="3"/>
  <c r="D512" i="3"/>
  <c r="C512" i="3"/>
  <c r="B512" i="3"/>
  <c r="A512" i="3"/>
  <c r="I511" i="3"/>
  <c r="H511" i="3"/>
  <c r="D511" i="3"/>
  <c r="C511" i="3"/>
  <c r="B511" i="3"/>
  <c r="A511" i="3"/>
  <c r="I510" i="3"/>
  <c r="H510" i="3"/>
  <c r="D510" i="3"/>
  <c r="C510" i="3"/>
  <c r="B510" i="3"/>
  <c r="A510" i="3"/>
  <c r="I509" i="3"/>
  <c r="H509" i="3"/>
  <c r="D509" i="3"/>
  <c r="C509" i="3"/>
  <c r="B509" i="3"/>
  <c r="A509" i="3"/>
  <c r="I508" i="3"/>
  <c r="H508" i="3"/>
  <c r="D508" i="3"/>
  <c r="C508" i="3"/>
  <c r="B508" i="3"/>
  <c r="A508" i="3"/>
  <c r="I507" i="3"/>
  <c r="H507" i="3"/>
  <c r="D507" i="3"/>
  <c r="C507" i="3"/>
  <c r="B507" i="3"/>
  <c r="A507" i="3"/>
  <c r="I506" i="3"/>
  <c r="H506" i="3"/>
  <c r="D506" i="3"/>
  <c r="C506" i="3"/>
  <c r="B506" i="3"/>
  <c r="A506" i="3"/>
  <c r="I505" i="3"/>
  <c r="H505" i="3"/>
  <c r="D505" i="3"/>
  <c r="C505" i="3"/>
  <c r="B505" i="3"/>
  <c r="A505" i="3"/>
  <c r="I504" i="3"/>
  <c r="H504" i="3"/>
  <c r="F504" i="3"/>
  <c r="E504" i="3"/>
  <c r="D504" i="3"/>
  <c r="C504" i="3"/>
  <c r="B504" i="3"/>
  <c r="A504" i="3"/>
  <c r="I503" i="3"/>
  <c r="H503" i="3"/>
  <c r="D503" i="3"/>
  <c r="C503" i="3"/>
  <c r="B503" i="3"/>
  <c r="A503" i="3"/>
  <c r="I502" i="3"/>
  <c r="H502" i="3"/>
  <c r="D502" i="3"/>
  <c r="C502" i="3"/>
  <c r="B502" i="3"/>
  <c r="A502" i="3"/>
  <c r="I501" i="3"/>
  <c r="H501" i="3"/>
  <c r="D501" i="3"/>
  <c r="C501" i="3"/>
  <c r="B501" i="3"/>
  <c r="A501" i="3"/>
  <c r="I500" i="3"/>
  <c r="D500" i="3"/>
  <c r="C500" i="3"/>
  <c r="B500" i="3"/>
  <c r="A500" i="3"/>
  <c r="I499" i="3"/>
  <c r="F499" i="3"/>
  <c r="E499" i="3"/>
  <c r="D499" i="3"/>
  <c r="C499" i="3"/>
  <c r="B499" i="3"/>
  <c r="A499" i="3"/>
  <c r="I498" i="3"/>
  <c r="F498" i="3"/>
  <c r="E498" i="3"/>
  <c r="D498" i="3"/>
  <c r="C498" i="3"/>
  <c r="B498" i="3"/>
  <c r="A498" i="3"/>
  <c r="I497" i="3"/>
  <c r="D497" i="3"/>
  <c r="C497" i="3"/>
  <c r="B497" i="3"/>
  <c r="A497" i="3"/>
  <c r="I496" i="3"/>
  <c r="D496" i="3"/>
  <c r="C496" i="3"/>
  <c r="B496" i="3"/>
  <c r="A496" i="3"/>
  <c r="I495" i="3"/>
  <c r="D495" i="3"/>
  <c r="C495" i="3"/>
  <c r="B495" i="3"/>
  <c r="A495" i="3"/>
  <c r="I494" i="3"/>
  <c r="F494" i="3"/>
  <c r="E494" i="3"/>
  <c r="D494" i="3"/>
  <c r="C494" i="3"/>
  <c r="B494" i="3"/>
  <c r="A494" i="3"/>
  <c r="I493" i="3"/>
  <c r="D493" i="3"/>
  <c r="C493" i="3"/>
  <c r="B493" i="3"/>
  <c r="A493" i="3"/>
  <c r="I492" i="3"/>
  <c r="H492" i="3"/>
  <c r="D492" i="3"/>
  <c r="C492" i="3"/>
  <c r="B492" i="3"/>
  <c r="A492" i="3"/>
  <c r="I491" i="3"/>
  <c r="H491" i="3"/>
  <c r="F491" i="3"/>
  <c r="E491" i="3"/>
  <c r="D491" i="3"/>
  <c r="C491" i="3"/>
  <c r="B491" i="3"/>
  <c r="A491" i="3"/>
  <c r="I490" i="3"/>
  <c r="H490" i="3"/>
  <c r="D490" i="3"/>
  <c r="C490" i="3"/>
  <c r="B490" i="3"/>
  <c r="A490" i="3"/>
  <c r="I489" i="3"/>
  <c r="H489" i="3"/>
  <c r="D489" i="3"/>
  <c r="C489" i="3"/>
  <c r="B489" i="3"/>
  <c r="A489" i="3"/>
  <c r="I488" i="3"/>
  <c r="H488" i="3"/>
  <c r="D488" i="3"/>
  <c r="C488" i="3"/>
  <c r="B488" i="3"/>
  <c r="A488" i="3"/>
  <c r="I487" i="3"/>
  <c r="H487" i="3"/>
  <c r="F487" i="3"/>
  <c r="D487" i="3"/>
  <c r="C487" i="3"/>
  <c r="B487" i="3"/>
  <c r="A487" i="3"/>
  <c r="I486" i="3"/>
  <c r="H486" i="3"/>
  <c r="D486" i="3"/>
  <c r="C486" i="3"/>
  <c r="B486" i="3"/>
  <c r="A486" i="3"/>
  <c r="I485" i="3"/>
  <c r="H485" i="3"/>
  <c r="F485" i="3"/>
  <c r="D485" i="3"/>
  <c r="C485" i="3"/>
  <c r="B485" i="3"/>
  <c r="A485" i="3"/>
  <c r="I484" i="3"/>
  <c r="H484" i="3"/>
  <c r="F484" i="3"/>
  <c r="D484" i="3"/>
  <c r="C484" i="3"/>
  <c r="B484" i="3"/>
  <c r="A484" i="3"/>
  <c r="I483" i="3"/>
  <c r="H483" i="3"/>
  <c r="F483" i="3"/>
  <c r="D483" i="3"/>
  <c r="C483" i="3"/>
  <c r="B483" i="3"/>
  <c r="A483" i="3"/>
  <c r="I482" i="3"/>
  <c r="H482" i="3"/>
  <c r="F482" i="3"/>
  <c r="E482" i="3"/>
  <c r="D482" i="3"/>
  <c r="C482" i="3"/>
  <c r="B482" i="3"/>
  <c r="A482" i="3"/>
  <c r="I481" i="3"/>
  <c r="H481" i="3"/>
  <c r="F481" i="3"/>
  <c r="E481" i="3"/>
  <c r="D481" i="3"/>
  <c r="C481" i="3"/>
  <c r="B481" i="3"/>
  <c r="A481" i="3"/>
  <c r="I480" i="3"/>
  <c r="H480" i="3"/>
  <c r="F480" i="3"/>
  <c r="E480" i="3"/>
  <c r="D480" i="3"/>
  <c r="C480" i="3"/>
  <c r="B480" i="3"/>
  <c r="A480" i="3"/>
  <c r="I479" i="3"/>
  <c r="H479" i="3"/>
  <c r="F479" i="3"/>
  <c r="E479" i="3"/>
  <c r="D479" i="3"/>
  <c r="C479" i="3"/>
  <c r="B479" i="3"/>
  <c r="A479" i="3"/>
  <c r="I478" i="3"/>
  <c r="H478" i="3"/>
  <c r="D478" i="3"/>
  <c r="C478" i="3"/>
  <c r="B478" i="3"/>
  <c r="A478" i="3"/>
  <c r="I477" i="3"/>
  <c r="F477" i="3"/>
  <c r="D477" i="3"/>
  <c r="C477" i="3"/>
  <c r="B477" i="3"/>
  <c r="A477" i="3"/>
  <c r="I476" i="3"/>
  <c r="H476" i="3"/>
  <c r="D476" i="3"/>
  <c r="C476" i="3"/>
  <c r="B476" i="3"/>
  <c r="A476" i="3"/>
  <c r="I475" i="3"/>
  <c r="H475" i="3"/>
  <c r="E475" i="3"/>
  <c r="D475" i="3"/>
  <c r="C475" i="3"/>
  <c r="B475" i="3"/>
  <c r="A475" i="3"/>
  <c r="I474" i="3"/>
  <c r="H474" i="3"/>
  <c r="F474" i="3"/>
  <c r="E474" i="3"/>
  <c r="D474" i="3"/>
  <c r="C474" i="3"/>
  <c r="B474" i="3"/>
  <c r="A474" i="3"/>
  <c r="I473" i="3"/>
  <c r="H473" i="3"/>
  <c r="D473" i="3"/>
  <c r="C473" i="3"/>
  <c r="B473" i="3"/>
  <c r="A473" i="3"/>
  <c r="I472" i="3"/>
  <c r="H472" i="3"/>
  <c r="D472" i="3"/>
  <c r="C472" i="3"/>
  <c r="B472" i="3"/>
  <c r="A472" i="3"/>
  <c r="I471" i="3"/>
  <c r="H471" i="3"/>
  <c r="D471" i="3"/>
  <c r="C471" i="3"/>
  <c r="B471" i="3"/>
  <c r="A471" i="3"/>
  <c r="I470" i="3"/>
  <c r="H470" i="3"/>
  <c r="F470" i="3"/>
  <c r="E470" i="3"/>
  <c r="D470" i="3"/>
  <c r="C470" i="3"/>
  <c r="B470" i="3"/>
  <c r="A470" i="3"/>
  <c r="I469" i="3"/>
  <c r="H469" i="3"/>
  <c r="F469" i="3"/>
  <c r="E469" i="3"/>
  <c r="D469" i="3"/>
  <c r="C469" i="3"/>
  <c r="B469" i="3"/>
  <c r="A469" i="3"/>
  <c r="I468" i="3"/>
  <c r="H468" i="3"/>
  <c r="F468" i="3"/>
  <c r="E468" i="3"/>
  <c r="D468" i="3"/>
  <c r="C468" i="3"/>
  <c r="B468" i="3"/>
  <c r="A468" i="3"/>
  <c r="I467" i="3"/>
  <c r="D467" i="3"/>
  <c r="C467" i="3"/>
  <c r="B467" i="3"/>
  <c r="A467" i="3"/>
  <c r="I466" i="3"/>
  <c r="H466" i="3"/>
  <c r="D466" i="3"/>
  <c r="C466" i="3"/>
  <c r="B466" i="3"/>
  <c r="A466" i="3"/>
  <c r="I465" i="3"/>
  <c r="H465" i="3"/>
  <c r="D465" i="3"/>
  <c r="C465" i="3"/>
  <c r="B465" i="3"/>
  <c r="A465" i="3"/>
  <c r="I464" i="3"/>
  <c r="H464" i="3"/>
  <c r="F464" i="3"/>
  <c r="E464" i="3"/>
  <c r="D464" i="3"/>
  <c r="C464" i="3"/>
  <c r="B464" i="3"/>
  <c r="A464" i="3"/>
  <c r="I463" i="3"/>
  <c r="H463" i="3"/>
  <c r="F463" i="3"/>
  <c r="E463" i="3"/>
  <c r="D463" i="3"/>
  <c r="C463" i="3"/>
  <c r="B463" i="3"/>
  <c r="A463" i="3"/>
  <c r="I462" i="3"/>
  <c r="H462" i="3"/>
  <c r="D462" i="3"/>
  <c r="C462" i="3"/>
  <c r="B462" i="3"/>
  <c r="A462" i="3"/>
  <c r="I461" i="3"/>
  <c r="H461" i="3"/>
  <c r="E461" i="3"/>
  <c r="D461" i="3"/>
  <c r="C461" i="3"/>
  <c r="B461" i="3"/>
  <c r="A461" i="3"/>
  <c r="I460" i="3"/>
  <c r="H460" i="3"/>
  <c r="F460" i="3"/>
  <c r="D460" i="3"/>
  <c r="C460" i="3"/>
  <c r="B460" i="3"/>
  <c r="A460" i="3"/>
  <c r="I459" i="3"/>
  <c r="H459" i="3"/>
  <c r="F459" i="3"/>
  <c r="E459" i="3"/>
  <c r="D459" i="3"/>
  <c r="C459" i="3"/>
  <c r="B459" i="3"/>
  <c r="A459" i="3"/>
  <c r="I458" i="3"/>
  <c r="H458" i="3"/>
  <c r="E458" i="3"/>
  <c r="D458" i="3"/>
  <c r="C458" i="3"/>
  <c r="B458" i="3"/>
  <c r="A458" i="3"/>
  <c r="I457" i="3"/>
  <c r="H457" i="3"/>
  <c r="F457" i="3"/>
  <c r="E457" i="3"/>
  <c r="D457" i="3"/>
  <c r="C457" i="3"/>
  <c r="B457" i="3"/>
  <c r="A457" i="3"/>
  <c r="I456" i="3"/>
  <c r="H456" i="3"/>
  <c r="F456" i="3"/>
  <c r="E456" i="3"/>
  <c r="D456" i="3"/>
  <c r="C456" i="3"/>
  <c r="B456" i="3"/>
  <c r="A456" i="3"/>
  <c r="I455" i="3"/>
  <c r="H455" i="3"/>
  <c r="F455" i="3"/>
  <c r="E455" i="3"/>
  <c r="D455" i="3"/>
  <c r="C455" i="3"/>
  <c r="B455" i="3"/>
  <c r="A455" i="3"/>
  <c r="I454" i="3"/>
  <c r="E454" i="3"/>
  <c r="D454" i="3"/>
  <c r="C454" i="3"/>
  <c r="B454" i="3"/>
  <c r="A454" i="3"/>
  <c r="I453" i="3"/>
  <c r="D453" i="3"/>
  <c r="C453" i="3"/>
  <c r="B453" i="3"/>
  <c r="A453" i="3"/>
  <c r="I452" i="3"/>
  <c r="H452" i="3"/>
  <c r="F452" i="3"/>
  <c r="E452" i="3"/>
  <c r="D452" i="3"/>
  <c r="C452" i="3"/>
  <c r="B452" i="3"/>
  <c r="A452" i="3"/>
  <c r="I451" i="3"/>
  <c r="H451" i="3"/>
  <c r="D451" i="3"/>
  <c r="C451" i="3"/>
  <c r="B451" i="3"/>
  <c r="A451" i="3"/>
  <c r="I450" i="3"/>
  <c r="H450" i="3"/>
  <c r="D450" i="3"/>
  <c r="C450" i="3"/>
  <c r="B450" i="3"/>
  <c r="A450" i="3"/>
  <c r="I449" i="3"/>
  <c r="H449" i="3"/>
  <c r="F449" i="3"/>
  <c r="E449" i="3"/>
  <c r="D449" i="3"/>
  <c r="C449" i="3"/>
  <c r="B449" i="3"/>
  <c r="A449" i="3"/>
  <c r="I448" i="3"/>
  <c r="H448" i="3"/>
  <c r="F448" i="3"/>
  <c r="E448" i="3"/>
  <c r="D448" i="3"/>
  <c r="C448" i="3"/>
  <c r="B448" i="3"/>
  <c r="A448" i="3"/>
  <c r="I447" i="3"/>
  <c r="H447" i="3"/>
  <c r="D447" i="3"/>
  <c r="C447" i="3"/>
  <c r="B447" i="3"/>
  <c r="A447" i="3"/>
  <c r="I446" i="3"/>
  <c r="H446" i="3"/>
  <c r="F446" i="3"/>
  <c r="E446" i="3"/>
  <c r="D446" i="3"/>
  <c r="C446" i="3"/>
  <c r="B446" i="3"/>
  <c r="A446" i="3"/>
  <c r="I445" i="3"/>
  <c r="H445" i="3"/>
  <c r="D445" i="3"/>
  <c r="C445" i="3"/>
  <c r="B445" i="3"/>
  <c r="A445" i="3"/>
  <c r="I444" i="3"/>
  <c r="H444" i="3"/>
  <c r="F444" i="3"/>
  <c r="E444" i="3"/>
  <c r="D444" i="3"/>
  <c r="C444" i="3"/>
  <c r="B444" i="3"/>
  <c r="A444" i="3"/>
  <c r="I443" i="3"/>
  <c r="H443" i="3"/>
  <c r="F443" i="3"/>
  <c r="E443" i="3"/>
  <c r="D443" i="3"/>
  <c r="C443" i="3"/>
  <c r="B443" i="3"/>
  <c r="A443" i="3"/>
  <c r="I442" i="3"/>
  <c r="H442" i="3"/>
  <c r="D442" i="3"/>
  <c r="C442" i="3"/>
  <c r="B442" i="3"/>
  <c r="A442" i="3"/>
  <c r="I441" i="3"/>
  <c r="H441" i="3"/>
  <c r="E441" i="3"/>
  <c r="D441" i="3"/>
  <c r="C441" i="3"/>
  <c r="B441" i="3"/>
  <c r="A441" i="3"/>
  <c r="I440" i="3"/>
  <c r="H440" i="3"/>
  <c r="D440" i="3"/>
  <c r="C440" i="3"/>
  <c r="B440" i="3"/>
  <c r="A440" i="3"/>
  <c r="I439" i="3"/>
  <c r="H439" i="3"/>
  <c r="D439" i="3"/>
  <c r="C439" i="3"/>
  <c r="B439" i="3"/>
  <c r="A439" i="3"/>
  <c r="I438" i="3"/>
  <c r="H438" i="3"/>
  <c r="D438" i="3"/>
  <c r="C438" i="3"/>
  <c r="B438" i="3"/>
  <c r="A438" i="3"/>
  <c r="I437" i="3"/>
  <c r="H437" i="3"/>
  <c r="F437" i="3"/>
  <c r="E437" i="3"/>
  <c r="D437" i="3"/>
  <c r="C437" i="3"/>
  <c r="B437" i="3"/>
  <c r="A437" i="3"/>
  <c r="I436" i="3"/>
  <c r="H436" i="3"/>
  <c r="F436" i="3"/>
  <c r="D436" i="3"/>
  <c r="C436" i="3"/>
  <c r="B436" i="3"/>
  <c r="A436" i="3"/>
  <c r="I435" i="3"/>
  <c r="H435" i="3"/>
  <c r="D435" i="3"/>
  <c r="C435" i="3"/>
  <c r="B435" i="3"/>
  <c r="A435" i="3"/>
  <c r="I434" i="3"/>
  <c r="H434" i="3"/>
  <c r="D434" i="3"/>
  <c r="C434" i="3"/>
  <c r="B434" i="3"/>
  <c r="A434" i="3"/>
  <c r="I433" i="3"/>
  <c r="H433" i="3"/>
  <c r="D433" i="3"/>
  <c r="C433" i="3"/>
  <c r="B433" i="3"/>
  <c r="A433" i="3"/>
  <c r="I432" i="3"/>
  <c r="H432" i="3"/>
  <c r="F432" i="3"/>
  <c r="E432" i="3"/>
  <c r="D432" i="3"/>
  <c r="C432" i="3"/>
  <c r="B432" i="3"/>
  <c r="A432" i="3"/>
  <c r="I431" i="3"/>
  <c r="H431" i="3"/>
  <c r="E431" i="3"/>
  <c r="D431" i="3"/>
  <c r="C431" i="3"/>
  <c r="B431" i="3"/>
  <c r="A431" i="3"/>
  <c r="I430" i="3"/>
  <c r="H430" i="3"/>
  <c r="F430" i="3"/>
  <c r="D430" i="3"/>
  <c r="C430" i="3"/>
  <c r="B430" i="3"/>
  <c r="A430" i="3"/>
  <c r="I429" i="3"/>
  <c r="H429" i="3"/>
  <c r="E429" i="3"/>
  <c r="D429" i="3"/>
  <c r="C429" i="3"/>
  <c r="B429" i="3"/>
  <c r="A429" i="3"/>
  <c r="I428" i="3"/>
  <c r="H428" i="3"/>
  <c r="E428" i="3"/>
  <c r="D428" i="3"/>
  <c r="C428" i="3"/>
  <c r="B428" i="3"/>
  <c r="A428" i="3"/>
  <c r="I427" i="3"/>
  <c r="H427" i="3"/>
  <c r="D427" i="3"/>
  <c r="C427" i="3"/>
  <c r="B427" i="3"/>
  <c r="A427" i="3"/>
  <c r="I426" i="3"/>
  <c r="H426" i="3"/>
  <c r="F426" i="3"/>
  <c r="E426" i="3"/>
  <c r="D426" i="3"/>
  <c r="C426" i="3"/>
  <c r="B426" i="3"/>
  <c r="A426" i="3"/>
  <c r="I425" i="3"/>
  <c r="H425" i="3"/>
  <c r="E425" i="3"/>
  <c r="D425" i="3"/>
  <c r="C425" i="3"/>
  <c r="B425" i="3"/>
  <c r="A425" i="3"/>
  <c r="I424" i="3"/>
  <c r="H424" i="3"/>
  <c r="F424" i="3"/>
  <c r="D424" i="3"/>
  <c r="C424" i="3"/>
  <c r="B424" i="3"/>
  <c r="A424" i="3"/>
  <c r="I423" i="3"/>
  <c r="H423" i="3"/>
  <c r="D423" i="3"/>
  <c r="C423" i="3"/>
  <c r="B423" i="3"/>
  <c r="A423" i="3"/>
  <c r="I422" i="3"/>
  <c r="H422" i="3"/>
  <c r="D422" i="3"/>
  <c r="C422" i="3"/>
  <c r="B422" i="3"/>
  <c r="A422" i="3"/>
  <c r="I421" i="3"/>
  <c r="H421" i="3"/>
  <c r="F421" i="3"/>
  <c r="E421" i="3"/>
  <c r="D421" i="3"/>
  <c r="C421" i="3"/>
  <c r="B421" i="3"/>
  <c r="A421" i="3"/>
  <c r="I420" i="3"/>
  <c r="H420" i="3"/>
  <c r="F420" i="3"/>
  <c r="E420" i="3"/>
  <c r="D420" i="3"/>
  <c r="C420" i="3"/>
  <c r="B420" i="3"/>
  <c r="A420" i="3"/>
  <c r="I419" i="3"/>
  <c r="H419" i="3"/>
  <c r="D419" i="3"/>
  <c r="C419" i="3"/>
  <c r="B419" i="3"/>
  <c r="A419" i="3"/>
  <c r="I418" i="3"/>
  <c r="H418" i="3"/>
  <c r="D418" i="3"/>
  <c r="C418" i="3"/>
  <c r="B418" i="3"/>
  <c r="A418" i="3"/>
  <c r="I417" i="3"/>
  <c r="H417" i="3"/>
  <c r="F417" i="3"/>
  <c r="D417" i="3"/>
  <c r="C417" i="3"/>
  <c r="B417" i="3"/>
  <c r="A417" i="3"/>
  <c r="I416" i="3"/>
  <c r="H416" i="3"/>
  <c r="E416" i="3"/>
  <c r="D416" i="3"/>
  <c r="C416" i="3"/>
  <c r="B416" i="3"/>
  <c r="A416" i="3"/>
  <c r="I415" i="3"/>
  <c r="H415" i="3"/>
  <c r="E415" i="3"/>
  <c r="D415" i="3"/>
  <c r="C415" i="3"/>
  <c r="B415" i="3"/>
  <c r="A415" i="3"/>
  <c r="I414" i="3"/>
  <c r="H414" i="3"/>
  <c r="F414" i="3"/>
  <c r="D414" i="3"/>
  <c r="C414" i="3"/>
  <c r="B414" i="3"/>
  <c r="A414" i="3"/>
  <c r="I413" i="3"/>
  <c r="H413" i="3"/>
  <c r="F413" i="3"/>
  <c r="E413" i="3"/>
  <c r="D413" i="3"/>
  <c r="C413" i="3"/>
  <c r="B413" i="3"/>
  <c r="A413" i="3"/>
  <c r="I412" i="3"/>
  <c r="H412" i="3"/>
  <c r="D412" i="3"/>
  <c r="C412" i="3"/>
  <c r="B412" i="3"/>
  <c r="A412" i="3"/>
  <c r="I411" i="3"/>
  <c r="H411" i="3"/>
  <c r="F411" i="3"/>
  <c r="E411" i="3"/>
  <c r="D411" i="3"/>
  <c r="C411" i="3"/>
  <c r="B411" i="3"/>
  <c r="A411" i="3"/>
  <c r="I410" i="3"/>
  <c r="H410" i="3"/>
  <c r="D410" i="3"/>
  <c r="C410" i="3"/>
  <c r="B410" i="3"/>
  <c r="A410" i="3"/>
  <c r="I409" i="3"/>
  <c r="H409" i="3"/>
  <c r="D409" i="3"/>
  <c r="C409" i="3"/>
  <c r="B409" i="3"/>
  <c r="A409" i="3"/>
  <c r="I408" i="3"/>
  <c r="H408" i="3"/>
  <c r="D408" i="3"/>
  <c r="C408" i="3"/>
  <c r="B408" i="3"/>
  <c r="A408" i="3"/>
  <c r="I407" i="3"/>
  <c r="H407" i="3"/>
  <c r="E407" i="3"/>
  <c r="D407" i="3"/>
  <c r="C407" i="3"/>
  <c r="B407" i="3"/>
  <c r="A407" i="3"/>
  <c r="I406" i="3"/>
  <c r="D406" i="3"/>
  <c r="C406" i="3"/>
  <c r="B406" i="3"/>
  <c r="A406" i="3"/>
  <c r="I405" i="3"/>
  <c r="H405" i="3"/>
  <c r="E405" i="3"/>
  <c r="D405" i="3"/>
  <c r="C405" i="3"/>
  <c r="B405" i="3"/>
  <c r="A405" i="3"/>
  <c r="I404" i="3"/>
  <c r="H404" i="3"/>
  <c r="F404" i="3"/>
  <c r="E404" i="3"/>
  <c r="D404" i="3"/>
  <c r="C404" i="3"/>
  <c r="B404" i="3"/>
  <c r="A404" i="3"/>
  <c r="I403" i="3"/>
  <c r="H403" i="3"/>
  <c r="E403" i="3"/>
  <c r="D403" i="3"/>
  <c r="C403" i="3"/>
  <c r="B403" i="3"/>
  <c r="A403" i="3"/>
  <c r="I402" i="3"/>
  <c r="H402" i="3"/>
  <c r="F402" i="3"/>
  <c r="D402" i="3"/>
  <c r="C402" i="3"/>
  <c r="B402" i="3"/>
  <c r="A402" i="3"/>
  <c r="I401" i="3"/>
  <c r="H401" i="3"/>
  <c r="F401" i="3"/>
  <c r="E401" i="3"/>
  <c r="D401" i="3"/>
  <c r="C401" i="3"/>
  <c r="B401" i="3"/>
  <c r="A401" i="3"/>
  <c r="I400" i="3"/>
  <c r="H400" i="3"/>
  <c r="F400" i="3"/>
  <c r="E400" i="3"/>
  <c r="D400" i="3"/>
  <c r="C400" i="3"/>
  <c r="B400" i="3"/>
  <c r="A400" i="3"/>
  <c r="I399" i="3"/>
  <c r="H399" i="3"/>
  <c r="F399" i="3"/>
  <c r="E399" i="3"/>
  <c r="D399" i="3"/>
  <c r="C399" i="3"/>
  <c r="B399" i="3"/>
  <c r="A399" i="3"/>
  <c r="I398" i="3"/>
  <c r="H398" i="3"/>
  <c r="F398" i="3"/>
  <c r="E398" i="3"/>
  <c r="D398" i="3"/>
  <c r="C398" i="3"/>
  <c r="B398" i="3"/>
  <c r="A398" i="3"/>
  <c r="I397" i="3"/>
  <c r="H397" i="3"/>
  <c r="F397" i="3"/>
  <c r="E397" i="3"/>
  <c r="D397" i="3"/>
  <c r="C397" i="3"/>
  <c r="B397" i="3"/>
  <c r="A397" i="3"/>
  <c r="I396" i="3"/>
  <c r="H396" i="3"/>
  <c r="D396" i="3"/>
  <c r="C396" i="3"/>
  <c r="B396" i="3"/>
  <c r="A396" i="3"/>
  <c r="I395" i="3"/>
  <c r="H395" i="3"/>
  <c r="F395" i="3"/>
  <c r="E395" i="3"/>
  <c r="D395" i="3"/>
  <c r="C395" i="3"/>
  <c r="B395" i="3"/>
  <c r="A395" i="3"/>
  <c r="I394" i="3"/>
  <c r="H394" i="3"/>
  <c r="D394" i="3"/>
  <c r="C394" i="3"/>
  <c r="B394" i="3"/>
  <c r="A394" i="3"/>
  <c r="I393" i="3"/>
  <c r="H393" i="3"/>
  <c r="D393" i="3"/>
  <c r="C393" i="3"/>
  <c r="B393" i="3"/>
  <c r="A393" i="3"/>
  <c r="I392" i="3"/>
  <c r="H392" i="3"/>
  <c r="F392" i="3"/>
  <c r="E392" i="3"/>
  <c r="D392" i="3"/>
  <c r="C392" i="3"/>
  <c r="B392" i="3"/>
  <c r="A392" i="3"/>
  <c r="I391" i="3"/>
  <c r="H391" i="3"/>
  <c r="F391" i="3"/>
  <c r="E391" i="3"/>
  <c r="D391" i="3"/>
  <c r="C391" i="3"/>
  <c r="B391" i="3"/>
  <c r="A391" i="3"/>
  <c r="I390" i="3"/>
  <c r="H390" i="3"/>
  <c r="D390" i="3"/>
  <c r="C390" i="3"/>
  <c r="B390" i="3"/>
  <c r="A390" i="3"/>
  <c r="I389" i="3"/>
  <c r="H389" i="3"/>
  <c r="D389" i="3"/>
  <c r="C389" i="3"/>
  <c r="B389" i="3"/>
  <c r="A389" i="3"/>
  <c r="I388" i="3"/>
  <c r="H388" i="3"/>
  <c r="F388" i="3"/>
  <c r="D388" i="3"/>
  <c r="C388" i="3"/>
  <c r="B388" i="3"/>
  <c r="A388" i="3"/>
  <c r="I387" i="3"/>
  <c r="H387" i="3"/>
  <c r="F387" i="3"/>
  <c r="E387" i="3"/>
  <c r="D387" i="3"/>
  <c r="C387" i="3"/>
  <c r="B387" i="3"/>
  <c r="A387" i="3"/>
  <c r="I386" i="3"/>
  <c r="H386" i="3"/>
  <c r="F386" i="3"/>
  <c r="D386" i="3"/>
  <c r="C386" i="3"/>
  <c r="B386" i="3"/>
  <c r="A386" i="3"/>
  <c r="I385" i="3"/>
  <c r="H385" i="3"/>
  <c r="F385" i="3"/>
  <c r="D385" i="3"/>
  <c r="C385" i="3"/>
  <c r="B385" i="3"/>
  <c r="A385" i="3"/>
  <c r="I384" i="3"/>
  <c r="H384" i="3"/>
  <c r="D384" i="3"/>
  <c r="C384" i="3"/>
  <c r="B384" i="3"/>
  <c r="A384" i="3"/>
  <c r="I383" i="3"/>
  <c r="H383" i="3"/>
  <c r="E383" i="3"/>
  <c r="D383" i="3"/>
  <c r="C383" i="3"/>
  <c r="B383" i="3"/>
  <c r="A383" i="3"/>
  <c r="I382" i="3"/>
  <c r="H382" i="3"/>
  <c r="F382" i="3"/>
  <c r="E382" i="3"/>
  <c r="D382" i="3"/>
  <c r="C382" i="3"/>
  <c r="B382" i="3"/>
  <c r="A382" i="3"/>
  <c r="I381" i="3"/>
  <c r="H381" i="3"/>
  <c r="F381" i="3"/>
  <c r="E381" i="3"/>
  <c r="D381" i="3"/>
  <c r="C381" i="3"/>
  <c r="B381" i="3"/>
  <c r="A381" i="3"/>
  <c r="I380" i="3"/>
  <c r="H380" i="3"/>
  <c r="F380" i="3"/>
  <c r="E380" i="3"/>
  <c r="D380" i="3"/>
  <c r="C380" i="3"/>
  <c r="B380" i="3"/>
  <c r="A380" i="3"/>
  <c r="I379" i="3"/>
  <c r="H379" i="3"/>
  <c r="D379" i="3"/>
  <c r="C379" i="3"/>
  <c r="B379" i="3"/>
  <c r="A379" i="3"/>
  <c r="I378" i="3"/>
  <c r="H378" i="3"/>
  <c r="E378" i="3"/>
  <c r="D378" i="3"/>
  <c r="C378" i="3"/>
  <c r="B378" i="3"/>
  <c r="A378" i="3"/>
  <c r="I377" i="3"/>
  <c r="H377" i="3"/>
  <c r="F377" i="3"/>
  <c r="E377" i="3"/>
  <c r="D377" i="3"/>
  <c r="C377" i="3"/>
  <c r="B377" i="3"/>
  <c r="A377" i="3"/>
  <c r="I376" i="3"/>
  <c r="H376" i="3"/>
  <c r="F376" i="3"/>
  <c r="E376" i="3"/>
  <c r="D376" i="3"/>
  <c r="C376" i="3"/>
  <c r="B376" i="3"/>
  <c r="A376" i="3"/>
  <c r="I375" i="3"/>
  <c r="H375" i="3"/>
  <c r="D375" i="3"/>
  <c r="C375" i="3"/>
  <c r="B375" i="3"/>
  <c r="A375" i="3"/>
  <c r="I374" i="3"/>
  <c r="H374" i="3"/>
  <c r="F374" i="3"/>
  <c r="D374" i="3"/>
  <c r="C374" i="3"/>
  <c r="B374" i="3"/>
  <c r="A374" i="3"/>
  <c r="I373" i="3"/>
  <c r="H373" i="3"/>
  <c r="D373" i="3"/>
  <c r="C373" i="3"/>
  <c r="B373" i="3"/>
  <c r="A373" i="3"/>
  <c r="I372" i="3"/>
  <c r="H372" i="3"/>
  <c r="F372" i="3"/>
  <c r="D372" i="3"/>
  <c r="C372" i="3"/>
  <c r="B372" i="3"/>
  <c r="A372" i="3"/>
  <c r="I371" i="3"/>
  <c r="H371" i="3"/>
  <c r="D371" i="3"/>
  <c r="C371" i="3"/>
  <c r="B371" i="3"/>
  <c r="A371" i="3"/>
  <c r="I370" i="3"/>
  <c r="F370" i="3"/>
  <c r="D370" i="3"/>
  <c r="C370" i="3"/>
  <c r="B370" i="3"/>
  <c r="A370" i="3"/>
  <c r="I369" i="3"/>
  <c r="H369" i="3"/>
  <c r="E369" i="3"/>
  <c r="D369" i="3"/>
  <c r="C369" i="3"/>
  <c r="B369" i="3"/>
  <c r="A369" i="3"/>
  <c r="I368" i="3"/>
  <c r="H368" i="3"/>
  <c r="F368" i="3"/>
  <c r="D368" i="3"/>
  <c r="C368" i="3"/>
  <c r="B368" i="3"/>
  <c r="A368" i="3"/>
  <c r="I367" i="3"/>
  <c r="H367" i="3"/>
  <c r="D367" i="3"/>
  <c r="C367" i="3"/>
  <c r="B367" i="3"/>
  <c r="A367" i="3"/>
  <c r="I366" i="3"/>
  <c r="H366" i="3"/>
  <c r="F366" i="3"/>
  <c r="E366" i="3"/>
  <c r="D366" i="3"/>
  <c r="C366" i="3"/>
  <c r="B366" i="3"/>
  <c r="A366" i="3"/>
  <c r="I365" i="3"/>
  <c r="H365" i="3"/>
  <c r="D365" i="3"/>
  <c r="C365" i="3"/>
  <c r="B365" i="3"/>
  <c r="A365" i="3"/>
  <c r="I364" i="3"/>
  <c r="H364" i="3"/>
  <c r="D364" i="3"/>
  <c r="C364" i="3"/>
  <c r="B364" i="3"/>
  <c r="A364" i="3"/>
  <c r="I363" i="3"/>
  <c r="H363" i="3"/>
  <c r="E363" i="3"/>
  <c r="D363" i="3"/>
  <c r="C363" i="3"/>
  <c r="B363" i="3"/>
  <c r="A363" i="3"/>
  <c r="I362" i="3"/>
  <c r="H362" i="3"/>
  <c r="F362" i="3"/>
  <c r="E362" i="3"/>
  <c r="D362" i="3"/>
  <c r="C362" i="3"/>
  <c r="B362" i="3"/>
  <c r="A362" i="3"/>
  <c r="I361" i="3"/>
  <c r="H361" i="3"/>
  <c r="D361" i="3"/>
  <c r="C361" i="3"/>
  <c r="B361" i="3"/>
  <c r="A361" i="3"/>
  <c r="I360" i="3"/>
  <c r="H360" i="3"/>
  <c r="F360" i="3"/>
  <c r="E360" i="3"/>
  <c r="D360" i="3"/>
  <c r="C360" i="3"/>
  <c r="B360" i="3"/>
  <c r="A360" i="3"/>
  <c r="I359" i="3"/>
  <c r="H359" i="3"/>
  <c r="F359" i="3"/>
  <c r="E359" i="3"/>
  <c r="D359" i="3"/>
  <c r="C359" i="3"/>
  <c r="B359" i="3"/>
  <c r="A359" i="3"/>
  <c r="I358" i="3"/>
  <c r="H358" i="3"/>
  <c r="F358" i="3"/>
  <c r="E358" i="3"/>
  <c r="D358" i="3"/>
  <c r="C358" i="3"/>
  <c r="B358" i="3"/>
  <c r="A358" i="3"/>
  <c r="I357" i="3"/>
  <c r="H357" i="3"/>
  <c r="F357" i="3"/>
  <c r="D357" i="3"/>
  <c r="C357" i="3"/>
  <c r="B357" i="3"/>
  <c r="A357" i="3"/>
  <c r="I356" i="3"/>
  <c r="H356" i="3"/>
  <c r="F356" i="3"/>
  <c r="E356" i="3"/>
  <c r="D356" i="3"/>
  <c r="C356" i="3"/>
  <c r="B356" i="3"/>
  <c r="A356" i="3"/>
  <c r="I355" i="3"/>
  <c r="H355" i="3"/>
  <c r="F355" i="3"/>
  <c r="D355" i="3"/>
  <c r="C355" i="3"/>
  <c r="B355" i="3"/>
  <c r="A355" i="3"/>
  <c r="I354" i="3"/>
  <c r="H354" i="3"/>
  <c r="F354" i="3"/>
  <c r="E354" i="3"/>
  <c r="D354" i="3"/>
  <c r="C354" i="3"/>
  <c r="B354" i="3"/>
  <c r="A354" i="3"/>
  <c r="I353" i="3"/>
  <c r="H353" i="3"/>
  <c r="F353" i="3"/>
  <c r="E353" i="3"/>
  <c r="D353" i="3"/>
  <c r="C353" i="3"/>
  <c r="B353" i="3"/>
  <c r="A353" i="3"/>
  <c r="I352" i="3"/>
  <c r="H352" i="3"/>
  <c r="F352" i="3"/>
  <c r="E352" i="3"/>
  <c r="D352" i="3"/>
  <c r="C352" i="3"/>
  <c r="B352" i="3"/>
  <c r="A352" i="3"/>
  <c r="I351" i="3"/>
  <c r="H351" i="3"/>
  <c r="F351" i="3"/>
  <c r="E351" i="3"/>
  <c r="D351" i="3"/>
  <c r="C351" i="3"/>
  <c r="B351" i="3"/>
  <c r="A351" i="3"/>
  <c r="I350" i="3"/>
  <c r="H350" i="3"/>
  <c r="F350" i="3"/>
  <c r="E350" i="3"/>
  <c r="D350" i="3"/>
  <c r="C350" i="3"/>
  <c r="B350" i="3"/>
  <c r="A350" i="3"/>
  <c r="I349" i="3"/>
  <c r="H349" i="3"/>
  <c r="F349" i="3"/>
  <c r="D349" i="3"/>
  <c r="C349" i="3"/>
  <c r="B349" i="3"/>
  <c r="A349" i="3"/>
  <c r="I348" i="3"/>
  <c r="H348" i="3"/>
  <c r="F348" i="3"/>
  <c r="E348" i="3"/>
  <c r="D348" i="3"/>
  <c r="C348" i="3"/>
  <c r="B348" i="3"/>
  <c r="A348" i="3"/>
  <c r="I347" i="3"/>
  <c r="H347" i="3"/>
  <c r="F347" i="3"/>
  <c r="E347" i="3"/>
  <c r="D347" i="3"/>
  <c r="C347" i="3"/>
  <c r="B347" i="3"/>
  <c r="A347" i="3"/>
  <c r="I346" i="3"/>
  <c r="H346" i="3"/>
  <c r="F346" i="3"/>
  <c r="E346" i="3"/>
  <c r="D346" i="3"/>
  <c r="C346" i="3"/>
  <c r="B346" i="3"/>
  <c r="A346" i="3"/>
  <c r="I345" i="3"/>
  <c r="H345" i="3"/>
  <c r="F345" i="3"/>
  <c r="E345" i="3"/>
  <c r="D345" i="3"/>
  <c r="C345" i="3"/>
  <c r="B345" i="3"/>
  <c r="A345" i="3"/>
  <c r="I344" i="3"/>
  <c r="H344" i="3"/>
  <c r="F344" i="3"/>
  <c r="E344" i="3"/>
  <c r="D344" i="3"/>
  <c r="C344" i="3"/>
  <c r="B344" i="3"/>
  <c r="A344" i="3"/>
  <c r="I343" i="3"/>
  <c r="H343" i="3"/>
  <c r="F343" i="3"/>
  <c r="E343" i="3"/>
  <c r="D343" i="3"/>
  <c r="C343" i="3"/>
  <c r="B343" i="3"/>
  <c r="A343" i="3"/>
  <c r="I342" i="3"/>
  <c r="H342" i="3"/>
  <c r="F342" i="3"/>
  <c r="E342" i="3"/>
  <c r="D342" i="3"/>
  <c r="C342" i="3"/>
  <c r="B342" i="3"/>
  <c r="A342" i="3"/>
  <c r="I341" i="3"/>
  <c r="H341" i="3"/>
  <c r="F341" i="3"/>
  <c r="E341" i="3"/>
  <c r="D341" i="3"/>
  <c r="C341" i="3"/>
  <c r="B341" i="3"/>
  <c r="A341" i="3"/>
  <c r="I340" i="3"/>
  <c r="H340" i="3"/>
  <c r="F340" i="3"/>
  <c r="D340" i="3"/>
  <c r="C340" i="3"/>
  <c r="B340" i="3"/>
  <c r="A340" i="3"/>
  <c r="I339" i="3"/>
  <c r="H339" i="3"/>
  <c r="F339" i="3"/>
  <c r="D339" i="3"/>
  <c r="C339" i="3"/>
  <c r="B339" i="3"/>
  <c r="A339" i="3"/>
  <c r="I338" i="3"/>
  <c r="H338" i="3"/>
  <c r="E338" i="3"/>
  <c r="D338" i="3"/>
  <c r="C338" i="3"/>
  <c r="B338" i="3"/>
  <c r="A338" i="3"/>
  <c r="I337" i="3"/>
  <c r="H337" i="3"/>
  <c r="F337" i="3"/>
  <c r="E337" i="3"/>
  <c r="D337" i="3"/>
  <c r="C337" i="3"/>
  <c r="B337" i="3"/>
  <c r="A337" i="3"/>
  <c r="I336" i="3"/>
  <c r="H336" i="3"/>
  <c r="F336" i="3"/>
  <c r="D336" i="3"/>
  <c r="C336" i="3"/>
  <c r="B336" i="3"/>
  <c r="A336" i="3"/>
  <c r="I335" i="3"/>
  <c r="H335" i="3"/>
  <c r="D335" i="3"/>
  <c r="C335" i="3"/>
  <c r="B335" i="3"/>
  <c r="A335" i="3"/>
  <c r="I334" i="3"/>
  <c r="H334" i="3"/>
  <c r="D334" i="3"/>
  <c r="C334" i="3"/>
  <c r="B334" i="3"/>
  <c r="A334" i="3"/>
  <c r="I333" i="3"/>
  <c r="H333" i="3"/>
  <c r="F333" i="3"/>
  <c r="E333" i="3"/>
  <c r="D333" i="3"/>
  <c r="C333" i="3"/>
  <c r="B333" i="3"/>
  <c r="A333" i="3"/>
  <c r="I332" i="3"/>
  <c r="H332" i="3"/>
  <c r="F332" i="3"/>
  <c r="D332" i="3"/>
  <c r="C332" i="3"/>
  <c r="B332" i="3"/>
  <c r="A332" i="3"/>
  <c r="I331" i="3"/>
  <c r="H331" i="3"/>
  <c r="D331" i="3"/>
  <c r="C331" i="3"/>
  <c r="B331" i="3"/>
  <c r="A331" i="3"/>
  <c r="I330" i="3"/>
  <c r="H330" i="3"/>
  <c r="D330" i="3"/>
  <c r="C330" i="3"/>
  <c r="B330" i="3"/>
  <c r="A330" i="3"/>
  <c r="I329" i="3"/>
  <c r="H329" i="3"/>
  <c r="E329" i="3"/>
  <c r="D329" i="3"/>
  <c r="C329" i="3"/>
  <c r="B329" i="3"/>
  <c r="A329" i="3"/>
  <c r="I328" i="3"/>
  <c r="H328" i="3"/>
  <c r="F328" i="3"/>
  <c r="E328" i="3"/>
  <c r="D328" i="3"/>
  <c r="C328" i="3"/>
  <c r="B328" i="3"/>
  <c r="A328" i="3"/>
  <c r="I327" i="3"/>
  <c r="H327" i="3"/>
  <c r="F327" i="3"/>
  <c r="E327" i="3"/>
  <c r="D327" i="3"/>
  <c r="C327" i="3"/>
  <c r="B327" i="3"/>
  <c r="A327" i="3"/>
  <c r="I326" i="3"/>
  <c r="H326" i="3"/>
  <c r="E326" i="3"/>
  <c r="D326" i="3"/>
  <c r="C326" i="3"/>
  <c r="B326" i="3"/>
  <c r="A326" i="3"/>
  <c r="I325" i="3"/>
  <c r="H325" i="3"/>
  <c r="D325" i="3"/>
  <c r="C325" i="3"/>
  <c r="B325" i="3"/>
  <c r="A325" i="3"/>
  <c r="I324" i="3"/>
  <c r="H324" i="3"/>
  <c r="F324" i="3"/>
  <c r="D324" i="3"/>
  <c r="C324" i="3"/>
  <c r="B324" i="3"/>
  <c r="A324" i="3"/>
  <c r="I323" i="3"/>
  <c r="H323" i="3"/>
  <c r="F323" i="3"/>
  <c r="E323" i="3"/>
  <c r="D323" i="3"/>
  <c r="C323" i="3"/>
  <c r="B323" i="3"/>
  <c r="A323" i="3"/>
  <c r="I322" i="3"/>
  <c r="H322" i="3"/>
  <c r="F322" i="3"/>
  <c r="E322" i="3"/>
  <c r="D322" i="3"/>
  <c r="C322" i="3"/>
  <c r="B322" i="3"/>
  <c r="A322" i="3"/>
  <c r="I321" i="3"/>
  <c r="H321" i="3"/>
  <c r="F321" i="3"/>
  <c r="E321" i="3"/>
  <c r="D321" i="3"/>
  <c r="C321" i="3"/>
  <c r="B321" i="3"/>
  <c r="A321" i="3"/>
  <c r="I320" i="3"/>
  <c r="H320" i="3"/>
  <c r="D320" i="3"/>
  <c r="C320" i="3"/>
  <c r="B320" i="3"/>
  <c r="A320" i="3"/>
  <c r="I319" i="3"/>
  <c r="H319" i="3"/>
  <c r="E319" i="3"/>
  <c r="D319" i="3"/>
  <c r="C319" i="3"/>
  <c r="B319" i="3"/>
  <c r="A319" i="3"/>
  <c r="I318" i="3"/>
  <c r="H318" i="3"/>
  <c r="D318" i="3"/>
  <c r="C318" i="3"/>
  <c r="B318" i="3"/>
  <c r="A318" i="3"/>
  <c r="I317" i="3"/>
  <c r="H317" i="3"/>
  <c r="F317" i="3"/>
  <c r="E317" i="3"/>
  <c r="D317" i="3"/>
  <c r="C317" i="3"/>
  <c r="B317" i="3"/>
  <c r="A317" i="3"/>
  <c r="I316" i="3"/>
  <c r="H316" i="3"/>
  <c r="E316" i="3"/>
  <c r="D316" i="3"/>
  <c r="C316" i="3"/>
  <c r="B316" i="3"/>
  <c r="A316" i="3"/>
  <c r="I315" i="3"/>
  <c r="H315" i="3"/>
  <c r="F315" i="3"/>
  <c r="E315" i="3"/>
  <c r="D315" i="3"/>
  <c r="C315" i="3"/>
  <c r="B315" i="3"/>
  <c r="A315" i="3"/>
  <c r="I314" i="3"/>
  <c r="H314" i="3"/>
  <c r="F314" i="3"/>
  <c r="E314" i="3"/>
  <c r="D314" i="3"/>
  <c r="C314" i="3"/>
  <c r="B314" i="3"/>
  <c r="A314" i="3"/>
  <c r="I313" i="3"/>
  <c r="H313" i="3"/>
  <c r="F313" i="3"/>
  <c r="E313" i="3"/>
  <c r="D313" i="3"/>
  <c r="C313" i="3"/>
  <c r="B313" i="3"/>
  <c r="A313" i="3"/>
  <c r="I312" i="3"/>
  <c r="H312" i="3"/>
  <c r="F312" i="3"/>
  <c r="E312" i="3"/>
  <c r="D312" i="3"/>
  <c r="C312" i="3"/>
  <c r="B312" i="3"/>
  <c r="A312" i="3"/>
  <c r="I311" i="3"/>
  <c r="H311" i="3"/>
  <c r="E311" i="3"/>
  <c r="D311" i="3"/>
  <c r="C311" i="3"/>
  <c r="B311" i="3"/>
  <c r="A311" i="3"/>
  <c r="I310" i="3"/>
  <c r="H310" i="3"/>
  <c r="F310" i="3"/>
  <c r="E310" i="3"/>
  <c r="D310" i="3"/>
  <c r="C310" i="3"/>
  <c r="B310" i="3"/>
  <c r="A310" i="3"/>
  <c r="I309" i="3"/>
  <c r="H309" i="3"/>
  <c r="F309" i="3"/>
  <c r="E309" i="3"/>
  <c r="D309" i="3"/>
  <c r="C309" i="3"/>
  <c r="B309" i="3"/>
  <c r="A309" i="3"/>
  <c r="I308" i="3"/>
  <c r="H308" i="3"/>
  <c r="D308" i="3"/>
  <c r="C308" i="3"/>
  <c r="B308" i="3"/>
  <c r="A308" i="3"/>
  <c r="I307" i="3"/>
  <c r="H307" i="3"/>
  <c r="F307" i="3"/>
  <c r="E307" i="3"/>
  <c r="D307" i="3"/>
  <c r="C307" i="3"/>
  <c r="B307" i="3"/>
  <c r="A307" i="3"/>
  <c r="I306" i="3"/>
  <c r="H306" i="3"/>
  <c r="E306" i="3"/>
  <c r="D306" i="3"/>
  <c r="C306" i="3"/>
  <c r="B306" i="3"/>
  <c r="A306" i="3"/>
  <c r="I305" i="3"/>
  <c r="H305" i="3"/>
  <c r="F305" i="3"/>
  <c r="E305" i="3"/>
  <c r="D305" i="3"/>
  <c r="C305" i="3"/>
  <c r="B305" i="3"/>
  <c r="A305" i="3"/>
  <c r="I304" i="3"/>
  <c r="H304" i="3"/>
  <c r="F304" i="3"/>
  <c r="E304" i="3"/>
  <c r="D304" i="3"/>
  <c r="C304" i="3"/>
  <c r="B304" i="3"/>
  <c r="A304" i="3"/>
  <c r="I303" i="3"/>
  <c r="H303" i="3"/>
  <c r="F303" i="3"/>
  <c r="E303" i="3"/>
  <c r="D303" i="3"/>
  <c r="C303" i="3"/>
  <c r="B303" i="3"/>
  <c r="A303" i="3"/>
  <c r="I302" i="3"/>
  <c r="H302" i="3"/>
  <c r="F302" i="3"/>
  <c r="D302" i="3"/>
  <c r="C302" i="3"/>
  <c r="B302" i="3"/>
  <c r="A302" i="3"/>
  <c r="I301" i="3"/>
  <c r="H301" i="3"/>
  <c r="E301" i="3"/>
  <c r="D301" i="3"/>
  <c r="C301" i="3"/>
  <c r="B301" i="3"/>
  <c r="A301" i="3"/>
  <c r="I300" i="3"/>
  <c r="H300" i="3"/>
  <c r="F300" i="3"/>
  <c r="E300" i="3"/>
  <c r="D300" i="3"/>
  <c r="C300" i="3"/>
  <c r="B300" i="3"/>
  <c r="A300" i="3"/>
  <c r="I299" i="3"/>
  <c r="H299" i="3"/>
  <c r="D299" i="3"/>
  <c r="C299" i="3"/>
  <c r="B299" i="3"/>
  <c r="A299" i="3"/>
  <c r="I298" i="3"/>
  <c r="H298" i="3"/>
  <c r="F298" i="3"/>
  <c r="E298" i="3"/>
  <c r="D298" i="3"/>
  <c r="C298" i="3"/>
  <c r="B298" i="3"/>
  <c r="A298" i="3"/>
  <c r="I297" i="3"/>
  <c r="H297" i="3"/>
  <c r="F297" i="3"/>
  <c r="E297" i="3"/>
  <c r="D297" i="3"/>
  <c r="C297" i="3"/>
  <c r="B297" i="3"/>
  <c r="A297" i="3"/>
  <c r="I296" i="3"/>
  <c r="H296" i="3"/>
  <c r="E296" i="3"/>
  <c r="D296" i="3"/>
  <c r="C296" i="3"/>
  <c r="B296" i="3"/>
  <c r="A296" i="3"/>
  <c r="I295" i="3"/>
  <c r="H295" i="3"/>
  <c r="F295" i="3"/>
  <c r="D295" i="3"/>
  <c r="C295" i="3"/>
  <c r="B295" i="3"/>
  <c r="A295" i="3"/>
  <c r="I294" i="3"/>
  <c r="H294" i="3"/>
  <c r="F294" i="3"/>
  <c r="E294" i="3"/>
  <c r="D294" i="3"/>
  <c r="C294" i="3"/>
  <c r="B294" i="3"/>
  <c r="A294" i="3"/>
  <c r="I293" i="3"/>
  <c r="H293" i="3"/>
  <c r="E293" i="3"/>
  <c r="D293" i="3"/>
  <c r="C293" i="3"/>
  <c r="B293" i="3"/>
  <c r="A293" i="3"/>
  <c r="I292" i="3"/>
  <c r="H292" i="3"/>
  <c r="F292" i="3"/>
  <c r="D292" i="3"/>
  <c r="C292" i="3"/>
  <c r="B292" i="3"/>
  <c r="A292" i="3"/>
  <c r="I291" i="3"/>
  <c r="H291" i="3"/>
  <c r="E291" i="3"/>
  <c r="D291" i="3"/>
  <c r="C291" i="3"/>
  <c r="B291" i="3"/>
  <c r="A291" i="3"/>
  <c r="I290" i="3"/>
  <c r="H290" i="3"/>
  <c r="F290" i="3"/>
  <c r="D290" i="3"/>
  <c r="C290" i="3"/>
  <c r="B290" i="3"/>
  <c r="A290" i="3"/>
  <c r="I289" i="3"/>
  <c r="H289" i="3"/>
  <c r="D289" i="3"/>
  <c r="C289" i="3"/>
  <c r="B289" i="3"/>
  <c r="A289" i="3"/>
  <c r="I288" i="3"/>
  <c r="H288" i="3"/>
  <c r="D288" i="3"/>
  <c r="C288" i="3"/>
  <c r="B288" i="3"/>
  <c r="A288" i="3"/>
  <c r="I287" i="3"/>
  <c r="H287" i="3"/>
  <c r="F287" i="3"/>
  <c r="D287" i="3"/>
  <c r="C287" i="3"/>
  <c r="B287" i="3"/>
  <c r="A287" i="3"/>
  <c r="I286" i="3"/>
  <c r="H286" i="3"/>
  <c r="E286" i="3"/>
  <c r="D286" i="3"/>
  <c r="C286" i="3"/>
  <c r="B286" i="3"/>
  <c r="A286" i="3"/>
  <c r="I285" i="3"/>
  <c r="H285" i="3"/>
  <c r="F285" i="3"/>
  <c r="E285" i="3"/>
  <c r="D285" i="3"/>
  <c r="C285" i="3"/>
  <c r="B285" i="3"/>
  <c r="A285" i="3"/>
  <c r="I284" i="3"/>
  <c r="H284" i="3"/>
  <c r="D284" i="3"/>
  <c r="C284" i="3"/>
  <c r="B284" i="3"/>
  <c r="A284" i="3"/>
  <c r="I283" i="3"/>
  <c r="H283" i="3"/>
  <c r="F283" i="3"/>
  <c r="D283" i="3"/>
  <c r="C283" i="3"/>
  <c r="B283" i="3"/>
  <c r="A283" i="3"/>
  <c r="I282" i="3"/>
  <c r="H282" i="3"/>
  <c r="F282" i="3"/>
  <c r="E282" i="3"/>
  <c r="D282" i="3"/>
  <c r="C282" i="3"/>
  <c r="B282" i="3"/>
  <c r="A282" i="3"/>
  <c r="I281" i="3"/>
  <c r="H281" i="3"/>
  <c r="F281" i="3"/>
  <c r="E281" i="3"/>
  <c r="D281" i="3"/>
  <c r="C281" i="3"/>
  <c r="B281" i="3"/>
  <c r="A281" i="3"/>
  <c r="I280" i="3"/>
  <c r="H280" i="3"/>
  <c r="F280" i="3"/>
  <c r="D280" i="3"/>
  <c r="C280" i="3"/>
  <c r="B280" i="3"/>
  <c r="A280" i="3"/>
  <c r="I279" i="3"/>
  <c r="H279" i="3"/>
  <c r="F279" i="3"/>
  <c r="D279" i="3"/>
  <c r="C279" i="3"/>
  <c r="B279" i="3"/>
  <c r="A279" i="3"/>
  <c r="I278" i="3"/>
  <c r="H278" i="3"/>
  <c r="E278" i="3"/>
  <c r="D278" i="3"/>
  <c r="C278" i="3"/>
  <c r="B278" i="3"/>
  <c r="A278" i="3"/>
  <c r="I277" i="3"/>
  <c r="H277" i="3"/>
  <c r="F277" i="3"/>
  <c r="E277" i="3"/>
  <c r="D277" i="3"/>
  <c r="C277" i="3"/>
  <c r="B277" i="3"/>
  <c r="A277" i="3"/>
  <c r="I276" i="3"/>
  <c r="H276" i="3"/>
  <c r="F276" i="3"/>
  <c r="E276" i="3"/>
  <c r="D276" i="3"/>
  <c r="C276" i="3"/>
  <c r="B276" i="3"/>
  <c r="A276" i="3"/>
  <c r="I275" i="3"/>
  <c r="H275" i="3"/>
  <c r="F275" i="3"/>
  <c r="D275" i="3"/>
  <c r="C275" i="3"/>
  <c r="B275" i="3"/>
  <c r="A275" i="3"/>
  <c r="I274" i="3"/>
  <c r="H274" i="3"/>
  <c r="F274" i="3"/>
  <c r="E274" i="3"/>
  <c r="D274" i="3"/>
  <c r="C274" i="3"/>
  <c r="B274" i="3"/>
  <c r="A274" i="3"/>
  <c r="I273" i="3"/>
  <c r="H273" i="3"/>
  <c r="F273" i="3"/>
  <c r="E273" i="3"/>
  <c r="D273" i="3"/>
  <c r="C273" i="3"/>
  <c r="B273" i="3"/>
  <c r="A273" i="3"/>
  <c r="I272" i="3"/>
  <c r="H272" i="3"/>
  <c r="F272" i="3"/>
  <c r="E272" i="3"/>
  <c r="D272" i="3"/>
  <c r="C272" i="3"/>
  <c r="B272" i="3"/>
  <c r="A272" i="3"/>
  <c r="I271" i="3"/>
  <c r="H271" i="3"/>
  <c r="F271" i="3"/>
  <c r="E271" i="3"/>
  <c r="D271" i="3"/>
  <c r="C271" i="3"/>
  <c r="B271" i="3"/>
  <c r="A271" i="3"/>
  <c r="I270" i="3"/>
  <c r="H270" i="3"/>
  <c r="F270" i="3"/>
  <c r="E270" i="3"/>
  <c r="D270" i="3"/>
  <c r="C270" i="3"/>
  <c r="B270" i="3"/>
  <c r="A270" i="3"/>
  <c r="I269" i="3"/>
  <c r="H269" i="3"/>
  <c r="F269" i="3"/>
  <c r="D269" i="3"/>
  <c r="C269" i="3"/>
  <c r="B269" i="3"/>
  <c r="A269" i="3"/>
  <c r="I268" i="3"/>
  <c r="H268" i="3"/>
  <c r="F268" i="3"/>
  <c r="E268" i="3"/>
  <c r="D268" i="3"/>
  <c r="C268" i="3"/>
  <c r="B268" i="3"/>
  <c r="A268" i="3"/>
  <c r="I267" i="3"/>
  <c r="H267" i="3"/>
  <c r="F267" i="3"/>
  <c r="E267" i="3"/>
  <c r="D267" i="3"/>
  <c r="C267" i="3"/>
  <c r="B267" i="3"/>
  <c r="A267" i="3"/>
  <c r="I266" i="3"/>
  <c r="H266" i="3"/>
  <c r="D266" i="3"/>
  <c r="C266" i="3"/>
  <c r="B266" i="3"/>
  <c r="A266" i="3"/>
  <c r="I265" i="3"/>
  <c r="H265" i="3"/>
  <c r="F265" i="3"/>
  <c r="E265" i="3"/>
  <c r="D265" i="3"/>
  <c r="C265" i="3"/>
  <c r="B265" i="3"/>
  <c r="A265" i="3"/>
  <c r="I264" i="3"/>
  <c r="H264" i="3"/>
  <c r="F264" i="3"/>
  <c r="E264" i="3"/>
  <c r="D264" i="3"/>
  <c r="C264" i="3"/>
  <c r="B264" i="3"/>
  <c r="A264" i="3"/>
  <c r="I263" i="3"/>
  <c r="H263" i="3"/>
  <c r="E263" i="3"/>
  <c r="D263" i="3"/>
  <c r="C263" i="3"/>
  <c r="B263" i="3"/>
  <c r="A263" i="3"/>
  <c r="I262" i="3"/>
  <c r="H262" i="3"/>
  <c r="F262" i="3"/>
  <c r="E262" i="3"/>
  <c r="D262" i="3"/>
  <c r="C262" i="3"/>
  <c r="B262" i="3"/>
  <c r="A262" i="3"/>
  <c r="I261" i="3"/>
  <c r="H261" i="3"/>
  <c r="F261" i="3"/>
  <c r="E261" i="3"/>
  <c r="D261" i="3"/>
  <c r="C261" i="3"/>
  <c r="B261" i="3"/>
  <c r="A261" i="3"/>
  <c r="I260" i="3"/>
  <c r="H260" i="3"/>
  <c r="D260" i="3"/>
  <c r="C260" i="3"/>
  <c r="B260" i="3"/>
  <c r="A260" i="3"/>
  <c r="I259" i="3"/>
  <c r="H259" i="3"/>
  <c r="D259" i="3"/>
  <c r="C259" i="3"/>
  <c r="B259" i="3"/>
  <c r="A259" i="3"/>
  <c r="I258" i="3"/>
  <c r="H258" i="3"/>
  <c r="F258" i="3"/>
  <c r="D258" i="3"/>
  <c r="C258" i="3"/>
  <c r="B258" i="3"/>
  <c r="A258" i="3"/>
  <c r="I257" i="3"/>
  <c r="H257" i="3"/>
  <c r="F257" i="3"/>
  <c r="D257" i="3"/>
  <c r="C257" i="3"/>
  <c r="B257" i="3"/>
  <c r="A257" i="3"/>
  <c r="I256" i="3"/>
  <c r="H256" i="3"/>
  <c r="D256" i="3"/>
  <c r="C256" i="3"/>
  <c r="B256" i="3"/>
  <c r="A256" i="3"/>
  <c r="I255" i="3"/>
  <c r="H255" i="3"/>
  <c r="F255" i="3"/>
  <c r="E255" i="3"/>
  <c r="D255" i="3"/>
  <c r="C255" i="3"/>
  <c r="B255" i="3"/>
  <c r="A255" i="3"/>
  <c r="I254" i="3"/>
  <c r="H254" i="3"/>
  <c r="E254" i="3"/>
  <c r="D254" i="3"/>
  <c r="C254" i="3"/>
  <c r="B254" i="3"/>
  <c r="A254" i="3"/>
  <c r="I253" i="3"/>
  <c r="H253" i="3"/>
  <c r="D253" i="3"/>
  <c r="C253" i="3"/>
  <c r="B253" i="3"/>
  <c r="A253" i="3"/>
  <c r="I252" i="3"/>
  <c r="H252" i="3"/>
  <c r="E252" i="3"/>
  <c r="D252" i="3"/>
  <c r="C252" i="3"/>
  <c r="B252" i="3"/>
  <c r="A252" i="3"/>
  <c r="I251" i="3"/>
  <c r="H251" i="3"/>
  <c r="F251" i="3"/>
  <c r="D251" i="3"/>
  <c r="C251" i="3"/>
  <c r="B251" i="3"/>
  <c r="A251" i="3"/>
  <c r="I250" i="3"/>
  <c r="H250" i="3"/>
  <c r="F250" i="3"/>
  <c r="E250" i="3"/>
  <c r="D250" i="3"/>
  <c r="C250" i="3"/>
  <c r="B250" i="3"/>
  <c r="A250" i="3"/>
  <c r="I249" i="3"/>
  <c r="H249" i="3"/>
  <c r="E249" i="3"/>
  <c r="D249" i="3"/>
  <c r="C249" i="3"/>
  <c r="B249" i="3"/>
  <c r="A249" i="3"/>
  <c r="I248" i="3"/>
  <c r="H248" i="3"/>
  <c r="F248" i="3"/>
  <c r="D248" i="3"/>
  <c r="C248" i="3"/>
  <c r="B248" i="3"/>
  <c r="A248" i="3"/>
  <c r="I247" i="3"/>
  <c r="H247" i="3"/>
  <c r="F247" i="3"/>
  <c r="E247" i="3"/>
  <c r="D247" i="3"/>
  <c r="C247" i="3"/>
  <c r="B247" i="3"/>
  <c r="A247" i="3"/>
  <c r="I246" i="3"/>
  <c r="H246" i="3"/>
  <c r="F246" i="3"/>
  <c r="D246" i="3"/>
  <c r="C246" i="3"/>
  <c r="B246" i="3"/>
  <c r="A246" i="3"/>
  <c r="I245" i="3"/>
  <c r="H245" i="3"/>
  <c r="D245" i="3"/>
  <c r="C245" i="3"/>
  <c r="B245" i="3"/>
  <c r="A245" i="3"/>
  <c r="I244" i="3"/>
  <c r="H244" i="3"/>
  <c r="F244" i="3"/>
  <c r="D244" i="3"/>
  <c r="C244" i="3"/>
  <c r="B244" i="3"/>
  <c r="A244" i="3"/>
  <c r="I243" i="3"/>
  <c r="H243" i="3"/>
  <c r="E243" i="3"/>
  <c r="D243" i="3"/>
  <c r="C243" i="3"/>
  <c r="B243" i="3"/>
  <c r="A243" i="3"/>
  <c r="I242" i="3"/>
  <c r="H242" i="3"/>
  <c r="D242" i="3"/>
  <c r="C242" i="3"/>
  <c r="B242" i="3"/>
  <c r="A242" i="3"/>
  <c r="I241" i="3"/>
  <c r="H241" i="3"/>
  <c r="D241" i="3"/>
  <c r="C241" i="3"/>
  <c r="B241" i="3"/>
  <c r="A241" i="3"/>
  <c r="I240" i="3"/>
  <c r="H240" i="3"/>
  <c r="D240" i="3"/>
  <c r="C240" i="3"/>
  <c r="B240" i="3"/>
  <c r="A240" i="3"/>
  <c r="I239" i="3"/>
  <c r="H239" i="3"/>
  <c r="E239" i="3"/>
  <c r="D239" i="3"/>
  <c r="C239" i="3"/>
  <c r="B239" i="3"/>
  <c r="A239" i="3"/>
  <c r="I238" i="3"/>
  <c r="H238" i="3"/>
  <c r="D238" i="3"/>
  <c r="C238" i="3"/>
  <c r="B238" i="3"/>
  <c r="A238" i="3"/>
  <c r="I237" i="3"/>
  <c r="H237" i="3"/>
  <c r="F237" i="3"/>
  <c r="E237" i="3"/>
  <c r="D237" i="3"/>
  <c r="C237" i="3"/>
  <c r="B237" i="3"/>
  <c r="A237" i="3"/>
  <c r="I236" i="3"/>
  <c r="H236" i="3"/>
  <c r="E236" i="3"/>
  <c r="D236" i="3"/>
  <c r="C236" i="3"/>
  <c r="B236" i="3"/>
  <c r="A236" i="3"/>
  <c r="I235" i="3"/>
  <c r="H235" i="3"/>
  <c r="F235" i="3"/>
  <c r="E235" i="3"/>
  <c r="D235" i="3"/>
  <c r="C235" i="3"/>
  <c r="B235" i="3"/>
  <c r="A235" i="3"/>
  <c r="I234" i="3"/>
  <c r="H234" i="3"/>
  <c r="F234" i="3"/>
  <c r="E234" i="3"/>
  <c r="D234" i="3"/>
  <c r="C234" i="3"/>
  <c r="B234" i="3"/>
  <c r="A234" i="3"/>
  <c r="I233" i="3"/>
  <c r="H233" i="3"/>
  <c r="F233" i="3"/>
  <c r="E233" i="3"/>
  <c r="D233" i="3"/>
  <c r="C233" i="3"/>
  <c r="B233" i="3"/>
  <c r="A233" i="3"/>
  <c r="I232" i="3"/>
  <c r="H232" i="3"/>
  <c r="D232" i="3"/>
  <c r="C232" i="3"/>
  <c r="B232" i="3"/>
  <c r="A232" i="3"/>
  <c r="I231" i="3"/>
  <c r="H231" i="3"/>
  <c r="E231" i="3"/>
  <c r="D231" i="3"/>
  <c r="C231" i="3"/>
  <c r="B231" i="3"/>
  <c r="A231" i="3"/>
  <c r="I230" i="3"/>
  <c r="H230" i="3"/>
  <c r="F230" i="3"/>
  <c r="E230" i="3"/>
  <c r="D230" i="3"/>
  <c r="C230" i="3"/>
  <c r="B230" i="3"/>
  <c r="A230" i="3"/>
  <c r="I229" i="3"/>
  <c r="H229" i="3"/>
  <c r="F229" i="3"/>
  <c r="D229" i="3"/>
  <c r="C229" i="3"/>
  <c r="B229" i="3"/>
  <c r="A229" i="3"/>
  <c r="I228" i="3"/>
  <c r="H228" i="3"/>
  <c r="F228" i="3"/>
  <c r="D228" i="3"/>
  <c r="C228" i="3"/>
  <c r="B228" i="3"/>
  <c r="A228" i="3"/>
  <c r="I227" i="3"/>
  <c r="H227" i="3"/>
  <c r="F227" i="3"/>
  <c r="E227" i="3"/>
  <c r="D227" i="3"/>
  <c r="C227" i="3"/>
  <c r="B227" i="3"/>
  <c r="A227" i="3"/>
  <c r="I226" i="3"/>
  <c r="H226" i="3"/>
  <c r="F226" i="3"/>
  <c r="E226" i="3"/>
  <c r="D226" i="3"/>
  <c r="C226" i="3"/>
  <c r="B226" i="3"/>
  <c r="A226" i="3"/>
  <c r="I225" i="3"/>
  <c r="H225" i="3"/>
  <c r="F225" i="3"/>
  <c r="D225" i="3"/>
  <c r="C225" i="3"/>
  <c r="B225" i="3"/>
  <c r="A225" i="3"/>
  <c r="I224" i="3"/>
  <c r="H224" i="3"/>
  <c r="F224" i="3"/>
  <c r="E224" i="3"/>
  <c r="D224" i="3"/>
  <c r="C224" i="3"/>
  <c r="B224" i="3"/>
  <c r="A224" i="3"/>
  <c r="I223" i="3"/>
  <c r="H223" i="3"/>
  <c r="F223" i="3"/>
  <c r="E223" i="3"/>
  <c r="D223" i="3"/>
  <c r="C223" i="3"/>
  <c r="B223" i="3"/>
  <c r="A223" i="3"/>
  <c r="I222" i="3"/>
  <c r="H222" i="3"/>
  <c r="F222" i="3"/>
  <c r="E222" i="3"/>
  <c r="D222" i="3"/>
  <c r="C222" i="3"/>
  <c r="B222" i="3"/>
  <c r="A222" i="3"/>
  <c r="I221" i="3"/>
  <c r="H221" i="3"/>
  <c r="D221" i="3"/>
  <c r="C221" i="3"/>
  <c r="B221" i="3"/>
  <c r="A221" i="3"/>
  <c r="I220" i="3"/>
  <c r="H220" i="3"/>
  <c r="F220" i="3"/>
  <c r="E220" i="3"/>
  <c r="D220" i="3"/>
  <c r="C220" i="3"/>
  <c r="B220" i="3"/>
  <c r="A220" i="3"/>
  <c r="I219" i="3"/>
  <c r="H219" i="3"/>
  <c r="F219" i="3"/>
  <c r="E219" i="3"/>
  <c r="D219" i="3"/>
  <c r="C219" i="3"/>
  <c r="B219" i="3"/>
  <c r="A219" i="3"/>
  <c r="I218" i="3"/>
  <c r="H218" i="3"/>
  <c r="F218" i="3"/>
  <c r="E218" i="3"/>
  <c r="D218" i="3"/>
  <c r="C218" i="3"/>
  <c r="B218" i="3"/>
  <c r="A218" i="3"/>
  <c r="I217" i="3"/>
  <c r="H217" i="3"/>
  <c r="F217" i="3"/>
  <c r="E217" i="3"/>
  <c r="D217" i="3"/>
  <c r="C217" i="3"/>
  <c r="B217" i="3"/>
  <c r="A217" i="3"/>
  <c r="I216" i="3"/>
  <c r="H216" i="3"/>
  <c r="F216" i="3"/>
  <c r="E216" i="3"/>
  <c r="D216" i="3"/>
  <c r="C216" i="3"/>
  <c r="B216" i="3"/>
  <c r="A216" i="3"/>
  <c r="I215" i="3"/>
  <c r="H215" i="3"/>
  <c r="F215" i="3"/>
  <c r="E215" i="3"/>
  <c r="D215" i="3"/>
  <c r="C215" i="3"/>
  <c r="B215" i="3"/>
  <c r="A215" i="3"/>
  <c r="I214" i="3"/>
  <c r="H214" i="3"/>
  <c r="F214" i="3"/>
  <c r="E214" i="3"/>
  <c r="D214" i="3"/>
  <c r="C214" i="3"/>
  <c r="B214" i="3"/>
  <c r="A214" i="3"/>
  <c r="I213" i="3"/>
  <c r="H213" i="3"/>
  <c r="F213" i="3"/>
  <c r="E213" i="3"/>
  <c r="D213" i="3"/>
  <c r="C213" i="3"/>
  <c r="B213" i="3"/>
  <c r="A213" i="3"/>
  <c r="I212" i="3"/>
  <c r="H212" i="3"/>
  <c r="F212" i="3"/>
  <c r="E212" i="3"/>
  <c r="D212" i="3"/>
  <c r="C212" i="3"/>
  <c r="B212" i="3"/>
  <c r="A212" i="3"/>
  <c r="I211" i="3"/>
  <c r="H211" i="3"/>
  <c r="F211" i="3"/>
  <c r="E211" i="3"/>
  <c r="D211" i="3"/>
  <c r="C211" i="3"/>
  <c r="B211" i="3"/>
  <c r="A211" i="3"/>
  <c r="I210" i="3"/>
  <c r="H210" i="3"/>
  <c r="F210" i="3"/>
  <c r="E210" i="3"/>
  <c r="D210" i="3"/>
  <c r="C210" i="3"/>
  <c r="B210" i="3"/>
  <c r="A210" i="3"/>
  <c r="I209" i="3"/>
  <c r="H209" i="3"/>
  <c r="F209" i="3"/>
  <c r="E209" i="3"/>
  <c r="D209" i="3"/>
  <c r="C209" i="3"/>
  <c r="B209" i="3"/>
  <c r="A209" i="3"/>
  <c r="I208" i="3"/>
  <c r="H208" i="3"/>
  <c r="F208" i="3"/>
  <c r="E208" i="3"/>
  <c r="D208" i="3"/>
  <c r="C208" i="3"/>
  <c r="B208" i="3"/>
  <c r="A208" i="3"/>
  <c r="I207" i="3"/>
  <c r="H207" i="3"/>
  <c r="E207" i="3"/>
  <c r="D207" i="3"/>
  <c r="C207" i="3"/>
  <c r="B207" i="3"/>
  <c r="A207" i="3"/>
  <c r="I206" i="3"/>
  <c r="H206" i="3"/>
  <c r="D206" i="3"/>
  <c r="C206" i="3"/>
  <c r="B206" i="3"/>
  <c r="A206" i="3"/>
  <c r="I205" i="3"/>
  <c r="H205" i="3"/>
  <c r="F205" i="3"/>
  <c r="E205" i="3"/>
  <c r="D205" i="3"/>
  <c r="C205" i="3"/>
  <c r="B205" i="3"/>
  <c r="A205" i="3"/>
  <c r="I204" i="3"/>
  <c r="H204" i="3"/>
  <c r="F204" i="3"/>
  <c r="E204" i="3"/>
  <c r="D204" i="3"/>
  <c r="C204" i="3"/>
  <c r="B204" i="3"/>
  <c r="A204" i="3"/>
  <c r="I203" i="3"/>
  <c r="H203" i="3"/>
  <c r="F203" i="3"/>
  <c r="D203" i="3"/>
  <c r="C203" i="3"/>
  <c r="B203" i="3"/>
  <c r="A203" i="3"/>
  <c r="I202" i="3"/>
  <c r="H202" i="3"/>
  <c r="F202" i="3"/>
  <c r="E202" i="3"/>
  <c r="D202" i="3"/>
  <c r="C202" i="3"/>
  <c r="B202" i="3"/>
  <c r="A202" i="3"/>
  <c r="I201" i="3"/>
  <c r="H201" i="3"/>
  <c r="F201" i="3"/>
  <c r="E201" i="3"/>
  <c r="D201" i="3"/>
  <c r="C201" i="3"/>
  <c r="B201" i="3"/>
  <c r="A201" i="3"/>
  <c r="I200" i="3"/>
  <c r="H200" i="3"/>
  <c r="D200" i="3"/>
  <c r="C200" i="3"/>
  <c r="B200" i="3"/>
  <c r="A200" i="3"/>
  <c r="I199" i="3"/>
  <c r="H199" i="3"/>
  <c r="D199" i="3"/>
  <c r="C199" i="3"/>
  <c r="B199" i="3"/>
  <c r="A199" i="3"/>
  <c r="I198" i="3"/>
  <c r="H198" i="3"/>
  <c r="D198" i="3"/>
  <c r="C198" i="3"/>
  <c r="B198" i="3"/>
  <c r="A198" i="3"/>
  <c r="I197" i="3"/>
  <c r="H197" i="3"/>
  <c r="F197" i="3"/>
  <c r="E197" i="3"/>
  <c r="D197" i="3"/>
  <c r="C197" i="3"/>
  <c r="B197" i="3"/>
  <c r="A197" i="3"/>
  <c r="I196" i="3"/>
  <c r="H196" i="3"/>
  <c r="F196" i="3"/>
  <c r="E196" i="3"/>
  <c r="D196" i="3"/>
  <c r="C196" i="3"/>
  <c r="B196" i="3"/>
  <c r="A196" i="3"/>
  <c r="I195" i="3"/>
  <c r="H195" i="3"/>
  <c r="F195" i="3"/>
  <c r="D195" i="3"/>
  <c r="C195" i="3"/>
  <c r="B195" i="3"/>
  <c r="A195" i="3"/>
  <c r="I194" i="3"/>
  <c r="H194" i="3"/>
  <c r="F194" i="3"/>
  <c r="E194" i="3"/>
  <c r="D194" i="3"/>
  <c r="C194" i="3"/>
  <c r="B194" i="3"/>
  <c r="A194" i="3"/>
  <c r="I193" i="3"/>
  <c r="H193" i="3"/>
  <c r="F193" i="3"/>
  <c r="E193" i="3"/>
  <c r="D193" i="3"/>
  <c r="C193" i="3"/>
  <c r="B193" i="3"/>
  <c r="A193" i="3"/>
  <c r="I192" i="3"/>
  <c r="H192" i="3"/>
  <c r="F192" i="3"/>
  <c r="E192" i="3"/>
  <c r="D192" i="3"/>
  <c r="C192" i="3"/>
  <c r="B192" i="3"/>
  <c r="A192" i="3"/>
  <c r="I191" i="3"/>
  <c r="H191" i="3"/>
  <c r="E191" i="3"/>
  <c r="D191" i="3"/>
  <c r="C191" i="3"/>
  <c r="B191" i="3"/>
  <c r="A191" i="3"/>
  <c r="I190" i="3"/>
  <c r="H190" i="3"/>
  <c r="F190" i="3"/>
  <c r="D190" i="3"/>
  <c r="C190" i="3"/>
  <c r="B190" i="3"/>
  <c r="A190" i="3"/>
  <c r="I189" i="3"/>
  <c r="H189" i="3"/>
  <c r="E189" i="3"/>
  <c r="D189" i="3"/>
  <c r="C189" i="3"/>
  <c r="B189" i="3"/>
  <c r="A189" i="3"/>
  <c r="I188" i="3"/>
  <c r="H188" i="3"/>
  <c r="D188" i="3"/>
  <c r="C188" i="3"/>
  <c r="B188" i="3"/>
  <c r="A188" i="3"/>
  <c r="I187" i="3"/>
  <c r="H187" i="3"/>
  <c r="F187" i="3"/>
  <c r="D187" i="3"/>
  <c r="C187" i="3"/>
  <c r="B187" i="3"/>
  <c r="A187" i="3"/>
  <c r="I186" i="3"/>
  <c r="H186" i="3"/>
  <c r="F186" i="3"/>
  <c r="E186" i="3"/>
  <c r="D186" i="3"/>
  <c r="C186" i="3"/>
  <c r="B186" i="3"/>
  <c r="A186" i="3"/>
  <c r="I185" i="3"/>
  <c r="H185" i="3"/>
  <c r="F185" i="3"/>
  <c r="E185" i="3"/>
  <c r="D185" i="3"/>
  <c r="C185" i="3"/>
  <c r="B185" i="3"/>
  <c r="A185" i="3"/>
  <c r="I184" i="3"/>
  <c r="D184" i="3"/>
  <c r="C184" i="3"/>
  <c r="B184" i="3"/>
  <c r="A184" i="3"/>
  <c r="I183" i="3"/>
  <c r="H183" i="3"/>
  <c r="F183" i="3"/>
  <c r="E183" i="3"/>
  <c r="D183" i="3"/>
  <c r="C183" i="3"/>
  <c r="B183" i="3"/>
  <c r="A183" i="3"/>
  <c r="I182" i="3"/>
  <c r="H182" i="3"/>
  <c r="D182" i="3"/>
  <c r="C182" i="3"/>
  <c r="B182" i="3"/>
  <c r="A182" i="3"/>
  <c r="I181" i="3"/>
  <c r="H181" i="3"/>
  <c r="F181" i="3"/>
  <c r="E181" i="3"/>
  <c r="D181" i="3"/>
  <c r="C181" i="3"/>
  <c r="B181" i="3"/>
  <c r="A181" i="3"/>
  <c r="I180" i="3"/>
  <c r="H180" i="3"/>
  <c r="F180" i="3"/>
  <c r="D180" i="3"/>
  <c r="C180" i="3"/>
  <c r="B180" i="3"/>
  <c r="A180" i="3"/>
  <c r="I179" i="3"/>
  <c r="H179" i="3"/>
  <c r="F179" i="3"/>
  <c r="D179" i="3"/>
  <c r="C179" i="3"/>
  <c r="B179" i="3"/>
  <c r="A179" i="3"/>
  <c r="I178" i="3"/>
  <c r="H178" i="3"/>
  <c r="F178" i="3"/>
  <c r="E178" i="3"/>
  <c r="D178" i="3"/>
  <c r="C178" i="3"/>
  <c r="B178" i="3"/>
  <c r="A178" i="3"/>
  <c r="I177" i="3"/>
  <c r="H177" i="3"/>
  <c r="F177" i="3"/>
  <c r="E177" i="3"/>
  <c r="D177" i="3"/>
  <c r="C177" i="3"/>
  <c r="B177" i="3"/>
  <c r="A177" i="3"/>
  <c r="I176" i="3"/>
  <c r="H176" i="3"/>
  <c r="F176" i="3"/>
  <c r="D176" i="3"/>
  <c r="C176" i="3"/>
  <c r="B176" i="3"/>
  <c r="A176" i="3"/>
  <c r="I175" i="3"/>
  <c r="H175" i="3"/>
  <c r="F175" i="3"/>
  <c r="E175" i="3"/>
  <c r="D175" i="3"/>
  <c r="C175" i="3"/>
  <c r="B175" i="3"/>
  <c r="A175" i="3"/>
  <c r="I174" i="3"/>
  <c r="H174" i="3"/>
  <c r="F174" i="3"/>
  <c r="D174" i="3"/>
  <c r="C174" i="3"/>
  <c r="B174" i="3"/>
  <c r="A174" i="3"/>
  <c r="I173" i="3"/>
  <c r="H173" i="3"/>
  <c r="F173" i="3"/>
  <c r="E173" i="3"/>
  <c r="D173" i="3"/>
  <c r="C173" i="3"/>
  <c r="B173" i="3"/>
  <c r="A173" i="3"/>
  <c r="I172" i="3"/>
  <c r="F172" i="3"/>
  <c r="D172" i="3"/>
  <c r="C172" i="3"/>
  <c r="B172" i="3"/>
  <c r="A172" i="3"/>
  <c r="I171" i="3"/>
  <c r="H171" i="3"/>
  <c r="F171" i="3"/>
  <c r="E171" i="3"/>
  <c r="D171" i="3"/>
  <c r="C171" i="3"/>
  <c r="B171" i="3"/>
  <c r="A171" i="3"/>
  <c r="I170" i="3"/>
  <c r="H170" i="3"/>
  <c r="F170" i="3"/>
  <c r="E170" i="3"/>
  <c r="D170" i="3"/>
  <c r="C170" i="3"/>
  <c r="B170" i="3"/>
  <c r="A170" i="3"/>
  <c r="I169" i="3"/>
  <c r="H169" i="3"/>
  <c r="F169" i="3"/>
  <c r="D169" i="3"/>
  <c r="C169" i="3"/>
  <c r="B169" i="3"/>
  <c r="A169" i="3"/>
  <c r="I168" i="3"/>
  <c r="H168" i="3"/>
  <c r="F168" i="3"/>
  <c r="E168" i="3"/>
  <c r="D168" i="3"/>
  <c r="C168" i="3"/>
  <c r="B168" i="3"/>
  <c r="A168" i="3"/>
  <c r="I167" i="3"/>
  <c r="H167" i="3"/>
  <c r="F167" i="3"/>
  <c r="E167" i="3"/>
  <c r="D167" i="3"/>
  <c r="C167" i="3"/>
  <c r="B167" i="3"/>
  <c r="A167" i="3"/>
  <c r="I166" i="3"/>
  <c r="H166" i="3"/>
  <c r="F166" i="3"/>
  <c r="E166" i="3"/>
  <c r="D166" i="3"/>
  <c r="C166" i="3"/>
  <c r="B166" i="3"/>
  <c r="A166" i="3"/>
  <c r="I165" i="3"/>
  <c r="H165" i="3"/>
  <c r="F165" i="3"/>
  <c r="E165" i="3"/>
  <c r="D165" i="3"/>
  <c r="C165" i="3"/>
  <c r="B165" i="3"/>
  <c r="A165" i="3"/>
  <c r="I164" i="3"/>
  <c r="H164" i="3"/>
  <c r="F164" i="3"/>
  <c r="E164" i="3"/>
  <c r="D164" i="3"/>
  <c r="C164" i="3"/>
  <c r="B164" i="3"/>
  <c r="A164" i="3"/>
  <c r="I163" i="3"/>
  <c r="H163" i="3"/>
  <c r="F163" i="3"/>
  <c r="E163" i="3"/>
  <c r="D163" i="3"/>
  <c r="C163" i="3"/>
  <c r="B163" i="3"/>
  <c r="A163" i="3"/>
  <c r="I162" i="3"/>
  <c r="H162" i="3"/>
  <c r="F162" i="3"/>
  <c r="E162" i="3"/>
  <c r="D162" i="3"/>
  <c r="C162" i="3"/>
  <c r="B162" i="3"/>
  <c r="A162" i="3"/>
  <c r="I161" i="3"/>
  <c r="H161" i="3"/>
  <c r="F161" i="3"/>
  <c r="D161" i="3"/>
  <c r="C161" i="3"/>
  <c r="B161" i="3"/>
  <c r="A161" i="3"/>
  <c r="I160" i="3"/>
  <c r="H160" i="3"/>
  <c r="E160" i="3"/>
  <c r="D160" i="3"/>
  <c r="C160" i="3"/>
  <c r="B160" i="3"/>
  <c r="A160" i="3"/>
  <c r="I159" i="3"/>
  <c r="H159" i="3"/>
  <c r="E159" i="3"/>
  <c r="D159" i="3"/>
  <c r="C159" i="3"/>
  <c r="B159" i="3"/>
  <c r="A159" i="3"/>
  <c r="I158" i="3"/>
  <c r="H158" i="3"/>
  <c r="F158" i="3"/>
  <c r="D158" i="3"/>
  <c r="C158" i="3"/>
  <c r="B158" i="3"/>
  <c r="A158" i="3"/>
  <c r="I157" i="3"/>
  <c r="H157" i="3"/>
  <c r="F157" i="3"/>
  <c r="E157" i="3"/>
  <c r="D157" i="3"/>
  <c r="C157" i="3"/>
  <c r="B157" i="3"/>
  <c r="A157" i="3"/>
  <c r="I156" i="3"/>
  <c r="H156" i="3"/>
  <c r="F156" i="3"/>
  <c r="D156" i="3"/>
  <c r="C156" i="3"/>
  <c r="B156" i="3"/>
  <c r="A156" i="3"/>
  <c r="I155" i="3"/>
  <c r="H155" i="3"/>
  <c r="F155" i="3"/>
  <c r="E155" i="3"/>
  <c r="D155" i="3"/>
  <c r="C155" i="3"/>
  <c r="B155" i="3"/>
  <c r="A155" i="3"/>
  <c r="I154" i="3"/>
  <c r="H154" i="3"/>
  <c r="F154" i="3"/>
  <c r="E154" i="3"/>
  <c r="D154" i="3"/>
  <c r="C154" i="3"/>
  <c r="B154" i="3"/>
  <c r="A154" i="3"/>
  <c r="I153" i="3"/>
  <c r="H153" i="3"/>
  <c r="E153" i="3"/>
  <c r="D153" i="3"/>
  <c r="C153" i="3"/>
  <c r="B153" i="3"/>
  <c r="A153" i="3"/>
  <c r="I152" i="3"/>
  <c r="H152" i="3"/>
  <c r="F152" i="3"/>
  <c r="D152" i="3"/>
  <c r="C152" i="3"/>
  <c r="B152" i="3"/>
  <c r="A152" i="3"/>
  <c r="I151" i="3"/>
  <c r="H151" i="3"/>
  <c r="F151" i="3"/>
  <c r="E151" i="3"/>
  <c r="D151" i="3"/>
  <c r="C151" i="3"/>
  <c r="B151" i="3"/>
  <c r="A151" i="3"/>
  <c r="I150" i="3"/>
  <c r="H150" i="3"/>
  <c r="F150" i="3"/>
  <c r="E150" i="3"/>
  <c r="D150" i="3"/>
  <c r="C150" i="3"/>
  <c r="B150" i="3"/>
  <c r="A150" i="3"/>
  <c r="I149" i="3"/>
  <c r="H149" i="3"/>
  <c r="F149" i="3"/>
  <c r="D149" i="3"/>
  <c r="C149" i="3"/>
  <c r="B149" i="3"/>
  <c r="A149" i="3"/>
  <c r="I148" i="3"/>
  <c r="H148" i="3"/>
  <c r="F148" i="3"/>
  <c r="E148" i="3"/>
  <c r="D148" i="3"/>
  <c r="C148" i="3"/>
  <c r="B148" i="3"/>
  <c r="A148" i="3"/>
  <c r="I147" i="3"/>
  <c r="H147" i="3"/>
  <c r="F147" i="3"/>
  <c r="E147" i="3"/>
  <c r="D147" i="3"/>
  <c r="C147" i="3"/>
  <c r="B147" i="3"/>
  <c r="A147" i="3"/>
  <c r="I146" i="3"/>
  <c r="H146" i="3"/>
  <c r="F146" i="3"/>
  <c r="D146" i="3"/>
  <c r="C146" i="3"/>
  <c r="B146" i="3"/>
  <c r="A146" i="3"/>
  <c r="I145" i="3"/>
  <c r="H145" i="3"/>
  <c r="F145" i="3"/>
  <c r="D145" i="3"/>
  <c r="C145" i="3"/>
  <c r="B145" i="3"/>
  <c r="A145" i="3"/>
  <c r="I144" i="3"/>
  <c r="H144" i="3"/>
  <c r="E144" i="3"/>
  <c r="D144" i="3"/>
  <c r="C144" i="3"/>
  <c r="B144" i="3"/>
  <c r="A144" i="3"/>
  <c r="I143" i="3"/>
  <c r="H143" i="3"/>
  <c r="F143" i="3"/>
  <c r="D143" i="3"/>
  <c r="C143" i="3"/>
  <c r="B143" i="3"/>
  <c r="A143" i="3"/>
  <c r="I142" i="3"/>
  <c r="H142" i="3"/>
  <c r="F142" i="3"/>
  <c r="E142" i="3"/>
  <c r="D142" i="3"/>
  <c r="C142" i="3"/>
  <c r="B142" i="3"/>
  <c r="A142" i="3"/>
  <c r="I141" i="3"/>
  <c r="H141" i="3"/>
  <c r="F141" i="3"/>
  <c r="E141" i="3"/>
  <c r="D141" i="3"/>
  <c r="C141" i="3"/>
  <c r="B141" i="3"/>
  <c r="A141" i="3"/>
  <c r="I140" i="3"/>
  <c r="H140" i="3"/>
  <c r="F140" i="3"/>
  <c r="E140" i="3"/>
  <c r="D140" i="3"/>
  <c r="C140" i="3"/>
  <c r="B140" i="3"/>
  <c r="A140" i="3"/>
  <c r="I139" i="3"/>
  <c r="H139" i="3"/>
  <c r="F139" i="3"/>
  <c r="D139" i="3"/>
  <c r="C139" i="3"/>
  <c r="B139" i="3"/>
  <c r="A139" i="3"/>
  <c r="I138" i="3"/>
  <c r="H138" i="3"/>
  <c r="E138" i="3"/>
  <c r="D138" i="3"/>
  <c r="C138" i="3"/>
  <c r="B138" i="3"/>
  <c r="A138" i="3"/>
  <c r="I137" i="3"/>
  <c r="H137" i="3"/>
  <c r="F137" i="3"/>
  <c r="E137" i="3"/>
  <c r="D137" i="3"/>
  <c r="C137" i="3"/>
  <c r="B137" i="3"/>
  <c r="A137" i="3"/>
  <c r="I136" i="3"/>
  <c r="H136" i="3"/>
  <c r="F136" i="3"/>
  <c r="D136" i="3"/>
  <c r="C136" i="3"/>
  <c r="B136" i="3"/>
  <c r="A136" i="3"/>
  <c r="I135" i="3"/>
  <c r="H135" i="3"/>
  <c r="F135" i="3"/>
  <c r="E135" i="3"/>
  <c r="D135" i="3"/>
  <c r="C135" i="3"/>
  <c r="B135" i="3"/>
  <c r="A135" i="3"/>
  <c r="I134" i="3"/>
  <c r="H134" i="3"/>
  <c r="F134" i="3"/>
  <c r="D134" i="3"/>
  <c r="C134" i="3"/>
  <c r="B134" i="3"/>
  <c r="A134" i="3"/>
  <c r="I133" i="3"/>
  <c r="H133" i="3"/>
  <c r="F133" i="3"/>
  <c r="E133" i="3"/>
  <c r="D133" i="3"/>
  <c r="C133" i="3"/>
  <c r="B133" i="3"/>
  <c r="A133" i="3"/>
  <c r="I132" i="3"/>
  <c r="H132" i="3"/>
  <c r="F132" i="3"/>
  <c r="E132" i="3"/>
  <c r="D132" i="3"/>
  <c r="C132" i="3"/>
  <c r="B132" i="3"/>
  <c r="A132" i="3"/>
  <c r="I131" i="3"/>
  <c r="H131" i="3"/>
  <c r="D131" i="3"/>
  <c r="C131" i="3"/>
  <c r="B131" i="3"/>
  <c r="A131" i="3"/>
  <c r="I130" i="3"/>
  <c r="H130" i="3"/>
  <c r="F130" i="3"/>
  <c r="D130" i="3"/>
  <c r="C130" i="3"/>
  <c r="B130" i="3"/>
  <c r="A130" i="3"/>
  <c r="I129" i="3"/>
  <c r="H129" i="3"/>
  <c r="F129" i="3"/>
  <c r="E129" i="3"/>
  <c r="D129" i="3"/>
  <c r="C129" i="3"/>
  <c r="B129" i="3"/>
  <c r="A129" i="3"/>
  <c r="I128" i="3"/>
  <c r="H128" i="3"/>
  <c r="F128" i="3"/>
  <c r="D128" i="3"/>
  <c r="C128" i="3"/>
  <c r="B128" i="3"/>
  <c r="A128" i="3"/>
  <c r="I127" i="3"/>
  <c r="H127" i="3"/>
  <c r="D127" i="3"/>
  <c r="C127" i="3"/>
  <c r="B127" i="3"/>
  <c r="A127" i="3"/>
  <c r="I126" i="3"/>
  <c r="H126" i="3"/>
  <c r="F126" i="3"/>
  <c r="D126" i="3"/>
  <c r="C126" i="3"/>
  <c r="B126" i="3"/>
  <c r="A126" i="3"/>
  <c r="I125" i="3"/>
  <c r="F125" i="3"/>
  <c r="D125" i="3"/>
  <c r="C125" i="3"/>
  <c r="B125" i="3"/>
  <c r="A125" i="3"/>
  <c r="I124" i="3"/>
  <c r="H124" i="3"/>
  <c r="F124" i="3"/>
  <c r="E124" i="3"/>
  <c r="D124" i="3"/>
  <c r="C124" i="3"/>
  <c r="B124" i="3"/>
  <c r="A124" i="3"/>
  <c r="I123" i="3"/>
  <c r="H123" i="3"/>
  <c r="F123" i="3"/>
  <c r="E123" i="3"/>
  <c r="D123" i="3"/>
  <c r="C123" i="3"/>
  <c r="B123" i="3"/>
  <c r="A123" i="3"/>
  <c r="I122" i="3"/>
  <c r="H122" i="3"/>
  <c r="E122" i="3"/>
  <c r="D122" i="3"/>
  <c r="C122" i="3"/>
  <c r="B122" i="3"/>
  <c r="A122" i="3"/>
  <c r="I121" i="3"/>
  <c r="H121" i="3"/>
  <c r="F121" i="3"/>
  <c r="D121" i="3"/>
  <c r="C121" i="3"/>
  <c r="B121" i="3"/>
  <c r="A121" i="3"/>
  <c r="I120" i="3"/>
  <c r="H120" i="3"/>
  <c r="D120" i="3"/>
  <c r="C120" i="3"/>
  <c r="B120" i="3"/>
  <c r="A120" i="3"/>
  <c r="I119" i="3"/>
  <c r="H119" i="3"/>
  <c r="D119" i="3"/>
  <c r="C119" i="3"/>
  <c r="B119" i="3"/>
  <c r="A119" i="3"/>
  <c r="I118" i="3"/>
  <c r="H118" i="3"/>
  <c r="F118" i="3"/>
  <c r="E118" i="3"/>
  <c r="D118" i="3"/>
  <c r="C118" i="3"/>
  <c r="B118" i="3"/>
  <c r="A118" i="3"/>
  <c r="I117" i="3"/>
  <c r="H117" i="3"/>
  <c r="E117" i="3"/>
  <c r="D117" i="3"/>
  <c r="C117" i="3"/>
  <c r="B117" i="3"/>
  <c r="A117" i="3"/>
  <c r="I116" i="3"/>
  <c r="H116" i="3"/>
  <c r="E116" i="3"/>
  <c r="D116" i="3"/>
  <c r="C116" i="3"/>
  <c r="B116" i="3"/>
  <c r="A116" i="3"/>
  <c r="I115" i="3"/>
  <c r="H115" i="3"/>
  <c r="F115" i="3"/>
  <c r="E115" i="3"/>
  <c r="D115" i="3"/>
  <c r="C115" i="3"/>
  <c r="B115" i="3"/>
  <c r="A115" i="3"/>
  <c r="I114" i="3"/>
  <c r="H114" i="3"/>
  <c r="F114" i="3"/>
  <c r="E114" i="3"/>
  <c r="D114" i="3"/>
  <c r="C114" i="3"/>
  <c r="B114" i="3"/>
  <c r="A114" i="3"/>
  <c r="I113" i="3"/>
  <c r="H113" i="3"/>
  <c r="F113" i="3"/>
  <c r="E113" i="3"/>
  <c r="D113" i="3"/>
  <c r="C113" i="3"/>
  <c r="B113" i="3"/>
  <c r="A113" i="3"/>
  <c r="I112" i="3"/>
  <c r="H112" i="3"/>
  <c r="F112" i="3"/>
  <c r="E112" i="3"/>
  <c r="D112" i="3"/>
  <c r="C112" i="3"/>
  <c r="B112" i="3"/>
  <c r="A112" i="3"/>
  <c r="I111" i="3"/>
  <c r="H111" i="3"/>
  <c r="F111" i="3"/>
  <c r="E111" i="3"/>
  <c r="D111" i="3"/>
  <c r="C111" i="3"/>
  <c r="B111" i="3"/>
  <c r="A111" i="3"/>
  <c r="I110" i="3"/>
  <c r="H110" i="3"/>
  <c r="F110" i="3"/>
  <c r="E110" i="3"/>
  <c r="D110" i="3"/>
  <c r="C110" i="3"/>
  <c r="B110" i="3"/>
  <c r="A110" i="3"/>
  <c r="I109" i="3"/>
  <c r="H109" i="3"/>
  <c r="F109" i="3"/>
  <c r="E109" i="3"/>
  <c r="D109" i="3"/>
  <c r="C109" i="3"/>
  <c r="B109" i="3"/>
  <c r="A109" i="3"/>
  <c r="I108" i="3"/>
  <c r="H108" i="3"/>
  <c r="F108" i="3"/>
  <c r="D108" i="3"/>
  <c r="C108" i="3"/>
  <c r="B108" i="3"/>
  <c r="A108" i="3"/>
  <c r="I107" i="3"/>
  <c r="H107" i="3"/>
  <c r="F107" i="3"/>
  <c r="E107" i="3"/>
  <c r="D107" i="3"/>
  <c r="C107" i="3"/>
  <c r="B107" i="3"/>
  <c r="A107" i="3"/>
  <c r="I106" i="3"/>
  <c r="H106" i="3"/>
  <c r="F106" i="3"/>
  <c r="E106" i="3"/>
  <c r="D106" i="3"/>
  <c r="C106" i="3"/>
  <c r="B106" i="3"/>
  <c r="A106" i="3"/>
  <c r="I105" i="3"/>
  <c r="H105" i="3"/>
  <c r="F105" i="3"/>
  <c r="E105" i="3"/>
  <c r="D105" i="3"/>
  <c r="C105" i="3"/>
  <c r="B105" i="3"/>
  <c r="A105" i="3"/>
  <c r="I104" i="3"/>
  <c r="H104" i="3"/>
  <c r="F104" i="3"/>
  <c r="E104" i="3"/>
  <c r="D104" i="3"/>
  <c r="C104" i="3"/>
  <c r="B104" i="3"/>
  <c r="A104" i="3"/>
  <c r="I103" i="3"/>
  <c r="H103" i="3"/>
  <c r="F103" i="3"/>
  <c r="E103" i="3"/>
  <c r="D103" i="3"/>
  <c r="C103" i="3"/>
  <c r="B103" i="3"/>
  <c r="A103" i="3"/>
  <c r="I102" i="3"/>
  <c r="H102" i="3"/>
  <c r="E102" i="3"/>
  <c r="D102" i="3"/>
  <c r="C102" i="3"/>
  <c r="B102" i="3"/>
  <c r="A102" i="3"/>
  <c r="I101" i="3"/>
  <c r="H101" i="3"/>
  <c r="F101" i="3"/>
  <c r="E101" i="3"/>
  <c r="D101" i="3"/>
  <c r="C101" i="3"/>
  <c r="B101" i="3"/>
  <c r="A101" i="3"/>
  <c r="I100" i="3"/>
  <c r="H100" i="3"/>
  <c r="F100" i="3"/>
  <c r="E100" i="3"/>
  <c r="D100" i="3"/>
  <c r="C100" i="3"/>
  <c r="B100" i="3"/>
  <c r="A100" i="3"/>
  <c r="I99" i="3"/>
  <c r="H99" i="3"/>
  <c r="F99" i="3"/>
  <c r="E99" i="3"/>
  <c r="D99" i="3"/>
  <c r="C99" i="3"/>
  <c r="B99" i="3"/>
  <c r="A99" i="3"/>
  <c r="I98" i="3"/>
  <c r="H98" i="3"/>
  <c r="F98" i="3"/>
  <c r="E98" i="3"/>
  <c r="D98" i="3"/>
  <c r="C98" i="3"/>
  <c r="B98" i="3"/>
  <c r="A98" i="3"/>
  <c r="I97" i="3"/>
  <c r="H97" i="3"/>
  <c r="F97" i="3"/>
  <c r="D97" i="3"/>
  <c r="C97" i="3"/>
  <c r="B97" i="3"/>
  <c r="A97" i="3"/>
  <c r="I96" i="3"/>
  <c r="H96" i="3"/>
  <c r="E96" i="3"/>
  <c r="D96" i="3"/>
  <c r="C96" i="3"/>
  <c r="B96" i="3"/>
  <c r="A96" i="3"/>
  <c r="I95" i="3"/>
  <c r="H95" i="3"/>
  <c r="F95" i="3"/>
  <c r="D95" i="3"/>
  <c r="C95" i="3"/>
  <c r="B95" i="3"/>
  <c r="A95" i="3"/>
  <c r="I94" i="3"/>
  <c r="H94" i="3"/>
  <c r="F94" i="3"/>
  <c r="E94" i="3"/>
  <c r="D94" i="3"/>
  <c r="C94" i="3"/>
  <c r="B94" i="3"/>
  <c r="A94" i="3"/>
  <c r="I93" i="3"/>
  <c r="H93" i="3"/>
  <c r="F93" i="3"/>
  <c r="D93" i="3"/>
  <c r="C93" i="3"/>
  <c r="B93" i="3"/>
  <c r="A93" i="3"/>
  <c r="I92" i="3"/>
  <c r="H92" i="3"/>
  <c r="F92" i="3"/>
  <c r="E92" i="3"/>
  <c r="D92" i="3"/>
  <c r="C92" i="3"/>
  <c r="B92" i="3"/>
  <c r="A92" i="3"/>
  <c r="I91" i="3"/>
  <c r="H91" i="3"/>
  <c r="F91" i="3"/>
  <c r="E91" i="3"/>
  <c r="D91" i="3"/>
  <c r="C91" i="3"/>
  <c r="B91" i="3"/>
  <c r="A91" i="3"/>
  <c r="I90" i="3"/>
  <c r="H90" i="3"/>
  <c r="F90" i="3"/>
  <c r="E90" i="3"/>
  <c r="D90" i="3"/>
  <c r="C90" i="3"/>
  <c r="B90" i="3"/>
  <c r="A90" i="3"/>
  <c r="I89" i="3"/>
  <c r="H89" i="3"/>
  <c r="F89" i="3"/>
  <c r="D89" i="3"/>
  <c r="C89" i="3"/>
  <c r="B89" i="3"/>
  <c r="A89" i="3"/>
  <c r="I88" i="3"/>
  <c r="H88" i="3"/>
  <c r="F88" i="3"/>
  <c r="E88" i="3"/>
  <c r="D88" i="3"/>
  <c r="C88" i="3"/>
  <c r="B88" i="3"/>
  <c r="A88" i="3"/>
  <c r="I87" i="3"/>
  <c r="D87" i="3"/>
  <c r="C87" i="3"/>
  <c r="B87" i="3"/>
  <c r="A87" i="3"/>
  <c r="I86" i="3"/>
  <c r="F86" i="3"/>
  <c r="E86" i="3"/>
  <c r="D86" i="3"/>
  <c r="C86" i="3"/>
  <c r="B86" i="3"/>
  <c r="A86" i="3"/>
  <c r="I85" i="3"/>
  <c r="H85" i="3"/>
  <c r="F85" i="3"/>
  <c r="E85" i="3"/>
  <c r="D85" i="3"/>
  <c r="C85" i="3"/>
  <c r="B85" i="3"/>
  <c r="A85" i="3"/>
  <c r="I84" i="3"/>
  <c r="H84" i="3"/>
  <c r="F84" i="3"/>
  <c r="E84" i="3"/>
  <c r="D84" i="3"/>
  <c r="C84" i="3"/>
  <c r="B84" i="3"/>
  <c r="A84" i="3"/>
  <c r="I83" i="3"/>
  <c r="H83" i="3"/>
  <c r="D83" i="3"/>
  <c r="C83" i="3"/>
  <c r="B83" i="3"/>
  <c r="A83" i="3"/>
  <c r="I82" i="3"/>
  <c r="H82" i="3"/>
  <c r="F82" i="3"/>
  <c r="D82" i="3"/>
  <c r="C82" i="3"/>
  <c r="B82" i="3"/>
  <c r="A82" i="3"/>
  <c r="I81" i="3"/>
  <c r="H81" i="3"/>
  <c r="F81" i="3"/>
  <c r="D81" i="3"/>
  <c r="C81" i="3"/>
  <c r="B81" i="3"/>
  <c r="A81" i="3"/>
  <c r="I80" i="3"/>
  <c r="H80" i="3"/>
  <c r="F80" i="3"/>
  <c r="E80" i="3"/>
  <c r="D80" i="3"/>
  <c r="C80" i="3"/>
  <c r="B80" i="3"/>
  <c r="A80" i="3"/>
  <c r="I79" i="3"/>
  <c r="H79" i="3"/>
  <c r="F79" i="3"/>
  <c r="D79" i="3"/>
  <c r="C79" i="3"/>
  <c r="B79" i="3"/>
  <c r="A79" i="3"/>
  <c r="I78" i="3"/>
  <c r="H78" i="3"/>
  <c r="F78" i="3"/>
  <c r="D78" i="3"/>
  <c r="C78" i="3"/>
  <c r="B78" i="3"/>
  <c r="A78" i="3"/>
  <c r="I77" i="3"/>
  <c r="H77" i="3"/>
  <c r="F77" i="3"/>
  <c r="E77" i="3"/>
  <c r="D77" i="3"/>
  <c r="C77" i="3"/>
  <c r="B77" i="3"/>
  <c r="A77" i="3"/>
  <c r="I76" i="3"/>
  <c r="H76" i="3"/>
  <c r="F76" i="3"/>
  <c r="E76" i="3"/>
  <c r="D76" i="3"/>
  <c r="C76" i="3"/>
  <c r="B76" i="3"/>
  <c r="A76" i="3"/>
  <c r="I75" i="3"/>
  <c r="H75" i="3"/>
  <c r="F75" i="3"/>
  <c r="E75" i="3"/>
  <c r="D75" i="3"/>
  <c r="C75" i="3"/>
  <c r="B75" i="3"/>
  <c r="A75" i="3"/>
  <c r="I74" i="3"/>
  <c r="H74" i="3"/>
  <c r="F74" i="3"/>
  <c r="E74" i="3"/>
  <c r="D74" i="3"/>
  <c r="C74" i="3"/>
  <c r="B74" i="3"/>
  <c r="A74" i="3"/>
  <c r="I73" i="3"/>
  <c r="H73" i="3"/>
  <c r="F73" i="3"/>
  <c r="E73" i="3"/>
  <c r="D73" i="3"/>
  <c r="C73" i="3"/>
  <c r="B73" i="3"/>
  <c r="A73" i="3"/>
  <c r="I72" i="3"/>
  <c r="H72" i="3"/>
  <c r="F72" i="3"/>
  <c r="D72" i="3"/>
  <c r="C72" i="3"/>
  <c r="B72" i="3"/>
  <c r="A72" i="3"/>
  <c r="I71" i="3"/>
  <c r="H71" i="3"/>
  <c r="D71" i="3"/>
  <c r="C71" i="3"/>
  <c r="B71" i="3"/>
  <c r="A71" i="3"/>
  <c r="I70" i="3"/>
  <c r="H70" i="3"/>
  <c r="F70" i="3"/>
  <c r="E70" i="3"/>
  <c r="D70" i="3"/>
  <c r="C70" i="3"/>
  <c r="B70" i="3"/>
  <c r="A70" i="3"/>
  <c r="I69" i="3"/>
  <c r="H69" i="3"/>
  <c r="F69" i="3"/>
  <c r="E69" i="3"/>
  <c r="D69" i="3"/>
  <c r="C69" i="3"/>
  <c r="B69" i="3"/>
  <c r="A69" i="3"/>
  <c r="I68" i="3"/>
  <c r="H68" i="3"/>
  <c r="E68" i="3"/>
  <c r="D68" i="3"/>
  <c r="C68" i="3"/>
  <c r="B68" i="3"/>
  <c r="A68" i="3"/>
  <c r="I67" i="3"/>
  <c r="H67" i="3"/>
  <c r="F67" i="3"/>
  <c r="D67" i="3"/>
  <c r="C67" i="3"/>
  <c r="B67" i="3"/>
  <c r="A67" i="3"/>
  <c r="I66" i="3"/>
  <c r="H66" i="3"/>
  <c r="F66" i="3"/>
  <c r="E66" i="3"/>
  <c r="D66" i="3"/>
  <c r="C66" i="3"/>
  <c r="B66" i="3"/>
  <c r="A66" i="3"/>
  <c r="I65" i="3"/>
  <c r="H65" i="3"/>
  <c r="D65" i="3"/>
  <c r="C65" i="3"/>
  <c r="B65" i="3"/>
  <c r="A65" i="3"/>
  <c r="I64" i="3"/>
  <c r="H64" i="3"/>
  <c r="D64" i="3"/>
  <c r="C64" i="3"/>
  <c r="B64" i="3"/>
  <c r="A64" i="3"/>
  <c r="I63" i="3"/>
  <c r="H63" i="3"/>
  <c r="E63" i="3"/>
  <c r="D63" i="3"/>
  <c r="C63" i="3"/>
  <c r="B63" i="3"/>
  <c r="A63" i="3"/>
  <c r="I62" i="3"/>
  <c r="H62" i="3"/>
  <c r="D62" i="3"/>
  <c r="C62" i="3"/>
  <c r="B62" i="3"/>
  <c r="A62" i="3"/>
  <c r="I61" i="3"/>
  <c r="H61" i="3"/>
  <c r="F61" i="3"/>
  <c r="E61" i="3"/>
  <c r="D61" i="3"/>
  <c r="C61" i="3"/>
  <c r="B61" i="3"/>
  <c r="A61" i="3"/>
  <c r="I60" i="3"/>
  <c r="H60" i="3"/>
  <c r="F60" i="3"/>
  <c r="E60" i="3"/>
  <c r="D60" i="3"/>
  <c r="C60" i="3"/>
  <c r="B60" i="3"/>
  <c r="A60" i="3"/>
  <c r="I59" i="3"/>
  <c r="H59" i="3"/>
  <c r="F59" i="3"/>
  <c r="E59" i="3"/>
  <c r="D59" i="3"/>
  <c r="C59" i="3"/>
  <c r="B59" i="3"/>
  <c r="A59" i="3"/>
  <c r="I58" i="3"/>
  <c r="H58" i="3"/>
  <c r="D58" i="3"/>
  <c r="C58" i="3"/>
  <c r="B58" i="3"/>
  <c r="A58" i="3"/>
  <c r="I57" i="3"/>
  <c r="H57" i="3"/>
  <c r="F57" i="3"/>
  <c r="E57" i="3"/>
  <c r="D57" i="3"/>
  <c r="C57" i="3"/>
  <c r="B57" i="3"/>
  <c r="A57" i="3"/>
  <c r="I56" i="3"/>
  <c r="H56" i="3"/>
  <c r="F56" i="3"/>
  <c r="D56" i="3"/>
  <c r="C56" i="3"/>
  <c r="B56" i="3"/>
  <c r="A56" i="3"/>
  <c r="I55" i="3"/>
  <c r="F55" i="3"/>
  <c r="E55" i="3"/>
  <c r="D55" i="3"/>
  <c r="C55" i="3"/>
  <c r="B55" i="3"/>
  <c r="A55" i="3"/>
  <c r="I54" i="3"/>
  <c r="H54" i="3"/>
  <c r="F54" i="3"/>
  <c r="D54" i="3"/>
  <c r="C54" i="3"/>
  <c r="B54" i="3"/>
  <c r="A54" i="3"/>
  <c r="I53" i="3"/>
  <c r="H53" i="3"/>
  <c r="D53" i="3"/>
  <c r="C53" i="3"/>
  <c r="B53" i="3"/>
  <c r="A53" i="3"/>
  <c r="I52" i="3"/>
  <c r="H52" i="3"/>
  <c r="F52" i="3"/>
  <c r="E52" i="3"/>
  <c r="D52" i="3"/>
  <c r="C52" i="3"/>
  <c r="B52" i="3"/>
  <c r="A52" i="3"/>
  <c r="I51" i="3"/>
  <c r="H51" i="3"/>
  <c r="F51" i="3"/>
  <c r="E51" i="3"/>
  <c r="D51" i="3"/>
  <c r="C51" i="3"/>
  <c r="B51" i="3"/>
  <c r="A51" i="3"/>
  <c r="I50" i="3"/>
  <c r="H50" i="3"/>
  <c r="E50" i="3"/>
  <c r="D50" i="3"/>
  <c r="C50" i="3"/>
  <c r="B50" i="3"/>
  <c r="A50" i="3"/>
  <c r="I49" i="3"/>
  <c r="H49" i="3"/>
  <c r="F49" i="3"/>
  <c r="D49" i="3"/>
  <c r="C49" i="3"/>
  <c r="B49" i="3"/>
  <c r="A49" i="3"/>
  <c r="I48" i="3"/>
  <c r="H48" i="3"/>
  <c r="F48" i="3"/>
  <c r="E48" i="3"/>
  <c r="D48" i="3"/>
  <c r="C48" i="3"/>
  <c r="B48" i="3"/>
  <c r="A48" i="3"/>
  <c r="I47" i="3"/>
  <c r="H47" i="3"/>
  <c r="F47" i="3"/>
  <c r="E47" i="3"/>
  <c r="D47" i="3"/>
  <c r="C47" i="3"/>
  <c r="B47" i="3"/>
  <c r="A47" i="3"/>
  <c r="I46" i="3"/>
  <c r="H46" i="3"/>
  <c r="F46" i="3"/>
  <c r="E46" i="3"/>
  <c r="D46" i="3"/>
  <c r="C46" i="3"/>
  <c r="B46" i="3"/>
  <c r="A46" i="3"/>
  <c r="I45" i="3"/>
  <c r="H45" i="3"/>
  <c r="F45" i="3"/>
  <c r="E45" i="3"/>
  <c r="D45" i="3"/>
  <c r="C45" i="3"/>
  <c r="B45" i="3"/>
  <c r="A45" i="3"/>
  <c r="I44" i="3"/>
  <c r="H44" i="3"/>
  <c r="F44" i="3"/>
  <c r="E44" i="3"/>
  <c r="D44" i="3"/>
  <c r="C44" i="3"/>
  <c r="B44" i="3"/>
  <c r="A44" i="3"/>
  <c r="I43" i="3"/>
  <c r="H43" i="3"/>
  <c r="F43" i="3"/>
  <c r="E43" i="3"/>
  <c r="D43" i="3"/>
  <c r="C43" i="3"/>
  <c r="B43" i="3"/>
  <c r="A43" i="3"/>
  <c r="I42" i="3"/>
  <c r="F42" i="3"/>
  <c r="E42" i="3"/>
  <c r="D42" i="3"/>
  <c r="C42" i="3"/>
  <c r="B42" i="3"/>
  <c r="A42" i="3"/>
  <c r="I41" i="3"/>
  <c r="F41" i="3"/>
  <c r="E41" i="3"/>
  <c r="D41" i="3"/>
  <c r="C41" i="3"/>
  <c r="B41" i="3"/>
  <c r="A41" i="3"/>
  <c r="I40" i="3"/>
  <c r="F40" i="3"/>
  <c r="E40" i="3"/>
  <c r="D40" i="3"/>
  <c r="C40" i="3"/>
  <c r="B40" i="3"/>
  <c r="A40" i="3"/>
  <c r="I39" i="3"/>
  <c r="F39" i="3"/>
  <c r="E39" i="3"/>
  <c r="D39" i="3"/>
  <c r="C39" i="3"/>
  <c r="B39" i="3"/>
  <c r="A39" i="3"/>
  <c r="I38" i="3"/>
  <c r="F38" i="3"/>
  <c r="E38" i="3"/>
  <c r="D38" i="3"/>
  <c r="C38" i="3"/>
  <c r="B38" i="3"/>
  <c r="A38" i="3"/>
  <c r="I37" i="3"/>
  <c r="E37" i="3"/>
  <c r="D37" i="3"/>
  <c r="C37" i="3"/>
  <c r="B37" i="3"/>
  <c r="A37" i="3"/>
  <c r="I36" i="3"/>
  <c r="F36" i="3"/>
  <c r="D36" i="3"/>
  <c r="C36" i="3"/>
  <c r="B36" i="3"/>
  <c r="A36" i="3"/>
  <c r="I35" i="3"/>
  <c r="E35" i="3"/>
  <c r="D35" i="3"/>
  <c r="C35" i="3"/>
  <c r="B35" i="3"/>
  <c r="A35" i="3"/>
  <c r="I34" i="3"/>
  <c r="D34" i="3"/>
  <c r="C34" i="3"/>
  <c r="B34" i="3"/>
  <c r="A34" i="3"/>
  <c r="I33" i="3"/>
  <c r="H33" i="3"/>
  <c r="D33" i="3"/>
  <c r="C33" i="3"/>
  <c r="B33" i="3"/>
  <c r="A33" i="3"/>
  <c r="I32" i="3"/>
  <c r="F32" i="3"/>
  <c r="E32" i="3"/>
  <c r="D32" i="3"/>
  <c r="C32" i="3"/>
  <c r="B32" i="3"/>
  <c r="A32" i="3"/>
  <c r="I31" i="3"/>
  <c r="F31" i="3"/>
  <c r="E31" i="3"/>
  <c r="D31" i="3"/>
  <c r="C31" i="3"/>
  <c r="B31" i="3"/>
  <c r="A31" i="3"/>
  <c r="I30" i="3"/>
  <c r="F30" i="3"/>
  <c r="E30" i="3"/>
  <c r="D30" i="3"/>
  <c r="C30" i="3"/>
  <c r="B30" i="3"/>
  <c r="A30" i="3"/>
  <c r="I29" i="3"/>
  <c r="D29" i="3"/>
  <c r="C29" i="3"/>
  <c r="B29" i="3"/>
  <c r="A29" i="3"/>
  <c r="I28" i="3"/>
  <c r="E28" i="3"/>
  <c r="D28" i="3"/>
  <c r="C28" i="3"/>
  <c r="B28" i="3"/>
  <c r="A28" i="3"/>
  <c r="I27" i="3"/>
  <c r="F27" i="3"/>
  <c r="E27" i="3"/>
  <c r="D27" i="3"/>
  <c r="C27" i="3"/>
  <c r="B27" i="3"/>
  <c r="A27" i="3"/>
  <c r="I26" i="3"/>
  <c r="F26" i="3"/>
  <c r="E26" i="3"/>
  <c r="D26" i="3"/>
  <c r="C26" i="3"/>
  <c r="B26" i="3"/>
  <c r="A26" i="3"/>
  <c r="I25" i="3"/>
  <c r="F25" i="3"/>
  <c r="E25" i="3"/>
  <c r="D25" i="3"/>
  <c r="C25" i="3"/>
  <c r="B25" i="3"/>
  <c r="A25" i="3"/>
  <c r="I24" i="3"/>
  <c r="D24" i="3"/>
  <c r="C24" i="3"/>
  <c r="B24" i="3"/>
  <c r="A24" i="3"/>
  <c r="I23" i="3"/>
  <c r="F23" i="3"/>
  <c r="E23" i="3"/>
  <c r="D23" i="3"/>
  <c r="C23" i="3"/>
  <c r="B23" i="3"/>
  <c r="A23" i="3"/>
  <c r="I22" i="3"/>
  <c r="F22" i="3"/>
  <c r="D22" i="3"/>
  <c r="C22" i="3"/>
  <c r="B22" i="3"/>
  <c r="A22" i="3"/>
  <c r="I21" i="3"/>
  <c r="F21" i="3"/>
  <c r="D21" i="3"/>
  <c r="C21" i="3"/>
  <c r="B21" i="3"/>
  <c r="A21" i="3"/>
  <c r="I20" i="3"/>
  <c r="F20" i="3"/>
  <c r="E20" i="3"/>
  <c r="D20" i="3"/>
  <c r="C20" i="3"/>
  <c r="B20" i="3"/>
  <c r="A20" i="3"/>
  <c r="I19" i="3"/>
  <c r="F19" i="3"/>
  <c r="E19" i="3"/>
  <c r="D19" i="3"/>
  <c r="C19" i="3"/>
  <c r="B19" i="3"/>
  <c r="A19" i="3"/>
  <c r="I18" i="3"/>
  <c r="F18" i="3"/>
  <c r="D18" i="3"/>
  <c r="C18" i="3"/>
  <c r="B18" i="3"/>
  <c r="A18" i="3"/>
  <c r="I17" i="3"/>
  <c r="E17" i="3"/>
  <c r="D17" i="3"/>
  <c r="C17" i="3"/>
  <c r="B17" i="3"/>
  <c r="A17" i="3"/>
  <c r="I16" i="3"/>
  <c r="F16" i="3"/>
  <c r="E16" i="3"/>
  <c r="D16" i="3"/>
  <c r="C16" i="3"/>
  <c r="B16" i="3"/>
  <c r="A16" i="3"/>
  <c r="I15" i="3"/>
  <c r="E15" i="3"/>
  <c r="D15" i="3"/>
  <c r="C15" i="3"/>
  <c r="B15" i="3"/>
  <c r="A15" i="3"/>
  <c r="I14" i="3"/>
  <c r="E14" i="3"/>
  <c r="D14" i="3"/>
  <c r="C14" i="3"/>
  <c r="B14" i="3"/>
  <c r="A14" i="3"/>
  <c r="I13" i="3"/>
  <c r="E13" i="3"/>
  <c r="D13" i="3"/>
  <c r="C13" i="3"/>
  <c r="B13" i="3"/>
  <c r="A13" i="3"/>
  <c r="I12" i="3"/>
  <c r="F12" i="3"/>
  <c r="E12" i="3"/>
  <c r="D12" i="3"/>
  <c r="C12" i="3"/>
  <c r="B12" i="3"/>
  <c r="A12" i="3"/>
  <c r="I11" i="3"/>
  <c r="F11" i="3"/>
  <c r="E11" i="3"/>
  <c r="D11" i="3"/>
  <c r="C11" i="3"/>
  <c r="B11" i="3"/>
  <c r="A11" i="3"/>
  <c r="I10" i="3"/>
  <c r="E10" i="3"/>
  <c r="D10" i="3"/>
  <c r="C10" i="3"/>
  <c r="B10" i="3"/>
  <c r="A10" i="3"/>
  <c r="I9" i="3"/>
  <c r="F9" i="3"/>
  <c r="D9" i="3"/>
  <c r="C9" i="3"/>
  <c r="B9" i="3"/>
  <c r="A9" i="3"/>
  <c r="I8" i="3"/>
  <c r="F8" i="3"/>
  <c r="E8" i="3"/>
  <c r="D8" i="3"/>
  <c r="C8" i="3"/>
  <c r="B8" i="3"/>
  <c r="A8" i="3"/>
  <c r="I7" i="3"/>
  <c r="E7" i="3"/>
  <c r="D7" i="3"/>
  <c r="C7" i="3"/>
  <c r="B7" i="3"/>
  <c r="A7" i="3"/>
  <c r="I6" i="3"/>
  <c r="F6" i="3"/>
  <c r="D6" i="3"/>
  <c r="C6" i="3"/>
  <c r="B6" i="3"/>
  <c r="A6" i="3"/>
  <c r="I5" i="3"/>
  <c r="E5" i="3"/>
  <c r="D5" i="3"/>
  <c r="C5" i="3"/>
  <c r="B5" i="3"/>
  <c r="A5" i="3"/>
  <c r="I4" i="3"/>
  <c r="F4" i="3"/>
  <c r="D4" i="3"/>
  <c r="C4" i="3"/>
  <c r="B4" i="3"/>
  <c r="A4" i="3"/>
  <c r="I3" i="3"/>
  <c r="F3" i="3"/>
  <c r="E3" i="3"/>
  <c r="D3" i="3"/>
  <c r="C3" i="3"/>
  <c r="B3" i="3"/>
  <c r="A3" i="3"/>
  <c r="I2" i="3"/>
  <c r="F2" i="3"/>
  <c r="E2" i="3"/>
  <c r="D2" i="3"/>
  <c r="C2" i="3"/>
  <c r="B2" i="3"/>
  <c r="A2" i="3"/>
  <c r="I1" i="3"/>
  <c r="H1" i="3"/>
  <c r="G1" i="3"/>
  <c r="F1" i="3"/>
  <c r="E1" i="3"/>
  <c r="D1" i="3"/>
  <c r="C1" i="3"/>
  <c r="B1" i="3"/>
  <c r="A1" i="3"/>
  <c r="A24" i="2"/>
  <c r="A23" i="2"/>
  <c r="A22" i="2"/>
  <c r="A21" i="2"/>
  <c r="J16" i="2"/>
  <c r="A16" i="2"/>
  <c r="J15" i="2"/>
  <c r="A15" i="2"/>
  <c r="J14" i="2"/>
  <c r="A14" i="2"/>
  <c r="J13" i="2"/>
  <c r="A13" i="2"/>
  <c r="M29" i="1"/>
  <c r="L29" i="1"/>
  <c r="K29" i="1"/>
  <c r="J29" i="1"/>
  <c r="I29" i="1"/>
  <c r="H29" i="1"/>
  <c r="G29" i="1"/>
  <c r="F29" i="1"/>
  <c r="E29" i="1"/>
  <c r="D29" i="1"/>
  <c r="B29" i="1"/>
  <c r="A29" i="1"/>
  <c r="M28" i="1"/>
  <c r="L28" i="1"/>
  <c r="K28" i="1"/>
  <c r="J28" i="1"/>
  <c r="I28" i="1"/>
  <c r="H28" i="1"/>
  <c r="G28" i="1"/>
  <c r="F28" i="1"/>
  <c r="E28" i="1"/>
  <c r="D28" i="1"/>
  <c r="C28" i="1"/>
  <c r="B28" i="1"/>
  <c r="A28" i="1"/>
  <c r="M27" i="1"/>
  <c r="L27" i="1"/>
  <c r="K27" i="1"/>
  <c r="J27" i="1"/>
  <c r="I27" i="1"/>
  <c r="H27" i="1"/>
  <c r="G27" i="1"/>
  <c r="F27" i="1"/>
  <c r="E27" i="1"/>
  <c r="D27" i="1"/>
  <c r="B27" i="1"/>
  <c r="A27" i="1"/>
  <c r="M26" i="1"/>
  <c r="L26" i="1"/>
  <c r="K26" i="1"/>
  <c r="J26" i="1"/>
  <c r="I26" i="1"/>
  <c r="H26" i="1"/>
  <c r="G26" i="1"/>
  <c r="F26" i="1"/>
  <c r="E26" i="1"/>
  <c r="D26" i="1"/>
  <c r="B26" i="1"/>
  <c r="A26" i="1"/>
  <c r="N25" i="1"/>
  <c r="M25" i="1"/>
  <c r="L25" i="1"/>
  <c r="K25" i="1"/>
  <c r="J25" i="1"/>
  <c r="I25" i="1"/>
  <c r="H25" i="1"/>
  <c r="G25" i="1"/>
  <c r="F25" i="1"/>
  <c r="E25" i="1"/>
  <c r="D25" i="1"/>
  <c r="C25" i="1"/>
  <c r="B25" i="1"/>
  <c r="A25" i="1"/>
  <c r="N24" i="1"/>
  <c r="M24" i="1"/>
  <c r="L24" i="1"/>
  <c r="K24" i="1"/>
  <c r="J24" i="1"/>
  <c r="I24" i="1"/>
  <c r="H24" i="1"/>
  <c r="G24" i="1"/>
  <c r="F24" i="1"/>
  <c r="E24" i="1"/>
  <c r="D24" i="1"/>
  <c r="C24" i="1"/>
  <c r="B24" i="1"/>
  <c r="A24" i="1"/>
  <c r="M23" i="1"/>
  <c r="L23" i="1"/>
  <c r="K23" i="1"/>
  <c r="J23" i="1"/>
  <c r="I23" i="1"/>
  <c r="H23" i="1"/>
  <c r="G23" i="1"/>
  <c r="F23" i="1"/>
  <c r="E23" i="1"/>
  <c r="D23" i="1"/>
  <c r="B23" i="1"/>
  <c r="A23" i="1"/>
  <c r="M22" i="1"/>
  <c r="L22" i="1"/>
  <c r="K22" i="1"/>
  <c r="J22" i="1"/>
  <c r="I22" i="1"/>
  <c r="H22" i="1"/>
  <c r="G22" i="1"/>
  <c r="F22" i="1"/>
  <c r="E22" i="1"/>
  <c r="D22" i="1"/>
  <c r="B22" i="1"/>
  <c r="A22" i="1"/>
  <c r="M21" i="1"/>
  <c r="L21" i="1"/>
  <c r="K21" i="1"/>
  <c r="J21" i="1"/>
  <c r="I21" i="1"/>
  <c r="H21" i="1"/>
  <c r="G21" i="1"/>
  <c r="F21" i="1"/>
  <c r="E21" i="1"/>
  <c r="D21" i="1"/>
  <c r="B21" i="1"/>
  <c r="A21" i="1"/>
  <c r="M20" i="1"/>
  <c r="L20" i="1"/>
  <c r="K20" i="1"/>
  <c r="J20" i="1"/>
  <c r="I20" i="1"/>
  <c r="H20" i="1"/>
  <c r="G20" i="1"/>
  <c r="F20" i="1"/>
  <c r="E20" i="1"/>
  <c r="D20" i="1"/>
  <c r="B20" i="1"/>
  <c r="A20" i="1"/>
  <c r="N19" i="1"/>
  <c r="M19" i="1"/>
  <c r="L19" i="1"/>
  <c r="K19" i="1"/>
  <c r="J19" i="1"/>
  <c r="I19" i="1"/>
  <c r="H19" i="1"/>
  <c r="G19" i="1"/>
  <c r="F19" i="1"/>
  <c r="E19" i="1"/>
  <c r="D19" i="1"/>
  <c r="C19" i="1"/>
  <c r="B19" i="1"/>
  <c r="A19" i="1"/>
  <c r="M17" i="1"/>
  <c r="L17" i="1"/>
  <c r="K17" i="1"/>
  <c r="J17" i="1"/>
  <c r="I17" i="1"/>
  <c r="H17" i="1"/>
  <c r="G17" i="1"/>
  <c r="F17" i="1"/>
  <c r="E17" i="1"/>
  <c r="D17" i="1"/>
  <c r="B17" i="1"/>
  <c r="A17" i="1"/>
  <c r="N14" i="1"/>
  <c r="M14" i="1"/>
  <c r="L14" i="1"/>
  <c r="K14" i="1"/>
  <c r="J14" i="1"/>
  <c r="I14" i="1"/>
  <c r="H14" i="1"/>
  <c r="G14" i="1"/>
  <c r="F14" i="1"/>
  <c r="E14" i="1"/>
  <c r="D14" i="1"/>
  <c r="C14" i="1"/>
  <c r="B14" i="1"/>
  <c r="A14" i="1"/>
  <c r="M12" i="1"/>
  <c r="L12" i="1"/>
  <c r="K12" i="1"/>
  <c r="J12" i="1"/>
  <c r="I12" i="1"/>
  <c r="H12" i="1"/>
  <c r="G12" i="1"/>
  <c r="F12" i="1"/>
  <c r="E12" i="1"/>
  <c r="D12" i="1"/>
  <c r="B12" i="1"/>
  <c r="A12" i="1"/>
  <c r="N11" i="1"/>
  <c r="M11" i="1"/>
  <c r="L11" i="1"/>
  <c r="K11" i="1"/>
  <c r="J11" i="1"/>
  <c r="I11" i="1"/>
  <c r="H11" i="1"/>
  <c r="G11" i="1"/>
  <c r="F11" i="1"/>
  <c r="E11" i="1"/>
  <c r="D11" i="1"/>
  <c r="C11" i="1"/>
  <c r="B11" i="1"/>
  <c r="A11" i="1"/>
  <c r="N10" i="1"/>
  <c r="M10" i="1"/>
  <c r="L10" i="1"/>
  <c r="K10" i="1"/>
  <c r="J10" i="1"/>
  <c r="I10" i="1"/>
  <c r="H10" i="1"/>
  <c r="G10" i="1"/>
  <c r="F10" i="1"/>
  <c r="E10" i="1"/>
  <c r="D10" i="1"/>
  <c r="C10" i="1"/>
  <c r="B10" i="1"/>
  <c r="A10" i="1"/>
  <c r="M9" i="1"/>
  <c r="L9" i="1"/>
  <c r="K9" i="1"/>
  <c r="J9" i="1"/>
  <c r="I9" i="1"/>
  <c r="H9" i="1"/>
  <c r="G9" i="1"/>
  <c r="F9" i="1"/>
  <c r="E9" i="1"/>
  <c r="D9" i="1"/>
  <c r="C9" i="1"/>
  <c r="B9" i="1"/>
  <c r="A9" i="1"/>
  <c r="M8" i="1"/>
  <c r="L8" i="1"/>
  <c r="K8" i="1"/>
  <c r="J8" i="1"/>
  <c r="I8" i="1"/>
  <c r="H8" i="1"/>
  <c r="G8" i="1"/>
  <c r="F8" i="1"/>
  <c r="E8" i="1"/>
  <c r="D8" i="1"/>
  <c r="B8" i="1"/>
  <c r="A8" i="1"/>
  <c r="M7" i="1"/>
  <c r="L7" i="1"/>
  <c r="K7" i="1"/>
  <c r="J7" i="1"/>
  <c r="I7" i="1"/>
  <c r="H7" i="1"/>
  <c r="G7" i="1"/>
  <c r="F7" i="1"/>
  <c r="E7" i="1"/>
  <c r="D7" i="1"/>
  <c r="C7" i="1"/>
  <c r="B7" i="1"/>
  <c r="A7" i="1"/>
  <c r="M6" i="1"/>
  <c r="L6" i="1"/>
  <c r="K6" i="1"/>
  <c r="J6" i="1"/>
  <c r="I6" i="1"/>
  <c r="H6" i="1"/>
  <c r="G6" i="1"/>
  <c r="F6" i="1"/>
  <c r="E6" i="1"/>
  <c r="D6" i="1"/>
  <c r="C6" i="1"/>
  <c r="B6" i="1"/>
  <c r="A6" i="1"/>
  <c r="M5" i="1"/>
  <c r="L5" i="1"/>
  <c r="K5" i="1"/>
  <c r="J5" i="1"/>
  <c r="I5" i="1"/>
  <c r="H5" i="1"/>
  <c r="G5" i="1"/>
  <c r="F5" i="1"/>
  <c r="E5" i="1"/>
  <c r="D5" i="1"/>
  <c r="C5" i="1"/>
  <c r="B5" i="1"/>
  <c r="A5" i="1"/>
  <c r="N4" i="1"/>
  <c r="M4" i="1"/>
  <c r="L4" i="1"/>
  <c r="K4" i="1"/>
  <c r="J4" i="1"/>
  <c r="I4" i="1"/>
  <c r="H4" i="1"/>
  <c r="G4" i="1"/>
  <c r="F4" i="1"/>
  <c r="E4" i="1"/>
  <c r="D4" i="1"/>
  <c r="C4" i="1"/>
  <c r="B4" i="1"/>
  <c r="A4" i="1"/>
  <c r="N3" i="1"/>
  <c r="M3" i="1"/>
  <c r="L3" i="1"/>
  <c r="K3" i="1"/>
  <c r="J3" i="1"/>
  <c r="I3" i="1"/>
  <c r="H3" i="1"/>
  <c r="G3" i="1"/>
  <c r="F3" i="1"/>
  <c r="E3" i="1"/>
  <c r="D3" i="1"/>
  <c r="C3" i="1"/>
  <c r="B3" i="1"/>
  <c r="A3" i="1"/>
  <c r="D2" i="1"/>
  <c r="B2" i="1"/>
  <c r="I1" i="1"/>
  <c r="D1" i="1"/>
  <c r="B1" i="1"/>
  <c r="A1" i="1"/>
  <c r="T4" i="2" l="1" a="1"/>
  <c r="T917" i="2" s="1"/>
  <c r="V4" i="2" a="1"/>
  <c r="V884" i="2" s="1"/>
  <c r="G22" i="2"/>
  <c r="H24" i="2"/>
  <c r="L6" i="2"/>
  <c r="M6" i="2" s="1"/>
  <c r="H22" i="2"/>
  <c r="G16" i="2"/>
  <c r="P13" i="2"/>
  <c r="B22" i="2"/>
  <c r="P15" i="2"/>
  <c r="K13" i="2"/>
  <c r="B24" i="2"/>
  <c r="G14" i="2"/>
  <c r="B16" i="2"/>
  <c r="K15" i="2"/>
  <c r="B14" i="2"/>
  <c r="L5" i="2"/>
  <c r="M5" i="2" s="1"/>
  <c r="Q15" i="2"/>
  <c r="H13" i="2"/>
  <c r="Q13" i="2"/>
  <c r="L4" i="2"/>
  <c r="M4" i="2" s="1"/>
  <c r="G23" i="2"/>
  <c r="W4" i="2" a="1"/>
  <c r="V503" i="2"/>
  <c r="V63" i="2"/>
  <c r="V672" i="2"/>
  <c r="V106" i="2"/>
  <c r="V101" i="2"/>
  <c r="V754" i="2"/>
  <c r="V398" i="2"/>
  <c r="V278" i="2"/>
  <c r="V65" i="2"/>
  <c r="V894" i="2"/>
  <c r="V724" i="2"/>
  <c r="V702" i="2"/>
  <c r="V525" i="2"/>
  <c r="V440" i="2"/>
  <c r="V376" i="2"/>
  <c r="V184" i="2"/>
  <c r="V177" i="2"/>
  <c r="V20" i="2"/>
  <c r="V692" i="2"/>
  <c r="V536" i="2"/>
  <c r="V380" i="2"/>
  <c r="V109" i="2"/>
  <c r="V9" i="2"/>
  <c r="V872" i="2"/>
  <c r="V630" i="2"/>
  <c r="V473" i="2"/>
  <c r="V850" i="2"/>
  <c r="V396" i="2"/>
  <c r="V238" i="2"/>
  <c r="V217" i="2"/>
  <c r="V12" i="2"/>
  <c r="V898" i="2"/>
  <c r="V756" i="2"/>
  <c r="V472" i="2"/>
  <c r="V444" i="2"/>
  <c r="V273" i="2"/>
  <c r="V174" i="2"/>
  <c r="V45" i="2"/>
  <c r="V25" i="2"/>
  <c r="V609" i="2"/>
  <c r="V494" i="2"/>
  <c r="V381" i="2"/>
  <c r="V230" i="2"/>
  <c r="V189" i="2"/>
  <c r="V97" i="2"/>
  <c r="I14" i="2"/>
  <c r="R16" i="2"/>
  <c r="I16" i="2"/>
  <c r="U4" i="2" a="1"/>
  <c r="L3" i="2"/>
  <c r="M3" i="2" s="1"/>
  <c r="V281" i="2"/>
  <c r="V457" i="2"/>
  <c r="V685" i="2"/>
  <c r="B21" i="2"/>
  <c r="I21" i="2"/>
  <c r="G21" i="2"/>
  <c r="H21" i="2"/>
  <c r="B23" i="2"/>
  <c r="H23" i="2"/>
  <c r="I23" i="2"/>
  <c r="B13" i="2"/>
  <c r="I13" i="2"/>
  <c r="G13" i="2"/>
  <c r="B15" i="2"/>
  <c r="I15" i="2"/>
  <c r="G15" i="2"/>
  <c r="H15" i="2"/>
  <c r="R15" i="2"/>
  <c r="P16" i="2"/>
  <c r="Q16" i="2"/>
  <c r="K16" i="2"/>
  <c r="R13" i="2"/>
  <c r="P14" i="2"/>
  <c r="Q14" i="2"/>
  <c r="K14" i="2"/>
  <c r="R14" i="2"/>
  <c r="I22" i="2"/>
  <c r="H14" i="2"/>
  <c r="H16" i="2"/>
  <c r="I24" i="2"/>
  <c r="G24" i="2"/>
  <c r="V40" i="2" l="1"/>
  <c r="V246" i="2"/>
  <c r="V750" i="2"/>
  <c r="V216" i="2"/>
  <c r="V642" i="2"/>
  <c r="V145" i="2"/>
  <c r="V622" i="2"/>
  <c r="V644" i="2"/>
  <c r="V265" i="2"/>
  <c r="V877" i="2"/>
  <c r="V248" i="2"/>
  <c r="V632" i="2"/>
  <c r="V902" i="2"/>
  <c r="V569" i="2"/>
  <c r="V485" i="2"/>
  <c r="V735" i="2"/>
  <c r="V913" i="2"/>
  <c r="V204" i="2"/>
  <c r="V116" i="2"/>
  <c r="V360" i="2"/>
  <c r="V694" i="2"/>
  <c r="V61" i="2"/>
  <c r="V345" i="2"/>
  <c r="V670" i="2"/>
  <c r="V88" i="2"/>
  <c r="V353" i="2"/>
  <c r="V388" i="2"/>
  <c r="V758" i="2"/>
  <c r="V237" i="2"/>
  <c r="V578" i="2"/>
  <c r="V77" i="2"/>
  <c r="V348" i="2"/>
  <c r="V553" i="2"/>
  <c r="V788" i="2"/>
  <c r="V200" i="2"/>
  <c r="V598" i="2"/>
  <c r="V250" i="2"/>
  <c r="V407" i="2"/>
  <c r="T186" i="2"/>
  <c r="V18" i="2"/>
  <c r="V153" i="2"/>
  <c r="V324" i="2"/>
  <c r="V524" i="2"/>
  <c r="V808" i="2"/>
  <c r="V140" i="2"/>
  <c r="V329" i="2"/>
  <c r="V529" i="2"/>
  <c r="V813" i="2"/>
  <c r="V125" i="2"/>
  <c r="V296" i="2"/>
  <c r="V652" i="2"/>
  <c r="V530" i="2"/>
  <c r="V786" i="2"/>
  <c r="V152" i="2"/>
  <c r="V408" i="2"/>
  <c r="V749" i="2"/>
  <c r="V98" i="2"/>
  <c r="V290" i="2"/>
  <c r="V446" i="2"/>
  <c r="V638" i="2"/>
  <c r="V830" i="2"/>
  <c r="V72" i="2"/>
  <c r="V449" i="2"/>
  <c r="V833" i="2"/>
  <c r="V309" i="2"/>
  <c r="V119" i="2"/>
  <c r="V863" i="2"/>
  <c r="T308" i="2"/>
  <c r="T68" i="2"/>
  <c r="T86" i="2"/>
  <c r="T598" i="2"/>
  <c r="T712" i="2"/>
  <c r="V481" i="2"/>
  <c r="V708" i="2"/>
  <c r="V417" i="2"/>
  <c r="V558" i="2"/>
  <c r="V686" i="2"/>
  <c r="V844" i="2"/>
  <c r="V38" i="2"/>
  <c r="V166" i="2"/>
  <c r="V322" i="2"/>
  <c r="V450" i="2"/>
  <c r="V593" i="2"/>
  <c r="V806" i="2"/>
  <c r="V34" i="2"/>
  <c r="V120" i="2"/>
  <c r="V220" i="2"/>
  <c r="V297" i="2"/>
  <c r="V382" i="2"/>
  <c r="V489" i="2"/>
  <c r="V574" i="2"/>
  <c r="V646" i="2"/>
  <c r="V753" i="2"/>
  <c r="V838" i="2"/>
  <c r="V14" i="2"/>
  <c r="V142" i="2"/>
  <c r="V285" i="2"/>
  <c r="V484" i="2"/>
  <c r="V676" i="2"/>
  <c r="V910" i="2"/>
  <c r="V154" i="2"/>
  <c r="V352" i="2"/>
  <c r="V778" i="2"/>
  <c r="V231" i="2"/>
  <c r="V631" i="2"/>
  <c r="V572" i="2"/>
  <c r="V130" i="2"/>
  <c r="V76" i="2"/>
  <c r="V173" i="2"/>
  <c r="V286" i="2"/>
  <c r="V466" i="2"/>
  <c r="V637" i="2"/>
  <c r="V836" i="2"/>
  <c r="V118" i="2"/>
  <c r="V253" i="2"/>
  <c r="V366" i="2"/>
  <c r="V585" i="2"/>
  <c r="V785" i="2"/>
  <c r="V46" i="2"/>
  <c r="V201" i="2"/>
  <c r="V316" i="2"/>
  <c r="V509" i="2"/>
  <c r="V822" i="2"/>
  <c r="V460" i="2"/>
  <c r="V573" i="2"/>
  <c r="V729" i="2"/>
  <c r="V857" i="2"/>
  <c r="V66" i="2"/>
  <c r="V222" i="2"/>
  <c r="V337" i="2"/>
  <c r="V465" i="2"/>
  <c r="V664" i="2"/>
  <c r="V834" i="2"/>
  <c r="V41" i="2"/>
  <c r="V148" i="2"/>
  <c r="V233" i="2"/>
  <c r="V326" i="2"/>
  <c r="V418" i="2"/>
  <c r="V497" i="2"/>
  <c r="V589" i="2"/>
  <c r="V689" i="2"/>
  <c r="V781" i="2"/>
  <c r="V860" i="2"/>
  <c r="V36" i="2"/>
  <c r="V172" i="2"/>
  <c r="V342" i="2"/>
  <c r="V562" i="2"/>
  <c r="V718" i="2"/>
  <c r="V21" i="2"/>
  <c r="V218" i="2"/>
  <c r="V426" i="2"/>
  <c r="V832" i="2"/>
  <c r="V351" i="2"/>
  <c r="V695" i="2"/>
  <c r="V146" i="2"/>
  <c r="T782" i="2"/>
  <c r="T312" i="2"/>
  <c r="T427" i="2"/>
  <c r="T500" i="2"/>
  <c r="T135" i="2"/>
  <c r="V798" i="2"/>
  <c r="V358" i="2"/>
  <c r="V54" i="2"/>
  <c r="V60" i="2"/>
  <c r="V132" i="2"/>
  <c r="V210" i="2"/>
  <c r="V302" i="2"/>
  <c r="V409" i="2"/>
  <c r="V580" i="2"/>
  <c r="V722" i="2"/>
  <c r="V865" i="2"/>
  <c r="V102" i="2"/>
  <c r="V196" i="2"/>
  <c r="V289" i="2"/>
  <c r="V414" i="2"/>
  <c r="V557" i="2"/>
  <c r="V700" i="2"/>
  <c r="V870" i="2"/>
  <c r="V68" i="2"/>
  <c r="V161" i="2"/>
  <c r="V274" i="2"/>
  <c r="V372" i="2"/>
  <c r="V537" i="2"/>
  <c r="V765" i="2"/>
  <c r="V402" i="2"/>
  <c r="V502" i="2"/>
  <c r="V616" i="2"/>
  <c r="V701" i="2"/>
  <c r="V801" i="2"/>
  <c r="V914" i="2"/>
  <c r="V94" i="2"/>
  <c r="V180" i="2"/>
  <c r="V294" i="2"/>
  <c r="V393" i="2"/>
  <c r="V493" i="2"/>
  <c r="V649" i="2"/>
  <c r="V764" i="2"/>
  <c r="V892" i="2"/>
  <c r="V70" i="2"/>
  <c r="V134" i="2"/>
  <c r="V190" i="2"/>
  <c r="V269" i="2"/>
  <c r="V333" i="2"/>
  <c r="V404" i="2"/>
  <c r="V476" i="2"/>
  <c r="V532" i="2"/>
  <c r="V604" i="2"/>
  <c r="V674" i="2"/>
  <c r="V745" i="2"/>
  <c r="V802" i="2"/>
  <c r="V873" i="2"/>
  <c r="V29" i="2"/>
  <c r="V108" i="2"/>
  <c r="V257" i="2"/>
  <c r="V370" i="2"/>
  <c r="V505" i="2"/>
  <c r="V654" i="2"/>
  <c r="V825" i="2"/>
  <c r="V42" i="2"/>
  <c r="V192" i="2"/>
  <c r="V341" i="2"/>
  <c r="V544" i="2"/>
  <c r="V55" i="2"/>
  <c r="V279" i="2"/>
  <c r="V519" i="2"/>
  <c r="V839" i="2"/>
  <c r="V268" i="2"/>
  <c r="V344" i="2"/>
  <c r="V438" i="2"/>
  <c r="V552" i="2"/>
  <c r="V665" i="2"/>
  <c r="V780" i="2"/>
  <c r="V893" i="2"/>
  <c r="V82" i="2"/>
  <c r="V158" i="2"/>
  <c r="V232" i="2"/>
  <c r="V310" i="2"/>
  <c r="V386" i="2"/>
  <c r="V500" i="2"/>
  <c r="V614" i="2"/>
  <c r="V728" i="2"/>
  <c r="V841" i="2"/>
  <c r="V30" i="2"/>
  <c r="V104" i="2"/>
  <c r="V182" i="2"/>
  <c r="V258" i="2"/>
  <c r="V332" i="2"/>
  <c r="V424" i="2"/>
  <c r="V594" i="2"/>
  <c r="V737" i="2"/>
  <c r="V878" i="2"/>
  <c r="V445" i="2"/>
  <c r="V516" i="2"/>
  <c r="V588" i="2"/>
  <c r="V673" i="2"/>
  <c r="V744" i="2"/>
  <c r="V814" i="2"/>
  <c r="V900" i="2"/>
  <c r="V52" i="2"/>
  <c r="V124" i="2"/>
  <c r="V209" i="2"/>
  <c r="V280" i="2"/>
  <c r="V350" i="2"/>
  <c r="V436" i="2"/>
  <c r="V521" i="2"/>
  <c r="V606" i="2"/>
  <c r="V721" i="2"/>
  <c r="V820" i="2"/>
  <c r="V6" i="2"/>
  <c r="V62" i="2"/>
  <c r="V105" i="2"/>
  <c r="V156" i="2"/>
  <c r="V212" i="2"/>
  <c r="V262" i="2"/>
  <c r="V305" i="2"/>
  <c r="V361" i="2"/>
  <c r="V412" i="2"/>
  <c r="V461" i="2"/>
  <c r="V518" i="2"/>
  <c r="V561" i="2"/>
  <c r="V610" i="2"/>
  <c r="V668" i="2"/>
  <c r="V717" i="2"/>
  <c r="V760" i="2"/>
  <c r="V817" i="2"/>
  <c r="V866" i="2"/>
  <c r="V916" i="2"/>
  <c r="V57" i="2"/>
  <c r="V114" i="2"/>
  <c r="V221" i="2"/>
  <c r="V334" i="2"/>
  <c r="V428" i="2"/>
  <c r="V513" i="2"/>
  <c r="V626" i="2"/>
  <c r="V748" i="2"/>
  <c r="V868" i="2"/>
  <c r="V80" i="2"/>
  <c r="V165" i="2"/>
  <c r="V272" i="2"/>
  <c r="V416" i="2"/>
  <c r="V618" i="2"/>
  <c r="V842" i="2"/>
  <c r="V183" i="2"/>
  <c r="V391" i="2"/>
  <c r="V575" i="2"/>
  <c r="V799" i="2"/>
  <c r="V742" i="2"/>
  <c r="T278" i="2"/>
  <c r="T272" i="2"/>
  <c r="T296" i="2"/>
  <c r="T220" i="2"/>
  <c r="V452" i="2"/>
  <c r="V566" i="2"/>
  <c r="V680" i="2"/>
  <c r="V793" i="2"/>
  <c r="V908" i="2"/>
  <c r="V430" i="2"/>
  <c r="V488" i="2"/>
  <c r="V545" i="2"/>
  <c r="V601" i="2"/>
  <c r="V658" i="2"/>
  <c r="V716" i="2"/>
  <c r="V772" i="2"/>
  <c r="V829" i="2"/>
  <c r="V886" i="2"/>
  <c r="V24" i="2"/>
  <c r="V81" i="2"/>
  <c r="V137" i="2"/>
  <c r="V194" i="2"/>
  <c r="V252" i="2"/>
  <c r="V308" i="2"/>
  <c r="V365" i="2"/>
  <c r="V422" i="2"/>
  <c r="V478" i="2"/>
  <c r="V550" i="2"/>
  <c r="V636" i="2"/>
  <c r="V706" i="2"/>
  <c r="V777" i="2"/>
  <c r="V862" i="2"/>
  <c r="V13" i="2"/>
  <c r="V49" i="2"/>
  <c r="V92" i="2"/>
  <c r="V126" i="2"/>
  <c r="V162" i="2"/>
  <c r="V205" i="2"/>
  <c r="V241" i="2"/>
  <c r="V276" i="2"/>
  <c r="V318" i="2"/>
  <c r="V354" i="2"/>
  <c r="V390" i="2"/>
  <c r="V433" i="2"/>
  <c r="V468" i="2"/>
  <c r="V504" i="2"/>
  <c r="V546" i="2"/>
  <c r="V582" i="2"/>
  <c r="V617" i="2"/>
  <c r="V660" i="2"/>
  <c r="V696" i="2"/>
  <c r="V732" i="2"/>
  <c r="V774" i="2"/>
  <c r="V809" i="2"/>
  <c r="V845" i="2"/>
  <c r="V888" i="2"/>
  <c r="V8" i="2"/>
  <c r="V44" i="2"/>
  <c r="V86" i="2"/>
  <c r="V164" i="2"/>
  <c r="V228" i="2"/>
  <c r="V313" i="2"/>
  <c r="V392" i="2"/>
  <c r="V456" i="2"/>
  <c r="V541" i="2"/>
  <c r="V620" i="2"/>
  <c r="V684" i="2"/>
  <c r="V797" i="2"/>
  <c r="V897" i="2"/>
  <c r="V48" i="2"/>
  <c r="V133" i="2"/>
  <c r="V213" i="2"/>
  <c r="V277" i="2"/>
  <c r="V389" i="2"/>
  <c r="V533" i="2"/>
  <c r="V704" i="2"/>
  <c r="V7" i="2"/>
  <c r="V159" i="2"/>
  <c r="V287" i="2"/>
  <c r="V455" i="2"/>
  <c r="V615" i="2"/>
  <c r="V743" i="2"/>
  <c r="V919" i="2"/>
  <c r="T79" i="2"/>
  <c r="T356" i="2"/>
  <c r="T867" i="2"/>
  <c r="T678" i="2"/>
  <c r="T148" i="2"/>
  <c r="T285" i="2"/>
  <c r="T243" i="2"/>
  <c r="T448" i="2"/>
  <c r="T110" i="2"/>
  <c r="T614" i="2"/>
  <c r="T352" i="2"/>
  <c r="T703" i="2"/>
  <c r="V508" i="2"/>
  <c r="V564" i="2"/>
  <c r="V621" i="2"/>
  <c r="V678" i="2"/>
  <c r="V734" i="2"/>
  <c r="V792" i="2"/>
  <c r="V849" i="2"/>
  <c r="V905" i="2"/>
  <c r="V28" i="2"/>
  <c r="V56" i="2"/>
  <c r="V84" i="2"/>
  <c r="V113" i="2"/>
  <c r="V141" i="2"/>
  <c r="V169" i="2"/>
  <c r="V198" i="2"/>
  <c r="V226" i="2"/>
  <c r="V254" i="2"/>
  <c r="V284" i="2"/>
  <c r="V312" i="2"/>
  <c r="V340" i="2"/>
  <c r="V369" i="2"/>
  <c r="V397" i="2"/>
  <c r="V425" i="2"/>
  <c r="V454" i="2"/>
  <c r="V482" i="2"/>
  <c r="V510" i="2"/>
  <c r="V540" i="2"/>
  <c r="V568" i="2"/>
  <c r="V596" i="2"/>
  <c r="V625" i="2"/>
  <c r="V653" i="2"/>
  <c r="V681" i="2"/>
  <c r="V710" i="2"/>
  <c r="V738" i="2"/>
  <c r="V766" i="2"/>
  <c r="V796" i="2"/>
  <c r="V824" i="2"/>
  <c r="V852" i="2"/>
  <c r="V881" i="2"/>
  <c r="V909" i="2"/>
  <c r="V22" i="2"/>
  <c r="V50" i="2"/>
  <c r="V78" i="2"/>
  <c r="V136" i="2"/>
  <c r="V193" i="2"/>
  <c r="V249" i="2"/>
  <c r="V306" i="2"/>
  <c r="V364" i="2"/>
  <c r="V420" i="2"/>
  <c r="V477" i="2"/>
  <c r="V534" i="2"/>
  <c r="V590" i="2"/>
  <c r="V648" i="2"/>
  <c r="V712" i="2"/>
  <c r="V782" i="2"/>
  <c r="V861" i="2"/>
  <c r="V16" i="2"/>
  <c r="V69" i="2"/>
  <c r="V128" i="2"/>
  <c r="V186" i="2"/>
  <c r="V240" i="2"/>
  <c r="V304" i="2"/>
  <c r="V384" i="2"/>
  <c r="V464" i="2"/>
  <c r="V608" i="2"/>
  <c r="V757" i="2"/>
  <c r="V906" i="2"/>
  <c r="V103" i="2"/>
  <c r="V223" i="2"/>
  <c r="V327" i="2"/>
  <c r="V447" i="2"/>
  <c r="V567" i="2"/>
  <c r="V671" i="2"/>
  <c r="V791" i="2"/>
  <c r="V903" i="2"/>
  <c r="V486" i="2"/>
  <c r="T158" i="2"/>
  <c r="T342" i="2"/>
  <c r="T534" i="2"/>
  <c r="T80" i="2"/>
  <c r="T451" i="2"/>
  <c r="T859" i="2"/>
  <c r="T702" i="2"/>
  <c r="T672" i="2"/>
  <c r="T29" i="2"/>
  <c r="V93" i="2"/>
  <c r="V121" i="2"/>
  <c r="V150" i="2"/>
  <c r="V178" i="2"/>
  <c r="V206" i="2"/>
  <c r="V236" i="2"/>
  <c r="V264" i="2"/>
  <c r="V292" i="2"/>
  <c r="V321" i="2"/>
  <c r="V349" i="2"/>
  <c r="V377" i="2"/>
  <c r="V406" i="2"/>
  <c r="V434" i="2"/>
  <c r="V462" i="2"/>
  <c r="V492" i="2"/>
  <c r="V520" i="2"/>
  <c r="V548" i="2"/>
  <c r="V577" i="2"/>
  <c r="V605" i="2"/>
  <c r="V633" i="2"/>
  <c r="V662" i="2"/>
  <c r="V690" i="2"/>
  <c r="V726" i="2"/>
  <c r="V769" i="2"/>
  <c r="V804" i="2"/>
  <c r="V840" i="2"/>
  <c r="V882" i="2"/>
  <c r="V918" i="2"/>
  <c r="V26" i="2"/>
  <c r="V58" i="2"/>
  <c r="V85" i="2"/>
  <c r="V112" i="2"/>
  <c r="V144" i="2"/>
  <c r="V170" i="2"/>
  <c r="V197" i="2"/>
  <c r="V229" i="2"/>
  <c r="V256" i="2"/>
  <c r="V282" i="2"/>
  <c r="V325" i="2"/>
  <c r="V362" i="2"/>
  <c r="V394" i="2"/>
  <c r="V442" i="2"/>
  <c r="V490" i="2"/>
  <c r="V565" i="2"/>
  <c r="V650" i="2"/>
  <c r="V714" i="2"/>
  <c r="V789" i="2"/>
  <c r="V874" i="2"/>
  <c r="V23" i="2"/>
  <c r="V71" i="2"/>
  <c r="V135" i="2"/>
  <c r="V191" i="2"/>
  <c r="V247" i="2"/>
  <c r="V311" i="2"/>
  <c r="V359" i="2"/>
  <c r="V415" i="2"/>
  <c r="V479" i="2"/>
  <c r="V535" i="2"/>
  <c r="V583" i="2"/>
  <c r="V647" i="2"/>
  <c r="V703" i="2"/>
  <c r="V759" i="2"/>
  <c r="V823" i="2"/>
  <c r="V871" i="2"/>
  <c r="V657" i="2"/>
  <c r="V168" i="2"/>
  <c r="T30" i="2"/>
  <c r="T107" i="2"/>
  <c r="T200" i="2"/>
  <c r="T299" i="2"/>
  <c r="T384" i="2"/>
  <c r="T484" i="2"/>
  <c r="T648" i="2"/>
  <c r="T899" i="2"/>
  <c r="T195" i="2"/>
  <c r="T366" i="2"/>
  <c r="T507" i="2"/>
  <c r="T763" i="2"/>
  <c r="T118" i="2"/>
  <c r="T459" i="2"/>
  <c r="T35" i="2"/>
  <c r="T319" i="2"/>
  <c r="T708" i="2"/>
  <c r="T610" i="2"/>
  <c r="T537" i="2"/>
  <c r="V100" i="2"/>
  <c r="V129" i="2"/>
  <c r="V157" i="2"/>
  <c r="V185" i="2"/>
  <c r="V214" i="2"/>
  <c r="V242" i="2"/>
  <c r="V270" i="2"/>
  <c r="V300" i="2"/>
  <c r="V328" i="2"/>
  <c r="V356" i="2"/>
  <c r="V385" i="2"/>
  <c r="V413" i="2"/>
  <c r="V441" i="2"/>
  <c r="V470" i="2"/>
  <c r="V498" i="2"/>
  <c r="V526" i="2"/>
  <c r="V556" i="2"/>
  <c r="V584" i="2"/>
  <c r="V612" i="2"/>
  <c r="V641" i="2"/>
  <c r="V669" i="2"/>
  <c r="V697" i="2"/>
  <c r="V740" i="2"/>
  <c r="V776" i="2"/>
  <c r="V812" i="2"/>
  <c r="V854" i="2"/>
  <c r="V889" i="2"/>
  <c r="V5" i="2"/>
  <c r="V37" i="2"/>
  <c r="V64" i="2"/>
  <c r="V90" i="2"/>
  <c r="V122" i="2"/>
  <c r="V149" i="2"/>
  <c r="V176" i="2"/>
  <c r="V208" i="2"/>
  <c r="V234" i="2"/>
  <c r="V261" i="2"/>
  <c r="V298" i="2"/>
  <c r="V330" i="2"/>
  <c r="V368" i="2"/>
  <c r="V410" i="2"/>
  <c r="V458" i="2"/>
  <c r="V501" i="2"/>
  <c r="V586" i="2"/>
  <c r="V661" i="2"/>
  <c r="V736" i="2"/>
  <c r="V821" i="2"/>
  <c r="V885" i="2"/>
  <c r="V31" i="2"/>
  <c r="V95" i="2"/>
  <c r="V151" i="2"/>
  <c r="V199" i="2"/>
  <c r="V263" i="2"/>
  <c r="V319" i="2"/>
  <c r="V375" i="2"/>
  <c r="V439" i="2"/>
  <c r="V487" i="2"/>
  <c r="V543" i="2"/>
  <c r="V607" i="2"/>
  <c r="V663" i="2"/>
  <c r="V711" i="2"/>
  <c r="V775" i="2"/>
  <c r="V831" i="2"/>
  <c r="V887" i="2"/>
  <c r="V110" i="2"/>
  <c r="V17" i="2"/>
  <c r="T43" i="2"/>
  <c r="T143" i="2"/>
  <c r="T228" i="2"/>
  <c r="T307" i="2"/>
  <c r="T414" i="2"/>
  <c r="T512" i="2"/>
  <c r="T696" i="2"/>
  <c r="T52" i="2"/>
  <c r="T216" i="2"/>
  <c r="T387" i="2"/>
  <c r="T592" i="2"/>
  <c r="T816" i="2"/>
  <c r="T126" i="2"/>
  <c r="T574" i="2"/>
  <c r="T84" i="2"/>
  <c r="T447" i="2"/>
  <c r="T50" i="2"/>
  <c r="T615" i="2"/>
  <c r="T669" i="2"/>
  <c r="V705" i="2"/>
  <c r="V733" i="2"/>
  <c r="V761" i="2"/>
  <c r="V790" i="2"/>
  <c r="V818" i="2"/>
  <c r="V846" i="2"/>
  <c r="V876" i="2"/>
  <c r="V904" i="2"/>
  <c r="V10" i="2"/>
  <c r="V32" i="2"/>
  <c r="V53" i="2"/>
  <c r="V74" i="2"/>
  <c r="V96" i="2"/>
  <c r="V117" i="2"/>
  <c r="V138" i="2"/>
  <c r="V160" i="2"/>
  <c r="V181" i="2"/>
  <c r="V202" i="2"/>
  <c r="V224" i="2"/>
  <c r="V245" i="2"/>
  <c r="V266" i="2"/>
  <c r="V288" i="2"/>
  <c r="V320" i="2"/>
  <c r="V346" i="2"/>
  <c r="V373" i="2"/>
  <c r="V405" i="2"/>
  <c r="V437" i="2"/>
  <c r="V469" i="2"/>
  <c r="V522" i="2"/>
  <c r="V576" i="2"/>
  <c r="V629" i="2"/>
  <c r="V693" i="2"/>
  <c r="V746" i="2"/>
  <c r="V800" i="2"/>
  <c r="V864" i="2"/>
  <c r="V917" i="2"/>
  <c r="V39" i="2"/>
  <c r="V87" i="2"/>
  <c r="V127" i="2"/>
  <c r="V167" i="2"/>
  <c r="V215" i="2"/>
  <c r="V255" i="2"/>
  <c r="V295" i="2"/>
  <c r="V343" i="2"/>
  <c r="V383" i="2"/>
  <c r="V423" i="2"/>
  <c r="V471" i="2"/>
  <c r="V511" i="2"/>
  <c r="V551" i="2"/>
  <c r="V599" i="2"/>
  <c r="V639" i="2"/>
  <c r="V679" i="2"/>
  <c r="V727" i="2"/>
  <c r="V767" i="2"/>
  <c r="V807" i="2"/>
  <c r="V855" i="2"/>
  <c r="V895" i="2"/>
  <c r="V429" i="2"/>
  <c r="V317" i="2"/>
  <c r="V301" i="2"/>
  <c r="T51" i="2"/>
  <c r="T128" i="2"/>
  <c r="T192" i="2"/>
  <c r="T256" i="2"/>
  <c r="T335" i="2"/>
  <c r="T392" i="2"/>
  <c r="T456" i="2"/>
  <c r="T591" i="2"/>
  <c r="T739" i="2"/>
  <c r="T910" i="2"/>
  <c r="T159" i="2"/>
  <c r="T280" i="2"/>
  <c r="T422" i="2"/>
  <c r="T564" i="2"/>
  <c r="T688" i="2"/>
  <c r="T902" i="2"/>
  <c r="T239" i="2"/>
  <c r="T523" i="2"/>
  <c r="T798" i="2"/>
  <c r="T206" i="2"/>
  <c r="T560" i="2"/>
  <c r="T874" i="2"/>
  <c r="T444" i="2"/>
  <c r="T157" i="2"/>
  <c r="T793" i="2"/>
  <c r="V293" i="2"/>
  <c r="V314" i="2"/>
  <c r="V336" i="2"/>
  <c r="V357" i="2"/>
  <c r="V378" i="2"/>
  <c r="V400" i="2"/>
  <c r="V421" i="2"/>
  <c r="V448" i="2"/>
  <c r="V480" i="2"/>
  <c r="V512" i="2"/>
  <c r="V554" i="2"/>
  <c r="V597" i="2"/>
  <c r="V640" i="2"/>
  <c r="V682" i="2"/>
  <c r="V725" i="2"/>
  <c r="V768" i="2"/>
  <c r="V810" i="2"/>
  <c r="V853" i="2"/>
  <c r="V896" i="2"/>
  <c r="V15" i="2"/>
  <c r="V47" i="2"/>
  <c r="V79" i="2"/>
  <c r="V111" i="2"/>
  <c r="V143" i="2"/>
  <c r="V175" i="2"/>
  <c r="V207" i="2"/>
  <c r="V239" i="2"/>
  <c r="V271" i="2"/>
  <c r="V303" i="2"/>
  <c r="V335" i="2"/>
  <c r="V367" i="2"/>
  <c r="V399" i="2"/>
  <c r="V431" i="2"/>
  <c r="V463" i="2"/>
  <c r="V495" i="2"/>
  <c r="V527" i="2"/>
  <c r="V559" i="2"/>
  <c r="V591" i="2"/>
  <c r="V623" i="2"/>
  <c r="V655" i="2"/>
  <c r="V687" i="2"/>
  <c r="V719" i="2"/>
  <c r="V751" i="2"/>
  <c r="V783" i="2"/>
  <c r="V815" i="2"/>
  <c r="V847" i="2"/>
  <c r="V879" i="2"/>
  <c r="V911" i="2"/>
  <c r="V260" i="2"/>
  <c r="V514" i="2"/>
  <c r="V713" i="2"/>
  <c r="T15" i="2"/>
  <c r="T72" i="2"/>
  <c r="T115" i="2"/>
  <c r="T164" i="2"/>
  <c r="T222" i="2"/>
  <c r="T271" i="2"/>
  <c r="T314" i="2"/>
  <c r="T371" i="2"/>
  <c r="T420" i="2"/>
  <c r="T470" i="2"/>
  <c r="T570" i="2"/>
  <c r="T655" i="2"/>
  <c r="T814" i="2"/>
  <c r="T46" i="2"/>
  <c r="T138" i="2"/>
  <c r="T223" i="2"/>
  <c r="T336" i="2"/>
  <c r="T443" i="2"/>
  <c r="T536" i="2"/>
  <c r="T650" i="2"/>
  <c r="T774" i="2"/>
  <c r="T19" i="2"/>
  <c r="T232" i="2"/>
  <c r="T410" i="2"/>
  <c r="T580" i="2"/>
  <c r="T883" i="2"/>
  <c r="T198" i="2"/>
  <c r="T376" i="2"/>
  <c r="T854" i="2"/>
  <c r="T879" i="2"/>
  <c r="T300" i="2"/>
  <c r="T25" i="2"/>
  <c r="T413" i="2"/>
  <c r="T797" i="2"/>
  <c r="T22" i="2"/>
  <c r="T58" i="2"/>
  <c r="T100" i="2"/>
  <c r="T136" i="2"/>
  <c r="T171" i="2"/>
  <c r="T214" i="2"/>
  <c r="T250" i="2"/>
  <c r="T286" i="2"/>
  <c r="T328" i="2"/>
  <c r="T363" i="2"/>
  <c r="T399" i="2"/>
  <c r="T442" i="2"/>
  <c r="T478" i="2"/>
  <c r="T542" i="2"/>
  <c r="T627" i="2"/>
  <c r="T728" i="2"/>
  <c r="T824" i="2"/>
  <c r="T24" i="2"/>
  <c r="T102" i="2"/>
  <c r="T166" i="2"/>
  <c r="T251" i="2"/>
  <c r="T330" i="2"/>
  <c r="T394" i="2"/>
  <c r="T479" i="2"/>
  <c r="T558" i="2"/>
  <c r="T622" i="2"/>
  <c r="T731" i="2"/>
  <c r="T848" i="2"/>
  <c r="T26" i="2"/>
  <c r="T182" i="2"/>
  <c r="T346" i="2"/>
  <c r="T467" i="2"/>
  <c r="T638" i="2"/>
  <c r="T872" i="2"/>
  <c r="T91" i="2"/>
  <c r="T262" i="2"/>
  <c r="T440" i="2"/>
  <c r="T683" i="2"/>
  <c r="T794" i="2"/>
  <c r="T130" i="2"/>
  <c r="T306" i="2"/>
  <c r="T786" i="2"/>
  <c r="T281" i="2"/>
  <c r="T541" i="2"/>
  <c r="T8" i="2"/>
  <c r="T36" i="2"/>
  <c r="T64" i="2"/>
  <c r="T94" i="2"/>
  <c r="T122" i="2"/>
  <c r="T150" i="2"/>
  <c r="T179" i="2"/>
  <c r="T207" i="2"/>
  <c r="T235" i="2"/>
  <c r="T264" i="2"/>
  <c r="T292" i="2"/>
  <c r="T320" i="2"/>
  <c r="T350" i="2"/>
  <c r="T378" i="2"/>
  <c r="T406" i="2"/>
  <c r="T435" i="2"/>
  <c r="T463" i="2"/>
  <c r="T506" i="2"/>
  <c r="T563" i="2"/>
  <c r="T619" i="2"/>
  <c r="T686" i="2"/>
  <c r="T771" i="2"/>
  <c r="T856" i="2"/>
  <c r="T16" i="2"/>
  <c r="T74" i="2"/>
  <c r="T131" i="2"/>
  <c r="T187" i="2"/>
  <c r="T244" i="2"/>
  <c r="T302" i="2"/>
  <c r="T358" i="2"/>
  <c r="T415" i="2"/>
  <c r="T472" i="2"/>
  <c r="T528" i="2"/>
  <c r="T586" i="2"/>
  <c r="T643" i="2"/>
  <c r="T720" i="2"/>
  <c r="T806" i="2"/>
  <c r="T891" i="2"/>
  <c r="T62" i="2"/>
  <c r="T175" i="2"/>
  <c r="T288" i="2"/>
  <c r="T403" i="2"/>
  <c r="T516" i="2"/>
  <c r="T630" i="2"/>
  <c r="T787" i="2"/>
  <c r="T27" i="2"/>
  <c r="T142" i="2"/>
  <c r="T255" i="2"/>
  <c r="T368" i="2"/>
  <c r="T554" i="2"/>
  <c r="T843" i="2"/>
  <c r="T788" i="2"/>
  <c r="T44" i="2"/>
  <c r="T215" i="2"/>
  <c r="T439" i="2"/>
  <c r="T780" i="2"/>
  <c r="T153" i="2"/>
  <c r="T409" i="2"/>
  <c r="T665" i="2"/>
  <c r="T491" i="2"/>
  <c r="T520" i="2"/>
  <c r="T548" i="2"/>
  <c r="T576" i="2"/>
  <c r="T606" i="2"/>
  <c r="T634" i="2"/>
  <c r="T664" i="2"/>
  <c r="T707" i="2"/>
  <c r="T750" i="2"/>
  <c r="T792" i="2"/>
  <c r="T835" i="2"/>
  <c r="T878" i="2"/>
  <c r="T4" i="2"/>
  <c r="T31" i="2"/>
  <c r="T59" i="2"/>
  <c r="T88" i="2"/>
  <c r="T116" i="2"/>
  <c r="T144" i="2"/>
  <c r="T174" i="2"/>
  <c r="T202" i="2"/>
  <c r="T230" i="2"/>
  <c r="T259" i="2"/>
  <c r="T287" i="2"/>
  <c r="T315" i="2"/>
  <c r="T344" i="2"/>
  <c r="T372" i="2"/>
  <c r="T400" i="2"/>
  <c r="T430" i="2"/>
  <c r="T458" i="2"/>
  <c r="T486" i="2"/>
  <c r="T515" i="2"/>
  <c r="T543" i="2"/>
  <c r="T571" i="2"/>
  <c r="T600" i="2"/>
  <c r="T628" i="2"/>
  <c r="T656" i="2"/>
  <c r="T699" i="2"/>
  <c r="T742" i="2"/>
  <c r="T784" i="2"/>
  <c r="T827" i="2"/>
  <c r="T870" i="2"/>
  <c r="T912" i="2"/>
  <c r="T32" i="2"/>
  <c r="T90" i="2"/>
  <c r="T147" i="2"/>
  <c r="T203" i="2"/>
  <c r="T260" i="2"/>
  <c r="T318" i="2"/>
  <c r="T374" i="2"/>
  <c r="T431" i="2"/>
  <c r="T488" i="2"/>
  <c r="T544" i="2"/>
  <c r="T602" i="2"/>
  <c r="T659" i="2"/>
  <c r="T744" i="2"/>
  <c r="T830" i="2"/>
  <c r="T915" i="2"/>
  <c r="T56" i="2"/>
  <c r="T112" i="2"/>
  <c r="T170" i="2"/>
  <c r="T227" i="2"/>
  <c r="T283" i="2"/>
  <c r="T340" i="2"/>
  <c r="T398" i="2"/>
  <c r="T496" i="2"/>
  <c r="T611" i="2"/>
  <c r="T758" i="2"/>
  <c r="T660" i="2"/>
  <c r="T746" i="2"/>
  <c r="T831" i="2"/>
  <c r="T916" i="2"/>
  <c r="T87" i="2"/>
  <c r="T172" i="2"/>
  <c r="T258" i="2"/>
  <c r="T354" i="2"/>
  <c r="T524" i="2"/>
  <c r="T695" i="2"/>
  <c r="T866" i="2"/>
  <c r="T89" i="2"/>
  <c r="T217" i="2"/>
  <c r="T345" i="2"/>
  <c r="T473" i="2"/>
  <c r="T601" i="2"/>
  <c r="T729" i="2"/>
  <c r="T857" i="2"/>
  <c r="T499" i="2"/>
  <c r="T527" i="2"/>
  <c r="T555" i="2"/>
  <c r="T584" i="2"/>
  <c r="T612" i="2"/>
  <c r="T640" i="2"/>
  <c r="T675" i="2"/>
  <c r="T718" i="2"/>
  <c r="T760" i="2"/>
  <c r="T803" i="2"/>
  <c r="T846" i="2"/>
  <c r="T888" i="2"/>
  <c r="T10" i="2"/>
  <c r="T38" i="2"/>
  <c r="T67" i="2"/>
  <c r="T95" i="2"/>
  <c r="T123" i="2"/>
  <c r="T152" i="2"/>
  <c r="T180" i="2"/>
  <c r="T208" i="2"/>
  <c r="T238" i="2"/>
  <c r="T266" i="2"/>
  <c r="T294" i="2"/>
  <c r="T323" i="2"/>
  <c r="T351" i="2"/>
  <c r="T379" i="2"/>
  <c r="T408" i="2"/>
  <c r="T436" i="2"/>
  <c r="T464" i="2"/>
  <c r="T494" i="2"/>
  <c r="T522" i="2"/>
  <c r="T550" i="2"/>
  <c r="T579" i="2"/>
  <c r="T607" i="2"/>
  <c r="T635" i="2"/>
  <c r="T667" i="2"/>
  <c r="T710" i="2"/>
  <c r="T752" i="2"/>
  <c r="T795" i="2"/>
  <c r="T838" i="2"/>
  <c r="T880" i="2"/>
  <c r="T11" i="2"/>
  <c r="T40" i="2"/>
  <c r="T96" i="2"/>
  <c r="T154" i="2"/>
  <c r="T211" i="2"/>
  <c r="T267" i="2"/>
  <c r="T324" i="2"/>
  <c r="T382" i="2"/>
  <c r="T438" i="2"/>
  <c r="T495" i="2"/>
  <c r="T552" i="2"/>
  <c r="T608" i="2"/>
  <c r="T670" i="2"/>
  <c r="T755" i="2"/>
  <c r="T840" i="2"/>
  <c r="T6" i="2"/>
  <c r="T63" i="2"/>
  <c r="T120" i="2"/>
  <c r="T176" i="2"/>
  <c r="T234" i="2"/>
  <c r="T291" i="2"/>
  <c r="T347" i="2"/>
  <c r="T404" i="2"/>
  <c r="T504" i="2"/>
  <c r="T618" i="2"/>
  <c r="T768" i="2"/>
  <c r="T666" i="2"/>
  <c r="T751" i="2"/>
  <c r="T836" i="2"/>
  <c r="T7" i="2"/>
  <c r="T92" i="2"/>
  <c r="T178" i="2"/>
  <c r="T263" i="2"/>
  <c r="T359" i="2"/>
  <c r="T530" i="2"/>
  <c r="T700" i="2"/>
  <c r="T871" i="2"/>
  <c r="T93" i="2"/>
  <c r="T221" i="2"/>
  <c r="T349" i="2"/>
  <c r="T477" i="2"/>
  <c r="T605" i="2"/>
  <c r="T733" i="2"/>
  <c r="T861" i="2"/>
  <c r="V432" i="2"/>
  <c r="V453" i="2"/>
  <c r="V474" i="2"/>
  <c r="V496" i="2"/>
  <c r="V517" i="2"/>
  <c r="V538" i="2"/>
  <c r="V560" i="2"/>
  <c r="V581" i="2"/>
  <c r="V602" i="2"/>
  <c r="V624" i="2"/>
  <c r="V645" i="2"/>
  <c r="V666" i="2"/>
  <c r="V688" i="2"/>
  <c r="V709" i="2"/>
  <c r="V730" i="2"/>
  <c r="V752" i="2"/>
  <c r="V773" i="2"/>
  <c r="V794" i="2"/>
  <c r="V816" i="2"/>
  <c r="V837" i="2"/>
  <c r="V858" i="2"/>
  <c r="V880" i="2"/>
  <c r="V901" i="2"/>
  <c r="V4" i="2"/>
  <c r="V19" i="2"/>
  <c r="V35" i="2"/>
  <c r="V51" i="2"/>
  <c r="V67" i="2"/>
  <c r="V83" i="2"/>
  <c r="V99" i="2"/>
  <c r="V115" i="2"/>
  <c r="V131" i="2"/>
  <c r="V147" i="2"/>
  <c r="V163" i="2"/>
  <c r="V179" i="2"/>
  <c r="V195" i="2"/>
  <c r="V211" i="2"/>
  <c r="V227" i="2"/>
  <c r="V243" i="2"/>
  <c r="V259" i="2"/>
  <c r="V275" i="2"/>
  <c r="V291" i="2"/>
  <c r="V307" i="2"/>
  <c r="V323" i="2"/>
  <c r="V339" i="2"/>
  <c r="V355" i="2"/>
  <c r="V371" i="2"/>
  <c r="V387" i="2"/>
  <c r="V403" i="2"/>
  <c r="V419" i="2"/>
  <c r="V435" i="2"/>
  <c r="V451" i="2"/>
  <c r="V467" i="2"/>
  <c r="V483" i="2"/>
  <c r="V499" i="2"/>
  <c r="V515" i="2"/>
  <c r="V531" i="2"/>
  <c r="V547" i="2"/>
  <c r="V563" i="2"/>
  <c r="V579" i="2"/>
  <c r="V595" i="2"/>
  <c r="V611" i="2"/>
  <c r="V627" i="2"/>
  <c r="V643" i="2"/>
  <c r="V659" i="2"/>
  <c r="V675" i="2"/>
  <c r="V691" i="2"/>
  <c r="V707" i="2"/>
  <c r="V723" i="2"/>
  <c r="V739" i="2"/>
  <c r="V755" i="2"/>
  <c r="V771" i="2"/>
  <c r="V787" i="2"/>
  <c r="V803" i="2"/>
  <c r="V819" i="2"/>
  <c r="V835" i="2"/>
  <c r="V851" i="2"/>
  <c r="V867" i="2"/>
  <c r="V883" i="2"/>
  <c r="V899" i="2"/>
  <c r="V915" i="2"/>
  <c r="V542" i="2"/>
  <c r="V188" i="2"/>
  <c r="V856" i="2"/>
  <c r="V401" i="2"/>
  <c r="V89" i="2"/>
  <c r="V600" i="2"/>
  <c r="V225" i="2"/>
  <c r="V506" i="2"/>
  <c r="V528" i="2"/>
  <c r="V549" i="2"/>
  <c r="V570" i="2"/>
  <c r="V592" i="2"/>
  <c r="V613" i="2"/>
  <c r="V634" i="2"/>
  <c r="V656" i="2"/>
  <c r="V677" i="2"/>
  <c r="V698" i="2"/>
  <c r="V720" i="2"/>
  <c r="V741" i="2"/>
  <c r="V762" i="2"/>
  <c r="V784" i="2"/>
  <c r="V805" i="2"/>
  <c r="V826" i="2"/>
  <c r="V848" i="2"/>
  <c r="V869" i="2"/>
  <c r="V890" i="2"/>
  <c r="V912" i="2"/>
  <c r="V11" i="2"/>
  <c r="V27" i="2"/>
  <c r="V43" i="2"/>
  <c r="V59" i="2"/>
  <c r="V75" i="2"/>
  <c r="V91" i="2"/>
  <c r="V107" i="2"/>
  <c r="V123" i="2"/>
  <c r="V139" i="2"/>
  <c r="V155" i="2"/>
  <c r="V171" i="2"/>
  <c r="V187" i="2"/>
  <c r="V203" i="2"/>
  <c r="V219" i="2"/>
  <c r="V235" i="2"/>
  <c r="V251" i="2"/>
  <c r="V267" i="2"/>
  <c r="V283" i="2"/>
  <c r="V299" i="2"/>
  <c r="V315" i="2"/>
  <c r="V331" i="2"/>
  <c r="V347" i="2"/>
  <c r="V363" i="2"/>
  <c r="V379" i="2"/>
  <c r="V395" i="2"/>
  <c r="V411" i="2"/>
  <c r="V427" i="2"/>
  <c r="V443" i="2"/>
  <c r="V459" i="2"/>
  <c r="V475" i="2"/>
  <c r="V491" i="2"/>
  <c r="V507" i="2"/>
  <c r="V523" i="2"/>
  <c r="V539" i="2"/>
  <c r="V555" i="2"/>
  <c r="V571" i="2"/>
  <c r="V587" i="2"/>
  <c r="V603" i="2"/>
  <c r="V619" i="2"/>
  <c r="V635" i="2"/>
  <c r="V651" i="2"/>
  <c r="V667" i="2"/>
  <c r="V683" i="2"/>
  <c r="V699" i="2"/>
  <c r="V715" i="2"/>
  <c r="V731" i="2"/>
  <c r="V747" i="2"/>
  <c r="V763" i="2"/>
  <c r="V779" i="2"/>
  <c r="V795" i="2"/>
  <c r="V811" i="2"/>
  <c r="V827" i="2"/>
  <c r="V843" i="2"/>
  <c r="V859" i="2"/>
  <c r="V875" i="2"/>
  <c r="V891" i="2"/>
  <c r="V907" i="2"/>
  <c r="V770" i="2"/>
  <c r="V338" i="2"/>
  <c r="V33" i="2"/>
  <c r="V628" i="2"/>
  <c r="V244" i="2"/>
  <c r="V828" i="2"/>
  <c r="V374" i="2"/>
  <c r="V73" i="2"/>
  <c r="T47" i="2"/>
  <c r="T75" i="2"/>
  <c r="T104" i="2"/>
  <c r="T132" i="2"/>
  <c r="T160" i="2"/>
  <c r="T190" i="2"/>
  <c r="T218" i="2"/>
  <c r="T246" i="2"/>
  <c r="T275" i="2"/>
  <c r="T303" i="2"/>
  <c r="T331" i="2"/>
  <c r="T360" i="2"/>
  <c r="T388" i="2"/>
  <c r="T416" i="2"/>
  <c r="T446" i="2"/>
  <c r="T474" i="2"/>
  <c r="T502" i="2"/>
  <c r="T531" i="2"/>
  <c r="T559" i="2"/>
  <c r="T587" i="2"/>
  <c r="T616" i="2"/>
  <c r="T644" i="2"/>
  <c r="T680" i="2"/>
  <c r="T723" i="2"/>
  <c r="T766" i="2"/>
  <c r="T808" i="2"/>
  <c r="T851" i="2"/>
  <c r="T894" i="2"/>
  <c r="T14" i="2"/>
  <c r="T42" i="2"/>
  <c r="T70" i="2"/>
  <c r="T99" i="2"/>
  <c r="T127" i="2"/>
  <c r="T155" i="2"/>
  <c r="T184" i="2"/>
  <c r="T212" i="2"/>
  <c r="T240" i="2"/>
  <c r="T270" i="2"/>
  <c r="T298" i="2"/>
  <c r="T326" i="2"/>
  <c r="T355" i="2"/>
  <c r="T383" i="2"/>
  <c r="T411" i="2"/>
  <c r="T468" i="2"/>
  <c r="T526" i="2"/>
  <c r="T582" i="2"/>
  <c r="T639" i="2"/>
  <c r="T715" i="2"/>
  <c r="T800" i="2"/>
  <c r="T886" i="2"/>
  <c r="T682" i="2"/>
  <c r="T724" i="2"/>
  <c r="T767" i="2"/>
  <c r="T810" i="2"/>
  <c r="T852" i="2"/>
  <c r="T895" i="2"/>
  <c r="T23" i="2"/>
  <c r="T66" i="2"/>
  <c r="T108" i="2"/>
  <c r="T151" i="2"/>
  <c r="T194" i="2"/>
  <c r="T236" i="2"/>
  <c r="T279" i="2"/>
  <c r="T322" i="2"/>
  <c r="T396" i="2"/>
  <c r="T482" i="2"/>
  <c r="T567" i="2"/>
  <c r="T652" i="2"/>
  <c r="T738" i="2"/>
  <c r="T823" i="2"/>
  <c r="T908" i="2"/>
  <c r="T57" i="2"/>
  <c r="T121" i="2"/>
  <c r="T185" i="2"/>
  <c r="T249" i="2"/>
  <c r="T313" i="2"/>
  <c r="T377" i="2"/>
  <c r="T441" i="2"/>
  <c r="T505" i="2"/>
  <c r="T569" i="2"/>
  <c r="T633" i="2"/>
  <c r="T697" i="2"/>
  <c r="T761" i="2"/>
  <c r="T825" i="2"/>
  <c r="T889" i="2"/>
  <c r="T54" i="2"/>
  <c r="T83" i="2"/>
  <c r="T111" i="2"/>
  <c r="T139" i="2"/>
  <c r="T168" i="2"/>
  <c r="T196" i="2"/>
  <c r="T224" i="2"/>
  <c r="T254" i="2"/>
  <c r="T282" i="2"/>
  <c r="T310" i="2"/>
  <c r="T339" i="2"/>
  <c r="T367" i="2"/>
  <c r="T395" i="2"/>
  <c r="T424" i="2"/>
  <c r="T452" i="2"/>
  <c r="T480" i="2"/>
  <c r="T510" i="2"/>
  <c r="T538" i="2"/>
  <c r="T566" i="2"/>
  <c r="T595" i="2"/>
  <c r="T623" i="2"/>
  <c r="T651" i="2"/>
  <c r="T691" i="2"/>
  <c r="T734" i="2"/>
  <c r="T776" i="2"/>
  <c r="T819" i="2"/>
  <c r="T862" i="2"/>
  <c r="T904" i="2"/>
  <c r="T20" i="2"/>
  <c r="T48" i="2"/>
  <c r="T78" i="2"/>
  <c r="T106" i="2"/>
  <c r="T134" i="2"/>
  <c r="T163" i="2"/>
  <c r="T191" i="2"/>
  <c r="T219" i="2"/>
  <c r="T248" i="2"/>
  <c r="T276" i="2"/>
  <c r="T304" i="2"/>
  <c r="T334" i="2"/>
  <c r="T362" i="2"/>
  <c r="T390" i="2"/>
  <c r="T419" i="2"/>
  <c r="T475" i="2"/>
  <c r="T532" i="2"/>
  <c r="T590" i="2"/>
  <c r="T646" i="2"/>
  <c r="T726" i="2"/>
  <c r="T811" i="2"/>
  <c r="T896" i="2"/>
  <c r="T687" i="2"/>
  <c r="T730" i="2"/>
  <c r="T772" i="2"/>
  <c r="T815" i="2"/>
  <c r="T858" i="2"/>
  <c r="T900" i="2"/>
  <c r="T28" i="2"/>
  <c r="T71" i="2"/>
  <c r="T114" i="2"/>
  <c r="T156" i="2"/>
  <c r="T199" i="2"/>
  <c r="T242" i="2"/>
  <c r="T284" i="2"/>
  <c r="T327" i="2"/>
  <c r="T402" i="2"/>
  <c r="T487" i="2"/>
  <c r="T572" i="2"/>
  <c r="T658" i="2"/>
  <c r="T743" i="2"/>
  <c r="T828" i="2"/>
  <c r="T914" i="2"/>
  <c r="T61" i="2"/>
  <c r="T125" i="2"/>
  <c r="T189" i="2"/>
  <c r="T253" i="2"/>
  <c r="T317" i="2"/>
  <c r="T381" i="2"/>
  <c r="T445" i="2"/>
  <c r="T509" i="2"/>
  <c r="T573" i="2"/>
  <c r="T637" i="2"/>
  <c r="T701" i="2"/>
  <c r="T765" i="2"/>
  <c r="T829" i="2"/>
  <c r="T893" i="2"/>
  <c r="T426" i="2"/>
  <c r="T454" i="2"/>
  <c r="T483" i="2"/>
  <c r="T511" i="2"/>
  <c r="T539" i="2"/>
  <c r="T568" i="2"/>
  <c r="T596" i="2"/>
  <c r="T624" i="2"/>
  <c r="T654" i="2"/>
  <c r="T694" i="2"/>
  <c r="T736" i="2"/>
  <c r="T779" i="2"/>
  <c r="T822" i="2"/>
  <c r="T864" i="2"/>
  <c r="T907" i="2"/>
  <c r="T671" i="2"/>
  <c r="T692" i="2"/>
  <c r="T714" i="2"/>
  <c r="T735" i="2"/>
  <c r="T756" i="2"/>
  <c r="T778" i="2"/>
  <c r="T799" i="2"/>
  <c r="T820" i="2"/>
  <c r="T842" i="2"/>
  <c r="T863" i="2"/>
  <c r="T884" i="2"/>
  <c r="T906" i="2"/>
  <c r="T12" i="2"/>
  <c r="T34" i="2"/>
  <c r="T55" i="2"/>
  <c r="T76" i="2"/>
  <c r="T98" i="2"/>
  <c r="T119" i="2"/>
  <c r="T140" i="2"/>
  <c r="T162" i="2"/>
  <c r="T183" i="2"/>
  <c r="T204" i="2"/>
  <c r="T226" i="2"/>
  <c r="T247" i="2"/>
  <c r="T268" i="2"/>
  <c r="T290" i="2"/>
  <c r="T311" i="2"/>
  <c r="T332" i="2"/>
  <c r="T375" i="2"/>
  <c r="T418" i="2"/>
  <c r="T460" i="2"/>
  <c r="T503" i="2"/>
  <c r="T546" i="2"/>
  <c r="T588" i="2"/>
  <c r="T631" i="2"/>
  <c r="T674" i="2"/>
  <c r="T716" i="2"/>
  <c r="T759" i="2"/>
  <c r="T802" i="2"/>
  <c r="T844" i="2"/>
  <c r="T887" i="2"/>
  <c r="T9" i="2"/>
  <c r="T41" i="2"/>
  <c r="T73" i="2"/>
  <c r="T105" i="2"/>
  <c r="T137" i="2"/>
  <c r="T169" i="2"/>
  <c r="T201" i="2"/>
  <c r="T233" i="2"/>
  <c r="T265" i="2"/>
  <c r="T297" i="2"/>
  <c r="T329" i="2"/>
  <c r="T361" i="2"/>
  <c r="T393" i="2"/>
  <c r="T425" i="2"/>
  <c r="T457" i="2"/>
  <c r="T489" i="2"/>
  <c r="T521" i="2"/>
  <c r="T553" i="2"/>
  <c r="T585" i="2"/>
  <c r="T617" i="2"/>
  <c r="T649" i="2"/>
  <c r="T681" i="2"/>
  <c r="T713" i="2"/>
  <c r="T745" i="2"/>
  <c r="T777" i="2"/>
  <c r="T809" i="2"/>
  <c r="T841" i="2"/>
  <c r="T873" i="2"/>
  <c r="T905" i="2"/>
  <c r="T432" i="2"/>
  <c r="T462" i="2"/>
  <c r="T490" i="2"/>
  <c r="T518" i="2"/>
  <c r="T547" i="2"/>
  <c r="T575" i="2"/>
  <c r="T603" i="2"/>
  <c r="T632" i="2"/>
  <c r="T662" i="2"/>
  <c r="T704" i="2"/>
  <c r="T747" i="2"/>
  <c r="T790" i="2"/>
  <c r="T832" i="2"/>
  <c r="T875" i="2"/>
  <c r="T918" i="2"/>
  <c r="T676" i="2"/>
  <c r="T698" i="2"/>
  <c r="T719" i="2"/>
  <c r="T740" i="2"/>
  <c r="T762" i="2"/>
  <c r="T783" i="2"/>
  <c r="T804" i="2"/>
  <c r="T826" i="2"/>
  <c r="T847" i="2"/>
  <c r="T868" i="2"/>
  <c r="T890" i="2"/>
  <c r="T911" i="2"/>
  <c r="T18" i="2"/>
  <c r="T39" i="2"/>
  <c r="T60" i="2"/>
  <c r="T82" i="2"/>
  <c r="T103" i="2"/>
  <c r="T124" i="2"/>
  <c r="T146" i="2"/>
  <c r="T167" i="2"/>
  <c r="T188" i="2"/>
  <c r="T210" i="2"/>
  <c r="T231" i="2"/>
  <c r="T252" i="2"/>
  <c r="T274" i="2"/>
  <c r="T295" i="2"/>
  <c r="T316" i="2"/>
  <c r="T338" i="2"/>
  <c r="T380" i="2"/>
  <c r="T423" i="2"/>
  <c r="T466" i="2"/>
  <c r="T508" i="2"/>
  <c r="T551" i="2"/>
  <c r="T594" i="2"/>
  <c r="T636" i="2"/>
  <c r="T679" i="2"/>
  <c r="T722" i="2"/>
  <c r="T764" i="2"/>
  <c r="T807" i="2"/>
  <c r="T850" i="2"/>
  <c r="T892" i="2"/>
  <c r="T13" i="2"/>
  <c r="T45" i="2"/>
  <c r="T77" i="2"/>
  <c r="T109" i="2"/>
  <c r="T141" i="2"/>
  <c r="T173" i="2"/>
  <c r="T205" i="2"/>
  <c r="T237" i="2"/>
  <c r="T269" i="2"/>
  <c r="T301" i="2"/>
  <c r="T333" i="2"/>
  <c r="T365" i="2"/>
  <c r="T397" i="2"/>
  <c r="T429" i="2"/>
  <c r="T461" i="2"/>
  <c r="T493" i="2"/>
  <c r="T525" i="2"/>
  <c r="T557" i="2"/>
  <c r="T589" i="2"/>
  <c r="T621" i="2"/>
  <c r="T653" i="2"/>
  <c r="T685" i="2"/>
  <c r="T717" i="2"/>
  <c r="T749" i="2"/>
  <c r="T781" i="2"/>
  <c r="T813" i="2"/>
  <c r="T845" i="2"/>
  <c r="T877" i="2"/>
  <c r="T909" i="2"/>
  <c r="T343" i="2"/>
  <c r="T364" i="2"/>
  <c r="T386" i="2"/>
  <c r="T407" i="2"/>
  <c r="T428" i="2"/>
  <c r="T450" i="2"/>
  <c r="T471" i="2"/>
  <c r="T492" i="2"/>
  <c r="T514" i="2"/>
  <c r="T535" i="2"/>
  <c r="T556" i="2"/>
  <c r="T578" i="2"/>
  <c r="T599" i="2"/>
  <c r="T620" i="2"/>
  <c r="T642" i="2"/>
  <c r="T663" i="2"/>
  <c r="T684" i="2"/>
  <c r="T706" i="2"/>
  <c r="T727" i="2"/>
  <c r="T748" i="2"/>
  <c r="T770" i="2"/>
  <c r="T791" i="2"/>
  <c r="T812" i="2"/>
  <c r="T834" i="2"/>
  <c r="T855" i="2"/>
  <c r="T876" i="2"/>
  <c r="T898" i="2"/>
  <c r="T919" i="2"/>
  <c r="T17" i="2"/>
  <c r="T33" i="2"/>
  <c r="T49" i="2"/>
  <c r="T65" i="2"/>
  <c r="T81" i="2"/>
  <c r="T97" i="2"/>
  <c r="T113" i="2"/>
  <c r="T129" i="2"/>
  <c r="T145" i="2"/>
  <c r="T161" i="2"/>
  <c r="T177" i="2"/>
  <c r="T193" i="2"/>
  <c r="T209" i="2"/>
  <c r="T225" i="2"/>
  <c r="T241" i="2"/>
  <c r="T257" i="2"/>
  <c r="T273" i="2"/>
  <c r="T289" i="2"/>
  <c r="T305" i="2"/>
  <c r="T321" i="2"/>
  <c r="T337" i="2"/>
  <c r="T353" i="2"/>
  <c r="T369" i="2"/>
  <c r="T385" i="2"/>
  <c r="T401" i="2"/>
  <c r="T417" i="2"/>
  <c r="T433" i="2"/>
  <c r="T449" i="2"/>
  <c r="T465" i="2"/>
  <c r="T481" i="2"/>
  <c r="T497" i="2"/>
  <c r="T513" i="2"/>
  <c r="T529" i="2"/>
  <c r="T545" i="2"/>
  <c r="T561" i="2"/>
  <c r="T577" i="2"/>
  <c r="T593" i="2"/>
  <c r="T609" i="2"/>
  <c r="T625" i="2"/>
  <c r="T641" i="2"/>
  <c r="T657" i="2"/>
  <c r="T673" i="2"/>
  <c r="T689" i="2"/>
  <c r="T705" i="2"/>
  <c r="T721" i="2"/>
  <c r="T737" i="2"/>
  <c r="T753" i="2"/>
  <c r="T769" i="2"/>
  <c r="T785" i="2"/>
  <c r="T801" i="2"/>
  <c r="T817" i="2"/>
  <c r="T833" i="2"/>
  <c r="T849" i="2"/>
  <c r="T865" i="2"/>
  <c r="T881" i="2"/>
  <c r="T897" i="2"/>
  <c r="T913" i="2"/>
  <c r="T348" i="2"/>
  <c r="T370" i="2"/>
  <c r="T391" i="2"/>
  <c r="T412" i="2"/>
  <c r="T434" i="2"/>
  <c r="T455" i="2"/>
  <c r="T476" i="2"/>
  <c r="T498" i="2"/>
  <c r="T519" i="2"/>
  <c r="T540" i="2"/>
  <c r="T562" i="2"/>
  <c r="T583" i="2"/>
  <c r="T604" i="2"/>
  <c r="T626" i="2"/>
  <c r="T647" i="2"/>
  <c r="T668" i="2"/>
  <c r="T690" i="2"/>
  <c r="T711" i="2"/>
  <c r="T732" i="2"/>
  <c r="T754" i="2"/>
  <c r="T775" i="2"/>
  <c r="T796" i="2"/>
  <c r="T818" i="2"/>
  <c r="T839" i="2"/>
  <c r="T860" i="2"/>
  <c r="T882" i="2"/>
  <c r="T903" i="2"/>
  <c r="T5" i="2"/>
  <c r="T21" i="2"/>
  <c r="T37" i="2"/>
  <c r="T53" i="2"/>
  <c r="T69" i="2"/>
  <c r="T85" i="2"/>
  <c r="T101" i="2"/>
  <c r="T117" i="2"/>
  <c r="T133" i="2"/>
  <c r="T149" i="2"/>
  <c r="T165" i="2"/>
  <c r="T181" i="2"/>
  <c r="T197" i="2"/>
  <c r="T213" i="2"/>
  <c r="T229" i="2"/>
  <c r="T245" i="2"/>
  <c r="T261" i="2"/>
  <c r="T277" i="2"/>
  <c r="T293" i="2"/>
  <c r="T309" i="2"/>
  <c r="T325" i="2"/>
  <c r="T341" i="2"/>
  <c r="T357" i="2"/>
  <c r="T373" i="2"/>
  <c r="T389" i="2"/>
  <c r="T405" i="2"/>
  <c r="T421" i="2"/>
  <c r="T437" i="2"/>
  <c r="T453" i="2"/>
  <c r="T469" i="2"/>
  <c r="T485" i="2"/>
  <c r="T501" i="2"/>
  <c r="T517" i="2"/>
  <c r="T533" i="2"/>
  <c r="T549" i="2"/>
  <c r="T565" i="2"/>
  <c r="T581" i="2"/>
  <c r="T597" i="2"/>
  <c r="T613" i="2"/>
  <c r="T629" i="2"/>
  <c r="T645" i="2"/>
  <c r="T661" i="2"/>
  <c r="T677" i="2"/>
  <c r="T693" i="2"/>
  <c r="T709" i="2"/>
  <c r="T725" i="2"/>
  <c r="T741" i="2"/>
  <c r="T757" i="2"/>
  <c r="T773" i="2"/>
  <c r="T789" i="2"/>
  <c r="T805" i="2"/>
  <c r="T821" i="2"/>
  <c r="T837" i="2"/>
  <c r="T853" i="2"/>
  <c r="T869" i="2"/>
  <c r="T885" i="2"/>
  <c r="T901" i="2"/>
  <c r="U916" i="2"/>
  <c r="U912" i="2"/>
  <c r="U908" i="2"/>
  <c r="U904" i="2"/>
  <c r="U900" i="2"/>
  <c r="U896" i="2"/>
  <c r="U892" i="2"/>
  <c r="U888" i="2"/>
  <c r="U884" i="2"/>
  <c r="U880" i="2"/>
  <c r="U876" i="2"/>
  <c r="U872" i="2"/>
  <c r="U868" i="2"/>
  <c r="U864" i="2"/>
  <c r="U860" i="2"/>
  <c r="U856" i="2"/>
  <c r="U852" i="2"/>
  <c r="U848" i="2"/>
  <c r="U844" i="2"/>
  <c r="U840" i="2"/>
  <c r="U836" i="2"/>
  <c r="U832" i="2"/>
  <c r="U828" i="2"/>
  <c r="U824" i="2"/>
  <c r="U820" i="2"/>
  <c r="U816" i="2"/>
  <c r="U812" i="2"/>
  <c r="U808" i="2"/>
  <c r="U804" i="2"/>
  <c r="U800" i="2"/>
  <c r="U796" i="2"/>
  <c r="U792" i="2"/>
  <c r="U788" i="2"/>
  <c r="U784" i="2"/>
  <c r="U780" i="2"/>
  <c r="U776" i="2"/>
  <c r="U772" i="2"/>
  <c r="U768" i="2"/>
  <c r="U764" i="2"/>
  <c r="U760" i="2"/>
  <c r="U756" i="2"/>
  <c r="U752" i="2"/>
  <c r="U748" i="2"/>
  <c r="U744" i="2"/>
  <c r="U740" i="2"/>
  <c r="U736" i="2"/>
  <c r="U732" i="2"/>
  <c r="U728" i="2"/>
  <c r="U724" i="2"/>
  <c r="U720" i="2"/>
  <c r="U716" i="2"/>
  <c r="U712" i="2"/>
  <c r="U708" i="2"/>
  <c r="U704" i="2"/>
  <c r="U700" i="2"/>
  <c r="U696" i="2"/>
  <c r="U692" i="2"/>
  <c r="U688" i="2"/>
  <c r="U684" i="2"/>
  <c r="U680" i="2"/>
  <c r="U676" i="2"/>
  <c r="U672" i="2"/>
  <c r="U668" i="2"/>
  <c r="U664" i="2"/>
  <c r="U660" i="2"/>
  <c r="U656" i="2"/>
  <c r="U652" i="2"/>
  <c r="U648" i="2"/>
  <c r="U644" i="2"/>
  <c r="U640" i="2"/>
  <c r="U636" i="2"/>
  <c r="U632" i="2"/>
  <c r="U628" i="2"/>
  <c r="U624" i="2"/>
  <c r="U620" i="2"/>
  <c r="U616" i="2"/>
  <c r="U612" i="2"/>
  <c r="U608" i="2"/>
  <c r="U604" i="2"/>
  <c r="U600" i="2"/>
  <c r="U596" i="2"/>
  <c r="U592" i="2"/>
  <c r="U588" i="2"/>
  <c r="U584" i="2"/>
  <c r="U580" i="2"/>
  <c r="U917" i="2"/>
  <c r="U911" i="2"/>
  <c r="U906" i="2"/>
  <c r="U901" i="2"/>
  <c r="U895" i="2"/>
  <c r="U890" i="2"/>
  <c r="U885" i="2"/>
  <c r="U879" i="2"/>
  <c r="U874" i="2"/>
  <c r="U869" i="2"/>
  <c r="U863" i="2"/>
  <c r="U858" i="2"/>
  <c r="U853" i="2"/>
  <c r="U847" i="2"/>
  <c r="U842" i="2"/>
  <c r="U837" i="2"/>
  <c r="U831" i="2"/>
  <c r="U826" i="2"/>
  <c r="U821" i="2"/>
  <c r="U815" i="2"/>
  <c r="U810" i="2"/>
  <c r="U805" i="2"/>
  <c r="U799" i="2"/>
  <c r="U794" i="2"/>
  <c r="U789" i="2"/>
  <c r="U783" i="2"/>
  <c r="U778" i="2"/>
  <c r="U773" i="2"/>
  <c r="U767" i="2"/>
  <c r="U762" i="2"/>
  <c r="U757" i="2"/>
  <c r="U751" i="2"/>
  <c r="U746" i="2"/>
  <c r="U741" i="2"/>
  <c r="U735" i="2"/>
  <c r="U730" i="2"/>
  <c r="U725" i="2"/>
  <c r="U719" i="2"/>
  <c r="U714" i="2"/>
  <c r="U709" i="2"/>
  <c r="U703" i="2"/>
  <c r="U698" i="2"/>
  <c r="U693" i="2"/>
  <c r="U687" i="2"/>
  <c r="U682" i="2"/>
  <c r="U677" i="2"/>
  <c r="U671" i="2"/>
  <c r="U666" i="2"/>
  <c r="U661" i="2"/>
  <c r="U655" i="2"/>
  <c r="U650" i="2"/>
  <c r="U645" i="2"/>
  <c r="U639" i="2"/>
  <c r="U634" i="2"/>
  <c r="U629" i="2"/>
  <c r="U623" i="2"/>
  <c r="U618" i="2"/>
  <c r="U613" i="2"/>
  <c r="U607" i="2"/>
  <c r="U602" i="2"/>
  <c r="U597" i="2"/>
  <c r="U591" i="2"/>
  <c r="U586" i="2"/>
  <c r="U581" i="2"/>
  <c r="U576" i="2"/>
  <c r="U572" i="2"/>
  <c r="U568" i="2"/>
  <c r="U564" i="2"/>
  <c r="U560" i="2"/>
  <c r="U556" i="2"/>
  <c r="U552" i="2"/>
  <c r="U548" i="2"/>
  <c r="U544" i="2"/>
  <c r="U540" i="2"/>
  <c r="U536" i="2"/>
  <c r="U532" i="2"/>
  <c r="U528" i="2"/>
  <c r="U524" i="2"/>
  <c r="U520" i="2"/>
  <c r="U516" i="2"/>
  <c r="U512" i="2"/>
  <c r="U508" i="2"/>
  <c r="U504" i="2"/>
  <c r="U500" i="2"/>
  <c r="U496" i="2"/>
  <c r="U492" i="2"/>
  <c r="U488" i="2"/>
  <c r="U484" i="2"/>
  <c r="U480" i="2"/>
  <c r="U476" i="2"/>
  <c r="U472" i="2"/>
  <c r="U468" i="2"/>
  <c r="U464" i="2"/>
  <c r="U460" i="2"/>
  <c r="U456" i="2"/>
  <c r="U452" i="2"/>
  <c r="U448" i="2"/>
  <c r="U444" i="2"/>
  <c r="U440" i="2"/>
  <c r="U436" i="2"/>
  <c r="U432" i="2"/>
  <c r="U428" i="2"/>
  <c r="U424" i="2"/>
  <c r="U420" i="2"/>
  <c r="U416" i="2"/>
  <c r="U412" i="2"/>
  <c r="U408" i="2"/>
  <c r="U404" i="2"/>
  <c r="U400" i="2"/>
  <c r="U396" i="2"/>
  <c r="U392" i="2"/>
  <c r="U388" i="2"/>
  <c r="U384" i="2"/>
  <c r="U380" i="2"/>
  <c r="U376" i="2"/>
  <c r="U372" i="2"/>
  <c r="U368" i="2"/>
  <c r="U364" i="2"/>
  <c r="U360" i="2"/>
  <c r="U356" i="2"/>
  <c r="U352" i="2"/>
  <c r="U348" i="2"/>
  <c r="U344" i="2"/>
  <c r="U340" i="2"/>
  <c r="U336" i="2"/>
  <c r="U332" i="2"/>
  <c r="U328" i="2"/>
  <c r="U324" i="2"/>
  <c r="U320" i="2"/>
  <c r="U316" i="2"/>
  <c r="U312" i="2"/>
  <c r="U308" i="2"/>
  <c r="U304" i="2"/>
  <c r="U300" i="2"/>
  <c r="U296" i="2"/>
  <c r="U292" i="2"/>
  <c r="U288" i="2"/>
  <c r="U284" i="2"/>
  <c r="U280" i="2"/>
  <c r="U276" i="2"/>
  <c r="U272" i="2"/>
  <c r="U268" i="2"/>
  <c r="U264" i="2"/>
  <c r="U260" i="2"/>
  <c r="U256" i="2"/>
  <c r="U252" i="2"/>
  <c r="U248" i="2"/>
  <c r="U244" i="2"/>
  <c r="U240" i="2"/>
  <c r="U236" i="2"/>
  <c r="U232" i="2"/>
  <c r="U228" i="2"/>
  <c r="U224" i="2"/>
  <c r="U220" i="2"/>
  <c r="U216" i="2"/>
  <c r="U212" i="2"/>
  <c r="U208" i="2"/>
  <c r="U204" i="2"/>
  <c r="U200" i="2"/>
  <c r="U196" i="2"/>
  <c r="U192" i="2"/>
  <c r="U188" i="2"/>
  <c r="U184" i="2"/>
  <c r="U180" i="2"/>
  <c r="U176" i="2"/>
  <c r="U172" i="2"/>
  <c r="U168" i="2"/>
  <c r="U164" i="2"/>
  <c r="U160" i="2"/>
  <c r="U156" i="2"/>
  <c r="U152" i="2"/>
  <c r="U148" i="2"/>
  <c r="U144" i="2"/>
  <c r="U140" i="2"/>
  <c r="U136" i="2"/>
  <c r="U132" i="2"/>
  <c r="U128" i="2"/>
  <c r="U124" i="2"/>
  <c r="U120" i="2"/>
  <c r="U116" i="2"/>
  <c r="U112" i="2"/>
  <c r="U108" i="2"/>
  <c r="U104" i="2"/>
  <c r="U100" i="2"/>
  <c r="U96" i="2"/>
  <c r="U92" i="2"/>
  <c r="U88" i="2"/>
  <c r="U84" i="2"/>
  <c r="U80" i="2"/>
  <c r="U76" i="2"/>
  <c r="U72" i="2"/>
  <c r="U68" i="2"/>
  <c r="U64" i="2"/>
  <c r="U60" i="2"/>
  <c r="U56" i="2"/>
  <c r="U52" i="2"/>
  <c r="U48" i="2"/>
  <c r="U44" i="2"/>
  <c r="U40" i="2"/>
  <c r="U36" i="2"/>
  <c r="U32" i="2"/>
  <c r="U28" i="2"/>
  <c r="U24" i="2"/>
  <c r="U20" i="2"/>
  <c r="U16" i="2"/>
  <c r="U12" i="2"/>
  <c r="U8" i="2"/>
  <c r="U918" i="2"/>
  <c r="U910" i="2"/>
  <c r="U903" i="2"/>
  <c r="U897" i="2"/>
  <c r="U889" i="2"/>
  <c r="U882" i="2"/>
  <c r="U875" i="2"/>
  <c r="U867" i="2"/>
  <c r="U861" i="2"/>
  <c r="U854" i="2"/>
  <c r="U846" i="2"/>
  <c r="U839" i="2"/>
  <c r="U833" i="2"/>
  <c r="U825" i="2"/>
  <c r="U818" i="2"/>
  <c r="U811" i="2"/>
  <c r="U803" i="2"/>
  <c r="U797" i="2"/>
  <c r="U790" i="2"/>
  <c r="U782" i="2"/>
  <c r="U775" i="2"/>
  <c r="U769" i="2"/>
  <c r="U761" i="2"/>
  <c r="U754" i="2"/>
  <c r="U747" i="2"/>
  <c r="U739" i="2"/>
  <c r="U733" i="2"/>
  <c r="U726" i="2"/>
  <c r="U718" i="2"/>
  <c r="U711" i="2"/>
  <c r="U705" i="2"/>
  <c r="U697" i="2"/>
  <c r="U690" i="2"/>
  <c r="U683" i="2"/>
  <c r="U675" i="2"/>
  <c r="U669" i="2"/>
  <c r="U662" i="2"/>
  <c r="U654" i="2"/>
  <c r="U647" i="2"/>
  <c r="U641" i="2"/>
  <c r="U633" i="2"/>
  <c r="U626" i="2"/>
  <c r="U619" i="2"/>
  <c r="U611" i="2"/>
  <c r="U605" i="2"/>
  <c r="U598" i="2"/>
  <c r="U590" i="2"/>
  <c r="U583" i="2"/>
  <c r="U577" i="2"/>
  <c r="U571" i="2"/>
  <c r="U566" i="2"/>
  <c r="U561" i="2"/>
  <c r="U555" i="2"/>
  <c r="U550" i="2"/>
  <c r="U545" i="2"/>
  <c r="U539" i="2"/>
  <c r="U534" i="2"/>
  <c r="U529" i="2"/>
  <c r="U523" i="2"/>
  <c r="U518" i="2"/>
  <c r="U513" i="2"/>
  <c r="U507" i="2"/>
  <c r="U502" i="2"/>
  <c r="U497" i="2"/>
  <c r="U491" i="2"/>
  <c r="U486" i="2"/>
  <c r="U481" i="2"/>
  <c r="U475" i="2"/>
  <c r="U470" i="2"/>
  <c r="U465" i="2"/>
  <c r="U459" i="2"/>
  <c r="U454" i="2"/>
  <c r="U449" i="2"/>
  <c r="U443" i="2"/>
  <c r="U438" i="2"/>
  <c r="U433" i="2"/>
  <c r="U427" i="2"/>
  <c r="U422" i="2"/>
  <c r="U417" i="2"/>
  <c r="U411" i="2"/>
  <c r="U406" i="2"/>
  <c r="U401" i="2"/>
  <c r="U395" i="2"/>
  <c r="U390" i="2"/>
  <c r="U385" i="2"/>
  <c r="U379" i="2"/>
  <c r="U374" i="2"/>
  <c r="U369" i="2"/>
  <c r="U363" i="2"/>
  <c r="U358" i="2"/>
  <c r="U353" i="2"/>
  <c r="U347" i="2"/>
  <c r="U342" i="2"/>
  <c r="U337" i="2"/>
  <c r="U331" i="2"/>
  <c r="U326" i="2"/>
  <c r="U321" i="2"/>
  <c r="U315" i="2"/>
  <c r="U310" i="2"/>
  <c r="U305" i="2"/>
  <c r="U299" i="2"/>
  <c r="U294" i="2"/>
  <c r="U289" i="2"/>
  <c r="U283" i="2"/>
  <c r="U278" i="2"/>
  <c r="U273" i="2"/>
  <c r="U267" i="2"/>
  <c r="U262" i="2"/>
  <c r="U257" i="2"/>
  <c r="U251" i="2"/>
  <c r="U246" i="2"/>
  <c r="U241" i="2"/>
  <c r="U235" i="2"/>
  <c r="U230" i="2"/>
  <c r="U225" i="2"/>
  <c r="U219" i="2"/>
  <c r="U214" i="2"/>
  <c r="U209" i="2"/>
  <c r="U203" i="2"/>
  <c r="U198" i="2"/>
  <c r="U193" i="2"/>
  <c r="U915" i="2"/>
  <c r="U909" i="2"/>
  <c r="U902" i="2"/>
  <c r="U894" i="2"/>
  <c r="U887" i="2"/>
  <c r="U881" i="2"/>
  <c r="U873" i="2"/>
  <c r="U866" i="2"/>
  <c r="U859" i="2"/>
  <c r="U851" i="2"/>
  <c r="U845" i="2"/>
  <c r="U838" i="2"/>
  <c r="U830" i="2"/>
  <c r="U823" i="2"/>
  <c r="U817" i="2"/>
  <c r="U809" i="2"/>
  <c r="U802" i="2"/>
  <c r="U795" i="2"/>
  <c r="U787" i="2"/>
  <c r="U781" i="2"/>
  <c r="U774" i="2"/>
  <c r="U766" i="2"/>
  <c r="U759" i="2"/>
  <c r="U753" i="2"/>
  <c r="U745" i="2"/>
  <c r="U738" i="2"/>
  <c r="U731" i="2"/>
  <c r="U723" i="2"/>
  <c r="U717" i="2"/>
  <c r="U710" i="2"/>
  <c r="U702" i="2"/>
  <c r="U695" i="2"/>
  <c r="U689" i="2"/>
  <c r="U681" i="2"/>
  <c r="U674" i="2"/>
  <c r="U667" i="2"/>
  <c r="U659" i="2"/>
  <c r="U653" i="2"/>
  <c r="U646" i="2"/>
  <c r="U638" i="2"/>
  <c r="U631" i="2"/>
  <c r="U625" i="2"/>
  <c r="U617" i="2"/>
  <c r="U610" i="2"/>
  <c r="U603" i="2"/>
  <c r="U595" i="2"/>
  <c r="U589" i="2"/>
  <c r="U582" i="2"/>
  <c r="U575" i="2"/>
  <c r="U570" i="2"/>
  <c r="U565" i="2"/>
  <c r="U559" i="2"/>
  <c r="U554" i="2"/>
  <c r="U549" i="2"/>
  <c r="U543" i="2"/>
  <c r="U538" i="2"/>
  <c r="U533" i="2"/>
  <c r="U527" i="2"/>
  <c r="U522" i="2"/>
  <c r="U517" i="2"/>
  <c r="U511" i="2"/>
  <c r="U506" i="2"/>
  <c r="U501" i="2"/>
  <c r="U495" i="2"/>
  <c r="U490" i="2"/>
  <c r="U485" i="2"/>
  <c r="U479" i="2"/>
  <c r="U474" i="2"/>
  <c r="U469" i="2"/>
  <c r="U463" i="2"/>
  <c r="U458" i="2"/>
  <c r="U453" i="2"/>
  <c r="U447" i="2"/>
  <c r="U442" i="2"/>
  <c r="U437" i="2"/>
  <c r="U431" i="2"/>
  <c r="U426" i="2"/>
  <c r="U421" i="2"/>
  <c r="U415" i="2"/>
  <c r="U410" i="2"/>
  <c r="U405" i="2"/>
  <c r="U399" i="2"/>
  <c r="U394" i="2"/>
  <c r="U389" i="2"/>
  <c r="U383" i="2"/>
  <c r="U378" i="2"/>
  <c r="U373" i="2"/>
  <c r="U367" i="2"/>
  <c r="U362" i="2"/>
  <c r="U357" i="2"/>
  <c r="U351" i="2"/>
  <c r="U346" i="2"/>
  <c r="U341" i="2"/>
  <c r="U335" i="2"/>
  <c r="U330" i="2"/>
  <c r="U325" i="2"/>
  <c r="U319" i="2"/>
  <c r="U314" i="2"/>
  <c r="U309" i="2"/>
  <c r="U303" i="2"/>
  <c r="U298" i="2"/>
  <c r="U293" i="2"/>
  <c r="U287" i="2"/>
  <c r="U282" i="2"/>
  <c r="U277" i="2"/>
  <c r="U271" i="2"/>
  <c r="U266" i="2"/>
  <c r="U261" i="2"/>
  <c r="U255" i="2"/>
  <c r="U250" i="2"/>
  <c r="U245" i="2"/>
  <c r="U239" i="2"/>
  <c r="U234" i="2"/>
  <c r="U229" i="2"/>
  <c r="U223" i="2"/>
  <c r="U218" i="2"/>
  <c r="U213" i="2"/>
  <c r="U207" i="2"/>
  <c r="U202" i="2"/>
  <c r="U197" i="2"/>
  <c r="U191" i="2"/>
  <c r="U186" i="2"/>
  <c r="U181" i="2"/>
  <c r="U175" i="2"/>
  <c r="U170" i="2"/>
  <c r="U165" i="2"/>
  <c r="U159" i="2"/>
  <c r="U913" i="2"/>
  <c r="U898" i="2"/>
  <c r="U883" i="2"/>
  <c r="U870" i="2"/>
  <c r="U855" i="2"/>
  <c r="U841" i="2"/>
  <c r="U827" i="2"/>
  <c r="U813" i="2"/>
  <c r="U798" i="2"/>
  <c r="U785" i="2"/>
  <c r="U770" i="2"/>
  <c r="U755" i="2"/>
  <c r="U742" i="2"/>
  <c r="U727" i="2"/>
  <c r="U713" i="2"/>
  <c r="U699" i="2"/>
  <c r="U685" i="2"/>
  <c r="U670" i="2"/>
  <c r="U657" i="2"/>
  <c r="U642" i="2"/>
  <c r="U627" i="2"/>
  <c r="U614" i="2"/>
  <c r="U599" i="2"/>
  <c r="U585" i="2"/>
  <c r="U573" i="2"/>
  <c r="U562" i="2"/>
  <c r="U551" i="2"/>
  <c r="U541" i="2"/>
  <c r="U530" i="2"/>
  <c r="U519" i="2"/>
  <c r="U509" i="2"/>
  <c r="U498" i="2"/>
  <c r="U487" i="2"/>
  <c r="U477" i="2"/>
  <c r="U466" i="2"/>
  <c r="U455" i="2"/>
  <c r="U445" i="2"/>
  <c r="U434" i="2"/>
  <c r="U423" i="2"/>
  <c r="U413" i="2"/>
  <c r="U402" i="2"/>
  <c r="U391" i="2"/>
  <c r="U381" i="2"/>
  <c r="U370" i="2"/>
  <c r="U359" i="2"/>
  <c r="U349" i="2"/>
  <c r="U338" i="2"/>
  <c r="U327" i="2"/>
  <c r="U317" i="2"/>
  <c r="U306" i="2"/>
  <c r="U295" i="2"/>
  <c r="U285" i="2"/>
  <c r="U274" i="2"/>
  <c r="U263" i="2"/>
  <c r="U253" i="2"/>
  <c r="U242" i="2"/>
  <c r="U231" i="2"/>
  <c r="U221" i="2"/>
  <c r="U210" i="2"/>
  <c r="U199" i="2"/>
  <c r="U189" i="2"/>
  <c r="U182" i="2"/>
  <c r="U174" i="2"/>
  <c r="U167" i="2"/>
  <c r="U161" i="2"/>
  <c r="U154" i="2"/>
  <c r="U149" i="2"/>
  <c r="U143" i="2"/>
  <c r="U138" i="2"/>
  <c r="U133" i="2"/>
  <c r="U127" i="2"/>
  <c r="U122" i="2"/>
  <c r="U117" i="2"/>
  <c r="U111" i="2"/>
  <c r="U106" i="2"/>
  <c r="U101" i="2"/>
  <c r="U95" i="2"/>
  <c r="U90" i="2"/>
  <c r="U85" i="2"/>
  <c r="U79" i="2"/>
  <c r="U74" i="2"/>
  <c r="U69" i="2"/>
  <c r="U63" i="2"/>
  <c r="U58" i="2"/>
  <c r="U53" i="2"/>
  <c r="U47" i="2"/>
  <c r="U42" i="2"/>
  <c r="U37" i="2"/>
  <c r="U31" i="2"/>
  <c r="U26" i="2"/>
  <c r="U21" i="2"/>
  <c r="U15" i="2"/>
  <c r="U10" i="2"/>
  <c r="U5" i="2"/>
  <c r="U907" i="2"/>
  <c r="U891" i="2"/>
  <c r="U871" i="2"/>
  <c r="U850" i="2"/>
  <c r="U834" i="2"/>
  <c r="U814" i="2"/>
  <c r="U793" i="2"/>
  <c r="U777" i="2"/>
  <c r="U758" i="2"/>
  <c r="U737" i="2"/>
  <c r="U721" i="2"/>
  <c r="U701" i="2"/>
  <c r="U679" i="2"/>
  <c r="U663" i="2"/>
  <c r="U643" i="2"/>
  <c r="U622" i="2"/>
  <c r="U606" i="2"/>
  <c r="U587" i="2"/>
  <c r="U569" i="2"/>
  <c r="U557" i="2"/>
  <c r="U542" i="2"/>
  <c r="U526" i="2"/>
  <c r="U514" i="2"/>
  <c r="U499" i="2"/>
  <c r="U483" i="2"/>
  <c r="U471" i="2"/>
  <c r="U457" i="2"/>
  <c r="U441" i="2"/>
  <c r="U429" i="2"/>
  <c r="U414" i="2"/>
  <c r="U398" i="2"/>
  <c r="U386" i="2"/>
  <c r="U371" i="2"/>
  <c r="U355" i="2"/>
  <c r="U343" i="2"/>
  <c r="U329" i="2"/>
  <c r="U313" i="2"/>
  <c r="U301" i="2"/>
  <c r="U286" i="2"/>
  <c r="U270" i="2"/>
  <c r="U258" i="2"/>
  <c r="U243" i="2"/>
  <c r="U227" i="2"/>
  <c r="U215" i="2"/>
  <c r="U201" i="2"/>
  <c r="U187" i="2"/>
  <c r="U178" i="2"/>
  <c r="U169" i="2"/>
  <c r="U158" i="2"/>
  <c r="U151" i="2"/>
  <c r="U145" i="2"/>
  <c r="U137" i="2"/>
  <c r="U130" i="2"/>
  <c r="U123" i="2"/>
  <c r="U115" i="2"/>
  <c r="U109" i="2"/>
  <c r="U102" i="2"/>
  <c r="U94" i="2"/>
  <c r="U87" i="2"/>
  <c r="U81" i="2"/>
  <c r="U73" i="2"/>
  <c r="U66" i="2"/>
  <c r="U59" i="2"/>
  <c r="U51" i="2"/>
  <c r="U45" i="2"/>
  <c r="U38" i="2"/>
  <c r="U30" i="2"/>
  <c r="U23" i="2"/>
  <c r="U17" i="2"/>
  <c r="U9" i="2"/>
  <c r="U919" i="2"/>
  <c r="U899" i="2"/>
  <c r="U878" i="2"/>
  <c r="U862" i="2"/>
  <c r="U843" i="2"/>
  <c r="U822" i="2"/>
  <c r="U806" i="2"/>
  <c r="U786" i="2"/>
  <c r="U765" i="2"/>
  <c r="U749" i="2"/>
  <c r="U729" i="2"/>
  <c r="U707" i="2"/>
  <c r="U691" i="2"/>
  <c r="U673" i="2"/>
  <c r="U651" i="2"/>
  <c r="U635" i="2"/>
  <c r="U615" i="2"/>
  <c r="U594" i="2"/>
  <c r="U578" i="2"/>
  <c r="U563" i="2"/>
  <c r="U547" i="2"/>
  <c r="U535" i="2"/>
  <c r="U521" i="2"/>
  <c r="U505" i="2"/>
  <c r="U493" i="2"/>
  <c r="U478" i="2"/>
  <c r="U462" i="2"/>
  <c r="U450" i="2"/>
  <c r="U435" i="2"/>
  <c r="U419" i="2"/>
  <c r="U407" i="2"/>
  <c r="U393" i="2"/>
  <c r="U377" i="2"/>
  <c r="U365" i="2"/>
  <c r="U350" i="2"/>
  <c r="U334" i="2"/>
  <c r="U322" i="2"/>
  <c r="U307" i="2"/>
  <c r="U291" i="2"/>
  <c r="U279" i="2"/>
  <c r="U265" i="2"/>
  <c r="U249" i="2"/>
  <c r="U237" i="2"/>
  <c r="U222" i="2"/>
  <c r="U206" i="2"/>
  <c r="U194" i="2"/>
  <c r="U183" i="2"/>
  <c r="U173" i="2"/>
  <c r="U163" i="2"/>
  <c r="U155" i="2"/>
  <c r="U147" i="2"/>
  <c r="U141" i="2"/>
  <c r="U134" i="2"/>
  <c r="U126" i="2"/>
  <c r="U119" i="2"/>
  <c r="U113" i="2"/>
  <c r="U105" i="2"/>
  <c r="U98" i="2"/>
  <c r="U91" i="2"/>
  <c r="U83" i="2"/>
  <c r="U77" i="2"/>
  <c r="U70" i="2"/>
  <c r="U62" i="2"/>
  <c r="U55" i="2"/>
  <c r="U49" i="2"/>
  <c r="U41" i="2"/>
  <c r="U34" i="2"/>
  <c r="U27" i="2"/>
  <c r="U19" i="2"/>
  <c r="U13" i="2"/>
  <c r="U6" i="2"/>
  <c r="U905" i="2"/>
  <c r="U865" i="2"/>
  <c r="U829" i="2"/>
  <c r="U791" i="2"/>
  <c r="U750" i="2"/>
  <c r="U715" i="2"/>
  <c r="U678" i="2"/>
  <c r="U637" i="2"/>
  <c r="U601" i="2"/>
  <c r="U567" i="2"/>
  <c r="U537" i="2"/>
  <c r="U510" i="2"/>
  <c r="U482" i="2"/>
  <c r="U451" i="2"/>
  <c r="U425" i="2"/>
  <c r="U397" i="2"/>
  <c r="U366" i="2"/>
  <c r="U339" i="2"/>
  <c r="U311" i="2"/>
  <c r="U281" i="2"/>
  <c r="U254" i="2"/>
  <c r="U226" i="2"/>
  <c r="U195" i="2"/>
  <c r="U177" i="2"/>
  <c r="U157" i="2"/>
  <c r="U142" i="2"/>
  <c r="U129" i="2"/>
  <c r="U114" i="2"/>
  <c r="U99" i="2"/>
  <c r="U86" i="2"/>
  <c r="U71" i="2"/>
  <c r="U57" i="2"/>
  <c r="U43" i="2"/>
  <c r="U29" i="2"/>
  <c r="U14" i="2"/>
  <c r="U893" i="2"/>
  <c r="U857" i="2"/>
  <c r="U819" i="2"/>
  <c r="U779" i="2"/>
  <c r="U743" i="2"/>
  <c r="U706" i="2"/>
  <c r="U665" i="2"/>
  <c r="U630" i="2"/>
  <c r="U593" i="2"/>
  <c r="U558" i="2"/>
  <c r="U531" i="2"/>
  <c r="U503" i="2"/>
  <c r="U473" i="2"/>
  <c r="U446" i="2"/>
  <c r="U418" i="2"/>
  <c r="U387" i="2"/>
  <c r="U361" i="2"/>
  <c r="U333" i="2"/>
  <c r="U302" i="2"/>
  <c r="U275" i="2"/>
  <c r="U247" i="2"/>
  <c r="U217" i="2"/>
  <c r="U190" i="2"/>
  <c r="U171" i="2"/>
  <c r="U153" i="2"/>
  <c r="U139" i="2"/>
  <c r="U125" i="2"/>
  <c r="U110" i="2"/>
  <c r="U97" i="2"/>
  <c r="U82" i="2"/>
  <c r="U67" i="2"/>
  <c r="U54" i="2"/>
  <c r="U39" i="2"/>
  <c r="U25" i="2"/>
  <c r="U11" i="2"/>
  <c r="U886" i="2"/>
  <c r="U849" i="2"/>
  <c r="U807" i="2"/>
  <c r="U771" i="2"/>
  <c r="U734" i="2"/>
  <c r="U694" i="2"/>
  <c r="U658" i="2"/>
  <c r="U621" i="2"/>
  <c r="U579" i="2"/>
  <c r="U553" i="2"/>
  <c r="U525" i="2"/>
  <c r="U494" i="2"/>
  <c r="U467" i="2"/>
  <c r="U439" i="2"/>
  <c r="U409" i="2"/>
  <c r="U382" i="2"/>
  <c r="U354" i="2"/>
  <c r="U323" i="2"/>
  <c r="U297" i="2"/>
  <c r="U269" i="2"/>
  <c r="U238" i="2"/>
  <c r="U211" i="2"/>
  <c r="U185" i="2"/>
  <c r="U166" i="2"/>
  <c r="U150" i="2"/>
  <c r="U135" i="2"/>
  <c r="U121" i="2"/>
  <c r="U107" i="2"/>
  <c r="U93" i="2"/>
  <c r="U78" i="2"/>
  <c r="U65" i="2"/>
  <c r="U50" i="2"/>
  <c r="U35" i="2"/>
  <c r="U22" i="2"/>
  <c r="U7" i="2"/>
  <c r="U914" i="2"/>
  <c r="U877" i="2"/>
  <c r="U835" i="2"/>
  <c r="U801" i="2"/>
  <c r="U763" i="2"/>
  <c r="U722" i="2"/>
  <c r="U686" i="2"/>
  <c r="U649" i="2"/>
  <c r="U609" i="2"/>
  <c r="U574" i="2"/>
  <c r="U546" i="2"/>
  <c r="U515" i="2"/>
  <c r="U489" i="2"/>
  <c r="U461" i="2"/>
  <c r="U430" i="2"/>
  <c r="U403" i="2"/>
  <c r="U375" i="2"/>
  <c r="U345" i="2"/>
  <c r="U318" i="2"/>
  <c r="U290" i="2"/>
  <c r="U259" i="2"/>
  <c r="U233" i="2"/>
  <c r="U205" i="2"/>
  <c r="U179" i="2"/>
  <c r="U162" i="2"/>
  <c r="U146" i="2"/>
  <c r="U131" i="2"/>
  <c r="U118" i="2"/>
  <c r="U103" i="2"/>
  <c r="U89" i="2"/>
  <c r="U75" i="2"/>
  <c r="U61" i="2"/>
  <c r="U46" i="2"/>
  <c r="U33" i="2"/>
  <c r="U18" i="2"/>
  <c r="U4" i="2"/>
  <c r="W919" i="2"/>
  <c r="W915" i="2"/>
  <c r="W911" i="2"/>
  <c r="W907" i="2"/>
  <c r="W903" i="2"/>
  <c r="W899" i="2"/>
  <c r="W895" i="2"/>
  <c r="W891" i="2"/>
  <c r="W887" i="2"/>
  <c r="W883" i="2"/>
  <c r="W879" i="2"/>
  <c r="W875" i="2"/>
  <c r="W871" i="2"/>
  <c r="W867" i="2"/>
  <c r="W863" i="2"/>
  <c r="W859" i="2"/>
  <c r="W855" i="2"/>
  <c r="W851" i="2"/>
  <c r="W847" i="2"/>
  <c r="W843" i="2"/>
  <c r="W839" i="2"/>
  <c r="W835" i="2"/>
  <c r="W831" i="2"/>
  <c r="W827" i="2"/>
  <c r="W823" i="2"/>
  <c r="W819" i="2"/>
  <c r="W815" i="2"/>
  <c r="W811" i="2"/>
  <c r="W807" i="2"/>
  <c r="W803" i="2"/>
  <c r="W799" i="2"/>
  <c r="W795" i="2"/>
  <c r="W791" i="2"/>
  <c r="W787" i="2"/>
  <c r="W783" i="2"/>
  <c r="W779" i="2"/>
  <c r="W775" i="2"/>
  <c r="W771" i="2"/>
  <c r="W767" i="2"/>
  <c r="W763" i="2"/>
  <c r="W759" i="2"/>
  <c r="W755" i="2"/>
  <c r="W751" i="2"/>
  <c r="W747" i="2"/>
  <c r="W743" i="2"/>
  <c r="W739" i="2"/>
  <c r="W735" i="2"/>
  <c r="W731" i="2"/>
  <c r="W727" i="2"/>
  <c r="W723" i="2"/>
  <c r="W719" i="2"/>
  <c r="W715" i="2"/>
  <c r="W711" i="2"/>
  <c r="W707" i="2"/>
  <c r="W703" i="2"/>
  <c r="W699" i="2"/>
  <c r="W695" i="2"/>
  <c r="W691" i="2"/>
  <c r="W687" i="2"/>
  <c r="W683" i="2"/>
  <c r="W679" i="2"/>
  <c r="W675" i="2"/>
  <c r="W671" i="2"/>
  <c r="W667" i="2"/>
  <c r="W663" i="2"/>
  <c r="W659" i="2"/>
  <c r="W655" i="2"/>
  <c r="W651" i="2"/>
  <c r="W647" i="2"/>
  <c r="W643" i="2"/>
  <c r="W639" i="2"/>
  <c r="W635" i="2"/>
  <c r="W631" i="2"/>
  <c r="W627" i="2"/>
  <c r="W623" i="2"/>
  <c r="W619" i="2"/>
  <c r="W615" i="2"/>
  <c r="W611" i="2"/>
  <c r="W607" i="2"/>
  <c r="W603" i="2"/>
  <c r="W599" i="2"/>
  <c r="W595" i="2"/>
  <c r="W591" i="2"/>
  <c r="W587" i="2"/>
  <c r="W583" i="2"/>
  <c r="W579" i="2"/>
  <c r="W575" i="2"/>
  <c r="W571" i="2"/>
  <c r="W567" i="2"/>
  <c r="W563" i="2"/>
  <c r="W559" i="2"/>
  <c r="W555" i="2"/>
  <c r="W551" i="2"/>
  <c r="W547" i="2"/>
  <c r="W543" i="2"/>
  <c r="W539" i="2"/>
  <c r="W535" i="2"/>
  <c r="W531" i="2"/>
  <c r="W527" i="2"/>
  <c r="W523" i="2"/>
  <c r="W519" i="2"/>
  <c r="W515" i="2"/>
  <c r="W511" i="2"/>
  <c r="W507" i="2"/>
  <c r="W503" i="2"/>
  <c r="W499" i="2"/>
  <c r="W495" i="2"/>
  <c r="W491" i="2"/>
  <c r="W487" i="2"/>
  <c r="W483" i="2"/>
  <c r="W479" i="2"/>
  <c r="W475" i="2"/>
  <c r="W471" i="2"/>
  <c r="W467" i="2"/>
  <c r="W463" i="2"/>
  <c r="W459" i="2"/>
  <c r="W455" i="2"/>
  <c r="W918" i="2"/>
  <c r="W913" i="2"/>
  <c r="W908" i="2"/>
  <c r="W902" i="2"/>
  <c r="W897" i="2"/>
  <c r="W892" i="2"/>
  <c r="W886" i="2"/>
  <c r="W881" i="2"/>
  <c r="W876" i="2"/>
  <c r="W870" i="2"/>
  <c r="W865" i="2"/>
  <c r="W860" i="2"/>
  <c r="W854" i="2"/>
  <c r="W849" i="2"/>
  <c r="W844" i="2"/>
  <c r="W838" i="2"/>
  <c r="W833" i="2"/>
  <c r="W828" i="2"/>
  <c r="W822" i="2"/>
  <c r="W817" i="2"/>
  <c r="W812" i="2"/>
  <c r="W806" i="2"/>
  <c r="W801" i="2"/>
  <c r="W796" i="2"/>
  <c r="W790" i="2"/>
  <c r="W785" i="2"/>
  <c r="W780" i="2"/>
  <c r="W774" i="2"/>
  <c r="W769" i="2"/>
  <c r="W764" i="2"/>
  <c r="W758" i="2"/>
  <c r="W753" i="2"/>
  <c r="W748" i="2"/>
  <c r="W742" i="2"/>
  <c r="W737" i="2"/>
  <c r="W732" i="2"/>
  <c r="W726" i="2"/>
  <c r="W721" i="2"/>
  <c r="W716" i="2"/>
  <c r="W710" i="2"/>
  <c r="W705" i="2"/>
  <c r="W700" i="2"/>
  <c r="W694" i="2"/>
  <c r="W689" i="2"/>
  <c r="W684" i="2"/>
  <c r="W678" i="2"/>
  <c r="W673" i="2"/>
  <c r="W668" i="2"/>
  <c r="W662" i="2"/>
  <c r="W657" i="2"/>
  <c r="W652" i="2"/>
  <c r="W646" i="2"/>
  <c r="W641" i="2"/>
  <c r="W636" i="2"/>
  <c r="W630" i="2"/>
  <c r="W625" i="2"/>
  <c r="W620" i="2"/>
  <c r="W614" i="2"/>
  <c r="W609" i="2"/>
  <c r="W604" i="2"/>
  <c r="W598" i="2"/>
  <c r="W593" i="2"/>
  <c r="W588" i="2"/>
  <c r="W582" i="2"/>
  <c r="W577" i="2"/>
  <c r="W572" i="2"/>
  <c r="W566" i="2"/>
  <c r="W561" i="2"/>
  <c r="W556" i="2"/>
  <c r="W550" i="2"/>
  <c r="W545" i="2"/>
  <c r="W540" i="2"/>
  <c r="W534" i="2"/>
  <c r="W529" i="2"/>
  <c r="W524" i="2"/>
  <c r="W518" i="2"/>
  <c r="W513" i="2"/>
  <c r="W508" i="2"/>
  <c r="W502" i="2"/>
  <c r="W497" i="2"/>
  <c r="W492" i="2"/>
  <c r="W486" i="2"/>
  <c r="W481" i="2"/>
  <c r="W476" i="2"/>
  <c r="W470" i="2"/>
  <c r="W465" i="2"/>
  <c r="W460" i="2"/>
  <c r="W454" i="2"/>
  <c r="W450" i="2"/>
  <c r="W446" i="2"/>
  <c r="W442" i="2"/>
  <c r="W438" i="2"/>
  <c r="W434" i="2"/>
  <c r="W430" i="2"/>
  <c r="W426" i="2"/>
  <c r="W422" i="2"/>
  <c r="W418" i="2"/>
  <c r="W414" i="2"/>
  <c r="W410" i="2"/>
  <c r="W406" i="2"/>
  <c r="W402" i="2"/>
  <c r="W398" i="2"/>
  <c r="W394" i="2"/>
  <c r="W390" i="2"/>
  <c r="W386" i="2"/>
  <c r="W382" i="2"/>
  <c r="W378" i="2"/>
  <c r="W374" i="2"/>
  <c r="W370" i="2"/>
  <c r="W366" i="2"/>
  <c r="W362" i="2"/>
  <c r="W358" i="2"/>
  <c r="W354" i="2"/>
  <c r="W350" i="2"/>
  <c r="W346" i="2"/>
  <c r="W342" i="2"/>
  <c r="W338" i="2"/>
  <c r="W334" i="2"/>
  <c r="W330" i="2"/>
  <c r="W326" i="2"/>
  <c r="W322" i="2"/>
  <c r="W318" i="2"/>
  <c r="W314" i="2"/>
  <c r="W310" i="2"/>
  <c r="W306" i="2"/>
  <c r="W302" i="2"/>
  <c r="W298" i="2"/>
  <c r="W294" i="2"/>
  <c r="W290" i="2"/>
  <c r="W286" i="2"/>
  <c r="W282" i="2"/>
  <c r="W278" i="2"/>
  <c r="W274" i="2"/>
  <c r="W270" i="2"/>
  <c r="W266" i="2"/>
  <c r="W262" i="2"/>
  <c r="W258" i="2"/>
  <c r="W254" i="2"/>
  <c r="W250" i="2"/>
  <c r="W246" i="2"/>
  <c r="W242" i="2"/>
  <c r="W238" i="2"/>
  <c r="W234" i="2"/>
  <c r="W230" i="2"/>
  <c r="W226" i="2"/>
  <c r="W222" i="2"/>
  <c r="W218" i="2"/>
  <c r="W214" i="2"/>
  <c r="W210" i="2"/>
  <c r="W206" i="2"/>
  <c r="W202" i="2"/>
  <c r="W198" i="2"/>
  <c r="W194" i="2"/>
  <c r="W190" i="2"/>
  <c r="W186" i="2"/>
  <c r="W182" i="2"/>
  <c r="W178" i="2"/>
  <c r="W174" i="2"/>
  <c r="W170" i="2"/>
  <c r="W166" i="2"/>
  <c r="W162" i="2"/>
  <c r="W158" i="2"/>
  <c r="W154" i="2"/>
  <c r="W150" i="2"/>
  <c r="W146" i="2"/>
  <c r="W142" i="2"/>
  <c r="W138" i="2"/>
  <c r="W134" i="2"/>
  <c r="W130" i="2"/>
  <c r="W126" i="2"/>
  <c r="W122" i="2"/>
  <c r="W118" i="2"/>
  <c r="W114" i="2"/>
  <c r="W110" i="2"/>
  <c r="W106" i="2"/>
  <c r="W102" i="2"/>
  <c r="W98" i="2"/>
  <c r="W94" i="2"/>
  <c r="W90" i="2"/>
  <c r="W86" i="2"/>
  <c r="W82" i="2"/>
  <c r="W78" i="2"/>
  <c r="W74" i="2"/>
  <c r="W70" i="2"/>
  <c r="W66" i="2"/>
  <c r="W62" i="2"/>
  <c r="W58" i="2"/>
  <c r="W54" i="2"/>
  <c r="W50" i="2"/>
  <c r="W46" i="2"/>
  <c r="W42" i="2"/>
  <c r="W38" i="2"/>
  <c r="W34" i="2"/>
  <c r="W30" i="2"/>
  <c r="W26" i="2"/>
  <c r="W22" i="2"/>
  <c r="W18" i="2"/>
  <c r="W14" i="2"/>
  <c r="W10" i="2"/>
  <c r="W6" i="2"/>
  <c r="W914" i="2"/>
  <c r="W906" i="2"/>
  <c r="W900" i="2"/>
  <c r="W893" i="2"/>
  <c r="W885" i="2"/>
  <c r="W878" i="2"/>
  <c r="W872" i="2"/>
  <c r="W864" i="2"/>
  <c r="W857" i="2"/>
  <c r="W850" i="2"/>
  <c r="W842" i="2"/>
  <c r="W836" i="2"/>
  <c r="W829" i="2"/>
  <c r="W821" i="2"/>
  <c r="W814" i="2"/>
  <c r="W808" i="2"/>
  <c r="W800" i="2"/>
  <c r="W793" i="2"/>
  <c r="W786" i="2"/>
  <c r="W778" i="2"/>
  <c r="W772" i="2"/>
  <c r="W765" i="2"/>
  <c r="W757" i="2"/>
  <c r="W750" i="2"/>
  <c r="W744" i="2"/>
  <c r="W736" i="2"/>
  <c r="W729" i="2"/>
  <c r="W722" i="2"/>
  <c r="W714" i="2"/>
  <c r="W708" i="2"/>
  <c r="W701" i="2"/>
  <c r="W693" i="2"/>
  <c r="W686" i="2"/>
  <c r="W680" i="2"/>
  <c r="W672" i="2"/>
  <c r="W665" i="2"/>
  <c r="W658" i="2"/>
  <c r="W650" i="2"/>
  <c r="W644" i="2"/>
  <c r="W637" i="2"/>
  <c r="W629" i="2"/>
  <c r="W622" i="2"/>
  <c r="W616" i="2"/>
  <c r="W608" i="2"/>
  <c r="W601" i="2"/>
  <c r="W594" i="2"/>
  <c r="W586" i="2"/>
  <c r="W580" i="2"/>
  <c r="W573" i="2"/>
  <c r="W565" i="2"/>
  <c r="W558" i="2"/>
  <c r="W552" i="2"/>
  <c r="W544" i="2"/>
  <c r="W537" i="2"/>
  <c r="W530" i="2"/>
  <c r="W522" i="2"/>
  <c r="W516" i="2"/>
  <c r="W509" i="2"/>
  <c r="W501" i="2"/>
  <c r="W494" i="2"/>
  <c r="W488" i="2"/>
  <c r="W480" i="2"/>
  <c r="W473" i="2"/>
  <c r="W466" i="2"/>
  <c r="W458" i="2"/>
  <c r="W452" i="2"/>
  <c r="W447" i="2"/>
  <c r="W441" i="2"/>
  <c r="W436" i="2"/>
  <c r="W431" i="2"/>
  <c r="W425" i="2"/>
  <c r="W420" i="2"/>
  <c r="W415" i="2"/>
  <c r="W409" i="2"/>
  <c r="W404" i="2"/>
  <c r="W399" i="2"/>
  <c r="W393" i="2"/>
  <c r="W388" i="2"/>
  <c r="W383" i="2"/>
  <c r="W377" i="2"/>
  <c r="W372" i="2"/>
  <c r="W367" i="2"/>
  <c r="W361" i="2"/>
  <c r="W356" i="2"/>
  <c r="W351" i="2"/>
  <c r="W345" i="2"/>
  <c r="W340" i="2"/>
  <c r="W335" i="2"/>
  <c r="W329" i="2"/>
  <c r="W324" i="2"/>
  <c r="W319" i="2"/>
  <c r="W313" i="2"/>
  <c r="W308" i="2"/>
  <c r="W303" i="2"/>
  <c r="W297" i="2"/>
  <c r="W292" i="2"/>
  <c r="W287" i="2"/>
  <c r="W281" i="2"/>
  <c r="W910" i="2"/>
  <c r="W901" i="2"/>
  <c r="W890" i="2"/>
  <c r="W882" i="2"/>
  <c r="W873" i="2"/>
  <c r="W862" i="2"/>
  <c r="W853" i="2"/>
  <c r="W845" i="2"/>
  <c r="W834" i="2"/>
  <c r="W825" i="2"/>
  <c r="W816" i="2"/>
  <c r="W805" i="2"/>
  <c r="W797" i="2"/>
  <c r="W788" i="2"/>
  <c r="W777" i="2"/>
  <c r="W768" i="2"/>
  <c r="W760" i="2"/>
  <c r="W749" i="2"/>
  <c r="W740" i="2"/>
  <c r="W730" i="2"/>
  <c r="W720" i="2"/>
  <c r="W712" i="2"/>
  <c r="W702" i="2"/>
  <c r="W692" i="2"/>
  <c r="W682" i="2"/>
  <c r="W674" i="2"/>
  <c r="W664" i="2"/>
  <c r="W654" i="2"/>
  <c r="W645" i="2"/>
  <c r="W634" i="2"/>
  <c r="W626" i="2"/>
  <c r="W617" i="2"/>
  <c r="W606" i="2"/>
  <c r="W597" i="2"/>
  <c r="W589" i="2"/>
  <c r="W578" i="2"/>
  <c r="W569" i="2"/>
  <c r="W560" i="2"/>
  <c r="W549" i="2"/>
  <c r="W541" i="2"/>
  <c r="W532" i="2"/>
  <c r="W521" i="2"/>
  <c r="W512" i="2"/>
  <c r="W504" i="2"/>
  <c r="W493" i="2"/>
  <c r="W484" i="2"/>
  <c r="W474" i="2"/>
  <c r="W464" i="2"/>
  <c r="W456" i="2"/>
  <c r="W448" i="2"/>
  <c r="W440" i="2"/>
  <c r="W433" i="2"/>
  <c r="W427" i="2"/>
  <c r="W419" i="2"/>
  <c r="W412" i="2"/>
  <c r="W405" i="2"/>
  <c r="W397" i="2"/>
  <c r="W391" i="2"/>
  <c r="W384" i="2"/>
  <c r="W376" i="2"/>
  <c r="W369" i="2"/>
  <c r="W363" i="2"/>
  <c r="W355" i="2"/>
  <c r="W348" i="2"/>
  <c r="W341" i="2"/>
  <c r="W333" i="2"/>
  <c r="W327" i="2"/>
  <c r="W320" i="2"/>
  <c r="W312" i="2"/>
  <c r="W305" i="2"/>
  <c r="W299" i="2"/>
  <c r="W291" i="2"/>
  <c r="W284" i="2"/>
  <c r="W277" i="2"/>
  <c r="W272" i="2"/>
  <c r="W267" i="2"/>
  <c r="W261" i="2"/>
  <c r="W256" i="2"/>
  <c r="W251" i="2"/>
  <c r="W245" i="2"/>
  <c r="W240" i="2"/>
  <c r="W235" i="2"/>
  <c r="W229" i="2"/>
  <c r="W224" i="2"/>
  <c r="W219" i="2"/>
  <c r="W213" i="2"/>
  <c r="W208" i="2"/>
  <c r="W203" i="2"/>
  <c r="W197" i="2"/>
  <c r="W192" i="2"/>
  <c r="W187" i="2"/>
  <c r="W181" i="2"/>
  <c r="W176" i="2"/>
  <c r="W171" i="2"/>
  <c r="W165" i="2"/>
  <c r="W160" i="2"/>
  <c r="W155" i="2"/>
  <c r="W149" i="2"/>
  <c r="W144" i="2"/>
  <c r="W139" i="2"/>
  <c r="W133" i="2"/>
  <c r="W128" i="2"/>
  <c r="W123" i="2"/>
  <c r="W117" i="2"/>
  <c r="W112" i="2"/>
  <c r="W107" i="2"/>
  <c r="W101" i="2"/>
  <c r="W96" i="2"/>
  <c r="W91" i="2"/>
  <c r="W85" i="2"/>
  <c r="W80" i="2"/>
  <c r="W75" i="2"/>
  <c r="W69" i="2"/>
  <c r="W64" i="2"/>
  <c r="W59" i="2"/>
  <c r="W53" i="2"/>
  <c r="W48" i="2"/>
  <c r="W43" i="2"/>
  <c r="W37" i="2"/>
  <c r="W32" i="2"/>
  <c r="W27" i="2"/>
  <c r="W21" i="2"/>
  <c r="W16" i="2"/>
  <c r="W11" i="2"/>
  <c r="W5" i="2"/>
  <c r="W916" i="2"/>
  <c r="W905" i="2"/>
  <c r="W896" i="2"/>
  <c r="W888" i="2"/>
  <c r="W877" i="2"/>
  <c r="W868" i="2"/>
  <c r="W858" i="2"/>
  <c r="W848" i="2"/>
  <c r="W840" i="2"/>
  <c r="W830" i="2"/>
  <c r="W820" i="2"/>
  <c r="W810" i="2"/>
  <c r="W802" i="2"/>
  <c r="W792" i="2"/>
  <c r="W782" i="2"/>
  <c r="W773" i="2"/>
  <c r="W762" i="2"/>
  <c r="W754" i="2"/>
  <c r="W745" i="2"/>
  <c r="W734" i="2"/>
  <c r="W725" i="2"/>
  <c r="W717" i="2"/>
  <c r="W706" i="2"/>
  <c r="W697" i="2"/>
  <c r="W688" i="2"/>
  <c r="W677" i="2"/>
  <c r="W669" i="2"/>
  <c r="W660" i="2"/>
  <c r="W649" i="2"/>
  <c r="W640" i="2"/>
  <c r="W632" i="2"/>
  <c r="W621" i="2"/>
  <c r="W612" i="2"/>
  <c r="W602" i="2"/>
  <c r="W592" i="2"/>
  <c r="W584" i="2"/>
  <c r="W574" i="2"/>
  <c r="W564" i="2"/>
  <c r="W554" i="2"/>
  <c r="W546" i="2"/>
  <c r="W536" i="2"/>
  <c r="W526" i="2"/>
  <c r="W517" i="2"/>
  <c r="W506" i="2"/>
  <c r="W498" i="2"/>
  <c r="W489" i="2"/>
  <c r="W478" i="2"/>
  <c r="W469" i="2"/>
  <c r="W461" i="2"/>
  <c r="W451" i="2"/>
  <c r="W444" i="2"/>
  <c r="W437" i="2"/>
  <c r="W429" i="2"/>
  <c r="W423" i="2"/>
  <c r="W416" i="2"/>
  <c r="W408" i="2"/>
  <c r="W401" i="2"/>
  <c r="W395" i="2"/>
  <c r="W387" i="2"/>
  <c r="W380" i="2"/>
  <c r="W373" i="2"/>
  <c r="W365" i="2"/>
  <c r="W359" i="2"/>
  <c r="W352" i="2"/>
  <c r="W344" i="2"/>
  <c r="W337" i="2"/>
  <c r="W331" i="2"/>
  <c r="W323" i="2"/>
  <c r="W316" i="2"/>
  <c r="W309" i="2"/>
  <c r="W301" i="2"/>
  <c r="W295" i="2"/>
  <c r="W288" i="2"/>
  <c r="W280" i="2"/>
  <c r="W275" i="2"/>
  <c r="W269" i="2"/>
  <c r="W264" i="2"/>
  <c r="W259" i="2"/>
  <c r="W253" i="2"/>
  <c r="W248" i="2"/>
  <c r="W243" i="2"/>
  <c r="W237" i="2"/>
  <c r="W232" i="2"/>
  <c r="W227" i="2"/>
  <c r="W221" i="2"/>
  <c r="W216" i="2"/>
  <c r="W211" i="2"/>
  <c r="W205" i="2"/>
  <c r="W200" i="2"/>
  <c r="W195" i="2"/>
  <c r="W189" i="2"/>
  <c r="W184" i="2"/>
  <c r="W179" i="2"/>
  <c r="W173" i="2"/>
  <c r="W168" i="2"/>
  <c r="W163" i="2"/>
  <c r="W157" i="2"/>
  <c r="W152" i="2"/>
  <c r="W147" i="2"/>
  <c r="W141" i="2"/>
  <c r="W136" i="2"/>
  <c r="W131" i="2"/>
  <c r="W125" i="2"/>
  <c r="W120" i="2"/>
  <c r="W115" i="2"/>
  <c r="W109" i="2"/>
  <c r="W104" i="2"/>
  <c r="W99" i="2"/>
  <c r="W93" i="2"/>
  <c r="W88" i="2"/>
  <c r="W83" i="2"/>
  <c r="W77" i="2"/>
  <c r="W72" i="2"/>
  <c r="W67" i="2"/>
  <c r="W61" i="2"/>
  <c r="W56" i="2"/>
  <c r="W912" i="2"/>
  <c r="W894" i="2"/>
  <c r="W874" i="2"/>
  <c r="W856" i="2"/>
  <c r="W837" i="2"/>
  <c r="W818" i="2"/>
  <c r="W798" i="2"/>
  <c r="W781" i="2"/>
  <c r="W761" i="2"/>
  <c r="W741" i="2"/>
  <c r="W724" i="2"/>
  <c r="W704" i="2"/>
  <c r="W685" i="2"/>
  <c r="W666" i="2"/>
  <c r="W648" i="2"/>
  <c r="W628" i="2"/>
  <c r="W610" i="2"/>
  <c r="W590" i="2"/>
  <c r="W570" i="2"/>
  <c r="W553" i="2"/>
  <c r="W533" i="2"/>
  <c r="W514" i="2"/>
  <c r="W496" i="2"/>
  <c r="W477" i="2"/>
  <c r="W457" i="2"/>
  <c r="W443" i="2"/>
  <c r="W428" i="2"/>
  <c r="W413" i="2"/>
  <c r="W400" i="2"/>
  <c r="W385" i="2"/>
  <c r="W371" i="2"/>
  <c r="W357" i="2"/>
  <c r="W343" i="2"/>
  <c r="W328" i="2"/>
  <c r="W315" i="2"/>
  <c r="W300" i="2"/>
  <c r="W285" i="2"/>
  <c r="W273" i="2"/>
  <c r="W263" i="2"/>
  <c r="W252" i="2"/>
  <c r="W241" i="2"/>
  <c r="W231" i="2"/>
  <c r="W220" i="2"/>
  <c r="W209" i="2"/>
  <c r="W199" i="2"/>
  <c r="W188" i="2"/>
  <c r="W177" i="2"/>
  <c r="W167" i="2"/>
  <c r="W156" i="2"/>
  <c r="W145" i="2"/>
  <c r="W135" i="2"/>
  <c r="W124" i="2"/>
  <c r="W113" i="2"/>
  <c r="W103" i="2"/>
  <c r="W92" i="2"/>
  <c r="W81" i="2"/>
  <c r="W71" i="2"/>
  <c r="W60" i="2"/>
  <c r="W51" i="2"/>
  <c r="W44" i="2"/>
  <c r="W36" i="2"/>
  <c r="W29" i="2"/>
  <c r="W23" i="2"/>
  <c r="W15" i="2"/>
  <c r="W8" i="2"/>
  <c r="W909" i="2"/>
  <c r="W889" i="2"/>
  <c r="W869" i="2"/>
  <c r="W852" i="2"/>
  <c r="W832" i="2"/>
  <c r="W813" i="2"/>
  <c r="W794" i="2"/>
  <c r="W776" i="2"/>
  <c r="W756" i="2"/>
  <c r="W738" i="2"/>
  <c r="W718" i="2"/>
  <c r="W698" i="2"/>
  <c r="W681" i="2"/>
  <c r="W661" i="2"/>
  <c r="W642" i="2"/>
  <c r="W624" i="2"/>
  <c r="W605" i="2"/>
  <c r="W585" i="2"/>
  <c r="W568" i="2"/>
  <c r="W548" i="2"/>
  <c r="W528" i="2"/>
  <c r="W510" i="2"/>
  <c r="W490" i="2"/>
  <c r="W472" i="2"/>
  <c r="W453" i="2"/>
  <c r="W439" i="2"/>
  <c r="W424" i="2"/>
  <c r="W411" i="2"/>
  <c r="W396" i="2"/>
  <c r="W381" i="2"/>
  <c r="W368" i="2"/>
  <c r="W353" i="2"/>
  <c r="W339" i="2"/>
  <c r="W325" i="2"/>
  <c r="W311" i="2"/>
  <c r="W296" i="2"/>
  <c r="W283" i="2"/>
  <c r="W271" i="2"/>
  <c r="W260" i="2"/>
  <c r="W249" i="2"/>
  <c r="W239" i="2"/>
  <c r="W228" i="2"/>
  <c r="W217" i="2"/>
  <c r="W207" i="2"/>
  <c r="W196" i="2"/>
  <c r="W185" i="2"/>
  <c r="W175" i="2"/>
  <c r="W164" i="2"/>
  <c r="W153" i="2"/>
  <c r="W143" i="2"/>
  <c r="W132" i="2"/>
  <c r="W121" i="2"/>
  <c r="W111" i="2"/>
  <c r="W100" i="2"/>
  <c r="W89" i="2"/>
  <c r="W79" i="2"/>
  <c r="W68" i="2"/>
  <c r="W57" i="2"/>
  <c r="W49" i="2"/>
  <c r="W41" i="2"/>
  <c r="W35" i="2"/>
  <c r="W28" i="2"/>
  <c r="W20" i="2"/>
  <c r="W13" i="2"/>
  <c r="W7" i="2"/>
  <c r="W904" i="2"/>
  <c r="W866" i="2"/>
  <c r="W826" i="2"/>
  <c r="W789" i="2"/>
  <c r="W752" i="2"/>
  <c r="W713" i="2"/>
  <c r="W676" i="2"/>
  <c r="W638" i="2"/>
  <c r="W600" i="2"/>
  <c r="W562" i="2"/>
  <c r="W525" i="2"/>
  <c r="W485" i="2"/>
  <c r="W449" i="2"/>
  <c r="W421" i="2"/>
  <c r="W392" i="2"/>
  <c r="W364" i="2"/>
  <c r="W336" i="2"/>
  <c r="W307" i="2"/>
  <c r="W279" i="2"/>
  <c r="W257" i="2"/>
  <c r="W236" i="2"/>
  <c r="W215" i="2"/>
  <c r="W193" i="2"/>
  <c r="W172" i="2"/>
  <c r="W151" i="2"/>
  <c r="W129" i="2"/>
  <c r="W108" i="2"/>
  <c r="W87" i="2"/>
  <c r="W65" i="2"/>
  <c r="W47" i="2"/>
  <c r="W33" i="2"/>
  <c r="W19" i="2"/>
  <c r="W898" i="2"/>
  <c r="W861" i="2"/>
  <c r="W824" i="2"/>
  <c r="W784" i="2"/>
  <c r="W746" i="2"/>
  <c r="W709" i="2"/>
  <c r="W670" i="2"/>
  <c r="W633" i="2"/>
  <c r="W596" i="2"/>
  <c r="W557" i="2"/>
  <c r="W520" i="2"/>
  <c r="W482" i="2"/>
  <c r="W445" i="2"/>
  <c r="W417" i="2"/>
  <c r="W389" i="2"/>
  <c r="W360" i="2"/>
  <c r="W332" i="2"/>
  <c r="W304" i="2"/>
  <c r="W276" i="2"/>
  <c r="W255" i="2"/>
  <c r="W233" i="2"/>
  <c r="W212" i="2"/>
  <c r="W191" i="2"/>
  <c r="W169" i="2"/>
  <c r="W148" i="2"/>
  <c r="W127" i="2"/>
  <c r="W105" i="2"/>
  <c r="W84" i="2"/>
  <c r="W63" i="2"/>
  <c r="W45" i="2"/>
  <c r="W31" i="2"/>
  <c r="W17" i="2"/>
  <c r="W4" i="2"/>
  <c r="W884" i="2"/>
  <c r="W846" i="2"/>
  <c r="W809" i="2"/>
  <c r="W770" i="2"/>
  <c r="W733" i="2"/>
  <c r="W696" i="2"/>
  <c r="W656" i="2"/>
  <c r="W618" i="2"/>
  <c r="W581" i="2"/>
  <c r="W542" i="2"/>
  <c r="W505" i="2"/>
  <c r="W468" i="2"/>
  <c r="W435" i="2"/>
  <c r="W407" i="2"/>
  <c r="W379" i="2"/>
  <c r="W349" i="2"/>
  <c r="W321" i="2"/>
  <c r="W293" i="2"/>
  <c r="W268" i="2"/>
  <c r="W247" i="2"/>
  <c r="W225" i="2"/>
  <c r="W204" i="2"/>
  <c r="W183" i="2"/>
  <c r="W161" i="2"/>
  <c r="W140" i="2"/>
  <c r="W119" i="2"/>
  <c r="W97" i="2"/>
  <c r="W76" i="2"/>
  <c r="W55" i="2"/>
  <c r="W40" i="2"/>
  <c r="W25" i="2"/>
  <c r="W12" i="2"/>
  <c r="W841" i="2"/>
  <c r="W690" i="2"/>
  <c r="W538" i="2"/>
  <c r="W403" i="2"/>
  <c r="W289" i="2"/>
  <c r="W201" i="2"/>
  <c r="W116" i="2"/>
  <c r="W39" i="2"/>
  <c r="W804" i="2"/>
  <c r="W653" i="2"/>
  <c r="W500" i="2"/>
  <c r="W375" i="2"/>
  <c r="W265" i="2"/>
  <c r="W180" i="2"/>
  <c r="W95" i="2"/>
  <c r="W24" i="2"/>
  <c r="W917" i="2"/>
  <c r="W766" i="2"/>
  <c r="W613" i="2"/>
  <c r="W462" i="2"/>
  <c r="W347" i="2"/>
  <c r="W244" i="2"/>
  <c r="W159" i="2"/>
  <c r="W73" i="2"/>
  <c r="W9" i="2"/>
  <c r="W880" i="2"/>
  <c r="W317" i="2"/>
  <c r="W728" i="2"/>
  <c r="W223" i="2"/>
  <c r="W576" i="2"/>
  <c r="W137" i="2"/>
  <c r="W432" i="2"/>
  <c r="W52" i="2"/>
  <c r="X4" i="2" l="1" a="1"/>
  <c r="X1129" i="2" s="1"/>
  <c r="E23" i="2"/>
  <c r="N14" i="2"/>
  <c r="E14" i="2"/>
  <c r="E16" i="2"/>
  <c r="E15" i="2"/>
  <c r="E22" i="2"/>
  <c r="E13" i="2"/>
  <c r="N15" i="2"/>
  <c r="E24" i="2"/>
  <c r="E21" i="2"/>
  <c r="N16" i="2"/>
  <c r="N13" i="2"/>
  <c r="X596" i="2" l="1"/>
  <c r="X37" i="2"/>
  <c r="X197" i="2"/>
  <c r="X237" i="2"/>
  <c r="X93" i="2"/>
  <c r="X1020" i="2"/>
  <c r="X441" i="2"/>
  <c r="X919" i="2"/>
  <c r="X179" i="2"/>
  <c r="X240" i="2"/>
  <c r="X469" i="2"/>
  <c r="X396" i="2"/>
  <c r="X229" i="2"/>
  <c r="X80" i="2"/>
  <c r="X631" i="2"/>
  <c r="X101" i="2"/>
  <c r="X839" i="2"/>
  <c r="X559" i="2"/>
  <c r="X891" i="2"/>
  <c r="X679" i="2"/>
  <c r="X412" i="2"/>
  <c r="X176" i="2"/>
  <c r="X848" i="2"/>
  <c r="X107" i="2"/>
  <c r="X351" i="2"/>
  <c r="X1056" i="2"/>
  <c r="X99" i="2"/>
  <c r="X1042" i="2"/>
  <c r="X661" i="2"/>
  <c r="X280" i="2"/>
  <c r="X96" i="2"/>
  <c r="X379" i="2"/>
  <c r="X51" i="2"/>
  <c r="X307" i="2"/>
  <c r="X208" i="2"/>
  <c r="X697" i="2"/>
  <c r="X228" i="2"/>
  <c r="X1008" i="2"/>
  <c r="X444" i="2"/>
  <c r="X64" i="2"/>
  <c r="X265" i="2"/>
  <c r="X604" i="2"/>
  <c r="X20" i="2"/>
  <c r="X221" i="2"/>
  <c r="X519" i="2"/>
  <c r="X986" i="2"/>
  <c r="X112" i="2"/>
  <c r="X249" i="2"/>
  <c r="X452" i="2"/>
  <c r="X700" i="2"/>
  <c r="X1087" i="2"/>
  <c r="X116" i="2"/>
  <c r="X244" i="2"/>
  <c r="X433" i="2"/>
  <c r="X716" i="2"/>
  <c r="X1058" i="2"/>
  <c r="X91" i="2"/>
  <c r="X195" i="2"/>
  <c r="X291" i="2"/>
  <c r="X460" i="2"/>
  <c r="X668" i="2"/>
  <c r="X875" i="2"/>
  <c r="X104" i="2"/>
  <c r="X267" i="2"/>
  <c r="X417" i="2"/>
  <c r="X617" i="2"/>
  <c r="X944" i="2"/>
  <c r="X431" i="2"/>
  <c r="X695" i="2"/>
  <c r="X1099" i="2"/>
  <c r="X135" i="2"/>
  <c r="X284" i="2"/>
  <c r="X684" i="2"/>
  <c r="X42" i="2"/>
  <c r="X266" i="2"/>
  <c r="X547" i="2"/>
  <c r="X630" i="2"/>
  <c r="X255" i="2"/>
  <c r="X141" i="2"/>
  <c r="X163" i="2"/>
  <c r="X293" i="2"/>
  <c r="X128" i="2"/>
  <c r="X537" i="2"/>
  <c r="X11" i="2"/>
  <c r="X160" i="2"/>
  <c r="X495" i="2"/>
  <c r="X711" i="2"/>
  <c r="X304" i="2"/>
  <c r="X533" i="2"/>
  <c r="X800" i="2"/>
  <c r="X49" i="2"/>
  <c r="X193" i="2"/>
  <c r="X400" i="2"/>
  <c r="X860" i="2"/>
  <c r="X122" i="2"/>
  <c r="X346" i="2"/>
  <c r="X675" i="2"/>
  <c r="X1116" i="2"/>
  <c r="X239" i="2"/>
  <c r="X389" i="2"/>
  <c r="X608" i="2"/>
  <c r="X867" i="2"/>
  <c r="X391" i="2"/>
  <c r="X687" i="2"/>
  <c r="X999" i="2"/>
  <c r="X113" i="2"/>
  <c r="X279" i="2"/>
  <c r="X620" i="2"/>
  <c r="X10" i="2"/>
  <c r="X250" i="2"/>
  <c r="X488" i="2"/>
  <c r="X502" i="2"/>
  <c r="X785" i="2"/>
  <c r="X8" i="2"/>
  <c r="X259" i="2"/>
  <c r="X1122" i="2"/>
  <c r="X432" i="2"/>
  <c r="X133" i="2"/>
  <c r="X747" i="2"/>
  <c r="X363" i="2"/>
  <c r="X757" i="2"/>
  <c r="X95" i="2"/>
  <c r="X297" i="2"/>
  <c r="X672" i="2"/>
  <c r="X36" i="2"/>
  <c r="X301" i="2"/>
  <c r="X548" i="2"/>
  <c r="X804" i="2"/>
  <c r="X29" i="2"/>
  <c r="X169" i="2"/>
  <c r="X539" i="2"/>
  <c r="X816" i="2"/>
  <c r="X24" i="2"/>
  <c r="X233" i="2"/>
  <c r="X341" i="2"/>
  <c r="X745" i="2"/>
  <c r="X324" i="2"/>
  <c r="X201" i="2"/>
  <c r="X1094" i="2"/>
  <c r="X57" i="2"/>
  <c r="X315" i="2"/>
  <c r="X27" i="2"/>
  <c r="X529" i="2"/>
  <c r="X184" i="2"/>
  <c r="X862" i="2"/>
  <c r="X164" i="2"/>
  <c r="X405" i="2"/>
  <c r="X811" i="2"/>
  <c r="X121" i="2"/>
  <c r="X335" i="2"/>
  <c r="X719" i="2"/>
  <c r="X48" i="2"/>
  <c r="X187" i="2"/>
  <c r="X320" i="2"/>
  <c r="X576" i="2"/>
  <c r="X866" i="2"/>
  <c r="X41" i="2"/>
  <c r="X180" i="2"/>
  <c r="X329" i="2"/>
  <c r="X565" i="2"/>
  <c r="X854" i="2"/>
  <c r="X43" i="2"/>
  <c r="X137" i="2"/>
  <c r="X243" i="2"/>
  <c r="X371" i="2"/>
  <c r="X555" i="2"/>
  <c r="X764" i="2"/>
  <c r="X40" i="2"/>
  <c r="X181" i="2"/>
  <c r="X331" i="2"/>
  <c r="X532" i="2"/>
  <c r="X751" i="2"/>
  <c r="X312" i="2"/>
  <c r="X581" i="2"/>
  <c r="X846" i="2"/>
  <c r="X60" i="2"/>
  <c r="X220" i="2"/>
  <c r="X457" i="2"/>
  <c r="X870" i="2"/>
  <c r="X170" i="2"/>
  <c r="X378" i="2"/>
  <c r="X717" i="2"/>
  <c r="X963" i="2"/>
  <c r="X152" i="2"/>
  <c r="X481" i="2"/>
  <c r="X583" i="2"/>
  <c r="X681" i="2"/>
  <c r="C15" i="2" s="1"/>
  <c r="X159" i="2"/>
  <c r="X395" i="2"/>
  <c r="X795" i="2"/>
  <c r="X77" i="2"/>
  <c r="X277" i="2"/>
  <c r="X633" i="2"/>
  <c r="X31" i="2"/>
  <c r="X235" i="2"/>
  <c r="X545" i="2"/>
  <c r="X1023" i="2"/>
  <c r="X88" i="2"/>
  <c r="X191" i="2"/>
  <c r="X292" i="2"/>
  <c r="X453" i="2"/>
  <c r="X660" i="2"/>
  <c r="X876" i="2"/>
  <c r="X45" i="2"/>
  <c r="X144" i="2"/>
  <c r="X248" i="2"/>
  <c r="X372" i="2"/>
  <c r="X567" i="2"/>
  <c r="X773" i="2"/>
  <c r="X1076" i="2"/>
  <c r="X59" i="2"/>
  <c r="X136" i="2"/>
  <c r="X200" i="2"/>
  <c r="X264" i="2"/>
  <c r="X357" i="2"/>
  <c r="X473" i="2"/>
  <c r="X603" i="2"/>
  <c r="X753" i="2"/>
  <c r="X907" i="2"/>
  <c r="X1126" i="2"/>
  <c r="X67" i="2"/>
  <c r="X131" i="2"/>
  <c r="X192" i="2"/>
  <c r="X269" i="2"/>
  <c r="X349" i="2"/>
  <c r="X463" i="2"/>
  <c r="X615" i="2"/>
  <c r="X737" i="2"/>
  <c r="C23" i="2" s="1"/>
  <c r="X887" i="2"/>
  <c r="X5" i="2"/>
  <c r="X52" i="2"/>
  <c r="X100" i="2"/>
  <c r="X157" i="2"/>
  <c r="X205" i="2"/>
  <c r="X251" i="2"/>
  <c r="X313" i="2"/>
  <c r="X384" i="2"/>
  <c r="X480" i="2"/>
  <c r="X593" i="2"/>
  <c r="X688" i="2"/>
  <c r="X783" i="2"/>
  <c r="X1004" i="2"/>
  <c r="X47" i="2"/>
  <c r="X125" i="2"/>
  <c r="X211" i="2"/>
  <c r="X275" i="2"/>
  <c r="X352" i="2"/>
  <c r="X455" i="2"/>
  <c r="X540" i="2"/>
  <c r="X655" i="2"/>
  <c r="X807" i="2"/>
  <c r="X980" i="2"/>
  <c r="X340" i="2"/>
  <c r="X476" i="2"/>
  <c r="X591" i="2"/>
  <c r="X732" i="2"/>
  <c r="X916" i="2"/>
  <c r="X1119" i="2"/>
  <c r="X81" i="2"/>
  <c r="X167" i="2"/>
  <c r="X231" i="2"/>
  <c r="X327" i="2"/>
  <c r="X535" i="2"/>
  <c r="X705" i="2"/>
  <c r="X964" i="2"/>
  <c r="X78" i="2"/>
  <c r="X174" i="2"/>
  <c r="X298" i="2"/>
  <c r="X440" i="2"/>
  <c r="X568" i="2"/>
  <c r="X922" i="2"/>
  <c r="X806" i="2"/>
  <c r="X1027" i="2"/>
  <c r="X491" i="2"/>
  <c r="X943" i="2"/>
  <c r="X127" i="2"/>
  <c r="X344" i="2"/>
  <c r="X736" i="2"/>
  <c r="X84" i="2"/>
  <c r="X285" i="2"/>
  <c r="X644" i="2"/>
  <c r="X13" i="2"/>
  <c r="X115" i="2"/>
  <c r="X216" i="2"/>
  <c r="X323" i="2"/>
  <c r="X508" i="2"/>
  <c r="X709" i="2"/>
  <c r="X956" i="2"/>
  <c r="X69" i="2"/>
  <c r="X171" i="2"/>
  <c r="X272" i="2"/>
  <c r="X416" i="2"/>
  <c r="X623" i="2"/>
  <c r="X827" i="2"/>
  <c r="X9" i="2"/>
  <c r="X85" i="2"/>
  <c r="X149" i="2"/>
  <c r="X212" i="2"/>
  <c r="X287" i="2"/>
  <c r="X377" i="2"/>
  <c r="X501" i="2"/>
  <c r="X652" i="2"/>
  <c r="X775" i="2"/>
  <c r="X955" i="2"/>
  <c r="X16" i="2"/>
  <c r="X79" i="2"/>
  <c r="X143" i="2"/>
  <c r="X219" i="2"/>
  <c r="X283" i="2"/>
  <c r="X365" i="2"/>
  <c r="X511" i="2"/>
  <c r="X640" i="2"/>
  <c r="X767" i="2"/>
  <c r="X972" i="2"/>
  <c r="X15" i="2"/>
  <c r="X63" i="2"/>
  <c r="X120" i="2"/>
  <c r="X165" i="2"/>
  <c r="X213" i="2"/>
  <c r="X271" i="2"/>
  <c r="X328" i="2"/>
  <c r="X404" i="2"/>
  <c r="X517" i="2"/>
  <c r="X612" i="2"/>
  <c r="X708" i="2"/>
  <c r="X824" i="2"/>
  <c r="X1036" i="2"/>
  <c r="X68" i="2"/>
  <c r="X153" i="2"/>
  <c r="X217" i="2"/>
  <c r="X296" i="2"/>
  <c r="X381" i="2"/>
  <c r="X465" i="2"/>
  <c r="X569" i="2"/>
  <c r="X703" i="2"/>
  <c r="X818" i="2"/>
  <c r="X1047" i="2"/>
  <c r="X383" i="2"/>
  <c r="X496" i="2"/>
  <c r="X629" i="2"/>
  <c r="X780" i="2"/>
  <c r="X934" i="2"/>
  <c r="X23" i="2"/>
  <c r="X108" i="2"/>
  <c r="X172" i="2"/>
  <c r="X252" i="2"/>
  <c r="X393" i="2"/>
  <c r="X564" i="2"/>
  <c r="X763" i="2"/>
  <c r="X1104" i="2"/>
  <c r="X90" i="2"/>
  <c r="X206" i="2"/>
  <c r="X334" i="2"/>
  <c r="X445" i="2"/>
  <c r="X611" i="2"/>
  <c r="X486" i="2"/>
  <c r="X890" i="2"/>
  <c r="X941" i="2"/>
  <c r="X21" i="2"/>
  <c r="X73" i="2"/>
  <c r="X123" i="2"/>
  <c r="X173" i="2"/>
  <c r="X227" i="2"/>
  <c r="X276" i="2"/>
  <c r="X336" i="2"/>
  <c r="X425" i="2"/>
  <c r="X527" i="2"/>
  <c r="X624" i="2"/>
  <c r="X729" i="2"/>
  <c r="X838" i="2"/>
  <c r="X992" i="2"/>
  <c r="X4" i="2"/>
  <c r="X56" i="2"/>
  <c r="X105" i="2"/>
  <c r="X155" i="2"/>
  <c r="X207" i="2"/>
  <c r="X256" i="2"/>
  <c r="X308" i="2"/>
  <c r="X388" i="2"/>
  <c r="X489" i="2"/>
  <c r="X587" i="2"/>
  <c r="X689" i="2"/>
  <c r="X793" i="2"/>
  <c r="X923" i="2"/>
  <c r="X1108" i="2"/>
  <c r="X35" i="2"/>
  <c r="X72" i="2"/>
  <c r="X109" i="2"/>
  <c r="X148" i="2"/>
  <c r="X185" i="2"/>
  <c r="X223" i="2"/>
  <c r="X261" i="2"/>
  <c r="X299" i="2"/>
  <c r="X356" i="2"/>
  <c r="X423" i="2"/>
  <c r="X497" i="2"/>
  <c r="X575" i="2"/>
  <c r="X651" i="2"/>
  <c r="X725" i="2"/>
  <c r="X801" i="2"/>
  <c r="X906" i="2"/>
  <c r="X19" i="2"/>
  <c r="X75" i="2"/>
  <c r="X132" i="2"/>
  <c r="X189" i="2"/>
  <c r="X245" i="2"/>
  <c r="X303" i="2"/>
  <c r="X360" i="2"/>
  <c r="X427" i="2"/>
  <c r="X503" i="2"/>
  <c r="X580" i="2"/>
  <c r="X665" i="2"/>
  <c r="X768" i="2"/>
  <c r="X882" i="2"/>
  <c r="X1062" i="2"/>
  <c r="X355" i="2"/>
  <c r="X439" i="2"/>
  <c r="X544" i="2"/>
  <c r="X647" i="2"/>
  <c r="X743" i="2"/>
  <c r="X859" i="2"/>
  <c r="X1034" i="2"/>
  <c r="X28" i="2"/>
  <c r="X87" i="2"/>
  <c r="X145" i="2"/>
  <c r="X199" i="2"/>
  <c r="X257" i="2"/>
  <c r="X348" i="2"/>
  <c r="X479" i="2"/>
  <c r="X628" i="2"/>
  <c r="X791" i="2"/>
  <c r="X1002" i="2"/>
  <c r="X46" i="2"/>
  <c r="X138" i="2"/>
  <c r="X218" i="2"/>
  <c r="X302" i="2"/>
  <c r="X397" i="2"/>
  <c r="X504" i="2"/>
  <c r="X616" i="2"/>
  <c r="X1072" i="2"/>
  <c r="X678" i="2"/>
  <c r="X817" i="2"/>
  <c r="X1005" i="2"/>
  <c r="X935" i="2"/>
  <c r="X1071" i="2"/>
  <c r="X25" i="2"/>
  <c r="X53" i="2"/>
  <c r="X83" i="2"/>
  <c r="X111" i="2"/>
  <c r="X139" i="2"/>
  <c r="X168" i="2"/>
  <c r="X196" i="2"/>
  <c r="X224" i="2"/>
  <c r="X253" i="2"/>
  <c r="X281" i="2"/>
  <c r="X309" i="2"/>
  <c r="X339" i="2"/>
  <c r="X367" i="2"/>
  <c r="X399" i="2"/>
  <c r="X437" i="2"/>
  <c r="X475" i="2"/>
  <c r="X512" i="2"/>
  <c r="X551" i="2"/>
  <c r="X588" i="2"/>
  <c r="X625" i="2"/>
  <c r="X673" i="2"/>
  <c r="X731" i="2"/>
  <c r="X779" i="2"/>
  <c r="X830" i="2"/>
  <c r="X908" i="2"/>
  <c r="X994" i="2"/>
  <c r="X1079" i="2"/>
  <c r="X325" i="2"/>
  <c r="X361" i="2"/>
  <c r="X401" i="2"/>
  <c r="X459" i="2"/>
  <c r="X505" i="2"/>
  <c r="X553" i="2"/>
  <c r="X609" i="2"/>
  <c r="X657" i="2"/>
  <c r="X704" i="2"/>
  <c r="X761" i="2"/>
  <c r="X809" i="2"/>
  <c r="X872" i="2"/>
  <c r="X966" i="2"/>
  <c r="X1050" i="2"/>
  <c r="X7" i="2"/>
  <c r="X39" i="2"/>
  <c r="X65" i="2"/>
  <c r="X92" i="2"/>
  <c r="X124" i="2"/>
  <c r="X151" i="2"/>
  <c r="X177" i="2"/>
  <c r="X209" i="2"/>
  <c r="X236" i="2"/>
  <c r="X263" i="2"/>
  <c r="X305" i="2"/>
  <c r="X353" i="2"/>
  <c r="X421" i="2"/>
  <c r="X507" i="2"/>
  <c r="X571" i="2"/>
  <c r="X649" i="2"/>
  <c r="X735" i="2"/>
  <c r="X799" i="2"/>
  <c r="X900" i="2"/>
  <c r="X1051" i="2"/>
  <c r="X14" i="2"/>
  <c r="X58" i="2"/>
  <c r="X106" i="2"/>
  <c r="X142" i="2"/>
  <c r="X186" i="2"/>
  <c r="X234" i="2"/>
  <c r="X270" i="2"/>
  <c r="X314" i="2"/>
  <c r="X362" i="2"/>
  <c r="X403" i="2"/>
  <c r="X461" i="2"/>
  <c r="X525" i="2"/>
  <c r="X573" i="2"/>
  <c r="X632" i="2"/>
  <c r="X803" i="2"/>
  <c r="X1111" i="2"/>
  <c r="X550" i="2"/>
  <c r="X742" i="2"/>
  <c r="X918" i="2"/>
  <c r="X865" i="2"/>
  <c r="X1112" i="2"/>
  <c r="X1021" i="2"/>
  <c r="X971" i="2"/>
  <c r="X1106" i="2"/>
  <c r="X32" i="2"/>
  <c r="X61" i="2"/>
  <c r="X89" i="2"/>
  <c r="X117" i="2"/>
  <c r="X147" i="2"/>
  <c r="X175" i="2"/>
  <c r="X203" i="2"/>
  <c r="X232" i="2"/>
  <c r="X260" i="2"/>
  <c r="X288" i="2"/>
  <c r="X317" i="2"/>
  <c r="X345" i="2"/>
  <c r="X373" i="2"/>
  <c r="X409" i="2"/>
  <c r="X447" i="2"/>
  <c r="X484" i="2"/>
  <c r="X523" i="2"/>
  <c r="X560" i="2"/>
  <c r="X597" i="2"/>
  <c r="X636" i="2"/>
  <c r="X693" i="2"/>
  <c r="X740" i="2"/>
  <c r="X788" i="2"/>
  <c r="X855" i="2"/>
  <c r="X928" i="2"/>
  <c r="X1012" i="2"/>
  <c r="X1114" i="2"/>
  <c r="X333" i="2"/>
  <c r="X368" i="2"/>
  <c r="X420" i="2"/>
  <c r="X468" i="2"/>
  <c r="X516" i="2"/>
  <c r="X572" i="2"/>
  <c r="X619" i="2"/>
  <c r="X667" i="2"/>
  <c r="X724" i="2"/>
  <c r="X772" i="2"/>
  <c r="X819" i="2"/>
  <c r="X898" i="2"/>
  <c r="X983" i="2"/>
  <c r="X1068" i="2"/>
  <c r="X17" i="2"/>
  <c r="X44" i="2"/>
  <c r="X71" i="2"/>
  <c r="X103" i="2"/>
  <c r="X129" i="2"/>
  <c r="X156" i="2"/>
  <c r="X188" i="2"/>
  <c r="X215" i="2"/>
  <c r="X241" i="2"/>
  <c r="X273" i="2"/>
  <c r="X311" i="2"/>
  <c r="X369" i="2"/>
  <c r="X449" i="2"/>
  <c r="X513" i="2"/>
  <c r="X592" i="2"/>
  <c r="X677" i="2"/>
  <c r="X741" i="2"/>
  <c r="X823" i="2"/>
  <c r="X951" i="2"/>
  <c r="X1066" i="2"/>
  <c r="X26" i="2"/>
  <c r="X74" i="2"/>
  <c r="X110" i="2"/>
  <c r="X154" i="2"/>
  <c r="X202" i="2"/>
  <c r="X238" i="2"/>
  <c r="X282" i="2"/>
  <c r="X330" i="2"/>
  <c r="X366" i="2"/>
  <c r="X419" i="2"/>
  <c r="X483" i="2"/>
  <c r="X531" i="2"/>
  <c r="X589" i="2"/>
  <c r="X669" i="2"/>
  <c r="X828" i="2"/>
  <c r="X422" i="2"/>
  <c r="X614" i="2"/>
  <c r="X758" i="2"/>
  <c r="X1003" i="2"/>
  <c r="X942" i="2"/>
  <c r="X893" i="2"/>
  <c r="X1069" i="2"/>
  <c r="X645" i="2"/>
  <c r="X683" i="2"/>
  <c r="X721" i="2"/>
  <c r="X759" i="2"/>
  <c r="X796" i="2"/>
  <c r="X844" i="2"/>
  <c r="X895" i="2"/>
  <c r="X962" i="2"/>
  <c r="X1030" i="2"/>
  <c r="X1098" i="2"/>
  <c r="X319" i="2"/>
  <c r="X347" i="2"/>
  <c r="X376" i="2"/>
  <c r="X411" i="2"/>
  <c r="X448" i="2"/>
  <c r="X487" i="2"/>
  <c r="X524" i="2"/>
  <c r="X561" i="2"/>
  <c r="X601" i="2"/>
  <c r="X639" i="2"/>
  <c r="X676" i="2"/>
  <c r="X715" i="2"/>
  <c r="X752" i="2"/>
  <c r="X789" i="2"/>
  <c r="X834" i="2"/>
  <c r="X883" i="2"/>
  <c r="X948" i="2"/>
  <c r="X1019" i="2"/>
  <c r="X1084" i="2"/>
  <c r="X12" i="2"/>
  <c r="X33" i="2"/>
  <c r="X55" i="2"/>
  <c r="X76" i="2"/>
  <c r="X97" i="2"/>
  <c r="X119" i="2"/>
  <c r="X140" i="2"/>
  <c r="X161" i="2"/>
  <c r="X183" i="2"/>
  <c r="X204" i="2"/>
  <c r="X225" i="2"/>
  <c r="X247" i="2"/>
  <c r="X268" i="2"/>
  <c r="X289" i="2"/>
  <c r="X332" i="2"/>
  <c r="X375" i="2"/>
  <c r="X428" i="2"/>
  <c r="X485" i="2"/>
  <c r="X543" i="2"/>
  <c r="X599" i="2"/>
  <c r="X656" i="2"/>
  <c r="X713" i="2"/>
  <c r="X769" i="2"/>
  <c r="X832" i="2"/>
  <c r="X914" i="2"/>
  <c r="X1014" i="2"/>
  <c r="X1115" i="2"/>
  <c r="X30" i="2"/>
  <c r="X62" i="2"/>
  <c r="X94" i="2"/>
  <c r="X126" i="2"/>
  <c r="X158" i="2"/>
  <c r="X190" i="2"/>
  <c r="X222" i="2"/>
  <c r="X254" i="2"/>
  <c r="X286" i="2"/>
  <c r="X318" i="2"/>
  <c r="X350" i="2"/>
  <c r="X382" i="2"/>
  <c r="X424" i="2"/>
  <c r="X467" i="2"/>
  <c r="X509" i="2"/>
  <c r="X552" i="2"/>
  <c r="X595" i="2"/>
  <c r="X643" i="2"/>
  <c r="X739" i="2"/>
  <c r="X959" i="2"/>
  <c r="X438" i="2"/>
  <c r="X566" i="2"/>
  <c r="X694" i="2"/>
  <c r="X826" i="2"/>
  <c r="X1031" i="2"/>
  <c r="X881" i="2"/>
  <c r="X1048" i="2"/>
  <c r="X957" i="2"/>
  <c r="X1085" i="2"/>
  <c r="X295" i="2"/>
  <c r="X316" i="2"/>
  <c r="X337" i="2"/>
  <c r="X359" i="2"/>
  <c r="X380" i="2"/>
  <c r="X407" i="2"/>
  <c r="X436" i="2"/>
  <c r="X464" i="2"/>
  <c r="X492" i="2"/>
  <c r="X521" i="2"/>
  <c r="X549" i="2"/>
  <c r="X577" i="2"/>
  <c r="X607" i="2"/>
  <c r="X635" i="2"/>
  <c r="X663" i="2"/>
  <c r="X692" i="2"/>
  <c r="X720" i="2"/>
  <c r="X748" i="2"/>
  <c r="X777" i="2"/>
  <c r="X805" i="2"/>
  <c r="X840" i="2"/>
  <c r="X880" i="2"/>
  <c r="X927" i="2"/>
  <c r="X976" i="2"/>
  <c r="X1028" i="2"/>
  <c r="X1078" i="2"/>
  <c r="X1127" i="2"/>
  <c r="X18" i="2"/>
  <c r="X34" i="2"/>
  <c r="X50" i="2"/>
  <c r="X66" i="2"/>
  <c r="X82" i="2"/>
  <c r="X98" i="2"/>
  <c r="X114" i="2"/>
  <c r="X130" i="2"/>
  <c r="X146" i="2"/>
  <c r="X162" i="2"/>
  <c r="X178" i="2"/>
  <c r="X194" i="2"/>
  <c r="X210" i="2"/>
  <c r="X226" i="2"/>
  <c r="X242" i="2"/>
  <c r="X258" i="2"/>
  <c r="X274" i="2"/>
  <c r="X290" i="2"/>
  <c r="X306" i="2"/>
  <c r="X322" i="2"/>
  <c r="X338" i="2"/>
  <c r="X354" i="2"/>
  <c r="X370" i="2"/>
  <c r="X387" i="2"/>
  <c r="X408" i="2"/>
  <c r="X429" i="2"/>
  <c r="X451" i="2"/>
  <c r="X472" i="2"/>
  <c r="X493" i="2"/>
  <c r="X515" i="2"/>
  <c r="X536" i="2"/>
  <c r="X557" i="2"/>
  <c r="X579" i="2"/>
  <c r="X600" i="2"/>
  <c r="X621" i="2"/>
  <c r="X648" i="2"/>
  <c r="X691" i="2"/>
  <c r="X760" i="2"/>
  <c r="X856" i="2"/>
  <c r="X998" i="2"/>
  <c r="X390" i="2"/>
  <c r="X454" i="2"/>
  <c r="X518" i="2"/>
  <c r="X582" i="2"/>
  <c r="X646" i="2"/>
  <c r="X710" i="2"/>
  <c r="X774" i="2"/>
  <c r="X847" i="2"/>
  <c r="X946" i="2"/>
  <c r="X1060" i="2"/>
  <c r="X833" i="2"/>
  <c r="X899" i="2"/>
  <c r="X984" i="2"/>
  <c r="X1070" i="2"/>
  <c r="X909" i="2"/>
  <c r="X973" i="2"/>
  <c r="X1037" i="2"/>
  <c r="X1101" i="2"/>
  <c r="X300" i="2"/>
  <c r="X321" i="2"/>
  <c r="X343" i="2"/>
  <c r="X364" i="2"/>
  <c r="X385" i="2"/>
  <c r="X415" i="2"/>
  <c r="X443" i="2"/>
  <c r="X471" i="2"/>
  <c r="X500" i="2"/>
  <c r="X528" i="2"/>
  <c r="X556" i="2"/>
  <c r="X585" i="2"/>
  <c r="X613" i="2"/>
  <c r="X641" i="2"/>
  <c r="X671" i="2"/>
  <c r="X699" i="2"/>
  <c r="X727" i="2"/>
  <c r="X756" i="2"/>
  <c r="X784" i="2"/>
  <c r="X812" i="2"/>
  <c r="X851" i="2"/>
  <c r="X888" i="2"/>
  <c r="X938" i="2"/>
  <c r="X991" i="2"/>
  <c r="X1040" i="2"/>
  <c r="X1090" i="2"/>
  <c r="X6" i="2"/>
  <c r="X22" i="2"/>
  <c r="X38" i="2"/>
  <c r="X54" i="2"/>
  <c r="X70" i="2"/>
  <c r="X86" i="2"/>
  <c r="X102" i="2"/>
  <c r="X118" i="2"/>
  <c r="X134" i="2"/>
  <c r="X150" i="2"/>
  <c r="X166" i="2"/>
  <c r="X182" i="2"/>
  <c r="X198" i="2"/>
  <c r="X214" i="2"/>
  <c r="X230" i="2"/>
  <c r="X246" i="2"/>
  <c r="X262" i="2"/>
  <c r="X278" i="2"/>
  <c r="X294" i="2"/>
  <c r="X310" i="2"/>
  <c r="X326" i="2"/>
  <c r="X342" i="2"/>
  <c r="X358" i="2"/>
  <c r="X374" i="2"/>
  <c r="X392" i="2"/>
  <c r="X413" i="2"/>
  <c r="X435" i="2"/>
  <c r="X456" i="2"/>
  <c r="X477" i="2"/>
  <c r="X499" i="2"/>
  <c r="X520" i="2"/>
  <c r="X541" i="2"/>
  <c r="X563" i="2"/>
  <c r="X584" i="2"/>
  <c r="X605" i="2"/>
  <c r="X627" i="2"/>
  <c r="X653" i="2"/>
  <c r="X696" i="2"/>
  <c r="X781" i="2"/>
  <c r="X886" i="2"/>
  <c r="X1035" i="2"/>
  <c r="X406" i="2"/>
  <c r="X470" i="2"/>
  <c r="X534" i="2"/>
  <c r="X598" i="2"/>
  <c r="X662" i="2"/>
  <c r="X726" i="2"/>
  <c r="X790" i="2"/>
  <c r="X868" i="2"/>
  <c r="X975" i="2"/>
  <c r="X1088" i="2"/>
  <c r="X849" i="2"/>
  <c r="X920" i="2"/>
  <c r="X1006" i="2"/>
  <c r="X1091" i="2"/>
  <c r="X925" i="2"/>
  <c r="X989" i="2"/>
  <c r="X1053" i="2"/>
  <c r="X1117" i="2"/>
  <c r="X637" i="2"/>
  <c r="X659" i="2"/>
  <c r="X680" i="2"/>
  <c r="X701" i="2"/>
  <c r="X723" i="2"/>
  <c r="X744" i="2"/>
  <c r="X765" i="2"/>
  <c r="X787" i="2"/>
  <c r="X808" i="2"/>
  <c r="X835" i="2"/>
  <c r="X864" i="2"/>
  <c r="X892" i="2"/>
  <c r="X930" i="2"/>
  <c r="X970" i="2"/>
  <c r="X1007" i="2"/>
  <c r="X1044" i="2"/>
  <c r="X1083" i="2"/>
  <c r="X1120" i="2"/>
  <c r="X394" i="2"/>
  <c r="X410" i="2"/>
  <c r="X426" i="2"/>
  <c r="X442" i="2"/>
  <c r="X458" i="2"/>
  <c r="X474" i="2"/>
  <c r="X490" i="2"/>
  <c r="X506" i="2"/>
  <c r="X522" i="2"/>
  <c r="X538" i="2"/>
  <c r="X554" i="2"/>
  <c r="X570" i="2"/>
  <c r="X586" i="2"/>
  <c r="X602" i="2"/>
  <c r="X618" i="2"/>
  <c r="X634" i="2"/>
  <c r="X650" i="2"/>
  <c r="X666" i="2"/>
  <c r="X682" i="2"/>
  <c r="X698" i="2"/>
  <c r="X714" i="2"/>
  <c r="X730" i="2"/>
  <c r="X746" i="2"/>
  <c r="X762" i="2"/>
  <c r="X778" i="2"/>
  <c r="X794" i="2"/>
  <c r="X810" i="2"/>
  <c r="X831" i="2"/>
  <c r="X852" i="2"/>
  <c r="X874" i="2"/>
  <c r="X896" i="2"/>
  <c r="X924" i="2"/>
  <c r="X954" i="2"/>
  <c r="X982" i="2"/>
  <c r="X1010" i="2"/>
  <c r="X1039" i="2"/>
  <c r="X1067" i="2"/>
  <c r="X1095" i="2"/>
  <c r="X1124" i="2"/>
  <c r="X821" i="2"/>
  <c r="X837" i="2"/>
  <c r="X853" i="2"/>
  <c r="X869" i="2"/>
  <c r="X885" i="2"/>
  <c r="X904" i="2"/>
  <c r="X926" i="2"/>
  <c r="X947" i="2"/>
  <c r="X968" i="2"/>
  <c r="X990" i="2"/>
  <c r="X1011" i="2"/>
  <c r="X1032" i="2"/>
  <c r="X1054" i="2"/>
  <c r="X1075" i="2"/>
  <c r="X1096" i="2"/>
  <c r="X1118" i="2"/>
  <c r="X897" i="2"/>
  <c r="X913" i="2"/>
  <c r="X929" i="2"/>
  <c r="X945" i="2"/>
  <c r="X961" i="2"/>
  <c r="X977" i="2"/>
  <c r="X993" i="2"/>
  <c r="X1009" i="2"/>
  <c r="X1025" i="2"/>
  <c r="X1041" i="2"/>
  <c r="X1057" i="2"/>
  <c r="X1073" i="2"/>
  <c r="X1089" i="2"/>
  <c r="X1105" i="2"/>
  <c r="X1121" i="2"/>
  <c r="X664" i="2"/>
  <c r="X685" i="2"/>
  <c r="X707" i="2"/>
  <c r="X728" i="2"/>
  <c r="X749" i="2"/>
  <c r="X771" i="2"/>
  <c r="X792" i="2"/>
  <c r="X814" i="2"/>
  <c r="X843" i="2"/>
  <c r="X871" i="2"/>
  <c r="X902" i="2"/>
  <c r="X940" i="2"/>
  <c r="X978" i="2"/>
  <c r="X1015" i="2"/>
  <c r="X1055" i="2"/>
  <c r="X1092" i="2"/>
  <c r="X1130" i="2"/>
  <c r="X398" i="2"/>
  <c r="X414" i="2"/>
  <c r="X430" i="2"/>
  <c r="X446" i="2"/>
  <c r="X462" i="2"/>
  <c r="X478" i="2"/>
  <c r="X494" i="2"/>
  <c r="X510" i="2"/>
  <c r="X526" i="2"/>
  <c r="X542" i="2"/>
  <c r="X558" i="2"/>
  <c r="X574" i="2"/>
  <c r="X590" i="2"/>
  <c r="X606" i="2"/>
  <c r="X622" i="2"/>
  <c r="X638" i="2"/>
  <c r="X654" i="2"/>
  <c r="X670" i="2"/>
  <c r="X686" i="2"/>
  <c r="X702" i="2"/>
  <c r="X718" i="2"/>
  <c r="X734" i="2"/>
  <c r="X750" i="2"/>
  <c r="X766" i="2"/>
  <c r="X782" i="2"/>
  <c r="X798" i="2"/>
  <c r="X815" i="2"/>
  <c r="X836" i="2"/>
  <c r="X858" i="2"/>
  <c r="X879" i="2"/>
  <c r="X903" i="2"/>
  <c r="X932" i="2"/>
  <c r="X960" i="2"/>
  <c r="X988" i="2"/>
  <c r="X1018" i="2"/>
  <c r="X1046" i="2"/>
  <c r="X1074" i="2"/>
  <c r="X1103" i="2"/>
  <c r="X1131" i="2"/>
  <c r="X825" i="2"/>
  <c r="X841" i="2"/>
  <c r="X857" i="2"/>
  <c r="X873" i="2"/>
  <c r="X889" i="2"/>
  <c r="X910" i="2"/>
  <c r="X931" i="2"/>
  <c r="X952" i="2"/>
  <c r="X974" i="2"/>
  <c r="X995" i="2"/>
  <c r="X1016" i="2"/>
  <c r="X1038" i="2"/>
  <c r="X1059" i="2"/>
  <c r="X1080" i="2"/>
  <c r="X1102" i="2"/>
  <c r="X1123" i="2"/>
  <c r="X901" i="2"/>
  <c r="X917" i="2"/>
  <c r="X933" i="2"/>
  <c r="X949" i="2"/>
  <c r="X965" i="2"/>
  <c r="X981" i="2"/>
  <c r="X997" i="2"/>
  <c r="X1013" i="2"/>
  <c r="X1029" i="2"/>
  <c r="X1045" i="2"/>
  <c r="X1061" i="2"/>
  <c r="X1077" i="2"/>
  <c r="X1093" i="2"/>
  <c r="X1109" i="2"/>
  <c r="X1125" i="2"/>
  <c r="X712" i="2"/>
  <c r="X733" i="2"/>
  <c r="X755" i="2"/>
  <c r="X776" i="2"/>
  <c r="X797" i="2"/>
  <c r="X822" i="2"/>
  <c r="X850" i="2"/>
  <c r="X878" i="2"/>
  <c r="X912" i="2"/>
  <c r="X950" i="2"/>
  <c r="X987" i="2"/>
  <c r="X1026" i="2"/>
  <c r="X1063" i="2"/>
  <c r="X1100" i="2"/>
  <c r="X386" i="2"/>
  <c r="X402" i="2"/>
  <c r="X418" i="2"/>
  <c r="X434" i="2"/>
  <c r="X450" i="2"/>
  <c r="X466" i="2"/>
  <c r="X482" i="2"/>
  <c r="X498" i="2"/>
  <c r="X514" i="2"/>
  <c r="X530" i="2"/>
  <c r="X546" i="2"/>
  <c r="X562" i="2"/>
  <c r="X578" i="2"/>
  <c r="X594" i="2"/>
  <c r="X610" i="2"/>
  <c r="X626" i="2"/>
  <c r="X642" i="2"/>
  <c r="X658" i="2"/>
  <c r="X674" i="2"/>
  <c r="X690" i="2"/>
  <c r="X706" i="2"/>
  <c r="X722" i="2"/>
  <c r="X738" i="2"/>
  <c r="X754" i="2"/>
  <c r="X770" i="2"/>
  <c r="X786" i="2"/>
  <c r="X802" i="2"/>
  <c r="X820" i="2"/>
  <c r="X842" i="2"/>
  <c r="X863" i="2"/>
  <c r="X884" i="2"/>
  <c r="X911" i="2"/>
  <c r="X939" i="2"/>
  <c r="X967" i="2"/>
  <c r="X996" i="2"/>
  <c r="X1024" i="2"/>
  <c r="X1052" i="2"/>
  <c r="X1082" i="2"/>
  <c r="X1110" i="2"/>
  <c r="X813" i="2"/>
  <c r="X829" i="2"/>
  <c r="X845" i="2"/>
  <c r="X861" i="2"/>
  <c r="X877" i="2"/>
  <c r="X894" i="2"/>
  <c r="X915" i="2"/>
  <c r="X936" i="2"/>
  <c r="X958" i="2"/>
  <c r="X979" i="2"/>
  <c r="X1000" i="2"/>
  <c r="X1022" i="2"/>
  <c r="X1043" i="2"/>
  <c r="X1064" i="2"/>
  <c r="X1086" i="2"/>
  <c r="X1107" i="2"/>
  <c r="X1128" i="2"/>
  <c r="X905" i="2"/>
  <c r="X921" i="2"/>
  <c r="X937" i="2"/>
  <c r="X953" i="2"/>
  <c r="X969" i="2"/>
  <c r="X985" i="2"/>
  <c r="X1001" i="2"/>
  <c r="X1017" i="2"/>
  <c r="X1033" i="2"/>
  <c r="X1049" i="2"/>
  <c r="X1065" i="2"/>
  <c r="X1081" i="2"/>
  <c r="X1097" i="2"/>
  <c r="X1113" i="2"/>
  <c r="L14" i="2"/>
  <c r="L13" i="2"/>
  <c r="D14" i="2"/>
  <c r="F21" i="2"/>
  <c r="D22" i="2"/>
  <c r="F15" i="2"/>
  <c r="C24" i="2"/>
  <c r="O14" i="2"/>
  <c r="F13" i="2"/>
  <c r="F14" i="2"/>
  <c r="L16" i="2"/>
  <c r="F24" i="2"/>
  <c r="C16" i="2"/>
  <c r="F23" i="2"/>
  <c r="O13" i="2"/>
  <c r="O15" i="2"/>
  <c r="C21" i="2"/>
  <c r="D15" i="2"/>
  <c r="D13" i="2"/>
  <c r="M16" i="2"/>
  <c r="F16" i="2"/>
  <c r="D23" i="2"/>
  <c r="O16" i="2"/>
  <c r="D24" i="2"/>
  <c r="M13" i="2"/>
  <c r="D21" i="2"/>
  <c r="F22" i="2"/>
  <c r="C14" i="2"/>
  <c r="M15" i="2"/>
  <c r="C22" i="2"/>
  <c r="C13" i="2"/>
  <c r="M14" i="2"/>
  <c r="L15" i="2"/>
  <c r="D16" i="2"/>
</calcChain>
</file>

<file path=xl/sharedStrings.xml><?xml version="1.0" encoding="utf-8"?>
<sst xmlns="http://schemas.openxmlformats.org/spreadsheetml/2006/main" count="319" uniqueCount="178">
  <si>
    <t>College Fee (Tuition Fee)</t>
  </si>
  <si>
    <t>University Fee (Exam Fee)</t>
  </si>
  <si>
    <t>Branch</t>
  </si>
  <si>
    <t>Total Due</t>
  </si>
  <si>
    <t>Paid</t>
  </si>
  <si>
    <t>Cheque Received</t>
  </si>
  <si>
    <t>Scholarship</t>
  </si>
  <si>
    <t>Pending</t>
  </si>
  <si>
    <t>Freeship Card OutStanding</t>
  </si>
  <si>
    <t>Actual Pending Tuition Fee</t>
  </si>
  <si>
    <t>DCE</t>
  </si>
  <si>
    <t>DCV</t>
  </si>
  <si>
    <t>DEE</t>
  </si>
  <si>
    <t>23SDSCE01002</t>
  </si>
  <si>
    <t>DME</t>
  </si>
  <si>
    <t>23SDSCE01003</t>
  </si>
  <si>
    <t>Grand Total</t>
  </si>
  <si>
    <t>23SDSCE01005</t>
  </si>
  <si>
    <t>23SDSCE01006</t>
  </si>
  <si>
    <t>23SDSCE01007</t>
  </si>
  <si>
    <t>23SDSCE01008</t>
  </si>
  <si>
    <t>SEMESTER - 2</t>
  </si>
  <si>
    <t>SEMESTER - 4</t>
  </si>
  <si>
    <t>23SDSCE01009</t>
  </si>
  <si>
    <t>Freeship Card</t>
  </si>
  <si>
    <t>Full Fees Paid</t>
  </si>
  <si>
    <t>Partial Fees Paid</t>
  </si>
  <si>
    <t>Check in Clearence</t>
  </si>
  <si>
    <t>Full Due Pending</t>
  </si>
  <si>
    <t>TFW</t>
  </si>
  <si>
    <t>MYSY</t>
  </si>
  <si>
    <t>Total Students</t>
  </si>
  <si>
    <t>23SDSCE01010</t>
  </si>
  <si>
    <t>23SDSCE01011</t>
  </si>
  <si>
    <t>23SDSCE01012</t>
  </si>
  <si>
    <t>23SDSCE01013</t>
  </si>
  <si>
    <t>23SDSCE01014</t>
  </si>
  <si>
    <t>23SDSCE01015</t>
  </si>
  <si>
    <t>23SDSCE01016</t>
  </si>
  <si>
    <t>SEMESTER - 6</t>
  </si>
  <si>
    <t>23SDSCE01017</t>
  </si>
  <si>
    <t>23SDSCE01018</t>
  </si>
  <si>
    <t>23SDSCE01019</t>
  </si>
  <si>
    <t>23SDSCE01020</t>
  </si>
  <si>
    <t>23SDSCE01021</t>
  </si>
  <si>
    <t>23SDSCE01022</t>
  </si>
  <si>
    <t>23SDSCE01023</t>
  </si>
  <si>
    <t>23SDSCE01024</t>
  </si>
  <si>
    <t>23SDSCE01025</t>
  </si>
  <si>
    <t>23SDSCE01026</t>
  </si>
  <si>
    <t>23SDSCE01027</t>
  </si>
  <si>
    <t>23SDSCE01028</t>
  </si>
  <si>
    <t>23SDSCE01029</t>
  </si>
  <si>
    <t>23SDSCE01030</t>
  </si>
  <si>
    <t>23SDSCE01031</t>
  </si>
  <si>
    <t>23SDSCE01032</t>
  </si>
  <si>
    <t>23SDSCE01033</t>
  </si>
  <si>
    <t>23SDSCE01034</t>
  </si>
  <si>
    <t>23SDSCE01035</t>
  </si>
  <si>
    <t>23SDSCE01036</t>
  </si>
  <si>
    <t>23SDSCE01037</t>
  </si>
  <si>
    <t>23SDSCE01038</t>
  </si>
  <si>
    <t>23SDSCE01039</t>
  </si>
  <si>
    <t>23SDSCE01040</t>
  </si>
  <si>
    <t>23SDSCE01041</t>
  </si>
  <si>
    <t>23SDSCE01153</t>
  </si>
  <si>
    <t>23SDSCE01154</t>
  </si>
  <si>
    <t>23SDSCE01155</t>
  </si>
  <si>
    <t>23SDSCE01156</t>
  </si>
  <si>
    <t>23SDSCE01157</t>
  </si>
  <si>
    <t>23SDSCE01158</t>
  </si>
  <si>
    <t>23SDSCE01159</t>
  </si>
  <si>
    <t>23SDSCE01160</t>
  </si>
  <si>
    <t>23SDSCE01161</t>
  </si>
  <si>
    <t>23SDSCE01162</t>
  </si>
  <si>
    <t>23SDSCE01163</t>
  </si>
  <si>
    <t>23SDSCE01164</t>
  </si>
  <si>
    <t>23SDSCE01165</t>
  </si>
  <si>
    <t>23SDSCE01166</t>
  </si>
  <si>
    <t>23SDSCE01167</t>
  </si>
  <si>
    <t>23SDSCE01168</t>
  </si>
  <si>
    <t>23SDSCE01170</t>
  </si>
  <si>
    <t>23SDSCE01171</t>
  </si>
  <si>
    <t>23SDSCE01172</t>
  </si>
  <si>
    <t>23SDSCE01173</t>
  </si>
  <si>
    <t>23SDSCE01174</t>
  </si>
  <si>
    <t>23SDSCE01244</t>
  </si>
  <si>
    <t>23SDSCE01601</t>
  </si>
  <si>
    <t>23SDSCE01143</t>
  </si>
  <si>
    <t>23SDSCE01602</t>
  </si>
  <si>
    <t>23SDSCE01603</t>
  </si>
  <si>
    <t>23SDSCE01604</t>
  </si>
  <si>
    <t>23SDSCE01605</t>
  </si>
  <si>
    <t>23SDSCE01606</t>
  </si>
  <si>
    <t/>
  </si>
  <si>
    <t>Name</t>
  </si>
  <si>
    <t>Course</t>
  </si>
  <si>
    <t>Country</t>
  </si>
  <si>
    <t>TOTAL FEES PAYABLE (9+10+11+12) 1st year</t>
  </si>
  <si>
    <t>Total Fees Paid</t>
  </si>
  <si>
    <t>Status</t>
  </si>
  <si>
    <t>Currency</t>
  </si>
  <si>
    <t>23SDSCE01001</t>
  </si>
  <si>
    <t>ADHIYA KESHVI AJAYBHAI</t>
  </si>
  <si>
    <t>ANTALA PRIYAL JAYANTIBHAI</t>
  </si>
  <si>
    <t>BHATTI FARDIN RAFIQBHAI</t>
  </si>
  <si>
    <t>BHESANIYA VED DHARMESHBHAI</t>
  </si>
  <si>
    <t>BHUVA MILAN BHARAT</t>
  </si>
  <si>
    <t>BHUVA PRINCE MANSUKHBHAI</t>
  </si>
  <si>
    <t>CHAVDA ABHISHEK MAHESHBHAI</t>
  </si>
  <si>
    <t>CHHATBAR TISHA MANISH</t>
  </si>
  <si>
    <t>CHOTHANI MEET RAMESHBHAI</t>
  </si>
  <si>
    <t>DANGARIYA RAJ KHIMJIBHAI</t>
  </si>
  <si>
    <t>DAVDA ARYAN JAGDISHBHAI</t>
  </si>
  <si>
    <t>DESAI SHUBHAM BHARATBHAI</t>
  </si>
  <si>
    <t>DUDAKIYA PARAM RAJESHBHAI</t>
  </si>
  <si>
    <t>DUDAKIYA PUJEN ANKITBHAI</t>
  </si>
  <si>
    <t>GONDALIYA VYOM VISHNUDAS</t>
  </si>
  <si>
    <t>HARASODA SAKSHI SHAILESHBHAI</t>
  </si>
  <si>
    <t>JADAV MAYUR GOVINDBHAI</t>
  </si>
  <si>
    <t>KAKADIYA YUG DINESHBHAI</t>
  </si>
  <si>
    <t>KANJARIYA KIRIT JAYSUKHBHAI</t>
  </si>
  <si>
    <t>KANZARIYA TRUSHA</t>
  </si>
  <si>
    <t>KOTECHA HEET PANISHBHAI</t>
  </si>
  <si>
    <t>LATHIGARA JAINIL AMITBHAI</t>
  </si>
  <si>
    <t>MAKADIYA VED RAJESHBHAI</t>
  </si>
  <si>
    <t>MAKWANA YASH YOGESHBHAI</t>
  </si>
  <si>
    <t>MAVANI MEET PRAKASHBHAI</t>
  </si>
  <si>
    <t>MEHTA VISHVA DUSHYANTBHAI</t>
  </si>
  <si>
    <t>MITESH RAVJI SIYANI</t>
  </si>
  <si>
    <t>NASIT KASHISH UMESHBHAI</t>
  </si>
  <si>
    <t>NIMAVAT ABHISHEK HARESHBHAI</t>
  </si>
  <si>
    <t>PADHARIYA KEVAL MAHESHBHAI</t>
  </si>
  <si>
    <t>PADIYA BHAKTI NAYANBHAI</t>
  </si>
  <si>
    <t>PADIYA BHARGEY JYOTINDRABHAI</t>
  </si>
  <si>
    <t>PARAREHAN MOHMED JAVED</t>
  </si>
  <si>
    <t>PAREKHIYA YASH BIPINBHAI</t>
  </si>
  <si>
    <t>PARMAR HIREN PRAVINBHAI</t>
  </si>
  <si>
    <t>PRACHI THANKI</t>
  </si>
  <si>
    <t>RAIYANI RAJ</t>
  </si>
  <si>
    <t>RANK RUSHIT PRAVINBHAI</t>
  </si>
  <si>
    <t>RATHOD JAYRAJSINH DEEPAKBHAI</t>
  </si>
  <si>
    <t>SARVAIYA NILKUMAR TEJASBHAI</t>
  </si>
  <si>
    <t>SAVALIYA HENISH NIKUNJBHAI</t>
  </si>
  <si>
    <t>SIROYA HET BIPINBHAI</t>
  </si>
  <si>
    <t>SOLANKI HARSHIL VINODBHAI</t>
  </si>
  <si>
    <t>SORATHIYA HETVI VIPULBHAI</t>
  </si>
  <si>
    <t>SORATHIYA NAITRI NIRANJANBHAI</t>
  </si>
  <si>
    <t>TAASHI KOTA</t>
  </si>
  <si>
    <t>TANK YASHVI SHAILESHBHAI</t>
  </si>
  <si>
    <t>THAKAR PREM NILESHBHAI</t>
  </si>
  <si>
    <t>THUMMAR NIKUNJ SHAILESHBHAI</t>
  </si>
  <si>
    <t>VADGAMA PAVAN</t>
  </si>
  <si>
    <t>VADODARIYA SHIHANS SHAILESHBHAI</t>
  </si>
  <si>
    <t>VAGHASIYA TAPAN DHARMESHBHAI</t>
  </si>
  <si>
    <t>VEKARIYA NIMESH RAMESH</t>
  </si>
  <si>
    <t>VEKARIYA NISARG RITEN</t>
  </si>
  <si>
    <t>HAPALIYA ARYAN RAMESHBHAI</t>
  </si>
  <si>
    <t>UKANI HEET JIGNESHKUMAR</t>
  </si>
  <si>
    <t>VAISHNANI SHRUTI BHARATBHAI</t>
  </si>
  <si>
    <t>ZIYAN SHERASIYA</t>
  </si>
  <si>
    <t>AGHERA KRISH RAJESHBHAI</t>
  </si>
  <si>
    <t>MADLANI KALASH BHARATBHAI</t>
  </si>
  <si>
    <t>DHYANI PARESHBHAI THUMMAR</t>
  </si>
  <si>
    <t>MOHAMMAD SIDDIQUI ARIFBHAI</t>
  </si>
  <si>
    <t>GIFT REUBEN BONIFACE</t>
  </si>
  <si>
    <t>NANERA PUNITKKUMAR SAMATBHAI</t>
  </si>
  <si>
    <t>ROHIT MEHTA</t>
  </si>
  <si>
    <t>SANTOSH KUMAR YADAV</t>
  </si>
  <si>
    <t>AKLESH BHUJ</t>
  </si>
  <si>
    <t>DIPENDRA MAHATO</t>
  </si>
  <si>
    <t>AUNISH RAJ KUMAR TIWARI</t>
  </si>
  <si>
    <t>JAYRAJSINH DEEPAKBHAI RATHOD</t>
  </si>
  <si>
    <t>SARVAIYA NILKUMAR TEJASHBHAI</t>
  </si>
  <si>
    <t>THUMAR DHYANI PARESHBHAI</t>
  </si>
  <si>
    <t>JAINIL AMITBHAI LATHIGARA</t>
  </si>
  <si>
    <t>PARA REHAN MOHMED JAVED</t>
  </si>
  <si>
    <t>SIDDIQUI MOHAMMAD ARIFBHAI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</si>
</sst>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m/d/yyyy\ h:mm:ss"/>
    <numFmt numFmtId="165" formatCode="#,##0&quot;$&quot;"/>
  </numFmts>
  <fonts count="25">
    <font>
      <sz val="10"/>
      <color rgb="FF000000"/>
      <name val="Arial"/>
      <scheme val="minor"/>
    </font>
    <font>
      <b/>
      <sz val="11"/>
      <color rgb="FF000000"/>
      <name val="Inconsolata"/>
    </font>
    <font>
      <b/>
      <sz val="11"/>
      <color rgb="FF000000"/>
      <name val="Calibri"/>
    </font>
    <font>
      <b/>
      <sz val="11"/>
      <color theme="1"/>
      <name val="Calibri"/>
    </font>
    <font>
      <sz val="10"/>
      <name val="Arial"/>
    </font>
    <font>
      <b/>
      <sz val="10"/>
      <color theme="1"/>
      <name val="Arial"/>
    </font>
    <font>
      <b/>
      <sz val="9"/>
      <color theme="1"/>
      <name val="Arial"/>
    </font>
    <font>
      <b/>
      <sz val="9"/>
      <color theme="1"/>
      <name val="Calibri"/>
    </font>
    <font>
      <sz val="11"/>
      <color theme="1"/>
      <name val="Calibri"/>
    </font>
    <font>
      <sz val="10"/>
      <color theme="1"/>
      <name val="Arial"/>
    </font>
    <font>
      <sz val="9"/>
      <color theme="1"/>
      <name val="Arial"/>
    </font>
    <font>
      <b/>
      <sz val="11"/>
      <color rgb="FF000000"/>
      <name val="Docs-Calibri"/>
    </font>
    <font>
      <b/>
      <sz val="10"/>
      <color rgb="FFFF0000"/>
      <name val="Arial"/>
    </font>
    <font>
      <sz val="10"/>
      <color theme="1"/>
      <name val="Arial"/>
      <scheme val="minor"/>
    </font>
    <font>
      <b/>
      <sz val="10"/>
      <color rgb="FFFFFFFF"/>
      <name val="Arial"/>
    </font>
    <font>
      <b/>
      <sz val="10"/>
      <color theme="1"/>
      <name val="Arial"/>
      <scheme val="minor"/>
    </font>
    <font>
      <u/>
      <sz val="10"/>
      <color rgb="FF0000FF"/>
      <name val="Arial"/>
    </font>
    <font>
      <sz val="11"/>
      <color rgb="FF000000"/>
      <name val="Calibri"/>
      <family val="2"/>
    </font>
    <font>
      <sz val="11"/>
      <color rgb="FFFF9900"/>
      <name val="Calibri"/>
      <family val="2"/>
    </font>
    <font>
      <sz val="10"/>
      <color rgb="FF000000"/>
      <name val="Arial"/>
      <family val="2"/>
      <scheme val="minor"/>
    </font>
    <font>
      <b/>
      <sz val="11"/>
      <color rgb="FFFF0000"/>
      <name val="Calibri"/>
      <family val="2"/>
    </font>
    <font>
      <sz val="11"/>
      <color rgb="FFFF0000"/>
      <name val="Calibri"/>
      <family val="2"/>
    </font>
    <font>
      <sz val="10"/>
      <color rgb="FFFF0000"/>
      <name val="Arial"/>
      <family val="2"/>
    </font>
    <font>
      <sz val="9"/>
      <color rgb="FFFF0000"/>
      <name val="Arial"/>
      <family val="2"/>
    </font>
    <font>
      <sz val="10"/>
      <color rgb="FFFF0000"/>
      <name val="Arial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F2CC"/>
        <bgColor rgb="FFFFF2CC"/>
      </patternFill>
    </fill>
    <fill>
      <patternFill patternType="solid">
        <fgColor rgb="FFD9D9D9"/>
        <bgColor rgb="FFD9D9D9"/>
      </patternFill>
    </fill>
    <fill>
      <patternFill patternType="solid">
        <fgColor rgb="FFFF0000"/>
        <bgColor rgb="FFFF0000"/>
      </patternFill>
    </fill>
    <fill>
      <patternFill patternType="solid">
        <fgColor rgb="FFD9D2E9"/>
        <bgColor rgb="FFD9D2E9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FF00"/>
        <bgColor rgb="FFFFFFFF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/>
      <right/>
      <top style="thin">
        <color rgb="FF999999"/>
      </top>
      <bottom/>
      <diagonal/>
    </border>
    <border>
      <left/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  <border>
      <left/>
      <right style="thin">
        <color rgb="FF999999"/>
      </right>
      <top/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/>
      <right/>
      <top style="thin">
        <color rgb="FF999999"/>
      </top>
      <bottom style="thin">
        <color rgb="FF999999"/>
      </bottom>
      <diagonal/>
    </border>
    <border>
      <left/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36">
    <xf numFmtId="0" fontId="0" fillId="0" borderId="0" xfId="0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vertical="center" wrapText="1"/>
    </xf>
    <xf numFmtId="0" fontId="5" fillId="2" borderId="0" xfId="0" applyFont="1" applyFill="1" applyAlignment="1">
      <alignment vertical="top"/>
    </xf>
    <xf numFmtId="0" fontId="2" fillId="2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/>
    </xf>
    <xf numFmtId="1" fontId="5" fillId="2" borderId="4" xfId="0" applyNumberFormat="1" applyFont="1" applyFill="1" applyBorder="1" applyAlignment="1">
      <alignment horizontal="center" vertical="center" wrapText="1"/>
    </xf>
    <xf numFmtId="1" fontId="5" fillId="2" borderId="4" xfId="0" applyNumberFormat="1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left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vertical="center" wrapText="1"/>
    </xf>
    <xf numFmtId="1" fontId="7" fillId="2" borderId="4" xfId="0" applyNumberFormat="1" applyFont="1" applyFill="1" applyBorder="1" applyAlignment="1">
      <alignment horizontal="center" vertical="center" wrapText="1"/>
    </xf>
    <xf numFmtId="0" fontId="7" fillId="2" borderId="0" xfId="0" applyFont="1" applyFill="1" applyAlignment="1">
      <alignment vertical="center" wrapText="1"/>
    </xf>
    <xf numFmtId="0" fontId="3" fillId="2" borderId="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vertical="center"/>
    </xf>
    <xf numFmtId="0" fontId="3" fillId="2" borderId="4" xfId="0" applyFont="1" applyFill="1" applyBorder="1" applyAlignment="1">
      <alignment horizontal="center" vertical="center" wrapText="1"/>
    </xf>
    <xf numFmtId="1" fontId="2" fillId="2" borderId="4" xfId="0" applyNumberFormat="1" applyFont="1" applyFill="1" applyBorder="1" applyAlignment="1">
      <alignment horizontal="center" vertical="center"/>
    </xf>
    <xf numFmtId="1" fontId="8" fillId="2" borderId="4" xfId="0" applyNumberFormat="1" applyFont="1" applyFill="1" applyBorder="1" applyAlignment="1">
      <alignment horizontal="center" vertical="center" wrapText="1"/>
    </xf>
    <xf numFmtId="1" fontId="9" fillId="2" borderId="4" xfId="0" applyNumberFormat="1" applyFont="1" applyFill="1" applyBorder="1" applyAlignment="1">
      <alignment horizontal="center" vertical="center"/>
    </xf>
    <xf numFmtId="1" fontId="9" fillId="2" borderId="4" xfId="0" applyNumberFormat="1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vertical="center" wrapText="1"/>
    </xf>
    <xf numFmtId="0" fontId="9" fillId="2" borderId="0" xfId="0" applyFont="1" applyFill="1" applyAlignment="1">
      <alignment vertical="top"/>
    </xf>
    <xf numFmtId="0" fontId="3" fillId="0" borderId="4" xfId="0" applyFont="1" applyBorder="1" applyAlignment="1">
      <alignment horizontal="center" vertical="center" wrapText="1"/>
    </xf>
    <xf numFmtId="1" fontId="3" fillId="2" borderId="4" xfId="0" applyNumberFormat="1" applyFont="1" applyFill="1" applyBorder="1" applyAlignment="1">
      <alignment horizontal="center" vertical="center" wrapText="1"/>
    </xf>
    <xf numFmtId="1" fontId="2" fillId="2" borderId="4" xfId="0" applyNumberFormat="1" applyFont="1" applyFill="1" applyBorder="1" applyAlignment="1">
      <alignment horizontal="center" vertical="center" wrapText="1"/>
    </xf>
    <xf numFmtId="1" fontId="3" fillId="2" borderId="4" xfId="0" applyNumberFormat="1" applyFont="1" applyFill="1" applyBorder="1" applyAlignment="1">
      <alignment horizontal="center" vertical="center"/>
    </xf>
    <xf numFmtId="1" fontId="3" fillId="2" borderId="4" xfId="0" applyNumberFormat="1" applyFont="1" applyFill="1" applyBorder="1" applyAlignment="1">
      <alignment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0" fontId="2" fillId="0" borderId="4" xfId="0" applyFont="1" applyBorder="1" applyAlignment="1">
      <alignment horizontal="right" vertical="center"/>
    </xf>
    <xf numFmtId="1" fontId="2" fillId="0" borderId="4" xfId="0" applyNumberFormat="1" applyFont="1" applyBorder="1" applyAlignment="1">
      <alignment horizontal="center" vertical="center"/>
    </xf>
    <xf numFmtId="0" fontId="2" fillId="2" borderId="4" xfId="0" applyFont="1" applyFill="1" applyBorder="1" applyAlignment="1">
      <alignment vertical="center"/>
    </xf>
    <xf numFmtId="1" fontId="5" fillId="3" borderId="4" xfId="0" applyNumberFormat="1" applyFont="1" applyFill="1" applyBorder="1" applyAlignment="1">
      <alignment horizontal="center" vertical="center" wrapText="1"/>
    </xf>
    <xf numFmtId="0" fontId="11" fillId="2" borderId="4" xfId="0" applyFont="1" applyFill="1" applyBorder="1" applyAlignment="1">
      <alignment vertical="center"/>
    </xf>
    <xf numFmtId="0" fontId="9" fillId="2" borderId="4" xfId="0" applyFont="1" applyFill="1" applyBorder="1" applyAlignment="1">
      <alignment horizontal="center" vertical="center" wrapText="1"/>
    </xf>
    <xf numFmtId="3" fontId="2" fillId="2" borderId="4" xfId="0" applyNumberFormat="1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center"/>
    </xf>
    <xf numFmtId="0" fontId="9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1" fontId="2" fillId="2" borderId="0" xfId="0" applyNumberFormat="1" applyFont="1" applyFill="1" applyAlignment="1">
      <alignment horizontal="center" vertical="center"/>
    </xf>
    <xf numFmtId="1" fontId="9" fillId="2" borderId="0" xfId="0" applyNumberFormat="1" applyFont="1" applyFill="1" applyAlignment="1">
      <alignment horizontal="center" vertical="center"/>
    </xf>
    <xf numFmtId="1" fontId="9" fillId="2" borderId="0" xfId="0" applyNumberFormat="1" applyFont="1" applyFill="1" applyAlignment="1">
      <alignment horizontal="center" vertical="center" wrapText="1"/>
    </xf>
    <xf numFmtId="0" fontId="10" fillId="2" borderId="0" xfId="0" applyFont="1" applyFill="1" applyAlignment="1">
      <alignment vertical="center" wrapText="1"/>
    </xf>
    <xf numFmtId="0" fontId="9" fillId="2" borderId="0" xfId="0" applyFont="1" applyFill="1" applyAlignment="1">
      <alignment horizontal="center" vertical="center" wrapText="1"/>
    </xf>
    <xf numFmtId="0" fontId="13" fillId="0" borderId="0" xfId="0" applyFont="1" applyAlignment="1">
      <alignment vertical="center" wrapText="1"/>
    </xf>
    <xf numFmtId="0" fontId="5" fillId="5" borderId="4" xfId="0" applyFont="1" applyFill="1" applyBorder="1" applyAlignment="1">
      <alignment horizontal="center" wrapText="1"/>
    </xf>
    <xf numFmtId="0" fontId="5" fillId="5" borderId="0" xfId="0" applyFont="1" applyFill="1" applyAlignment="1">
      <alignment horizontal="center" wrapText="1"/>
    </xf>
    <xf numFmtId="0" fontId="9" fillId="0" borderId="4" xfId="0" applyFont="1" applyBorder="1" applyAlignment="1">
      <alignment horizontal="right"/>
    </xf>
    <xf numFmtId="1" fontId="9" fillId="0" borderId="4" xfId="0" applyNumberFormat="1" applyFont="1" applyBorder="1" applyAlignment="1">
      <alignment horizontal="center"/>
    </xf>
    <xf numFmtId="0" fontId="9" fillId="0" borderId="0" xfId="0" applyFont="1"/>
    <xf numFmtId="0" fontId="9" fillId="0" borderId="0" xfId="0" applyFont="1" applyAlignment="1">
      <alignment horizontal="right"/>
    </xf>
    <xf numFmtId="1" fontId="9" fillId="0" borderId="0" xfId="0" applyNumberFormat="1" applyFont="1" applyAlignment="1">
      <alignment horizontal="right"/>
    </xf>
    <xf numFmtId="0" fontId="13" fillId="0" borderId="0" xfId="0" applyFont="1"/>
    <xf numFmtId="0" fontId="9" fillId="4" borderId="0" xfId="0" applyFont="1" applyFill="1"/>
    <xf numFmtId="0" fontId="5" fillId="4" borderId="0" xfId="0" applyFont="1" applyFill="1" applyAlignment="1">
      <alignment horizontal="center" wrapText="1"/>
    </xf>
    <xf numFmtId="0" fontId="9" fillId="7" borderId="0" xfId="0" applyFont="1" applyFill="1"/>
    <xf numFmtId="0" fontId="5" fillId="7" borderId="0" xfId="0" applyFont="1" applyFill="1" applyAlignment="1">
      <alignment horizontal="center" wrapText="1"/>
    </xf>
    <xf numFmtId="0" fontId="5" fillId="4" borderId="0" xfId="0" applyFont="1" applyFill="1" applyAlignment="1">
      <alignment horizontal="right"/>
    </xf>
    <xf numFmtId="0" fontId="9" fillId="4" borderId="0" xfId="0" applyFont="1" applyFill="1" applyAlignment="1">
      <alignment horizontal="center"/>
    </xf>
    <xf numFmtId="0" fontId="5" fillId="7" borderId="0" xfId="0" applyFont="1" applyFill="1" applyAlignment="1">
      <alignment horizontal="right"/>
    </xf>
    <xf numFmtId="0" fontId="9" fillId="7" borderId="0" xfId="0" applyFont="1" applyFill="1" applyAlignment="1">
      <alignment horizontal="center"/>
    </xf>
    <xf numFmtId="1" fontId="9" fillId="0" borderId="0" xfId="0" applyNumberFormat="1" applyFont="1"/>
    <xf numFmtId="0" fontId="15" fillId="8" borderId="0" xfId="0" applyFont="1" applyFill="1" applyAlignment="1">
      <alignment vertical="top" wrapText="1"/>
    </xf>
    <xf numFmtId="0" fontId="15" fillId="8" borderId="0" xfId="0" applyFont="1" applyFill="1" applyAlignment="1">
      <alignment horizontal="center" vertical="top" wrapText="1"/>
    </xf>
    <xf numFmtId="164" fontId="13" fillId="0" borderId="0" xfId="0" applyNumberFormat="1" applyFont="1"/>
    <xf numFmtId="0" fontId="13" fillId="0" borderId="0" xfId="0" applyFont="1" applyAlignment="1">
      <alignment horizontal="center"/>
    </xf>
    <xf numFmtId="14" fontId="13" fillId="0" borderId="0" xfId="0" applyNumberFormat="1" applyFont="1" applyAlignment="1">
      <alignment horizontal="center"/>
    </xf>
    <xf numFmtId="165" fontId="13" fillId="0" borderId="0" xfId="0" applyNumberFormat="1" applyFont="1" applyAlignment="1">
      <alignment horizontal="center"/>
    </xf>
    <xf numFmtId="0" fontId="13" fillId="0" borderId="0" xfId="0" applyFont="1" applyAlignment="1">
      <alignment horizontal="center" wrapText="1"/>
    </xf>
    <xf numFmtId="0" fontId="16" fillId="0" borderId="0" xfId="0" applyFont="1"/>
    <xf numFmtId="0" fontId="15" fillId="5" borderId="4" xfId="0" applyFont="1" applyFill="1" applyBorder="1" applyAlignment="1">
      <alignment vertical="center" wrapText="1"/>
    </xf>
    <xf numFmtId="0" fontId="15" fillId="5" borderId="4" xfId="0" applyFont="1" applyFill="1" applyBorder="1" applyAlignment="1">
      <alignment horizontal="center" vertical="center" wrapText="1"/>
    </xf>
    <xf numFmtId="0" fontId="13" fillId="0" borderId="4" xfId="0" applyFont="1" applyBorder="1"/>
    <xf numFmtId="0" fontId="13" fillId="0" borderId="4" xfId="0" applyFont="1" applyBorder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0" fillId="0" borderId="0" xfId="0"/>
    <xf numFmtId="1" fontId="3" fillId="2" borderId="1" xfId="0" applyNumberFormat="1" applyFont="1" applyFill="1" applyBorder="1" applyAlignment="1">
      <alignment horizontal="center" vertical="center"/>
    </xf>
    <xf numFmtId="0" fontId="4" fillId="0" borderId="2" xfId="0" applyFont="1" applyBorder="1"/>
    <xf numFmtId="0" fontId="4" fillId="0" borderId="3" xfId="0" applyFont="1" applyBorder="1"/>
    <xf numFmtId="1" fontId="5" fillId="2" borderId="1" xfId="0" applyNumberFormat="1" applyFont="1" applyFill="1" applyBorder="1" applyAlignment="1">
      <alignment horizontal="center" vertical="center" wrapText="1"/>
    </xf>
    <xf numFmtId="1" fontId="5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center"/>
    </xf>
    <xf numFmtId="0" fontId="12" fillId="4" borderId="0" xfId="0" applyFont="1" applyFill="1" applyAlignment="1">
      <alignment horizontal="center"/>
    </xf>
    <xf numFmtId="0" fontId="14" fillId="6" borderId="1" xfId="0" applyFont="1" applyFill="1" applyBorder="1" applyAlignment="1">
      <alignment horizontal="center"/>
    </xf>
    <xf numFmtId="0" fontId="0" fillId="0" borderId="5" xfId="0" applyBorder="1"/>
    <xf numFmtId="0" fontId="0" fillId="0" borderId="5" xfId="0" pivotButton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5" xfId="0" applyNumberFormat="1" applyBorder="1"/>
    <xf numFmtId="0" fontId="0" fillId="0" borderId="8" xfId="0" applyNumberFormat="1" applyBorder="1"/>
    <xf numFmtId="0" fontId="0" fillId="0" borderId="9" xfId="0" applyNumberFormat="1" applyBorder="1"/>
    <xf numFmtId="0" fontId="0" fillId="0" borderId="10" xfId="0" applyBorder="1"/>
    <xf numFmtId="0" fontId="0" fillId="0" borderId="10" xfId="0" applyNumberFormat="1" applyBorder="1"/>
    <xf numFmtId="0" fontId="0" fillId="0" borderId="0" xfId="0" applyNumberFormat="1"/>
    <xf numFmtId="0" fontId="0" fillId="0" borderId="11" xfId="0" applyNumberFormat="1" applyBorder="1"/>
    <xf numFmtId="0" fontId="0" fillId="0" borderId="12" xfId="0" applyBorder="1"/>
    <xf numFmtId="0" fontId="0" fillId="0" borderId="12" xfId="0" applyNumberFormat="1" applyBorder="1"/>
    <xf numFmtId="0" fontId="0" fillId="0" borderId="13" xfId="0" applyNumberFormat="1" applyBorder="1"/>
    <xf numFmtId="0" fontId="0" fillId="0" borderId="14" xfId="0" applyNumberFormat="1" applyBorder="1"/>
    <xf numFmtId="0" fontId="17" fillId="9" borderId="15" xfId="0" applyFont="1" applyFill="1" applyBorder="1" applyAlignment="1">
      <alignment horizontal="center" wrapText="1"/>
    </xf>
    <xf numFmtId="0" fontId="17" fillId="9" borderId="16" xfId="0" applyFont="1" applyFill="1" applyBorder="1" applyAlignment="1">
      <alignment wrapText="1"/>
    </xf>
    <xf numFmtId="0" fontId="17" fillId="9" borderId="17" xfId="0" applyFont="1" applyFill="1" applyBorder="1" applyAlignment="1">
      <alignment horizontal="center" wrapText="1"/>
    </xf>
    <xf numFmtId="0" fontId="17" fillId="9" borderId="18" xfId="0" applyFont="1" applyFill="1" applyBorder="1" applyAlignment="1">
      <alignment wrapText="1"/>
    </xf>
    <xf numFmtId="0" fontId="18" fillId="9" borderId="18" xfId="0" applyFont="1" applyFill="1" applyBorder="1" applyAlignment="1">
      <alignment wrapText="1"/>
    </xf>
    <xf numFmtId="0" fontId="19" fillId="0" borderId="18" xfId="0" applyFont="1" applyBorder="1" applyAlignment="1">
      <alignment wrapText="1"/>
    </xf>
    <xf numFmtId="0" fontId="17" fillId="10" borderId="17" xfId="0" applyFont="1" applyFill="1" applyBorder="1" applyAlignment="1">
      <alignment horizontal="center" wrapText="1"/>
    </xf>
    <xf numFmtId="0" fontId="17" fillId="10" borderId="18" xfId="0" applyFont="1" applyFill="1" applyBorder="1" applyAlignment="1">
      <alignment wrapText="1"/>
    </xf>
    <xf numFmtId="0" fontId="19" fillId="0" borderId="0" xfId="0" applyFont="1"/>
    <xf numFmtId="1" fontId="7" fillId="11" borderId="4" xfId="0" applyNumberFormat="1" applyFont="1" applyFill="1" applyBorder="1" applyAlignment="1">
      <alignment horizontal="center" vertical="center" wrapText="1"/>
    </xf>
    <xf numFmtId="1" fontId="2" fillId="11" borderId="4" xfId="0" applyNumberFormat="1" applyFont="1" applyFill="1" applyBorder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0" fillId="12" borderId="0" xfId="0" applyFill="1"/>
    <xf numFmtId="0" fontId="5" fillId="11" borderId="4" xfId="0" applyFont="1" applyFill="1" applyBorder="1" applyAlignment="1">
      <alignment horizontal="center" vertical="center"/>
    </xf>
    <xf numFmtId="0" fontId="7" fillId="11" borderId="4" xfId="0" applyFont="1" applyFill="1" applyBorder="1" applyAlignment="1">
      <alignment horizontal="center" vertical="center" wrapText="1"/>
    </xf>
    <xf numFmtId="1" fontId="9" fillId="11" borderId="4" xfId="0" applyNumberFormat="1" applyFont="1" applyFill="1" applyBorder="1" applyAlignment="1">
      <alignment horizontal="center" vertical="center"/>
    </xf>
    <xf numFmtId="0" fontId="9" fillId="11" borderId="4" xfId="0" applyFont="1" applyFill="1" applyBorder="1" applyAlignment="1">
      <alignment horizontal="center" vertical="center"/>
    </xf>
    <xf numFmtId="0" fontId="20" fillId="2" borderId="4" xfId="0" applyFont="1" applyFill="1" applyBorder="1" applyAlignment="1">
      <alignment horizontal="center" vertical="center"/>
    </xf>
    <xf numFmtId="0" fontId="20" fillId="2" borderId="4" xfId="0" applyFont="1" applyFill="1" applyBorder="1" applyAlignment="1">
      <alignment vertical="center"/>
    </xf>
    <xf numFmtId="0" fontId="20" fillId="2" borderId="4" xfId="0" applyFont="1" applyFill="1" applyBorder="1" applyAlignment="1">
      <alignment horizontal="center" vertical="center" wrapText="1"/>
    </xf>
    <xf numFmtId="1" fontId="20" fillId="2" borderId="4" xfId="0" applyNumberFormat="1" applyFont="1" applyFill="1" applyBorder="1" applyAlignment="1">
      <alignment horizontal="center" vertical="center"/>
    </xf>
    <xf numFmtId="1" fontId="20" fillId="11" borderId="4" xfId="0" applyNumberFormat="1" applyFont="1" applyFill="1" applyBorder="1" applyAlignment="1">
      <alignment horizontal="center" vertical="center"/>
    </xf>
    <xf numFmtId="1" fontId="21" fillId="2" borderId="4" xfId="0" applyNumberFormat="1" applyFont="1" applyFill="1" applyBorder="1" applyAlignment="1">
      <alignment horizontal="center" vertical="center" wrapText="1"/>
    </xf>
    <xf numFmtId="1" fontId="22" fillId="11" borderId="4" xfId="0" applyNumberFormat="1" applyFont="1" applyFill="1" applyBorder="1" applyAlignment="1">
      <alignment horizontal="center" vertical="center"/>
    </xf>
    <xf numFmtId="0" fontId="23" fillId="2" borderId="4" xfId="0" applyFont="1" applyFill="1" applyBorder="1" applyAlignment="1">
      <alignment vertical="center" wrapText="1"/>
    </xf>
    <xf numFmtId="0" fontId="22" fillId="2" borderId="0" xfId="0" applyFont="1" applyFill="1" applyAlignment="1">
      <alignment vertical="top"/>
    </xf>
    <xf numFmtId="0" fontId="24" fillId="0" borderId="0" xfId="0" applyFont="1"/>
  </cellXfs>
  <cellStyles count="1">
    <cellStyle name="Normal" xfId="0" builtinId="0"/>
  </cellStyles>
  <dxfs count="6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</dxfs>
  <tableStyles count="3">
    <tableStyle name="Student Fee Data-style" pivot="0" count="2" xr9:uid="{00000000-0011-0000-FFFF-FFFF00000000}">
      <tableStyleElement type="firstRowStripe" dxfId="5"/>
      <tableStyleElement type="secondRowStripe" dxfId="4"/>
    </tableStyle>
    <tableStyle name="Student Fee Data-style 2" pivot="0" count="2" xr9:uid="{00000000-0011-0000-FFFF-FFFF01000000}">
      <tableStyleElement type="firstRowStripe" dxfId="3"/>
      <tableStyleElement type="secondRowStripe" dxfId="2"/>
    </tableStyle>
    <tableStyle name="Student Fee Data-style 3" pivot="0" count="2" xr9:uid="{00000000-0011-0000-FFFF-FFFF02000000}"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Janki" refreshedDate="45363.369699305556" refreshedVersion="8" recordCount="916" xr:uid="{00000000-000A-0000-FFFF-FFFF00000000}">
  <cacheSource type="worksheet">
    <worksheetSource ref="A3:N118" sheet="Student Fee Data"/>
  </cacheSource>
  <cacheFields count="30">
    <cacheField name="ENo" numFmtId="0">
      <sharedItems containsBlank="1"/>
    </cacheField>
    <cacheField name="Name" numFmtId="0">
      <sharedItems containsBlank="1"/>
    </cacheField>
    <cacheField name="School" numFmtId="0">
      <sharedItems containsBlank="1"/>
    </cacheField>
    <cacheField name="Branch" numFmtId="0">
      <sharedItems containsBlank="1" count="5">
        <s v="DCE"/>
        <s v="DCV"/>
        <s v="DEE"/>
        <s v="DME"/>
        <m/>
      </sharedItems>
    </cacheField>
    <cacheField name="Sem" numFmtId="0">
      <sharedItems containsString="0" containsBlank="1" containsNumber="1" containsInteger="1" minValue="2" maxValue="6"/>
    </cacheField>
    <cacheField name="SMobile" numFmtId="0">
      <sharedItems containsBlank="1"/>
    </cacheField>
    <cacheField name="FMobile" numFmtId="0">
      <sharedItems containsBlank="1"/>
    </cacheField>
    <cacheField name="Batch" numFmtId="0">
      <sharedItems containsBlank="1"/>
    </cacheField>
    <cacheField name="Scholarship Type" numFmtId="0">
      <sharedItems containsBlank="1"/>
    </cacheField>
    <cacheField name="C_Total" numFmtId="0">
      <sharedItems containsString="0" containsBlank="1" containsNumber="1" containsInteger="1" minValue="0" maxValue="61000"/>
    </cacheField>
    <cacheField name="C_Paid" numFmtId="1">
      <sharedItems containsString="0" containsBlank="1" containsNumber="1" containsInteger="1" minValue="0" maxValue="55000"/>
    </cacheField>
    <cacheField name="C_Cheque Received" numFmtId="1">
      <sharedItems containsString="0" containsBlank="1" containsNumber="1" containsInteger="1" minValue="0" maxValue="27500"/>
    </cacheField>
    <cacheField name="C_Scholarship" numFmtId="0">
      <sharedItems containsString="0" containsBlank="1" containsNumber="1" containsInteger="1" minValue="0" maxValue="25000"/>
    </cacheField>
    <cacheField name="C_Due" numFmtId="0">
      <sharedItems containsString="0" containsBlank="1" containsNumber="1" containsInteger="1" minValue="-27500" maxValue="61000"/>
    </cacheField>
    <cacheField name="U_Total" numFmtId="1">
      <sharedItems containsString="0" containsBlank="1" containsNumber="1" containsInteger="1" minValue="0" maxValue="19500"/>
    </cacheField>
    <cacheField name="U_Paid" numFmtId="1">
      <sharedItems containsString="0" containsBlank="1" containsNumber="1" containsInteger="1" minValue="0" maxValue="6000"/>
    </cacheField>
    <cacheField name="U_Cheque Received" numFmtId="0">
      <sharedItems containsString="0" containsBlank="1" containsNumber="1" containsInteger="1" minValue="0" maxValue="3750"/>
    </cacheField>
    <cacheField name="U_Scholarship" numFmtId="0">
      <sharedItems containsString="0" containsBlank="1" containsNumber="1" containsInteger="1" minValue="0" maxValue="0"/>
    </cacheField>
    <cacheField name="U_Due" numFmtId="0">
      <sharedItems containsString="0" containsBlank="1" containsNumber="1" containsInteger="1" minValue="-3000" maxValue="19500"/>
    </cacheField>
    <cacheField name="H_Total" numFmtId="0">
      <sharedItems containsString="0" containsBlank="1" containsNumber="1" containsInteger="1" minValue="0" maxValue="0"/>
    </cacheField>
    <cacheField name="H_Paid" numFmtId="0">
      <sharedItems containsString="0" containsBlank="1" containsNumber="1" containsInteger="1" minValue="0" maxValue="0"/>
    </cacheField>
    <cacheField name="H_Cheque Received" numFmtId="0">
      <sharedItems containsString="0" containsBlank="1" containsNumber="1" containsInteger="1" minValue="0" maxValue="0"/>
    </cacheField>
    <cacheField name="H_Scholarship" numFmtId="0">
      <sharedItems containsString="0" containsBlank="1" containsNumber="1" containsInteger="1" minValue="0" maxValue="0"/>
    </cacheField>
    <cacheField name="H_Due" numFmtId="0">
      <sharedItems containsString="0" containsBlank="1" containsNumber="1" containsInteger="1" minValue="0" maxValue="0"/>
    </cacheField>
    <cacheField name="TR_Total" numFmtId="0">
      <sharedItems containsString="0" containsBlank="1" containsNumber="1" containsInteger="1" minValue="0" maxValue="0"/>
    </cacheField>
    <cacheField name="TR_Paid" numFmtId="0">
      <sharedItems containsString="0" containsBlank="1" containsNumber="1" containsInteger="1" minValue="0" maxValue="0"/>
    </cacheField>
    <cacheField name="TR_Cheque Received" numFmtId="0">
      <sharedItems containsString="0" containsBlank="1" containsNumber="1" containsInteger="1" minValue="0" maxValue="0"/>
    </cacheField>
    <cacheField name="TR_Scholarship" numFmtId="0">
      <sharedItems containsString="0" containsBlank="1" containsNumber="1" containsInteger="1" minValue="0" maxValue="0"/>
    </cacheField>
    <cacheField name="TR_Due" numFmtId="0">
      <sharedItems containsString="0" containsBlank="1" containsNumber="1" containsInteger="1" minValue="0" maxValue="0"/>
    </cacheField>
    <cacheField name="Remarks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16">
  <r>
    <s v="23SDSCE01001"/>
    <s v="ADHIYA KESHVI AJAYBHAI"/>
    <s v="SDS"/>
    <x v="0"/>
    <n v="2"/>
    <s v="9979278181 8866000500"/>
    <s v="9979278181 8866000500"/>
    <s v="DCE_2023-26"/>
    <m/>
    <n v="27500"/>
    <n v="27500"/>
    <n v="0"/>
    <n v="0"/>
    <n v="0"/>
    <n v="3000"/>
    <n v="3000"/>
    <n v="0"/>
    <n v="0"/>
    <n v="0"/>
    <n v="0"/>
    <n v="0"/>
    <n v="0"/>
    <n v="0"/>
    <n v="0"/>
    <n v="0"/>
    <n v="0"/>
    <n v="0"/>
    <n v="0"/>
    <n v="0"/>
    <m/>
  </r>
  <r>
    <s v="23SDSCE01002"/>
    <s v="AGHERA KRISH RAJESHBHAI"/>
    <s v="SDS"/>
    <x v="0"/>
    <n v="2"/>
    <s v="9104749612 8780449612"/>
    <s v="9104749612 8780449612"/>
    <s v="DCE_2023-26"/>
    <m/>
    <n v="27500"/>
    <n v="27500"/>
    <n v="0"/>
    <n v="0"/>
    <n v="0"/>
    <n v="3000"/>
    <n v="3000"/>
    <n v="0"/>
    <n v="0"/>
    <n v="0"/>
    <n v="0"/>
    <n v="0"/>
    <n v="0"/>
    <n v="0"/>
    <n v="0"/>
    <n v="0"/>
    <n v="0"/>
    <n v="0"/>
    <n v="0"/>
    <n v="0"/>
    <m/>
  </r>
  <r>
    <s v="23SDSCE01003"/>
    <s v="BHESANIYA VED DHARMESHBHAI"/>
    <s v="SDS"/>
    <x v="0"/>
    <n v="2"/>
    <s v="6351343892 9879270500"/>
    <s v="6351343892 9879270500"/>
    <s v="DCE_2023-26"/>
    <m/>
    <n v="27500"/>
    <n v="27500"/>
    <n v="0"/>
    <n v="0"/>
    <n v="0"/>
    <n v="3000"/>
    <n v="3000"/>
    <n v="0"/>
    <n v="0"/>
    <n v="0"/>
    <n v="0"/>
    <n v="0"/>
    <n v="0"/>
    <n v="0"/>
    <n v="0"/>
    <n v="0"/>
    <n v="0"/>
    <n v="0"/>
    <n v="0"/>
    <n v="0"/>
    <m/>
  </r>
  <r>
    <s v="23SDSCE01005"/>
    <s v="CHHATBAR TISHA MANISH"/>
    <s v="SDS"/>
    <x v="0"/>
    <n v="2"/>
    <s v="9409015399 9825913299"/>
    <s v="9409015399 9825913299"/>
    <s v="DCE_2023-26"/>
    <m/>
    <n v="27500"/>
    <n v="27500"/>
    <n v="0"/>
    <n v="0"/>
    <n v="0"/>
    <n v="3000"/>
    <n v="3000"/>
    <n v="0"/>
    <n v="0"/>
    <n v="0"/>
    <n v="0"/>
    <n v="0"/>
    <n v="0"/>
    <n v="0"/>
    <n v="0"/>
    <n v="0"/>
    <n v="0"/>
    <n v="0"/>
    <n v="0"/>
    <n v="0"/>
    <m/>
  </r>
  <r>
    <s v="23SDSCE01006"/>
    <s v="CHOTHANI MEET RAMESHBHAI"/>
    <s v="SDS"/>
    <x v="0"/>
    <n v="2"/>
    <s v="7600396265 7600817693"/>
    <s v="7600396265 7600817693"/>
    <s v="DCE_2023-26"/>
    <s v="MYSY"/>
    <n v="27500"/>
    <n v="0"/>
    <n v="0"/>
    <n v="0"/>
    <n v="27500"/>
    <n v="3000"/>
    <n v="3000"/>
    <n v="0"/>
    <n v="0"/>
    <n v="0"/>
    <n v="0"/>
    <n v="0"/>
    <n v="0"/>
    <n v="0"/>
    <n v="0"/>
    <n v="0"/>
    <n v="0"/>
    <n v="0"/>
    <n v="0"/>
    <n v="0"/>
    <s v="80 UP PR STUDENT"/>
  </r>
  <r>
    <s v="23SDSCE01007"/>
    <s v="DANGARIYA RAJ KHIMJIBHAI"/>
    <s v="SDS"/>
    <x v="0"/>
    <n v="2"/>
    <s v="6353531041 9586535344 9925565411"/>
    <s v="6353531041 9586535344 9925565411"/>
    <s v="DCE_2023-26"/>
    <s v="MYSY"/>
    <n v="27500"/>
    <n v="0"/>
    <n v="0"/>
    <n v="0"/>
    <n v="27500"/>
    <n v="3000"/>
    <n v="3000"/>
    <n v="0"/>
    <n v="0"/>
    <n v="0"/>
    <n v="0"/>
    <n v="0"/>
    <n v="0"/>
    <n v="0"/>
    <n v="0"/>
    <n v="0"/>
    <n v="0"/>
    <n v="0"/>
    <n v="0"/>
    <n v="0"/>
    <m/>
  </r>
  <r>
    <s v="23SDSCE01008"/>
    <s v="DAVDA ARYAN JAGDISHBHAI"/>
    <s v="SDS"/>
    <x v="0"/>
    <n v="2"/>
    <s v="9265856649 9427732824"/>
    <s v="9265856649 9427732824"/>
    <s v="DCE_2023-26"/>
    <s v="TFW"/>
    <n v="27500"/>
    <n v="0"/>
    <n v="0"/>
    <n v="0"/>
    <n v="27500"/>
    <n v="3000"/>
    <n v="3000"/>
    <n v="0"/>
    <n v="0"/>
    <n v="0"/>
    <n v="0"/>
    <n v="0"/>
    <n v="0"/>
    <n v="0"/>
    <n v="0"/>
    <n v="0"/>
    <n v="0"/>
    <n v="0"/>
    <n v="0"/>
    <n v="0"/>
    <m/>
  </r>
  <r>
    <s v="23SDSCE01009"/>
    <s v="DUDAKIYA PARAM RAJESHBHAI"/>
    <s v="SDS"/>
    <x v="0"/>
    <n v="2"/>
    <s v="9023281112 9425484973"/>
    <s v="9023281112 9425484973"/>
    <s v="DCE_2023-26"/>
    <s v="TFW"/>
    <n v="27500"/>
    <n v="0"/>
    <n v="0"/>
    <n v="0"/>
    <n v="27500"/>
    <n v="3000"/>
    <n v="3000"/>
    <n v="0"/>
    <n v="0"/>
    <n v="0"/>
    <n v="0"/>
    <n v="0"/>
    <n v="0"/>
    <n v="0"/>
    <n v="0"/>
    <n v="0"/>
    <n v="0"/>
    <n v="0"/>
    <n v="0"/>
    <n v="0"/>
    <m/>
  </r>
  <r>
    <s v="23SDSCE01010"/>
    <s v="DUDAKIYA PUJEN ANKITBHAI"/>
    <s v="SDS"/>
    <x v="0"/>
    <n v="2"/>
    <s v="8140565604 8140404640"/>
    <s v="8140565604 8140404640"/>
    <s v="DCE_2023-26"/>
    <m/>
    <n v="27500"/>
    <n v="0"/>
    <n v="0"/>
    <n v="0"/>
    <n v="27500"/>
    <n v="3000"/>
    <n v="3000"/>
    <n v="0"/>
    <n v="0"/>
    <n v="0"/>
    <n v="0"/>
    <n v="0"/>
    <n v="0"/>
    <n v="0"/>
    <n v="0"/>
    <n v="0"/>
    <n v="0"/>
    <n v="0"/>
    <n v="0"/>
    <n v="0"/>
    <m/>
  </r>
  <r>
    <s v="23SDSCE01011"/>
    <s v="GONDALIYA VYOM VISHNUDAS"/>
    <s v="SDS"/>
    <x v="0"/>
    <n v="2"/>
    <s v="9974801784 9937499307"/>
    <s v="9974801784 9937499307"/>
    <s v="DCE_2023-26"/>
    <m/>
    <n v="27500"/>
    <n v="27500"/>
    <n v="0"/>
    <n v="0"/>
    <n v="0"/>
    <n v="3000"/>
    <n v="3000"/>
    <n v="0"/>
    <n v="0"/>
    <n v="0"/>
    <n v="0"/>
    <n v="0"/>
    <n v="0"/>
    <n v="0"/>
    <n v="0"/>
    <n v="0"/>
    <n v="0"/>
    <n v="0"/>
    <n v="0"/>
    <n v="0"/>
    <m/>
  </r>
  <r>
    <s v="23SDSCE01012"/>
    <s v="HAPALIYA ARYAN RAMESHBHAI"/>
    <s v="SDS"/>
    <x v="0"/>
    <n v="2"/>
    <s v="6353689298 9664610525 9723254525"/>
    <s v="6353689298 9664610525 9723254525"/>
    <s v="DCE_2023-26"/>
    <s v="MYSY"/>
    <n v="27500"/>
    <n v="0"/>
    <n v="0"/>
    <n v="0"/>
    <n v="27500"/>
    <n v="3000"/>
    <n v="3000"/>
    <n v="0"/>
    <n v="0"/>
    <n v="0"/>
    <n v="0"/>
    <n v="0"/>
    <n v="0"/>
    <n v="0"/>
    <n v="0"/>
    <n v="0"/>
    <n v="0"/>
    <n v="0"/>
    <n v="0"/>
    <n v="0"/>
    <m/>
  </r>
  <r>
    <s v="23SDSCE01013"/>
    <s v="HARASODA SAKSHI SHAILESHBHAI"/>
    <s v="SDS"/>
    <x v="0"/>
    <n v="2"/>
    <s v="9924305003_x000a_7096805103"/>
    <s v="9924305003_x000a_7096805103"/>
    <s v="DCE_2023-26"/>
    <s v="MYSY"/>
    <n v="27500"/>
    <n v="0"/>
    <n v="0"/>
    <n v="0"/>
    <n v="27500"/>
    <n v="3000"/>
    <n v="3000"/>
    <n v="0"/>
    <n v="0"/>
    <n v="0"/>
    <n v="0"/>
    <n v="0"/>
    <n v="0"/>
    <n v="0"/>
    <n v="0"/>
    <n v="0"/>
    <n v="0"/>
    <n v="0"/>
    <n v="0"/>
    <n v="0"/>
    <s v="MYSY (25000/-)_x0009_KSPS ( 12500/- )"/>
  </r>
  <r>
    <s v="23SDSCE01014"/>
    <s v="JADAV MAYUR GOVINDBHAI"/>
    <s v="SDS"/>
    <x v="0"/>
    <n v="2"/>
    <s v="8200553537 9723364164"/>
    <s v="8200553537 9723364164"/>
    <s v="DCE_2023-26"/>
    <s v="MYSY"/>
    <n v="27500"/>
    <n v="0"/>
    <n v="0"/>
    <n v="0"/>
    <n v="27500"/>
    <n v="3000"/>
    <n v="0"/>
    <n v="0"/>
    <n v="0"/>
    <n v="3000"/>
    <n v="0"/>
    <n v="0"/>
    <n v="0"/>
    <n v="0"/>
    <n v="0"/>
    <n v="0"/>
    <n v="0"/>
    <n v="0"/>
    <n v="0"/>
    <n v="0"/>
    <s v="MYSY (25000/-)_x0009_KSPS ( 12500/- )"/>
  </r>
  <r>
    <s v="23SDSCE01015"/>
    <s v="KANJARIYA KIRIT JAYSUKHBHAI"/>
    <s v="SDS"/>
    <x v="0"/>
    <n v="2"/>
    <s v="9408186776 9427722011"/>
    <s v="9408186776 9427722011"/>
    <s v="DCE_2023-26"/>
    <s v="TFW"/>
    <n v="0"/>
    <n v="0"/>
    <n v="0"/>
    <n v="0"/>
    <n v="0"/>
    <n v="3000"/>
    <n v="3000"/>
    <n v="0"/>
    <n v="0"/>
    <n v="0"/>
    <n v="0"/>
    <n v="0"/>
    <n v="0"/>
    <n v="0"/>
    <n v="0"/>
    <n v="0"/>
    <n v="0"/>
    <n v="0"/>
    <n v="0"/>
    <n v="0"/>
    <m/>
  </r>
  <r>
    <s v="23SDSCE01016"/>
    <s v="KANZARIYA TRUSHA"/>
    <s v="SDS"/>
    <x v="0"/>
    <n v="2"/>
    <s v="9904412288 9825416253"/>
    <s v="9904412288 9825416253"/>
    <s v="DCE_2023-26"/>
    <m/>
    <n v="27500"/>
    <n v="27500"/>
    <n v="0"/>
    <n v="0"/>
    <n v="0"/>
    <n v="3000"/>
    <n v="3000"/>
    <n v="0"/>
    <n v="0"/>
    <n v="0"/>
    <n v="0"/>
    <n v="0"/>
    <n v="0"/>
    <n v="0"/>
    <n v="0"/>
    <n v="0"/>
    <n v="0"/>
    <n v="0"/>
    <n v="0"/>
    <n v="0"/>
    <m/>
  </r>
  <r>
    <s v="23SDSCE01017"/>
    <s v="TAASHI KOTA"/>
    <s v="SDS"/>
    <x v="0"/>
    <n v="2"/>
    <s v="7984457877 9978406836"/>
    <s v="7984457877 9978406836"/>
    <s v="DCE_2023-26"/>
    <m/>
    <n v="27500"/>
    <n v="27500"/>
    <n v="0"/>
    <n v="0"/>
    <n v="0"/>
    <n v="3000"/>
    <n v="3000"/>
    <n v="0"/>
    <n v="0"/>
    <n v="0"/>
    <n v="0"/>
    <n v="0"/>
    <n v="0"/>
    <n v="0"/>
    <n v="0"/>
    <n v="0"/>
    <n v="0"/>
    <n v="0"/>
    <n v="0"/>
    <n v="0"/>
    <m/>
  </r>
  <r>
    <s v="23SDSCE01018"/>
    <s v="MADLANI KALASH BHARATBHAI"/>
    <s v="SDS"/>
    <x v="0"/>
    <n v="2"/>
    <s v="7046996650 9714972440 9925032440"/>
    <s v="7046996650 9714972440 9925032440"/>
    <s v="DCE_2023-26"/>
    <m/>
    <n v="27500"/>
    <n v="0"/>
    <n v="0"/>
    <n v="0"/>
    <n v="27500"/>
    <n v="3000"/>
    <n v="0"/>
    <n v="0"/>
    <n v="0"/>
    <n v="3000"/>
    <n v="0"/>
    <n v="0"/>
    <n v="0"/>
    <n v="0"/>
    <n v="0"/>
    <n v="0"/>
    <n v="0"/>
    <n v="0"/>
    <n v="0"/>
    <n v="0"/>
    <m/>
  </r>
  <r>
    <s v="23SDSCE01019"/>
    <s v="MAKWANA YASH YOGESHBHAI"/>
    <s v="SDS"/>
    <x v="0"/>
    <n v="2"/>
    <s v="9879793117 9879793917"/>
    <s v="9879793117 9879793917"/>
    <s v="DCE_2023-26"/>
    <s v="KSP"/>
    <n v="27500"/>
    <n v="21250"/>
    <n v="0"/>
    <n v="6250"/>
    <n v="0"/>
    <n v="3000"/>
    <n v="3000"/>
    <n v="0"/>
    <n v="0"/>
    <n v="0"/>
    <n v="0"/>
    <n v="0"/>
    <n v="0"/>
    <n v="0"/>
    <n v="0"/>
    <n v="0"/>
    <n v="0"/>
    <n v="0"/>
    <n v="0"/>
    <n v="0"/>
    <s v="KSPS ( 6250/- )"/>
  </r>
  <r>
    <s v="23SDSCE01020"/>
    <s v="MEHTA VISHVA DUSHYANTBHAI"/>
    <s v="SDS"/>
    <x v="0"/>
    <n v="2"/>
    <s v="6351343892 9879270500"/>
    <s v="6351343892 9879270500"/>
    <s v="DCE_2023-26"/>
    <m/>
    <n v="27500"/>
    <n v="27500"/>
    <n v="0"/>
    <n v="0"/>
    <n v="0"/>
    <n v="3000"/>
    <n v="3000"/>
    <n v="0"/>
    <n v="0"/>
    <n v="0"/>
    <n v="0"/>
    <n v="0"/>
    <n v="0"/>
    <n v="0"/>
    <n v="0"/>
    <n v="0"/>
    <n v="0"/>
    <n v="0"/>
    <n v="0"/>
    <n v="0"/>
    <m/>
  </r>
  <r>
    <s v="23SDSCE01021"/>
    <s v="NASIT KASHISH UMESHBHAI"/>
    <s v="SDS"/>
    <x v="0"/>
    <n v="2"/>
    <s v="9638824103 9512640663"/>
    <s v="9638824103 9512640663"/>
    <s v="DCE_2023-26"/>
    <s v="MYSY"/>
    <n v="27500"/>
    <n v="0"/>
    <n v="0"/>
    <n v="0"/>
    <n v="27500"/>
    <n v="3000"/>
    <n v="3000"/>
    <n v="0"/>
    <n v="0"/>
    <n v="0"/>
    <n v="0"/>
    <n v="0"/>
    <n v="0"/>
    <n v="0"/>
    <n v="0"/>
    <n v="0"/>
    <n v="0"/>
    <n v="0"/>
    <n v="0"/>
    <n v="0"/>
    <s v="MYSY (25000/-)"/>
  </r>
  <r>
    <s v="23SDSCE01022"/>
    <s v="PADHARIYA KEVAL MAHESHBHAI"/>
    <s v="SDS"/>
    <x v="0"/>
    <n v="2"/>
    <s v="7984022689 9737310903"/>
    <s v="7984022689 9737310903"/>
    <s v="DCE_2023-26"/>
    <m/>
    <n v="27500"/>
    <n v="27500"/>
    <n v="0"/>
    <n v="0"/>
    <n v="0"/>
    <n v="3000"/>
    <n v="3000"/>
    <n v="0"/>
    <n v="0"/>
    <n v="0"/>
    <n v="0"/>
    <n v="0"/>
    <n v="0"/>
    <n v="0"/>
    <n v="0"/>
    <n v="0"/>
    <n v="0"/>
    <n v="0"/>
    <n v="0"/>
    <n v="0"/>
    <m/>
  </r>
  <r>
    <s v="23SDSCE01023"/>
    <s v="PAREKHIYA YASH BIPINBHAI"/>
    <s v="SDS"/>
    <x v="0"/>
    <n v="2"/>
    <s v="9998899373 7779000015"/>
    <s v="9998899373 7779000015"/>
    <s v="DCE_2023-26"/>
    <s v="TFW"/>
    <n v="0"/>
    <n v="0"/>
    <n v="0"/>
    <n v="0"/>
    <n v="0"/>
    <n v="3000"/>
    <n v="3000"/>
    <n v="0"/>
    <n v="0"/>
    <n v="0"/>
    <n v="0"/>
    <n v="0"/>
    <n v="0"/>
    <n v="0"/>
    <n v="0"/>
    <n v="0"/>
    <n v="0"/>
    <n v="0"/>
    <n v="0"/>
    <n v="0"/>
    <m/>
  </r>
  <r>
    <s v="23SDSCE01024"/>
    <s v="PARMAR HIREN PRAVINBHAI"/>
    <s v="SDS"/>
    <x v="0"/>
    <n v="2"/>
    <s v="9687889523 9925853004"/>
    <s v="9687889523 9925853004"/>
    <s v="DCE_2023-26"/>
    <m/>
    <n v="27500"/>
    <n v="0"/>
    <n v="0"/>
    <n v="0"/>
    <n v="27500"/>
    <n v="3000"/>
    <n v="0"/>
    <n v="0"/>
    <n v="0"/>
    <n v="3000"/>
    <n v="0"/>
    <n v="0"/>
    <n v="0"/>
    <n v="0"/>
    <n v="0"/>
    <n v="0"/>
    <n v="0"/>
    <n v="0"/>
    <n v="0"/>
    <n v="0"/>
    <m/>
  </r>
  <r>
    <s v="23SDSCE01025"/>
    <s v="RAIYANI RAJ"/>
    <s v="SDS"/>
    <x v="0"/>
    <n v="2"/>
    <s v="9998096663 9898243143"/>
    <s v="9998096663 9898243143"/>
    <s v="DCE_2023-26"/>
    <m/>
    <n v="27500"/>
    <n v="27500"/>
    <n v="0"/>
    <n v="0"/>
    <n v="0"/>
    <n v="3000"/>
    <n v="3000"/>
    <n v="0"/>
    <n v="0"/>
    <n v="0"/>
    <n v="0"/>
    <n v="0"/>
    <n v="0"/>
    <n v="0"/>
    <n v="0"/>
    <n v="0"/>
    <n v="0"/>
    <n v="0"/>
    <n v="0"/>
    <n v="0"/>
    <m/>
  </r>
  <r>
    <s v="23SDSCE01026"/>
    <s v="RANK RUSHIT PRAVINBHAI"/>
    <s v="SDS"/>
    <x v="0"/>
    <n v="2"/>
    <s v="7016578336 9727184429"/>
    <s v="7016578336 9727184429"/>
    <s v="DCE_2023-26"/>
    <s v="MYSY"/>
    <n v="27500"/>
    <n v="0"/>
    <n v="0"/>
    <n v="0"/>
    <n v="27500"/>
    <n v="3000"/>
    <n v="3000"/>
    <n v="0"/>
    <n v="0"/>
    <n v="0"/>
    <n v="0"/>
    <n v="0"/>
    <n v="0"/>
    <n v="0"/>
    <n v="0"/>
    <n v="0"/>
    <n v="0"/>
    <n v="0"/>
    <n v="0"/>
    <n v="0"/>
    <s v="MYSY (25000/-)_x0009_KSPS ( 12500/- )"/>
  </r>
  <r>
    <s v="23SDSCE01027"/>
    <s v="JAYRAJSINH DEEPAKBHAI RATHOD"/>
    <s v="SDS"/>
    <x v="0"/>
    <n v="2"/>
    <s v="9173434743 9537662757 9824208487"/>
    <s v="9173434743 9537662757 9824208487"/>
    <s v="DCE_2023-26"/>
    <m/>
    <n v="27500"/>
    <n v="27500"/>
    <n v="0"/>
    <n v="0"/>
    <n v="0"/>
    <n v="3000"/>
    <n v="3000"/>
    <n v="0"/>
    <n v="0"/>
    <n v="0"/>
    <n v="0"/>
    <n v="0"/>
    <n v="0"/>
    <n v="0"/>
    <n v="0"/>
    <n v="0"/>
    <n v="0"/>
    <n v="0"/>
    <n v="0"/>
    <n v="0"/>
    <m/>
  </r>
  <r>
    <s v="23SDSCE01028"/>
    <s v="SARVAIYA NILKUMAR TEJASHBHAI"/>
    <s v="SDS"/>
    <x v="0"/>
    <n v="2"/>
    <s v="9408186776 9427722011"/>
    <s v="9408186776 9427722011"/>
    <s v="DCE_2023-26"/>
    <s v="TFW"/>
    <n v="0"/>
    <n v="0"/>
    <n v="0"/>
    <n v="0"/>
    <n v="0"/>
    <n v="3000"/>
    <n v="3000"/>
    <n v="0"/>
    <n v="0"/>
    <n v="0"/>
    <n v="0"/>
    <n v="0"/>
    <n v="0"/>
    <n v="0"/>
    <n v="0"/>
    <n v="0"/>
    <n v="0"/>
    <n v="0"/>
    <n v="0"/>
    <n v="0"/>
    <m/>
  </r>
  <r>
    <s v="23SDSCE01029"/>
    <s v="SAVALIYA HENISH NIKUNJBHAI"/>
    <s v="SDS"/>
    <x v="0"/>
    <n v="2"/>
    <s v="8780422315 9724034600"/>
    <s v="8780422315 9724034600"/>
    <s v="DCE_2023-26"/>
    <s v="TFW"/>
    <n v="0"/>
    <n v="0"/>
    <n v="0"/>
    <n v="0"/>
    <n v="0"/>
    <n v="3000"/>
    <n v="3000"/>
    <n v="0"/>
    <n v="0"/>
    <n v="0"/>
    <n v="0"/>
    <n v="0"/>
    <n v="0"/>
    <n v="0"/>
    <n v="0"/>
    <n v="0"/>
    <n v="0"/>
    <n v="0"/>
    <n v="0"/>
    <n v="0"/>
    <m/>
  </r>
  <r>
    <s v="23SDSCE01030"/>
    <s v="SIROYA HET BIPINBHAI"/>
    <s v="SDS"/>
    <x v="0"/>
    <n v="2"/>
    <s v="9712192434 9426826384 9824696455"/>
    <s v="9712192434 9426826384 9824696455"/>
    <s v="DCE_2023-26"/>
    <m/>
    <n v="27500"/>
    <n v="5000"/>
    <n v="0"/>
    <n v="0"/>
    <n v="22500"/>
    <n v="3000"/>
    <n v="3000"/>
    <n v="0"/>
    <n v="0"/>
    <n v="0"/>
    <n v="0"/>
    <n v="0"/>
    <n v="0"/>
    <n v="0"/>
    <n v="0"/>
    <n v="0"/>
    <n v="0"/>
    <n v="0"/>
    <n v="0"/>
    <n v="0"/>
    <m/>
  </r>
  <r>
    <s v="23SDSCE01031"/>
    <s v="MITESH RAVJI SIYANI"/>
    <s v="SDS"/>
    <x v="0"/>
    <n v="2"/>
    <s v="8200476071 _x000a_9925133656"/>
    <s v="8200476071 _x000a_9925133656"/>
    <s v="DCE_2023-26"/>
    <m/>
    <n v="27500"/>
    <n v="27500"/>
    <n v="0"/>
    <n v="0"/>
    <n v="0"/>
    <n v="3000"/>
    <n v="3000"/>
    <n v="0"/>
    <n v="0"/>
    <n v="0"/>
    <n v="0"/>
    <n v="0"/>
    <n v="0"/>
    <n v="0"/>
    <n v="0"/>
    <n v="0"/>
    <n v="0"/>
    <n v="0"/>
    <n v="0"/>
    <n v="0"/>
    <m/>
  </r>
  <r>
    <s v="23SDSCE01032"/>
    <s v="SORATHIYA HETVI VIPULBHAI"/>
    <s v="SDS"/>
    <x v="0"/>
    <n v="2"/>
    <s v="9879225420 9409431380"/>
    <s v="9879225420 9409431380"/>
    <s v="DCE_2023-26"/>
    <m/>
    <n v="27500"/>
    <n v="0"/>
    <n v="0"/>
    <n v="0"/>
    <n v="27500"/>
    <n v="3000"/>
    <n v="3000"/>
    <n v="0"/>
    <n v="0"/>
    <n v="0"/>
    <n v="0"/>
    <n v="0"/>
    <n v="0"/>
    <n v="0"/>
    <n v="0"/>
    <n v="0"/>
    <n v="0"/>
    <n v="0"/>
    <n v="0"/>
    <n v="0"/>
    <m/>
  </r>
  <r>
    <s v="23SDSCE01033"/>
    <s v="TANK YASHVI SHAILESHBHAI"/>
    <s v="SDS"/>
    <x v="0"/>
    <n v="2"/>
    <s v="9737728147 9376089288"/>
    <s v="9737728147 9376089288"/>
    <s v="DCE_2023-26"/>
    <m/>
    <n v="27500"/>
    <n v="0"/>
    <n v="0"/>
    <n v="0"/>
    <n v="27500"/>
    <n v="3000"/>
    <n v="3000"/>
    <n v="0"/>
    <n v="0"/>
    <n v="0"/>
    <n v="0"/>
    <n v="0"/>
    <n v="0"/>
    <n v="0"/>
    <n v="0"/>
    <n v="0"/>
    <n v="0"/>
    <n v="0"/>
    <n v="0"/>
    <n v="0"/>
    <m/>
  </r>
  <r>
    <s v="23SDSCE01034"/>
    <s v="THAKAR PREM NILESHBHAI"/>
    <s v="SDS"/>
    <x v="0"/>
    <n v="2"/>
    <s v="7874503176 7874503176"/>
    <s v="7874503176 7874503176"/>
    <s v="DCE_2023-26"/>
    <s v="TFW"/>
    <n v="0"/>
    <n v="0"/>
    <n v="0"/>
    <n v="0"/>
    <n v="0"/>
    <n v="3000"/>
    <n v="3000"/>
    <n v="0"/>
    <n v="0"/>
    <n v="0"/>
    <n v="0"/>
    <n v="0"/>
    <n v="0"/>
    <n v="0"/>
    <n v="0"/>
    <n v="0"/>
    <n v="0"/>
    <n v="0"/>
    <n v="0"/>
    <n v="0"/>
    <m/>
  </r>
  <r>
    <s v="23SDSCE01035"/>
    <s v="THUMAR DHYANI PARESHBHAI"/>
    <s v="SDS"/>
    <x v="0"/>
    <n v="2"/>
    <s v="7046269056 7990110840 9409300001"/>
    <s v="7046269056 7990110840 9409300001"/>
    <s v="DCE_2023-26"/>
    <m/>
    <n v="27500"/>
    <n v="27500"/>
    <n v="0"/>
    <n v="0"/>
    <n v="0"/>
    <n v="3000"/>
    <n v="3000"/>
    <n v="0"/>
    <n v="0"/>
    <n v="0"/>
    <n v="0"/>
    <n v="0"/>
    <n v="0"/>
    <n v="0"/>
    <n v="0"/>
    <n v="0"/>
    <n v="0"/>
    <n v="0"/>
    <n v="0"/>
    <n v="0"/>
    <m/>
  </r>
  <r>
    <s v="23SDSCE01036"/>
    <s v="UKANI HEET JIGNESHKUMAR"/>
    <s v="SDS"/>
    <x v="0"/>
    <n v="2"/>
    <s v="6353045906 9879455065"/>
    <s v="6353045906 9879455065"/>
    <s v="DCE_2023-26"/>
    <m/>
    <n v="27500"/>
    <n v="27500"/>
    <n v="0"/>
    <n v="0"/>
    <n v="0"/>
    <n v="3000"/>
    <n v="3000"/>
    <n v="0"/>
    <n v="0"/>
    <n v="0"/>
    <n v="0"/>
    <n v="0"/>
    <n v="0"/>
    <n v="0"/>
    <n v="0"/>
    <n v="0"/>
    <n v="0"/>
    <n v="0"/>
    <n v="0"/>
    <n v="0"/>
    <m/>
  </r>
  <r>
    <s v="23SDSCE01037"/>
    <s v="VADGAMA PAVAN"/>
    <s v="SDS"/>
    <x v="0"/>
    <n v="2"/>
    <s v="7990772340 _x000a_9824875226"/>
    <s v="7990772340 _x000a_9824875226"/>
    <s v="DCE_2023-26"/>
    <m/>
    <n v="27500"/>
    <n v="0"/>
    <n v="0"/>
    <n v="0"/>
    <n v="27500"/>
    <n v="3000"/>
    <n v="0"/>
    <n v="0"/>
    <n v="0"/>
    <n v="3000"/>
    <n v="0"/>
    <n v="0"/>
    <n v="0"/>
    <n v="0"/>
    <n v="0"/>
    <n v="0"/>
    <n v="0"/>
    <n v="0"/>
    <n v="0"/>
    <n v="0"/>
    <m/>
  </r>
  <r>
    <s v="23SDSCE01038"/>
    <s v="VADODARIYA SHIHANS SHAILESHBHAI"/>
    <s v="SDS"/>
    <x v="0"/>
    <n v="2"/>
    <s v="8780074890 9924052001"/>
    <s v="8780074890 9924052001"/>
    <s v="DCE_2023-26"/>
    <s v="TFW"/>
    <n v="0"/>
    <n v="0"/>
    <n v="0"/>
    <n v="0"/>
    <n v="0"/>
    <n v="3000"/>
    <n v="3000"/>
    <n v="0"/>
    <n v="0"/>
    <n v="0"/>
    <n v="0"/>
    <n v="0"/>
    <n v="0"/>
    <n v="0"/>
    <n v="0"/>
    <n v="0"/>
    <n v="0"/>
    <n v="0"/>
    <n v="0"/>
    <n v="0"/>
    <m/>
  </r>
  <r>
    <s v="23SDSCE01039"/>
    <s v="VAISHNANI SHRUTI BHARATBHAI"/>
    <s v="SDS"/>
    <x v="0"/>
    <n v="2"/>
    <s v="9512552750 8980261936"/>
    <s v="9512552750 8980261936"/>
    <s v="DCE_2023-26"/>
    <s v="KSP"/>
    <n v="27500"/>
    <n v="25000"/>
    <n v="0"/>
    <n v="2500"/>
    <n v="0"/>
    <n v="3000"/>
    <n v="3000"/>
    <n v="0"/>
    <n v="0"/>
    <n v="0"/>
    <n v="0"/>
    <n v="0"/>
    <n v="0"/>
    <n v="0"/>
    <n v="0"/>
    <n v="0"/>
    <n v="0"/>
    <n v="0"/>
    <n v="0"/>
    <n v="0"/>
    <m/>
  </r>
  <r>
    <s v="23SDSCE01040"/>
    <s v="VEKARIYA NISARG RITEN"/>
    <s v="SDS"/>
    <x v="0"/>
    <n v="2"/>
    <s v="9723700169_x000a_8866500169"/>
    <s v="9723700169_x000a_8866500169"/>
    <s v="DME_2023-26"/>
    <m/>
    <n v="27500"/>
    <n v="27500"/>
    <n v="0"/>
    <n v="0"/>
    <n v="0"/>
    <n v="3000"/>
    <n v="3000"/>
    <n v="0"/>
    <n v="0"/>
    <n v="0"/>
    <n v="0"/>
    <n v="0"/>
    <n v="0"/>
    <n v="0"/>
    <n v="0"/>
    <n v="0"/>
    <n v="0"/>
    <n v="0"/>
    <n v="0"/>
    <n v="0"/>
    <m/>
  </r>
  <r>
    <s v="23SDSCE01041"/>
    <s v="ZIYAN SHERASIYA"/>
    <s v="SDS"/>
    <x v="0"/>
    <n v="2"/>
    <s v="8780123953 9537745323"/>
    <s v="8780123953 9537745323"/>
    <s v="DCE_2023-26"/>
    <m/>
    <n v="27500"/>
    <n v="27500"/>
    <n v="0"/>
    <n v="0"/>
    <n v="0"/>
    <n v="3000"/>
    <n v="3000"/>
    <n v="0"/>
    <n v="0"/>
    <n v="0"/>
    <n v="0"/>
    <n v="0"/>
    <n v="0"/>
    <n v="0"/>
    <n v="0"/>
    <n v="0"/>
    <n v="0"/>
    <n v="0"/>
    <n v="0"/>
    <n v="0"/>
    <m/>
  </r>
  <r>
    <s v="23SDSCE01153"/>
    <s v="ANTALA PRIYAL JAYANTIBHAI"/>
    <s v="SDS"/>
    <x v="0"/>
    <n v="2"/>
    <s v="8469845115 9879038904"/>
    <s v="8469845115 9879038904"/>
    <s v="DCE_2023-26"/>
    <s v="MYSY"/>
    <n v="27500"/>
    <n v="0"/>
    <n v="27500"/>
    <n v="0"/>
    <n v="27500"/>
    <n v="3000"/>
    <n v="3000"/>
    <n v="0"/>
    <n v="0"/>
    <n v="0"/>
    <n v="0"/>
    <n v="0"/>
    <n v="0"/>
    <n v="0"/>
    <n v="0"/>
    <n v="0"/>
    <n v="0"/>
    <n v="0"/>
    <n v="0"/>
    <n v="0"/>
    <s v="MYSY 25000"/>
  </r>
  <r>
    <s v="23SDSCE01154"/>
    <s v="BHATTI FARDIN RAFIQBHAI"/>
    <s v="SDS"/>
    <x v="0"/>
    <n v="2"/>
    <s v="9313170166 9537556747"/>
    <s v="9313170166 9537556747"/>
    <s v="DCE_2023-26"/>
    <m/>
    <n v="27500"/>
    <n v="27500"/>
    <n v="0"/>
    <n v="0"/>
    <n v="0"/>
    <n v="3000"/>
    <n v="3000"/>
    <n v="0"/>
    <n v="0"/>
    <n v="0"/>
    <n v="0"/>
    <n v="0"/>
    <n v="0"/>
    <n v="0"/>
    <n v="0"/>
    <n v="0"/>
    <n v="0"/>
    <n v="0"/>
    <n v="0"/>
    <n v="0"/>
    <m/>
  </r>
  <r>
    <s v="23SDSCE01155"/>
    <s v="BHUVA MILAN BHARAT"/>
    <s v="SDS"/>
    <x v="0"/>
    <n v="2"/>
    <s v="6354048995 9879360245"/>
    <s v="6354048995 9879360245"/>
    <s v="DCE_2023-26"/>
    <m/>
    <n v="27500"/>
    <n v="27500"/>
    <n v="0"/>
    <n v="0"/>
    <n v="0"/>
    <n v="3000"/>
    <n v="3000"/>
    <n v="0"/>
    <n v="0"/>
    <n v="0"/>
    <n v="0"/>
    <n v="0"/>
    <n v="0"/>
    <n v="0"/>
    <n v="0"/>
    <n v="0"/>
    <n v="0"/>
    <n v="0"/>
    <n v="0"/>
    <n v="0"/>
    <m/>
  </r>
  <r>
    <s v="23SDSCE01156"/>
    <s v="BHUVA PRINCE MANSUKHBHAI"/>
    <s v="SDS"/>
    <x v="0"/>
    <n v="2"/>
    <s v="9714514642_x000a_9429981483"/>
    <s v="9714514642_x000a_9429981483"/>
    <s v="DCE_2023-26"/>
    <m/>
    <n v="27500"/>
    <n v="27500"/>
    <n v="0"/>
    <n v="0"/>
    <n v="0"/>
    <n v="3000"/>
    <n v="3000"/>
    <n v="0"/>
    <n v="0"/>
    <n v="0"/>
    <n v="0"/>
    <n v="0"/>
    <n v="0"/>
    <n v="0"/>
    <n v="0"/>
    <n v="0"/>
    <n v="0"/>
    <n v="0"/>
    <n v="0"/>
    <n v="0"/>
    <m/>
  </r>
  <r>
    <s v="23SDSCE01157"/>
    <s v="CHAVDA ABHISHEK MAHESHBHAI"/>
    <s v="SDS"/>
    <x v="0"/>
    <n v="2"/>
    <s v="6356388426 6353430120"/>
    <s v="6356388426 6353430120"/>
    <s v="DCE_2023-26"/>
    <m/>
    <n v="27500"/>
    <n v="27500"/>
    <n v="0"/>
    <n v="0"/>
    <n v="0"/>
    <n v="3000"/>
    <n v="3000"/>
    <n v="0"/>
    <n v="0"/>
    <n v="0"/>
    <n v="0"/>
    <n v="0"/>
    <n v="0"/>
    <n v="0"/>
    <n v="0"/>
    <n v="0"/>
    <n v="0"/>
    <n v="0"/>
    <n v="0"/>
    <n v="0"/>
    <m/>
  </r>
  <r>
    <s v="23SDSCE01158"/>
    <s v="DESAI SHUBHAM BHARATBHAI"/>
    <s v="SDS"/>
    <x v="0"/>
    <n v="2"/>
    <s v="9510429617 7990293700"/>
    <s v="9510429617 7990293700"/>
    <s v="DCE_2023-26"/>
    <m/>
    <n v="27500"/>
    <n v="27500"/>
    <n v="0"/>
    <n v="0"/>
    <n v="0"/>
    <n v="3000"/>
    <n v="3000"/>
    <n v="0"/>
    <n v="0"/>
    <n v="0"/>
    <n v="0"/>
    <n v="0"/>
    <n v="0"/>
    <n v="0"/>
    <n v="0"/>
    <n v="0"/>
    <n v="0"/>
    <n v="0"/>
    <n v="0"/>
    <n v="0"/>
    <m/>
  </r>
  <r>
    <s v="23SDSCE01159"/>
    <s v="KAKADIYA YUG DINESHBHAI"/>
    <s v="SDS"/>
    <x v="0"/>
    <n v="2"/>
    <s v="8780060639_x000a_9998889879"/>
    <s v="8780060639_x000a_9998889879"/>
    <s v="DCE_2023-26"/>
    <s v="MYSY"/>
    <n v="27500"/>
    <n v="27500"/>
    <n v="0"/>
    <n v="0"/>
    <n v="0"/>
    <n v="3000"/>
    <n v="3000"/>
    <n v="0"/>
    <n v="0"/>
    <n v="0"/>
    <n v="0"/>
    <n v="0"/>
    <n v="0"/>
    <n v="0"/>
    <n v="0"/>
    <n v="0"/>
    <n v="0"/>
    <n v="0"/>
    <n v="0"/>
    <n v="0"/>
    <s v="MYSY (25000/-)_x0009_KSPS ( 12500/- )"/>
  </r>
  <r>
    <s v="23SDSCE01160"/>
    <s v="KOTECHA HEET PANISHBHAI"/>
    <s v="SDS"/>
    <x v="0"/>
    <n v="2"/>
    <s v="9023352560 9429980315"/>
    <s v="9023352560 9429980315"/>
    <s v="DCE_2023-26"/>
    <m/>
    <n v="27500"/>
    <n v="27500"/>
    <n v="0"/>
    <n v="0"/>
    <n v="0"/>
    <n v="3000"/>
    <n v="3000"/>
    <n v="0"/>
    <n v="0"/>
    <n v="0"/>
    <n v="0"/>
    <n v="0"/>
    <n v="0"/>
    <n v="0"/>
    <n v="0"/>
    <n v="0"/>
    <n v="0"/>
    <n v="0"/>
    <n v="0"/>
    <n v="0"/>
    <m/>
  </r>
  <r>
    <s v="23SDSCE01161"/>
    <s v="JAINIL AMITBHAI LATHIGARA"/>
    <s v="SDS"/>
    <x v="0"/>
    <n v="2"/>
    <s v="9925011422_x000a_9925011422"/>
    <s v="9925011422_x000a_9925011422"/>
    <s v="DCE_2023-26"/>
    <s v="KSP"/>
    <n v="27500"/>
    <n v="27500"/>
    <n v="0"/>
    <n v="15000"/>
    <n v="-15000"/>
    <n v="3000"/>
    <n v="3000"/>
    <n v="0"/>
    <n v="0"/>
    <n v="0"/>
    <n v="0"/>
    <n v="0"/>
    <n v="0"/>
    <n v="0"/>
    <n v="0"/>
    <n v="0"/>
    <n v="0"/>
    <n v="0"/>
    <n v="0"/>
    <n v="0"/>
    <s v="KSPS ( 12500/- )"/>
  </r>
  <r>
    <s v="23SDSCE01162"/>
    <s v="MAKADIYA VED RAJESHBHAI"/>
    <s v="SDS"/>
    <x v="0"/>
    <n v="2"/>
    <s v="9725117593 9909012371"/>
    <s v="9725117593 9909012371"/>
    <s v="DCE_2023-26"/>
    <s v="KSP"/>
    <n v="27500"/>
    <n v="15000"/>
    <n v="0"/>
    <n v="12500"/>
    <n v="0"/>
    <n v="3000"/>
    <n v="3000"/>
    <n v="0"/>
    <n v="0"/>
    <n v="0"/>
    <n v="0"/>
    <n v="0"/>
    <n v="0"/>
    <n v="0"/>
    <n v="0"/>
    <n v="0"/>
    <n v="0"/>
    <n v="0"/>
    <n v="0"/>
    <n v="0"/>
    <s v="KSPS ( 6250/- )_x000a_RS 6250 1ST SEM SCHOLARSHIP TRANSFER IN 2ND SEM"/>
  </r>
  <r>
    <s v="23SDSCE01163"/>
    <s v="NIMAVAT ABHISHEK HARESHBHAI"/>
    <s v="SDS"/>
    <x v="0"/>
    <n v="2"/>
    <s v="9490907794 9925068350"/>
    <s v="9490907794 9925068350"/>
    <s v="DCE_2023-26"/>
    <s v="MYSY"/>
    <n v="27500"/>
    <n v="0"/>
    <n v="0"/>
    <n v="0"/>
    <n v="27500"/>
    <n v="3000"/>
    <n v="3000"/>
    <n v="0"/>
    <n v="0"/>
    <n v="0"/>
    <n v="0"/>
    <n v="0"/>
    <n v="0"/>
    <n v="0"/>
    <n v="0"/>
    <n v="0"/>
    <n v="0"/>
    <n v="0"/>
    <n v="0"/>
    <n v="0"/>
    <s v="MYSY (25000/-)_x0009_KSPS ( 12500/- )"/>
  </r>
  <r>
    <s v="23SDSCE01164"/>
    <s v="PADIYA BHAKTI NAYANBHAI"/>
    <s v="SDS"/>
    <x v="0"/>
    <n v="2"/>
    <s v="9714493083 9925393083"/>
    <s v="9714493083 9925393083"/>
    <s v="DCE_2023-26"/>
    <m/>
    <n v="27500"/>
    <n v="0"/>
    <n v="27500"/>
    <n v="0"/>
    <n v="27500"/>
    <n v="3000"/>
    <n v="0"/>
    <n v="3000"/>
    <n v="0"/>
    <n v="3000"/>
    <n v="0"/>
    <n v="0"/>
    <n v="0"/>
    <n v="0"/>
    <n v="0"/>
    <n v="0"/>
    <n v="0"/>
    <n v="0"/>
    <n v="0"/>
    <n v="0"/>
    <m/>
  </r>
  <r>
    <s v="23SDSCE01165"/>
    <s v="PADIYA BHARGEY JYOTINDRABHAI"/>
    <s v="SDS"/>
    <x v="0"/>
    <n v="2"/>
    <s v="9726547910 9054768502"/>
    <s v="9726547910 9054768502"/>
    <s v="DCE_2023-26"/>
    <m/>
    <n v="27500"/>
    <n v="27500"/>
    <n v="0"/>
    <n v="0"/>
    <n v="0"/>
    <n v="3000"/>
    <n v="3000"/>
    <n v="0"/>
    <n v="0"/>
    <n v="0"/>
    <n v="0"/>
    <n v="0"/>
    <n v="0"/>
    <n v="0"/>
    <n v="0"/>
    <n v="0"/>
    <n v="0"/>
    <n v="0"/>
    <n v="0"/>
    <n v="0"/>
    <m/>
  </r>
  <r>
    <s v="23SDSCE01166"/>
    <s v="PARA REHAN MOHMED JAVED"/>
    <s v="SDS"/>
    <x v="0"/>
    <n v="2"/>
    <s v="7016666370 9265676067 9824817698"/>
    <s v="7016666370 9265676067 9824817698"/>
    <s v="DCE_2023-26"/>
    <m/>
    <n v="27500"/>
    <n v="27500"/>
    <n v="0"/>
    <n v="0"/>
    <n v="0"/>
    <n v="3000"/>
    <n v="3000"/>
    <n v="0"/>
    <n v="0"/>
    <n v="0"/>
    <n v="0"/>
    <n v="0"/>
    <n v="0"/>
    <n v="0"/>
    <n v="0"/>
    <n v="0"/>
    <n v="0"/>
    <n v="0"/>
    <n v="0"/>
    <n v="0"/>
    <m/>
  </r>
  <r>
    <s v="23SDSCE01167"/>
    <s v="SIDDIQUI MOHAMMAD ARIFBHAI"/>
    <s v="SDS"/>
    <x v="0"/>
    <n v="2"/>
    <s v="8160043299 9904880042"/>
    <s v="8160043299 9904880042"/>
    <s v="DCE_2023-26"/>
    <m/>
    <n v="27500"/>
    <n v="0"/>
    <n v="0"/>
    <n v="0"/>
    <n v="27500"/>
    <n v="3000"/>
    <n v="0"/>
    <n v="0"/>
    <n v="0"/>
    <n v="3000"/>
    <n v="0"/>
    <n v="0"/>
    <n v="0"/>
    <n v="0"/>
    <n v="0"/>
    <n v="0"/>
    <n v="0"/>
    <n v="0"/>
    <n v="0"/>
    <n v="0"/>
    <m/>
  </r>
  <r>
    <s v="23SDSCE01168"/>
    <s v="SOLANKI HARSHIL VINODBHAI"/>
    <s v="SDS"/>
    <x v="0"/>
    <n v="2"/>
    <s v="8980910636 9979102490"/>
    <s v="8980910636 9979102490"/>
    <s v="DCE_2023-26"/>
    <m/>
    <n v="27500"/>
    <n v="27500"/>
    <n v="0"/>
    <n v="0"/>
    <n v="0"/>
    <n v="3000"/>
    <n v="3000"/>
    <n v="0"/>
    <n v="0"/>
    <n v="0"/>
    <n v="0"/>
    <n v="0"/>
    <n v="0"/>
    <n v="0"/>
    <n v="0"/>
    <n v="0"/>
    <n v="0"/>
    <n v="0"/>
    <n v="0"/>
    <n v="0"/>
    <m/>
  </r>
  <r>
    <s v="23SDSCE01170"/>
    <s v="SORATHIYA NAITRI NIRANJANBHAI"/>
    <s v="SDS"/>
    <x v="0"/>
    <n v="2"/>
    <s v="9429315901 9913442505"/>
    <s v="9429315901 9913442505"/>
    <s v="DCE_2023-26"/>
    <s v="MYSY"/>
    <n v="27500"/>
    <n v="27500"/>
    <n v="0"/>
    <n v="0"/>
    <n v="0"/>
    <n v="3000"/>
    <n v="3000"/>
    <n v="0"/>
    <n v="0"/>
    <n v="0"/>
    <n v="0"/>
    <n v="0"/>
    <n v="0"/>
    <n v="0"/>
    <n v="0"/>
    <n v="0"/>
    <n v="0"/>
    <n v="0"/>
    <n v="0"/>
    <n v="0"/>
    <s v="MYSY (25000/-)_x0009_KSPS ( 12500/- )"/>
  </r>
  <r>
    <s v="23SDSCE01171"/>
    <s v="PRACHI THANKI"/>
    <s v="SDS"/>
    <x v="0"/>
    <n v="2"/>
    <s v="9429994885"/>
    <s v="9429994885"/>
    <s v="DCE_2023-26"/>
    <s v="KSP"/>
    <n v="27500"/>
    <n v="21250"/>
    <n v="0"/>
    <n v="6250"/>
    <n v="0"/>
    <n v="3000"/>
    <n v="3000"/>
    <n v="0"/>
    <n v="0"/>
    <n v="0"/>
    <n v="0"/>
    <n v="0"/>
    <n v="0"/>
    <n v="0"/>
    <n v="0"/>
    <n v="0"/>
    <n v="0"/>
    <n v="0"/>
    <n v="0"/>
    <n v="0"/>
    <s v="KSPS ( 6250/- )"/>
  </r>
  <r>
    <s v="23SDSCE01172"/>
    <s v="THUMMAR NIKUNJ SHAILESHBHAI"/>
    <s v="SDS"/>
    <x v="0"/>
    <n v="2"/>
    <s v="9426969742 9664669159"/>
    <s v="9426969742 9664669159"/>
    <s v="DCE_2023-26"/>
    <s v="MYSY"/>
    <n v="27500"/>
    <n v="0"/>
    <n v="0"/>
    <n v="0"/>
    <n v="27500"/>
    <n v="3000"/>
    <n v="3000"/>
    <n v="0"/>
    <n v="0"/>
    <n v="0"/>
    <n v="0"/>
    <n v="0"/>
    <n v="0"/>
    <n v="0"/>
    <n v="0"/>
    <n v="0"/>
    <n v="0"/>
    <n v="0"/>
    <n v="0"/>
    <n v="0"/>
    <m/>
  </r>
  <r>
    <s v="23SDSCE01173"/>
    <s v="VAGHASIYA TAPAN DHARMESHBHAI"/>
    <s v="SDS"/>
    <x v="0"/>
    <n v="2"/>
    <s v="9054409319 9924001189"/>
    <s v="9054409319 9924001189"/>
    <s v="DCE_2023-26"/>
    <s v="MYSY"/>
    <n v="27500"/>
    <n v="27500"/>
    <n v="0"/>
    <n v="0"/>
    <n v="0"/>
    <n v="3000"/>
    <n v="3000"/>
    <n v="0"/>
    <n v="0"/>
    <n v="0"/>
    <n v="0"/>
    <n v="0"/>
    <n v="0"/>
    <n v="0"/>
    <n v="0"/>
    <n v="0"/>
    <n v="0"/>
    <n v="0"/>
    <n v="0"/>
    <n v="0"/>
    <s v="MYSY (25000/-)_x0009_KSPS ( 12500/- )"/>
  </r>
  <r>
    <s v="23SDSCE01174"/>
    <s v="VEKARIYA NIMESH RAMESH"/>
    <s v="SDS"/>
    <x v="0"/>
    <n v="2"/>
    <s v="9316930412 9825425402"/>
    <s v="9316930412 9825425402"/>
    <s v="DCE_2023-26"/>
    <m/>
    <n v="27500"/>
    <n v="27500"/>
    <n v="0"/>
    <n v="0"/>
    <n v="0"/>
    <n v="3000"/>
    <n v="3000"/>
    <n v="0"/>
    <n v="0"/>
    <n v="0"/>
    <n v="0"/>
    <n v="0"/>
    <n v="0"/>
    <n v="0"/>
    <n v="0"/>
    <n v="0"/>
    <n v="0"/>
    <n v="0"/>
    <n v="0"/>
    <n v="0"/>
    <m/>
  </r>
  <r>
    <s v="23SDSCE01244"/>
    <s v="MAVANI MEET PRAKASHBHAI"/>
    <s v="SDS"/>
    <x v="0"/>
    <n v="2"/>
    <s v="9427410235 9427268730"/>
    <s v="9427410235 9427268730"/>
    <s v="DCE_2023-26"/>
    <m/>
    <n v="27500"/>
    <n v="0"/>
    <n v="0"/>
    <n v="0"/>
    <n v="27500"/>
    <n v="3000"/>
    <n v="0"/>
    <n v="0"/>
    <n v="0"/>
    <n v="3000"/>
    <n v="0"/>
    <n v="0"/>
    <n v="0"/>
    <n v="0"/>
    <n v="0"/>
    <n v="0"/>
    <n v="0"/>
    <n v="0"/>
    <n v="0"/>
    <n v="0"/>
    <m/>
  </r>
  <r>
    <s v="23SDSCE01601"/>
    <s v="GIFT REUBEN BONIFACE"/>
    <s v="SDS"/>
    <x v="0"/>
    <n v="2"/>
    <s v="INTERNATIONAL"/>
    <s v="INR FEE STUDENT"/>
    <s v="DCE_2023-26"/>
    <m/>
    <n v="0"/>
    <n v="0"/>
    <n v="0"/>
    <n v="0"/>
    <n v="0"/>
    <n v="3000"/>
    <n v="0"/>
    <n v="0"/>
    <n v="0"/>
    <n v="3000"/>
    <n v="0"/>
    <n v="0"/>
    <n v="0"/>
    <n v="0"/>
    <n v="0"/>
    <n v="0"/>
    <n v="0"/>
    <n v="0"/>
    <n v="0"/>
    <n v="0"/>
    <m/>
  </r>
  <r>
    <s v="23SDSCE01042"/>
    <s v="AMIPARA RAJAN MAHESHBHAI"/>
    <s v="SDS"/>
    <x v="0"/>
    <n v="2"/>
    <s v="6351733993 9601267091"/>
    <s v="6351733993 9601267091"/>
    <s v="DCE_2023-26"/>
    <s v="KSP"/>
    <n v="27500"/>
    <n v="0"/>
    <n v="0"/>
    <n v="6250"/>
    <n v="21250"/>
    <n v="3000"/>
    <n v="0"/>
    <n v="0"/>
    <n v="0"/>
    <n v="3000"/>
    <n v="0"/>
    <n v="0"/>
    <n v="0"/>
    <n v="0"/>
    <n v="0"/>
    <n v="0"/>
    <n v="0"/>
    <n v="0"/>
    <n v="0"/>
    <n v="0"/>
    <s v="KSPS ( 6250/- )"/>
  </r>
  <r>
    <s v="23SDSCE01043"/>
    <s v="ASODARIYA RUDRA RASIKBHAI"/>
    <s v="SDS"/>
    <x v="0"/>
    <n v="2"/>
    <s v="6354028109 9904682213"/>
    <s v="6354028109 9904682213"/>
    <s v="DCE_2023-26"/>
    <m/>
    <n v="27500"/>
    <n v="27500"/>
    <n v="0"/>
    <n v="0"/>
    <n v="0"/>
    <n v="3000"/>
    <n v="3000"/>
    <n v="0"/>
    <n v="0"/>
    <n v="0"/>
    <n v="0"/>
    <n v="0"/>
    <n v="0"/>
    <n v="0"/>
    <n v="0"/>
    <n v="0"/>
    <n v="0"/>
    <n v="0"/>
    <n v="0"/>
    <n v="0"/>
    <m/>
  </r>
  <r>
    <s v="23SDSCE01044"/>
    <s v="BATHANI KRISH BHARATBHAI"/>
    <s v="SDS"/>
    <x v="0"/>
    <n v="2"/>
    <s v="7622957828 7041088285"/>
    <s v="7622957828 7041088285"/>
    <s v="DCE_2023-26"/>
    <m/>
    <n v="27500"/>
    <n v="27500"/>
    <n v="0"/>
    <n v="0"/>
    <n v="0"/>
    <n v="3000"/>
    <n v="3000"/>
    <n v="0"/>
    <n v="0"/>
    <n v="0"/>
    <n v="0"/>
    <n v="0"/>
    <n v="0"/>
    <n v="0"/>
    <n v="0"/>
    <n v="0"/>
    <n v="0"/>
    <n v="0"/>
    <n v="0"/>
    <n v="0"/>
    <m/>
  </r>
  <r>
    <s v="23SDSCE01045"/>
    <s v="BHADJA PINAL DINESHBHAI"/>
    <s v="SDS"/>
    <x v="0"/>
    <n v="2"/>
    <s v="9724140602 9979360640"/>
    <s v="9724140602 9979360640"/>
    <s v="DCE_2023-26"/>
    <m/>
    <n v="27500"/>
    <n v="27500"/>
    <n v="0"/>
    <n v="0"/>
    <n v="0"/>
    <n v="3000"/>
    <n v="3000"/>
    <n v="0"/>
    <n v="0"/>
    <n v="0"/>
    <n v="0"/>
    <n v="0"/>
    <n v="0"/>
    <n v="0"/>
    <n v="0"/>
    <n v="0"/>
    <n v="0"/>
    <n v="0"/>
    <n v="0"/>
    <n v="0"/>
    <m/>
  </r>
  <r>
    <s v="23SDSCE01046"/>
    <s v="CHAUHAN UMANGBHAI VINUBHAI"/>
    <s v="SDS"/>
    <x v="0"/>
    <n v="2"/>
    <s v="6354613107 9909172584"/>
    <s v="6354613107 9909172584"/>
    <s v="DCE_2023-26"/>
    <s v="FREESHIP CARD"/>
    <n v="27500"/>
    <n v="0"/>
    <n v="0"/>
    <n v="0"/>
    <n v="27500"/>
    <n v="3000"/>
    <n v="3000"/>
    <n v="0"/>
    <n v="0"/>
    <n v="0"/>
    <n v="0"/>
    <n v="0"/>
    <n v="0"/>
    <n v="0"/>
    <n v="0"/>
    <n v="0"/>
    <n v="0"/>
    <n v="0"/>
    <n v="0"/>
    <n v="0"/>
    <s v="FREESHIP CARD"/>
  </r>
  <r>
    <s v="23SDSCE01047"/>
    <s v="CHOTALIYA KEYUR BHARATBHAI"/>
    <s v="SDS"/>
    <x v="0"/>
    <n v="2"/>
    <s v="9016099003 9824216146"/>
    <s v="9016099003 9824216146"/>
    <s v="DCE_2023-26"/>
    <m/>
    <n v="27500"/>
    <n v="27500"/>
    <n v="0"/>
    <n v="0"/>
    <n v="0"/>
    <n v="3000"/>
    <n v="3000"/>
    <n v="0"/>
    <n v="0"/>
    <n v="0"/>
    <n v="0"/>
    <n v="0"/>
    <n v="0"/>
    <n v="0"/>
    <n v="0"/>
    <n v="0"/>
    <n v="0"/>
    <n v="0"/>
    <n v="0"/>
    <n v="0"/>
    <m/>
  </r>
  <r>
    <s v="23SDSCE01048"/>
    <s v="DADHANIYA MADHAVKUMAR BHAGVANJIBHAI"/>
    <s v="SDS"/>
    <x v="0"/>
    <n v="2"/>
    <s v="7984193442 9712482680"/>
    <s v="7984193442 9712482680"/>
    <s v="DCE_2023-26"/>
    <s v="KSP"/>
    <n v="27500"/>
    <n v="0"/>
    <n v="21250"/>
    <n v="6250"/>
    <n v="21250"/>
    <n v="3000"/>
    <n v="0"/>
    <n v="3000"/>
    <n v="0"/>
    <n v="3000"/>
    <n v="0"/>
    <n v="0"/>
    <n v="0"/>
    <n v="0"/>
    <n v="0"/>
    <n v="0"/>
    <n v="0"/>
    <n v="0"/>
    <n v="0"/>
    <n v="0"/>
    <s v="KSPS ( 6250/- )"/>
  </r>
  <r>
    <s v="23SDSCE01049"/>
    <s v="DUMANIYA DHRUVBHAI BECHARBHAI"/>
    <s v="SDS"/>
    <x v="0"/>
    <n v="2"/>
    <s v="9313018190 9537358777"/>
    <s v="9313018190 9537358777"/>
    <s v="DCE_2023-26"/>
    <m/>
    <n v="27500"/>
    <n v="27500"/>
    <n v="0"/>
    <n v="0"/>
    <n v="0"/>
    <n v="3000"/>
    <n v="3000"/>
    <n v="0"/>
    <n v="0"/>
    <n v="0"/>
    <n v="0"/>
    <n v="0"/>
    <n v="0"/>
    <n v="0"/>
    <n v="0"/>
    <n v="0"/>
    <n v="0"/>
    <n v="0"/>
    <n v="0"/>
    <n v="0"/>
    <m/>
  </r>
  <r>
    <s v="23SDSCE01050"/>
    <s v="GAMBHAVA NIRAJ VIJAYBHAI"/>
    <s v="SDS"/>
    <x v="0"/>
    <n v="2"/>
    <s v="9624765055 9904538702"/>
    <s v="9624765055 9904538702"/>
    <s v="DCE_2023-26"/>
    <m/>
    <n v="27500"/>
    <n v="0"/>
    <n v="0"/>
    <n v="0"/>
    <n v="27500"/>
    <n v="3000"/>
    <n v="0"/>
    <n v="0"/>
    <n v="0"/>
    <n v="3000"/>
    <n v="0"/>
    <n v="0"/>
    <n v="0"/>
    <n v="0"/>
    <n v="0"/>
    <n v="0"/>
    <n v="0"/>
    <n v="0"/>
    <n v="0"/>
    <n v="0"/>
    <m/>
  </r>
  <r>
    <s v="23SDSCE01051"/>
    <s v="GOHIL AMAN NILESHBHAI"/>
    <s v="SDS"/>
    <x v="0"/>
    <n v="2"/>
    <s v="9624213365 9979221099"/>
    <s v="9624213365 9979221099"/>
    <s v="DCE_2023-26"/>
    <m/>
    <n v="27500"/>
    <n v="27500"/>
    <n v="0"/>
    <n v="0"/>
    <n v="0"/>
    <n v="3000"/>
    <n v="3000"/>
    <n v="0"/>
    <n v="0"/>
    <n v="0"/>
    <n v="0"/>
    <n v="0"/>
    <n v="0"/>
    <n v="0"/>
    <n v="0"/>
    <n v="0"/>
    <n v="0"/>
    <n v="0"/>
    <n v="0"/>
    <n v="0"/>
    <m/>
  </r>
  <r>
    <s v="23SDSCE01052"/>
    <s v="GUDALIYA JAYKUMAR AMRUTBHAI"/>
    <s v="SDS"/>
    <x v="0"/>
    <n v="2"/>
    <s v="9824637560 9408825895"/>
    <s v="9824637560 9408825895"/>
    <s v="DCE_2023-26"/>
    <m/>
    <n v="27500"/>
    <n v="27500"/>
    <n v="0"/>
    <n v="0"/>
    <n v="0"/>
    <n v="3000"/>
    <n v="3000"/>
    <n v="0"/>
    <n v="0"/>
    <n v="0"/>
    <n v="0"/>
    <n v="0"/>
    <n v="0"/>
    <n v="0"/>
    <n v="0"/>
    <n v="0"/>
    <n v="0"/>
    <n v="0"/>
    <n v="0"/>
    <n v="0"/>
    <m/>
  </r>
  <r>
    <s v="23SDSCE01054"/>
    <s v="JADEJA DIVYRAJSINH KRUSHNASINH"/>
    <s v="SDS"/>
    <x v="0"/>
    <n v="2"/>
    <s v="8866653770 9377128947"/>
    <s v="8866653770 9377128947"/>
    <s v="DCE_2023-26"/>
    <s v="KSP"/>
    <n v="27500"/>
    <n v="21250"/>
    <n v="0"/>
    <n v="6250"/>
    <n v="0"/>
    <n v="3000"/>
    <n v="3000"/>
    <n v="0"/>
    <n v="0"/>
    <n v="0"/>
    <n v="0"/>
    <n v="0"/>
    <n v="0"/>
    <n v="0"/>
    <n v="0"/>
    <n v="0"/>
    <n v="0"/>
    <n v="0"/>
    <n v="0"/>
    <n v="0"/>
    <s v="KSPS ( 6250/- )"/>
  </r>
  <r>
    <s v="23SDSCE01055"/>
    <s v="KABIRA TIMIR MAHESHBHAI"/>
    <s v="SDS"/>
    <x v="0"/>
    <n v="2"/>
    <s v="7383561619 9913743064"/>
    <s v="7383561619 9913743064"/>
    <s v="DCE_2023-26"/>
    <s v="FREESHIP CARD"/>
    <n v="27500"/>
    <n v="0"/>
    <n v="0"/>
    <n v="0"/>
    <n v="27500"/>
    <n v="3000"/>
    <n v="3000"/>
    <n v="0"/>
    <n v="0"/>
    <n v="0"/>
    <n v="0"/>
    <n v="0"/>
    <n v="0"/>
    <n v="0"/>
    <n v="0"/>
    <n v="0"/>
    <n v="0"/>
    <n v="0"/>
    <n v="0"/>
    <n v="0"/>
    <s v="FREESHIP CARD"/>
  </r>
  <r>
    <s v="23SDSCE01056"/>
    <s v="KANSAGARA KAVY HITENDRABHAI"/>
    <s v="SDS"/>
    <x v="0"/>
    <n v="2"/>
    <s v="9428893870 9998047105"/>
    <s v="9428893870 9998047105"/>
    <s v="DCE_2023-26"/>
    <m/>
    <n v="27500"/>
    <n v="27500"/>
    <n v="0"/>
    <n v="0"/>
    <n v="0"/>
    <n v="3000"/>
    <n v="3000"/>
    <n v="0"/>
    <n v="0"/>
    <n v="0"/>
    <n v="0"/>
    <n v="0"/>
    <n v="0"/>
    <n v="0"/>
    <n v="0"/>
    <n v="0"/>
    <n v="0"/>
    <n v="0"/>
    <n v="0"/>
    <n v="0"/>
    <m/>
  </r>
  <r>
    <s v="23SDSCE01057"/>
    <s v="KOTADIYA PRIYANSHU BHARATKUMAR"/>
    <s v="SDS"/>
    <x v="0"/>
    <n v="2"/>
    <s v="9712714902 9825435948"/>
    <s v="9712714902 9825435948"/>
    <s v="DME_2023-26"/>
    <s v="KSP"/>
    <n v="27500"/>
    <n v="21250"/>
    <n v="0"/>
    <n v="6250"/>
    <n v="0"/>
    <n v="3000"/>
    <n v="3000"/>
    <n v="0"/>
    <n v="0"/>
    <n v="0"/>
    <n v="0"/>
    <n v="0"/>
    <n v="0"/>
    <n v="0"/>
    <n v="0"/>
    <n v="0"/>
    <n v="0"/>
    <n v="0"/>
    <n v="0"/>
    <n v="0"/>
    <m/>
  </r>
  <r>
    <s v="23SDSCE01058"/>
    <s v="PARMAR DHRUVIL KANAIYALAL"/>
    <s v="SDS"/>
    <x v="0"/>
    <n v="2"/>
    <s v="7284015733 9723101816"/>
    <s v="7284015733 9723101816"/>
    <s v="DCE_2023-26"/>
    <s v="MYSY"/>
    <n v="27500"/>
    <n v="0"/>
    <n v="0"/>
    <n v="0"/>
    <n v="27500"/>
    <n v="3000"/>
    <n v="3000"/>
    <n v="0"/>
    <n v="0"/>
    <n v="0"/>
    <n v="0"/>
    <n v="0"/>
    <n v="0"/>
    <n v="0"/>
    <n v="0"/>
    <n v="0"/>
    <n v="0"/>
    <n v="0"/>
    <n v="0"/>
    <n v="0"/>
    <m/>
  </r>
  <r>
    <s v="23SDSCE01059"/>
    <s v="PITRODA KAUSHAL NIRAJBHAI"/>
    <s v="SDS"/>
    <x v="0"/>
    <n v="2"/>
    <s v="9904735309 7046356138"/>
    <s v="9904735309 7046356138"/>
    <s v="DCE_2023-26"/>
    <s v="KSP"/>
    <n v="27500"/>
    <n v="21250"/>
    <n v="0"/>
    <n v="6250"/>
    <n v="0"/>
    <n v="3000"/>
    <n v="3000"/>
    <n v="0"/>
    <n v="0"/>
    <n v="0"/>
    <n v="0"/>
    <n v="0"/>
    <n v="0"/>
    <n v="0"/>
    <n v="0"/>
    <n v="0"/>
    <n v="0"/>
    <n v="0"/>
    <n v="0"/>
    <n v="0"/>
    <s v="KSPS ( 6250/- )"/>
  </r>
  <r>
    <s v="23SDSCE01060"/>
    <s v="RANGANI PRIYANSH VASANTBHAI"/>
    <s v="SDS"/>
    <x v="0"/>
    <n v="2"/>
    <s v="9054473074 9898638637"/>
    <s v="9054473074 9898638637"/>
    <s v="DCE_2023-26"/>
    <m/>
    <n v="27500"/>
    <n v="27500"/>
    <n v="0"/>
    <n v="0"/>
    <n v="0"/>
    <n v="3000"/>
    <n v="3000"/>
    <n v="0"/>
    <n v="0"/>
    <n v="0"/>
    <n v="0"/>
    <n v="0"/>
    <n v="0"/>
    <n v="0"/>
    <n v="0"/>
    <n v="0"/>
    <n v="0"/>
    <n v="0"/>
    <n v="0"/>
    <n v="0"/>
    <m/>
  </r>
  <r>
    <s v="23SDSCE01061"/>
    <s v="RANPARIYA DAX DILIPBHAI"/>
    <s v="SDS"/>
    <x v="0"/>
    <n v="2"/>
    <s v="9512466425 7567854904"/>
    <s v="9512466425 7567854904"/>
    <s v="DCE_2023-26"/>
    <m/>
    <n v="27500"/>
    <n v="0"/>
    <n v="0"/>
    <n v="0"/>
    <n v="27500"/>
    <n v="3000"/>
    <n v="0"/>
    <n v="0"/>
    <n v="0"/>
    <n v="3000"/>
    <n v="0"/>
    <n v="0"/>
    <n v="0"/>
    <n v="0"/>
    <n v="0"/>
    <n v="0"/>
    <n v="0"/>
    <n v="0"/>
    <n v="0"/>
    <n v="0"/>
    <m/>
  </r>
  <r>
    <s v="23SDSCE01062"/>
    <s v="RUPARELIYA JIGAR HARESHBHAI"/>
    <s v="SDS"/>
    <x v="0"/>
    <n v="2"/>
    <s v="8780299348 9925544470"/>
    <s v="8780299348 9925544470"/>
    <s v="DCE_2023-26"/>
    <m/>
    <n v="27500"/>
    <n v="0"/>
    <n v="0"/>
    <n v="0"/>
    <n v="27500"/>
    <n v="3000"/>
    <n v="0"/>
    <n v="0"/>
    <n v="0"/>
    <n v="3000"/>
    <n v="0"/>
    <n v="0"/>
    <n v="0"/>
    <n v="0"/>
    <n v="0"/>
    <n v="0"/>
    <n v="0"/>
    <n v="0"/>
    <n v="0"/>
    <n v="0"/>
    <s v="FREESHIP CARD"/>
  </r>
  <r>
    <s v="23SDSCE01063"/>
    <s v="SAMTARIYA VED KETANBHAI"/>
    <s v="SDS"/>
    <x v="0"/>
    <n v="2"/>
    <s v="7874503176 7874503176"/>
    <s v="7874503176 7874503176"/>
    <s v="DCE_2023-26"/>
    <m/>
    <n v="27500"/>
    <n v="27500"/>
    <n v="0"/>
    <n v="0"/>
    <n v="0"/>
    <n v="3000"/>
    <n v="3000"/>
    <n v="0"/>
    <n v="0"/>
    <n v="0"/>
    <n v="0"/>
    <n v="0"/>
    <n v="0"/>
    <n v="0"/>
    <n v="0"/>
    <n v="0"/>
    <n v="0"/>
    <n v="0"/>
    <n v="0"/>
    <n v="0"/>
    <m/>
  </r>
  <r>
    <s v="23SDSCE01064"/>
    <s v="SARESA VISHAL NARENDRABHAI"/>
    <s v="SDS"/>
    <x v="0"/>
    <n v="2"/>
    <s v="6351390405 9327498157"/>
    <s v="6351390405 9327498157"/>
    <s v="DCE_2023-26"/>
    <s v="FREESHIP CARD"/>
    <n v="27500"/>
    <n v="0"/>
    <n v="0"/>
    <n v="0"/>
    <n v="27500"/>
    <n v="3000"/>
    <n v="3000"/>
    <n v="0"/>
    <n v="0"/>
    <n v="0"/>
    <n v="0"/>
    <n v="0"/>
    <n v="0"/>
    <n v="0"/>
    <n v="0"/>
    <n v="0"/>
    <n v="0"/>
    <n v="0"/>
    <n v="0"/>
    <n v="0"/>
    <m/>
  </r>
  <r>
    <s v="23SDSCE01065"/>
    <s v="SAVALIYA AKSHIT MUKESHBHAI"/>
    <s v="SDS"/>
    <x v="0"/>
    <n v="2"/>
    <s v="8155016591 9979679301"/>
    <s v="8155016591 9979679301"/>
    <s v="DCE_2023-26"/>
    <m/>
    <n v="27500"/>
    <n v="27500"/>
    <n v="0"/>
    <n v="0"/>
    <n v="0"/>
    <n v="3000"/>
    <n v="3000"/>
    <n v="0"/>
    <n v="0"/>
    <n v="0"/>
    <n v="0"/>
    <n v="0"/>
    <n v="0"/>
    <n v="0"/>
    <n v="0"/>
    <n v="0"/>
    <n v="0"/>
    <n v="0"/>
    <n v="0"/>
    <n v="0"/>
    <m/>
  </r>
  <r>
    <s v="23SDSCE01066"/>
    <s v="SAVALIYA SHYAM VIPULBHAI"/>
    <s v="SDS"/>
    <x v="0"/>
    <n v="2"/>
    <s v="9737369772_x000a_9924271753"/>
    <s v="9737369772_x000a_9924271753"/>
    <s v="DCE_2023-26"/>
    <m/>
    <n v="27500"/>
    <n v="27500"/>
    <n v="0"/>
    <n v="0"/>
    <n v="0"/>
    <n v="3000"/>
    <n v="3000"/>
    <n v="0"/>
    <n v="0"/>
    <n v="0"/>
    <n v="0"/>
    <n v="0"/>
    <n v="0"/>
    <n v="0"/>
    <n v="0"/>
    <n v="0"/>
    <n v="0"/>
    <n v="0"/>
    <n v="0"/>
    <n v="0"/>
    <m/>
  </r>
  <r>
    <s v="23SDSCE01068"/>
    <s v="SOJITRA SMIT ROHITBHAI"/>
    <s v="SDS"/>
    <x v="0"/>
    <n v="2"/>
    <s v="7046742397_x000a_9998452038"/>
    <s v="7046742397_x000a_9998452038"/>
    <s v="DCE_2023-26"/>
    <m/>
    <n v="27500"/>
    <n v="27500"/>
    <n v="0"/>
    <n v="0"/>
    <n v="0"/>
    <n v="3000"/>
    <n v="3000"/>
    <n v="0"/>
    <n v="0"/>
    <n v="0"/>
    <n v="0"/>
    <n v="0"/>
    <n v="0"/>
    <n v="0"/>
    <n v="0"/>
    <n v="0"/>
    <n v="0"/>
    <n v="0"/>
    <n v="0"/>
    <n v="0"/>
    <m/>
  </r>
  <r>
    <s v="23SDSCE01069"/>
    <s v="TAHELYANI JATIN KISHORBHAI"/>
    <s v="SDS"/>
    <x v="0"/>
    <n v="2"/>
    <s v="7878102550 9824425134 9426967005"/>
    <s v="7878102550 9824425134 9426967005"/>
    <s v="DCE_2023-26"/>
    <m/>
    <n v="27500"/>
    <n v="27500"/>
    <n v="0"/>
    <n v="0"/>
    <n v="0"/>
    <n v="3000"/>
    <n v="3000"/>
    <n v="0"/>
    <n v="0"/>
    <n v="0"/>
    <n v="0"/>
    <n v="0"/>
    <n v="0"/>
    <n v="0"/>
    <n v="0"/>
    <n v="0"/>
    <n v="0"/>
    <n v="0"/>
    <n v="0"/>
    <n v="0"/>
    <m/>
  </r>
  <r>
    <s v="23SDSCE01070"/>
    <s v="THUMMAR SIDDHI"/>
    <s v="SDS"/>
    <x v="0"/>
    <n v="2"/>
    <s v="8320000801 8160706100"/>
    <s v="8320000801 8160706100"/>
    <s v="DCE_2023-26"/>
    <m/>
    <n v="27500"/>
    <n v="27500"/>
    <n v="0"/>
    <n v="0"/>
    <n v="0"/>
    <n v="3000"/>
    <n v="3000"/>
    <n v="0"/>
    <n v="0"/>
    <n v="0"/>
    <n v="0"/>
    <n v="0"/>
    <n v="0"/>
    <n v="0"/>
    <n v="0"/>
    <n v="0"/>
    <n v="0"/>
    <n v="0"/>
    <n v="0"/>
    <n v="0"/>
    <m/>
  </r>
  <r>
    <s v="23SDSCE01071"/>
    <s v="TILALA YASHKUMAR BHAGVANBHAI"/>
    <s v="SDS"/>
    <x v="0"/>
    <n v="2"/>
    <s v="8849914334 9265877933"/>
    <s v="8849914334 9265877933"/>
    <s v="DCE_2023-26"/>
    <m/>
    <n v="27500"/>
    <n v="27500"/>
    <n v="0"/>
    <n v="0"/>
    <n v="0"/>
    <n v="3000"/>
    <n v="3000"/>
    <n v="0"/>
    <n v="0"/>
    <n v="0"/>
    <n v="0"/>
    <n v="0"/>
    <n v="0"/>
    <n v="0"/>
    <n v="0"/>
    <n v="0"/>
    <n v="0"/>
    <n v="0"/>
    <n v="0"/>
    <n v="0"/>
    <m/>
  </r>
  <r>
    <s v="23SDSCE01072"/>
    <s v="TRIVEDI DHRUV MAHESHBHAI"/>
    <s v="SDS"/>
    <x v="0"/>
    <n v="2"/>
    <s v="6355662769 7600028680"/>
    <s v="6355662769 7600028680"/>
    <s v="DCE_2023-26"/>
    <s v="KSP"/>
    <n v="27500"/>
    <n v="21250"/>
    <n v="0"/>
    <n v="6250"/>
    <n v="0"/>
    <n v="3000"/>
    <n v="3000"/>
    <n v="0"/>
    <n v="0"/>
    <n v="0"/>
    <n v="0"/>
    <n v="0"/>
    <n v="0"/>
    <n v="0"/>
    <n v="0"/>
    <n v="0"/>
    <n v="0"/>
    <n v="0"/>
    <n v="0"/>
    <n v="0"/>
    <s v="KSPS ( 6250/- )"/>
  </r>
  <r>
    <s v="23SDSCE01073"/>
    <s v="TUKADIYA SUBHASH KHIMJI"/>
    <s v="SDS"/>
    <x v="0"/>
    <n v="2"/>
    <s v="7096192629 9512833955"/>
    <s v="7096192629 9512833955"/>
    <s v="DCE_2023-26"/>
    <m/>
    <n v="27500"/>
    <n v="27500"/>
    <n v="0"/>
    <n v="0"/>
    <n v="0"/>
    <n v="3000"/>
    <n v="3000"/>
    <n v="0"/>
    <n v="0"/>
    <n v="0"/>
    <n v="0"/>
    <n v="0"/>
    <n v="0"/>
    <n v="0"/>
    <n v="0"/>
    <n v="0"/>
    <n v="0"/>
    <n v="0"/>
    <n v="0"/>
    <n v="0"/>
    <m/>
  </r>
  <r>
    <s v="23SDSCE01074"/>
    <s v="VACHHANI DAKSH DINESHBHAI"/>
    <s v="SDS"/>
    <x v="0"/>
    <n v="2"/>
    <s v="9484797877 7777920816 8980859299"/>
    <s v="9484797877 7777920816 8980859299"/>
    <s v="DCE_2023-26"/>
    <m/>
    <n v="27500"/>
    <n v="27500"/>
    <n v="0"/>
    <n v="0"/>
    <n v="0"/>
    <n v="3000"/>
    <n v="3000"/>
    <n v="0"/>
    <n v="0"/>
    <n v="0"/>
    <n v="0"/>
    <n v="0"/>
    <n v="0"/>
    <n v="0"/>
    <n v="0"/>
    <n v="0"/>
    <n v="0"/>
    <n v="0"/>
    <n v="0"/>
    <n v="0"/>
    <m/>
  </r>
  <r>
    <s v="23SDSCE01076"/>
    <s v="VASOYA DEEP HARESHBHAI"/>
    <s v="SDS"/>
    <x v="0"/>
    <n v="2"/>
    <s v="8128530976 9909230976"/>
    <s v="8128530976 9909230976"/>
    <s v="DCE_2023-26"/>
    <m/>
    <n v="27500"/>
    <n v="27500"/>
    <n v="0"/>
    <n v="0"/>
    <n v="0"/>
    <n v="3000"/>
    <n v="3000"/>
    <n v="0"/>
    <n v="0"/>
    <n v="0"/>
    <n v="0"/>
    <n v="0"/>
    <n v="0"/>
    <n v="0"/>
    <n v="0"/>
    <n v="0"/>
    <n v="0"/>
    <n v="0"/>
    <n v="0"/>
    <n v="0"/>
    <m/>
  </r>
  <r>
    <s v="23SDSCE01077"/>
    <s v="VEKARIYA DEV VIJAYBHAI"/>
    <s v="SDS"/>
    <x v="0"/>
    <n v="2"/>
    <s v="9106671574 9427214636"/>
    <s v="9106671574 9427214636"/>
    <s v="DCE_2023-26"/>
    <m/>
    <n v="27500"/>
    <n v="27500"/>
    <n v="0"/>
    <n v="0"/>
    <n v="0"/>
    <n v="3000"/>
    <n v="3000"/>
    <n v="0"/>
    <n v="0"/>
    <n v="0"/>
    <n v="0"/>
    <n v="0"/>
    <n v="0"/>
    <n v="0"/>
    <n v="0"/>
    <n v="0"/>
    <n v="0"/>
    <n v="0"/>
    <n v="0"/>
    <n v="0"/>
    <m/>
  </r>
  <r>
    <s v="23SDSCE01078"/>
    <s v="VEKARIYA KRISH NILESHBHAI"/>
    <s v="SDS"/>
    <x v="0"/>
    <n v="2"/>
    <s v="9727420714 9601161857"/>
    <s v="9727420714 9601161857"/>
    <s v="DCE_2023-26"/>
    <m/>
    <n v="27500"/>
    <n v="0"/>
    <n v="0"/>
    <n v="0"/>
    <n v="27500"/>
    <n v="3000"/>
    <n v="0"/>
    <n v="0"/>
    <n v="0"/>
    <n v="3000"/>
    <n v="0"/>
    <n v="0"/>
    <n v="0"/>
    <n v="0"/>
    <n v="0"/>
    <n v="0"/>
    <n v="0"/>
    <n v="0"/>
    <n v="0"/>
    <n v="0"/>
    <m/>
  </r>
  <r>
    <s v="23SDSCE01079"/>
    <s v="VEKARIYA RENISH NITINBHAI"/>
    <s v="SDS"/>
    <x v="0"/>
    <n v="2"/>
    <s v="6352810106 9824540533"/>
    <s v="6352810106 9824540533"/>
    <s v="DCE_2023-26"/>
    <m/>
    <n v="27500"/>
    <n v="27500"/>
    <n v="0"/>
    <n v="0"/>
    <n v="0"/>
    <n v="3000"/>
    <n v="3000"/>
    <n v="0"/>
    <n v="0"/>
    <n v="0"/>
    <n v="0"/>
    <n v="0"/>
    <n v="0"/>
    <n v="0"/>
    <n v="0"/>
    <n v="0"/>
    <n v="0"/>
    <n v="0"/>
    <n v="0"/>
    <n v="0"/>
    <m/>
  </r>
  <r>
    <s v="23SDSCE01080"/>
    <s v="ZAPADIYA KRISHKUMAR JAGDISHBHAI"/>
    <s v="SDS"/>
    <x v="0"/>
    <n v="2"/>
    <s v="9737415031 9909737110"/>
    <s v="9737415031 9909737110"/>
    <s v="DCE_2023-26"/>
    <m/>
    <n v="27500"/>
    <n v="0"/>
    <n v="0"/>
    <n v="0"/>
    <n v="27500"/>
    <n v="3000"/>
    <n v="0"/>
    <n v="0"/>
    <n v="0"/>
    <n v="3000"/>
    <n v="0"/>
    <n v="0"/>
    <n v="0"/>
    <n v="0"/>
    <n v="0"/>
    <n v="0"/>
    <n v="0"/>
    <n v="0"/>
    <n v="0"/>
    <n v="0"/>
    <m/>
  </r>
  <r>
    <s v="23SDSCE01175"/>
    <s v="AYDI KRISHNA PUNAMCHANDRA"/>
    <s v="SDS"/>
    <x v="0"/>
    <n v="2"/>
    <s v="9727592645 9879492645"/>
    <s v="9727592645 9879492645"/>
    <s v="DCE_2023-26"/>
    <s v="FREESHIP CARD"/>
    <n v="27500"/>
    <n v="0"/>
    <n v="0"/>
    <n v="0"/>
    <n v="27500"/>
    <n v="3000"/>
    <n v="3000"/>
    <n v="0"/>
    <n v="0"/>
    <n v="0"/>
    <n v="0"/>
    <n v="0"/>
    <n v="0"/>
    <n v="0"/>
    <n v="0"/>
    <n v="0"/>
    <n v="0"/>
    <n v="0"/>
    <n v="0"/>
    <n v="0"/>
    <s v="FREESHIP CARD"/>
  </r>
  <r>
    <s v="23SDSCE01176"/>
    <s v="BALASARA NEHAL JESHINGBHAI"/>
    <s v="SDS"/>
    <x v="0"/>
    <n v="2"/>
    <s v="9106889420 8347409616"/>
    <s v="9106889420 8347409616"/>
    <s v="DCE_2023-26"/>
    <s v="MYSY"/>
    <n v="27500"/>
    <n v="0"/>
    <n v="0"/>
    <n v="0"/>
    <n v="27500"/>
    <n v="3000"/>
    <n v="0"/>
    <n v="0"/>
    <n v="0"/>
    <n v="3000"/>
    <n v="0"/>
    <n v="0"/>
    <n v="0"/>
    <n v="0"/>
    <n v="0"/>
    <n v="0"/>
    <n v="0"/>
    <n v="0"/>
    <n v="0"/>
    <n v="0"/>
    <m/>
  </r>
  <r>
    <s v="23SDSCE01177"/>
    <s v="BARASIYA MEET KAMLESHBHAI"/>
    <s v="SDS"/>
    <x v="0"/>
    <n v="2"/>
    <s v="9023273926 8238222696"/>
    <s v="9023273926 8238222696"/>
    <s v="DCE_2023-26"/>
    <m/>
    <n v="27500"/>
    <n v="27500"/>
    <n v="0"/>
    <n v="0"/>
    <n v="0"/>
    <n v="3000"/>
    <n v="3000"/>
    <n v="0"/>
    <n v="0"/>
    <n v="0"/>
    <n v="0"/>
    <n v="0"/>
    <n v="0"/>
    <n v="0"/>
    <n v="0"/>
    <n v="0"/>
    <n v="0"/>
    <n v="0"/>
    <n v="0"/>
    <n v="0"/>
    <m/>
  </r>
  <r>
    <s v="23SDSCE01178"/>
    <s v="BHUVA ARYAN ARVINDBHAI"/>
    <s v="SDS"/>
    <x v="0"/>
    <n v="2"/>
    <s v="9104010375_x000a_9913477155"/>
    <s v="9104010375_x000a_9913477155"/>
    <s v="DCE_2023-26"/>
    <m/>
    <n v="27500"/>
    <n v="27500"/>
    <n v="0"/>
    <n v="0"/>
    <n v="0"/>
    <n v="3000"/>
    <n v="3000"/>
    <n v="0"/>
    <n v="0"/>
    <n v="0"/>
    <n v="0"/>
    <n v="0"/>
    <n v="0"/>
    <n v="0"/>
    <n v="0"/>
    <n v="0"/>
    <n v="0"/>
    <n v="0"/>
    <n v="0"/>
    <n v="0"/>
    <m/>
  </r>
  <r>
    <s v="23SDSCE01180"/>
    <s v="DODHIYA NAHIN YASINBHAI"/>
    <s v="SDS"/>
    <x v="0"/>
    <n v="2"/>
    <s v="9925867402 9925867413"/>
    <s v="9925867402 9925867413"/>
    <s v="DCE_2023-26"/>
    <m/>
    <n v="27500"/>
    <n v="27500"/>
    <n v="0"/>
    <n v="0"/>
    <n v="0"/>
    <n v="3000"/>
    <n v="3000"/>
    <n v="0"/>
    <n v="0"/>
    <n v="0"/>
    <n v="0"/>
    <n v="0"/>
    <n v="0"/>
    <n v="0"/>
    <n v="0"/>
    <n v="0"/>
    <n v="0"/>
    <n v="0"/>
    <n v="0"/>
    <n v="0"/>
    <m/>
  </r>
  <r>
    <s v="23SDSCE01181"/>
    <s v="JOSHI MRUTYUNJAY AMITBHAI"/>
    <s v="SDS"/>
    <x v="0"/>
    <n v="2"/>
    <s v="9173166363 9427237371"/>
    <s v="9173166363 9427237371"/>
    <s v="DCE_2023-26"/>
    <s v="MYSY"/>
    <n v="27500"/>
    <n v="0"/>
    <n v="0"/>
    <n v="0"/>
    <n v="27500"/>
    <n v="3000"/>
    <n v="3000"/>
    <n v="0"/>
    <n v="0"/>
    <n v="0"/>
    <n v="0"/>
    <n v="0"/>
    <n v="0"/>
    <n v="0"/>
    <n v="0"/>
    <n v="0"/>
    <n v="0"/>
    <n v="0"/>
    <n v="0"/>
    <n v="0"/>
    <m/>
  </r>
  <r>
    <s v="23SDSCE01182"/>
    <s v="KANPARIYA UMANG DILIPBHAI"/>
    <s v="SDS"/>
    <x v="0"/>
    <n v="2"/>
    <s v="8200706957 9106105223"/>
    <s v="8200706957 9106105223"/>
    <s v="DCE_2023-26"/>
    <m/>
    <n v="27500"/>
    <n v="27500"/>
    <n v="0"/>
    <n v="0"/>
    <n v="0"/>
    <n v="3000"/>
    <n v="3000"/>
    <n v="0"/>
    <n v="0"/>
    <n v="0"/>
    <n v="0"/>
    <n v="0"/>
    <n v="0"/>
    <n v="0"/>
    <n v="0"/>
    <n v="0"/>
    <n v="0"/>
    <n v="0"/>
    <n v="0"/>
    <n v="0"/>
    <m/>
  </r>
  <r>
    <s v="23SDSCE01183"/>
    <s v="KHATRA JENIL CHANDUBHAI"/>
    <s v="SDS"/>
    <x v="0"/>
    <n v="2"/>
    <s v="9512582006 9909309210"/>
    <s v="9512582006 9909309210"/>
    <s v="DCE_2023-26"/>
    <m/>
    <n v="27500"/>
    <n v="27500"/>
    <n v="0"/>
    <n v="0"/>
    <n v="0"/>
    <n v="3000"/>
    <n v="3000"/>
    <n v="0"/>
    <n v="0"/>
    <n v="0"/>
    <n v="0"/>
    <n v="0"/>
    <n v="0"/>
    <n v="0"/>
    <n v="0"/>
    <n v="0"/>
    <n v="0"/>
    <n v="0"/>
    <n v="0"/>
    <n v="0"/>
    <m/>
  </r>
  <r>
    <s v="23SDSCE01184"/>
    <s v="KHUNT MEET KANTIBHAI"/>
    <s v="SDS"/>
    <x v="0"/>
    <n v="2"/>
    <s v="9510612314 7016324081 9904554339"/>
    <s v="9510612314 7016324081 9904554339"/>
    <s v="DCE_2023-26"/>
    <s v="MYSY"/>
    <n v="27500"/>
    <n v="27500"/>
    <n v="0"/>
    <n v="0"/>
    <n v="0"/>
    <n v="3000"/>
    <n v="3000"/>
    <n v="0"/>
    <n v="0"/>
    <n v="0"/>
    <n v="0"/>
    <n v="0"/>
    <n v="0"/>
    <n v="0"/>
    <n v="0"/>
    <n v="0"/>
    <n v="0"/>
    <n v="0"/>
    <n v="0"/>
    <n v="0"/>
    <m/>
  </r>
  <r>
    <s v="23SDSCE01185"/>
    <s v="MOGHARIYA DEVAM RAJESHBHAI"/>
    <s v="SDS"/>
    <x v="0"/>
    <n v="2"/>
    <s v="7284895010 9426437604"/>
    <s v="7284895010 9426437604"/>
    <s v="DCE_2023-26"/>
    <m/>
    <n v="27500"/>
    <n v="0"/>
    <n v="0"/>
    <n v="0"/>
    <n v="27500"/>
    <n v="3000"/>
    <n v="0"/>
    <n v="0"/>
    <n v="0"/>
    <n v="3000"/>
    <n v="0"/>
    <n v="0"/>
    <n v="0"/>
    <n v="0"/>
    <n v="0"/>
    <n v="0"/>
    <n v="0"/>
    <n v="0"/>
    <n v="0"/>
    <n v="0"/>
    <m/>
  </r>
  <r>
    <s v="23SDSCE01186"/>
    <s v="MOLADIYA HARSH VIPULBHAI"/>
    <s v="SDS"/>
    <x v="0"/>
    <n v="2"/>
    <s v="6355090519 7878781282"/>
    <s v="6355090519 7878781282"/>
    <s v="DCE_2023-26"/>
    <m/>
    <n v="27500"/>
    <n v="27500"/>
    <n v="0"/>
    <n v="0"/>
    <n v="0"/>
    <n v="3000"/>
    <n v="3000"/>
    <n v="0"/>
    <n v="0"/>
    <n v="0"/>
    <n v="0"/>
    <n v="0"/>
    <n v="0"/>
    <n v="0"/>
    <n v="0"/>
    <n v="0"/>
    <n v="0"/>
    <n v="0"/>
    <n v="0"/>
    <n v="0"/>
    <m/>
  </r>
  <r>
    <s v="23SDSCE01187"/>
    <s v="PAMBHAR HITASHREE JAYESHBHAI"/>
    <s v="SDS"/>
    <x v="0"/>
    <n v="2"/>
    <s v="9879209592_x000a_8347109592"/>
    <s v="9879209592_x000a_8347109592"/>
    <s v="DCE_2023-26"/>
    <m/>
    <n v="27500"/>
    <n v="27500"/>
    <n v="0"/>
    <n v="0"/>
    <n v="0"/>
    <n v="3000"/>
    <n v="3000"/>
    <n v="0"/>
    <n v="0"/>
    <n v="0"/>
    <n v="0"/>
    <n v="0"/>
    <n v="0"/>
    <n v="0"/>
    <n v="0"/>
    <n v="0"/>
    <n v="0"/>
    <n v="0"/>
    <n v="0"/>
    <n v="0"/>
    <m/>
  </r>
  <r>
    <s v="23SDSCE01188"/>
    <s v="PARMAR MANASVI NIRAJBHAI"/>
    <s v="SDS"/>
    <x v="0"/>
    <n v="2"/>
    <s v="9913528127 9714024419"/>
    <s v="9913528127 9714024419"/>
    <s v="DCE_2023-26"/>
    <m/>
    <n v="27500"/>
    <n v="27500"/>
    <n v="0"/>
    <n v="0"/>
    <n v="0"/>
    <n v="3000"/>
    <n v="3000"/>
    <n v="0"/>
    <n v="0"/>
    <n v="0"/>
    <n v="0"/>
    <n v="0"/>
    <n v="0"/>
    <n v="0"/>
    <n v="0"/>
    <n v="0"/>
    <n v="0"/>
    <n v="0"/>
    <n v="0"/>
    <n v="0"/>
    <m/>
  </r>
  <r>
    <s v="23SDSCE01189"/>
    <s v="PARMAR SUJAL SHANKARBHAI"/>
    <s v="SDS"/>
    <x v="0"/>
    <n v="2"/>
    <s v="9510204658 8799250377"/>
    <s v="9510204658 8799250377"/>
    <s v="DCE_2023-26"/>
    <s v="FREESHIP CARD"/>
    <n v="27500"/>
    <n v="0"/>
    <n v="0"/>
    <n v="0"/>
    <n v="27500"/>
    <n v="3000"/>
    <n v="3000"/>
    <n v="0"/>
    <n v="0"/>
    <n v="0"/>
    <n v="0"/>
    <n v="0"/>
    <n v="0"/>
    <n v="0"/>
    <n v="0"/>
    <n v="0"/>
    <n v="0"/>
    <n v="0"/>
    <n v="0"/>
    <n v="0"/>
    <s v="FREESHIP CARD"/>
  </r>
  <r>
    <s v="23SDSCE01190"/>
    <s v="RABADIYA VIVEK LALJI"/>
    <s v="SDS"/>
    <x v="0"/>
    <n v="2"/>
    <s v="6352871412 9925724220"/>
    <s v="6352871412 9925724220"/>
    <s v="DCE_2023-26"/>
    <m/>
    <n v="27500"/>
    <n v="27500"/>
    <n v="0"/>
    <n v="0"/>
    <n v="0"/>
    <n v="3000"/>
    <n v="3000"/>
    <n v="0"/>
    <n v="0"/>
    <n v="0"/>
    <n v="0"/>
    <n v="0"/>
    <n v="0"/>
    <n v="0"/>
    <n v="0"/>
    <n v="0"/>
    <n v="0"/>
    <n v="0"/>
    <n v="0"/>
    <n v="0"/>
    <m/>
  </r>
  <r>
    <s v="23SDSCE01191"/>
    <s v="RADADIYA KENIL SUNILBHAI"/>
    <s v="SDS"/>
    <x v="0"/>
    <n v="2"/>
    <s v="7069706016 9574802653"/>
    <s v="7069706016 9574802653"/>
    <s v="DCV_2023-26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23SDSCE01192"/>
    <s v="RATHOD HARDIK VIJAYBHAI"/>
    <s v="SDS"/>
    <x v="0"/>
    <n v="2"/>
    <s v="9924237825 9875061563 9624329007"/>
    <s v="9924237825 9875061563 9624329007"/>
    <s v="DCE_2023-26"/>
    <m/>
    <n v="27500"/>
    <n v="27500"/>
    <n v="0"/>
    <n v="0"/>
    <n v="0"/>
    <n v="3000"/>
    <n v="3000"/>
    <n v="0"/>
    <n v="0"/>
    <n v="0"/>
    <n v="0"/>
    <n v="0"/>
    <n v="0"/>
    <n v="0"/>
    <n v="0"/>
    <n v="0"/>
    <n v="0"/>
    <n v="0"/>
    <n v="0"/>
    <n v="0"/>
    <m/>
  </r>
  <r>
    <s v="23SDSCE01193"/>
    <s v="RATHOD NANDANI VIMALBHAI"/>
    <s v="SDS"/>
    <x v="0"/>
    <n v="2"/>
    <s v="8780529191 9978240023 6353499187"/>
    <s v="8780529191 9978240023 6353499187"/>
    <s v="DCE_2023-26"/>
    <s v="MYSY"/>
    <n v="27500"/>
    <n v="0"/>
    <n v="0"/>
    <n v="0"/>
    <n v="27500"/>
    <n v="3000"/>
    <n v="0"/>
    <n v="0"/>
    <n v="0"/>
    <n v="3000"/>
    <n v="0"/>
    <n v="0"/>
    <n v="0"/>
    <n v="0"/>
    <n v="0"/>
    <n v="0"/>
    <n v="0"/>
    <n v="0"/>
    <n v="0"/>
    <n v="0"/>
    <m/>
  </r>
  <r>
    <s v="23SDSCE01194"/>
    <s v="SAPARIYA YASHKUMAR PRAFULBHAI"/>
    <s v="SDS"/>
    <x v="0"/>
    <n v="2"/>
    <s v="9510907177 9375449049"/>
    <s v="9510907177 9375449049"/>
    <s v="DCE_2023-26"/>
    <s v="KSP"/>
    <n v="27500"/>
    <n v="21250"/>
    <n v="0"/>
    <n v="6250"/>
    <n v="0"/>
    <n v="3000"/>
    <n v="3000"/>
    <n v="0"/>
    <n v="0"/>
    <n v="0"/>
    <n v="0"/>
    <n v="0"/>
    <n v="0"/>
    <n v="0"/>
    <n v="0"/>
    <n v="0"/>
    <n v="0"/>
    <n v="0"/>
    <n v="0"/>
    <n v="0"/>
    <s v="KSPS ( 6250/- )"/>
  </r>
  <r>
    <s v="23SDSCE01195"/>
    <s v="THUMMAR PRIYANK RAJESHBHAI"/>
    <s v="SDS"/>
    <x v="0"/>
    <n v="2"/>
    <s v="9313492611 7203943171"/>
    <s v="9313492611 7203943171"/>
    <s v="DCE_2023-26"/>
    <m/>
    <n v="27500"/>
    <n v="27500"/>
    <n v="0"/>
    <n v="0"/>
    <n v="0"/>
    <n v="3000"/>
    <n v="3000"/>
    <n v="0"/>
    <n v="0"/>
    <n v="0"/>
    <n v="0"/>
    <n v="0"/>
    <n v="0"/>
    <n v="0"/>
    <n v="0"/>
    <n v="0"/>
    <n v="0"/>
    <n v="0"/>
    <n v="0"/>
    <n v="0"/>
    <m/>
  </r>
  <r>
    <s v="23SDSCE01196"/>
    <s v="TIMBADIYA KRENISHKUMAR NILESHBHAI"/>
    <s v="SDS"/>
    <x v="0"/>
    <n v="2"/>
    <s v="9913527079 9687808766"/>
    <s v="9913527079 9687808766"/>
    <s v="DCE_2023-26"/>
    <s v="KSP"/>
    <n v="27500"/>
    <n v="21250"/>
    <n v="0"/>
    <n v="6250"/>
    <n v="0"/>
    <n v="3000"/>
    <n v="3000"/>
    <n v="0"/>
    <n v="0"/>
    <n v="0"/>
    <n v="0"/>
    <n v="0"/>
    <n v="0"/>
    <n v="0"/>
    <n v="0"/>
    <n v="0"/>
    <n v="0"/>
    <n v="0"/>
    <n v="0"/>
    <n v="0"/>
    <s v="KSPS ( 6250/- )"/>
  </r>
  <r>
    <s v="23SDSCE01197"/>
    <s v="VADALIYA HETUL MAHESHBHAI"/>
    <s v="SDS"/>
    <x v="0"/>
    <n v="2"/>
    <s v="9898600642 8401312642"/>
    <s v="9898600642 8401312642"/>
    <s v="DCE_2023-26"/>
    <s v="KSP"/>
    <n v="27500"/>
    <n v="21250"/>
    <n v="0"/>
    <n v="6250"/>
    <n v="0"/>
    <n v="3000"/>
    <n v="3000"/>
    <n v="0"/>
    <n v="0"/>
    <n v="0"/>
    <n v="0"/>
    <n v="0"/>
    <n v="0"/>
    <n v="0"/>
    <n v="0"/>
    <n v="0"/>
    <n v="0"/>
    <n v="0"/>
    <n v="0"/>
    <n v="0"/>
    <s v="KSPS ( 6250/- )"/>
  </r>
  <r>
    <s v="23SDSCE01198"/>
    <s v="VALA DHRUV JAGDISHBHAI"/>
    <s v="SDS"/>
    <x v="0"/>
    <n v="2"/>
    <s v="8320354308 9824497666"/>
    <s v="8320354308 9824497666"/>
    <s v="DCE_2023-26"/>
    <m/>
    <n v="27500"/>
    <n v="27500"/>
    <n v="0"/>
    <n v="0"/>
    <n v="0"/>
    <n v="3000"/>
    <n v="3000"/>
    <n v="0"/>
    <n v="0"/>
    <n v="0"/>
    <n v="0"/>
    <n v="0"/>
    <n v="0"/>
    <n v="0"/>
    <n v="0"/>
    <n v="0"/>
    <n v="0"/>
    <n v="0"/>
    <n v="0"/>
    <n v="0"/>
    <m/>
  </r>
  <r>
    <s v="23SDSCE01199"/>
    <s v="VAMJA MANAV RAJESHBHAI"/>
    <s v="SDS"/>
    <x v="0"/>
    <n v="2"/>
    <s v="9016614207 7698032980"/>
    <s v="9016614207 7698032980"/>
    <s v="DCE_2023-26"/>
    <s v="KSP"/>
    <n v="27500"/>
    <n v="25000"/>
    <n v="0"/>
    <n v="2500"/>
    <n v="0"/>
    <n v="3000"/>
    <n v="3000"/>
    <n v="0"/>
    <n v="0"/>
    <n v="0"/>
    <n v="0"/>
    <n v="0"/>
    <n v="0"/>
    <n v="0"/>
    <n v="0"/>
    <n v="0"/>
    <n v="0"/>
    <n v="0"/>
    <n v="0"/>
    <n v="0"/>
    <s v="KSPS ( 2500/- )"/>
  </r>
  <r>
    <s v="23SDSCE01200"/>
    <s v="VEKARIYA DHARMIK MUKESHBHAI"/>
    <s v="SDS"/>
    <x v="0"/>
    <n v="2"/>
    <s v="9904670330 7436085124"/>
    <s v="9904670330 7436085124"/>
    <s v="DCE_2023-26"/>
    <m/>
    <n v="27500"/>
    <n v="27500"/>
    <n v="0"/>
    <n v="0"/>
    <n v="0"/>
    <n v="3000"/>
    <n v="3000"/>
    <n v="0"/>
    <n v="0"/>
    <n v="0"/>
    <n v="0"/>
    <n v="0"/>
    <n v="0"/>
    <n v="0"/>
    <n v="0"/>
    <n v="0"/>
    <n v="0"/>
    <n v="0"/>
    <n v="0"/>
    <n v="0"/>
    <m/>
  </r>
  <r>
    <s v="23SDSCE01201"/>
    <s v="VEKARIYA SHIVAM MUKESHBHAI"/>
    <s v="SDS"/>
    <x v="0"/>
    <n v="2"/>
    <s v="9328646039 9904959541"/>
    <s v="9328646039 9904959541"/>
    <s v="DCE_2023-26"/>
    <s v="MYSY"/>
    <n v="27500"/>
    <n v="27500"/>
    <n v="0"/>
    <n v="0"/>
    <n v="0"/>
    <n v="3000"/>
    <n v="3000"/>
    <n v="0"/>
    <n v="0"/>
    <n v="0"/>
    <n v="0"/>
    <n v="0"/>
    <n v="0"/>
    <n v="0"/>
    <n v="0"/>
    <n v="0"/>
    <n v="0"/>
    <n v="0"/>
    <n v="0"/>
    <n v="0"/>
    <s v="MYSY (25000/-)"/>
  </r>
  <r>
    <s v="23SDSCE01202"/>
    <s v="VORA DEEP ARVINDBHAI"/>
    <s v="SDS"/>
    <x v="0"/>
    <n v="2"/>
    <s v="9265741437 7698375420"/>
    <s v="9265741437 7698375420"/>
    <s v="DCE_2023-26"/>
    <m/>
    <n v="27500"/>
    <n v="27500"/>
    <n v="0"/>
    <n v="0"/>
    <n v="0"/>
    <n v="3000"/>
    <n v="3000"/>
    <n v="0"/>
    <n v="0"/>
    <n v="0"/>
    <n v="0"/>
    <n v="0"/>
    <n v="0"/>
    <n v="0"/>
    <n v="0"/>
    <n v="0"/>
    <n v="0"/>
    <n v="0"/>
    <n v="0"/>
    <n v="0"/>
    <m/>
  </r>
  <r>
    <s v="23SDSCE01081"/>
    <s v="BHUVA KRINA VIJAYBHAI"/>
    <s v="SDS"/>
    <x v="0"/>
    <n v="2"/>
    <s v="7284866632 9979466632"/>
    <s v="7284866632 9979466632"/>
    <s v="DCE_2023-26"/>
    <s v="TFW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100 % SCHOLARSHIP_x000a_NO FEE"/>
  </r>
  <r>
    <s v="23SDSCE01082"/>
    <s v="BHUVA PRINSA MUKESHBHAI"/>
    <s v="SDS"/>
    <x v="0"/>
    <n v="2"/>
    <s v="9099479164 9978548753"/>
    <s v="9099479164 9978548753"/>
    <s v="DCE_2023-26"/>
    <s v="MYSY"/>
    <n v="27500"/>
    <n v="0"/>
    <n v="0"/>
    <n v="0"/>
    <n v="27500"/>
    <n v="3000"/>
    <n v="3000"/>
    <n v="0"/>
    <n v="0"/>
    <n v="0"/>
    <n v="0"/>
    <n v="0"/>
    <n v="0"/>
    <n v="0"/>
    <n v="0"/>
    <n v="0"/>
    <n v="0"/>
    <n v="0"/>
    <n v="0"/>
    <n v="0"/>
    <s v="MYSY (25000/-)_x0009_KSPS ( 12500/- )"/>
  </r>
  <r>
    <s v="23SDSCE01083"/>
    <s v="BOTADARA RAVI RAJESHBHAI"/>
    <s v="SDS"/>
    <x v="0"/>
    <n v="2"/>
    <s v="9714608697 9904942814"/>
    <s v="9714608697 9904942814"/>
    <s v="DCE_2023-26"/>
    <m/>
    <n v="27500"/>
    <n v="27500"/>
    <n v="0"/>
    <n v="0"/>
    <n v="0"/>
    <n v="3000"/>
    <n v="3000"/>
    <n v="0"/>
    <n v="0"/>
    <n v="0"/>
    <n v="0"/>
    <n v="0"/>
    <n v="0"/>
    <n v="0"/>
    <n v="0"/>
    <n v="0"/>
    <n v="0"/>
    <n v="0"/>
    <n v="0"/>
    <n v="0"/>
    <m/>
  </r>
  <r>
    <s v="23SDSCE01084"/>
    <s v="CHHAYANI PARTHIV ASHOKBHAI"/>
    <s v="SDS"/>
    <x v="0"/>
    <n v="2"/>
    <s v="9773479598 9979219949"/>
    <s v="9773479598 9979219949"/>
    <s v="DCE_2023-26"/>
    <s v="MYSY"/>
    <n v="27500"/>
    <n v="27500"/>
    <n v="0"/>
    <n v="0"/>
    <n v="0"/>
    <n v="3000"/>
    <n v="3000"/>
    <n v="0"/>
    <n v="0"/>
    <n v="0"/>
    <n v="0"/>
    <n v="0"/>
    <n v="0"/>
    <n v="0"/>
    <n v="0"/>
    <n v="0"/>
    <n v="0"/>
    <n v="0"/>
    <n v="0"/>
    <n v="0"/>
    <s v="MYSY (25000/-)_x0009_KSPS ( 12500/- )"/>
  </r>
  <r>
    <s v="23SDSCE01085"/>
    <s v="DANGARIYA UTSAVKUMAR ASHOKBHAI"/>
    <s v="SDS"/>
    <x v="0"/>
    <n v="2"/>
    <s v="9925423270 8141726280"/>
    <s v="9925423270 8141726280"/>
    <s v="DCV_2023-26"/>
    <s v="KSP"/>
    <n v="27500"/>
    <n v="21250"/>
    <n v="0"/>
    <n v="6250"/>
    <n v="0"/>
    <n v="3000"/>
    <n v="3000"/>
    <n v="0"/>
    <n v="0"/>
    <n v="0"/>
    <n v="0"/>
    <n v="0"/>
    <n v="0"/>
    <n v="0"/>
    <n v="0"/>
    <n v="0"/>
    <n v="0"/>
    <n v="0"/>
    <n v="0"/>
    <n v="0"/>
    <s v="KSPS ( 6250/- )"/>
  </r>
  <r>
    <s v="23SDSCE01086"/>
    <s v="DAVE HEMIL VIPULBHAI"/>
    <s v="SDS"/>
    <x v="0"/>
    <n v="2"/>
    <s v="9106621661 9825882086"/>
    <s v="9106621661 9825882086"/>
    <s v="DCE_2023-26"/>
    <s v="KSP"/>
    <n v="27500"/>
    <n v="21250"/>
    <n v="0"/>
    <n v="6250"/>
    <n v="0"/>
    <n v="3000"/>
    <n v="3000"/>
    <n v="0"/>
    <n v="0"/>
    <n v="0"/>
    <n v="0"/>
    <n v="0"/>
    <n v="0"/>
    <n v="0"/>
    <n v="0"/>
    <n v="0"/>
    <n v="0"/>
    <n v="0"/>
    <n v="0"/>
    <n v="0"/>
    <s v="KSPS ( 6250/- )"/>
  </r>
  <r>
    <s v="23SDSCE01087"/>
    <s v="DAVE ISHIKA ASHVINBHAI"/>
    <s v="SDS"/>
    <x v="0"/>
    <n v="2"/>
    <s v="9157838806 8780643009 9824302665"/>
    <s v="9157838806 8780643009 9824302665"/>
    <s v="DCE_2023-26"/>
    <m/>
    <n v="27500"/>
    <n v="0"/>
    <n v="0"/>
    <n v="0"/>
    <n v="27500"/>
    <n v="3000"/>
    <n v="0"/>
    <n v="0"/>
    <n v="0"/>
    <n v="3000"/>
    <n v="0"/>
    <n v="0"/>
    <n v="0"/>
    <n v="0"/>
    <n v="0"/>
    <n v="0"/>
    <n v="0"/>
    <n v="0"/>
    <n v="0"/>
    <n v="0"/>
    <m/>
  </r>
  <r>
    <s v="23SDSCE01088"/>
    <s v="DOBARIYA BHAVY PRAKASHBHAI"/>
    <s v="SDS"/>
    <x v="0"/>
    <n v="2"/>
    <s v="9664686936 9725459588"/>
    <s v="9664686936 9725459588"/>
    <s v="DCE_2023-26"/>
    <m/>
    <n v="27500"/>
    <n v="27500"/>
    <n v="0"/>
    <n v="0"/>
    <n v="0"/>
    <n v="3000"/>
    <n v="3000"/>
    <n v="0"/>
    <n v="0"/>
    <n v="0"/>
    <n v="0"/>
    <n v="0"/>
    <n v="0"/>
    <n v="0"/>
    <n v="0"/>
    <n v="0"/>
    <n v="0"/>
    <n v="0"/>
    <n v="0"/>
    <n v="0"/>
    <m/>
  </r>
  <r>
    <s v="23SDSCE01089"/>
    <s v="DUDHREJIYA MANALI GOPALBHAI"/>
    <s v="SDS"/>
    <x v="0"/>
    <n v="2"/>
    <s v="9173941505 9376925513"/>
    <s v="9173941505 9376925513"/>
    <s v="DCE_2023-26"/>
    <m/>
    <n v="27500"/>
    <n v="27500"/>
    <n v="0"/>
    <n v="0"/>
    <n v="0"/>
    <n v="3000"/>
    <n v="3000"/>
    <n v="0"/>
    <n v="0"/>
    <n v="0"/>
    <n v="0"/>
    <n v="0"/>
    <n v="0"/>
    <n v="0"/>
    <n v="0"/>
    <n v="0"/>
    <n v="0"/>
    <n v="0"/>
    <n v="0"/>
    <n v="0"/>
    <m/>
  </r>
  <r>
    <s v="23SDSCE01090"/>
    <s v="GEDIYA PRIYANSH SURESHBHAI"/>
    <s v="SDS"/>
    <x v="0"/>
    <n v="2"/>
    <s v="9879258758_x000a_8200471734"/>
    <s v="9879258758_x000a_8200471734"/>
    <s v="DCE_2023-26"/>
    <s v="KSP"/>
    <n v="27500"/>
    <n v="0"/>
    <n v="0"/>
    <n v="6250"/>
    <n v="21250"/>
    <n v="3000"/>
    <n v="0"/>
    <n v="0"/>
    <n v="0"/>
    <n v="3000"/>
    <n v="0"/>
    <n v="0"/>
    <n v="0"/>
    <n v="0"/>
    <n v="0"/>
    <n v="0"/>
    <n v="0"/>
    <n v="0"/>
    <n v="0"/>
    <n v="0"/>
    <s v="KSPS ( 6250/- )"/>
  </r>
  <r>
    <s v="23SDSCE01091"/>
    <s v="GHARVALIYA JAY ATULBHAI"/>
    <s v="SDS"/>
    <x v="0"/>
    <n v="2"/>
    <s v="9375585894 9328005332"/>
    <s v="9375585894 9328005332"/>
    <s v="DCE_2023-26"/>
    <m/>
    <n v="27500"/>
    <n v="27500"/>
    <n v="0"/>
    <n v="0"/>
    <n v="0"/>
    <n v="3000"/>
    <n v="3000"/>
    <n v="0"/>
    <n v="0"/>
    <n v="0"/>
    <n v="0"/>
    <n v="0"/>
    <n v="0"/>
    <n v="0"/>
    <n v="0"/>
    <n v="0"/>
    <n v="0"/>
    <n v="0"/>
    <n v="0"/>
    <n v="0"/>
    <m/>
  </r>
  <r>
    <s v="23SDSCE01092"/>
    <s v="GHIYAD VISHVA MANISHBHAI"/>
    <s v="SDS"/>
    <x v="0"/>
    <n v="2"/>
    <s v="8690745415 9998871704"/>
    <s v="8690745415 9998871704"/>
    <s v="DCE_2023-26"/>
    <s v="KSP"/>
    <n v="27500"/>
    <n v="25000"/>
    <n v="0"/>
    <n v="2500"/>
    <n v="0"/>
    <n v="3000"/>
    <n v="3000"/>
    <n v="0"/>
    <n v="0"/>
    <n v="0"/>
    <n v="0"/>
    <n v="0"/>
    <n v="0"/>
    <n v="0"/>
    <n v="0"/>
    <n v="0"/>
    <n v="0"/>
    <n v="0"/>
    <n v="0"/>
    <n v="0"/>
    <s v="KSPS ( 2500/- )"/>
  </r>
  <r>
    <s v="23SDSCE01093"/>
    <s v="GOSWAMI PARTH MANOJVAN"/>
    <s v="SDS"/>
    <x v="0"/>
    <n v="2"/>
    <s v="7984785595 9427245850"/>
    <s v="7984785595 9427245850"/>
    <s v="DCE_2023-26"/>
    <m/>
    <n v="27500"/>
    <n v="27500"/>
    <n v="0"/>
    <n v="0"/>
    <n v="0"/>
    <n v="3000"/>
    <n v="3000"/>
    <n v="0"/>
    <n v="0"/>
    <n v="0"/>
    <n v="0"/>
    <n v="0"/>
    <n v="0"/>
    <n v="0"/>
    <n v="0"/>
    <n v="0"/>
    <n v="0"/>
    <n v="0"/>
    <n v="0"/>
    <n v="0"/>
    <m/>
  </r>
  <r>
    <s v="23SDSCE01094"/>
    <s v="JADEJA BHAGYASHRIBA AJAYSINH"/>
    <s v="SDS"/>
    <x v="0"/>
    <n v="2"/>
    <s v="9313523870 9978206452"/>
    <s v="9313523870 9978206452"/>
    <s v="DCE_2023-26"/>
    <m/>
    <n v="27500"/>
    <n v="27500"/>
    <n v="0"/>
    <n v="0"/>
    <n v="0"/>
    <n v="3000"/>
    <n v="3000"/>
    <n v="0"/>
    <n v="0"/>
    <n v="0"/>
    <n v="0"/>
    <n v="0"/>
    <n v="0"/>
    <n v="0"/>
    <n v="0"/>
    <n v="0"/>
    <n v="0"/>
    <n v="0"/>
    <n v="0"/>
    <n v="0"/>
    <m/>
  </r>
  <r>
    <s v="23SDSCE01095"/>
    <s v="JOTANGIYA ANJALI ASHWINBHAI"/>
    <s v="SDS"/>
    <x v="0"/>
    <n v="2"/>
    <s v="9979135759"/>
    <s v="9979135759"/>
    <s v="DCE_2023-26"/>
    <m/>
    <n v="27500"/>
    <n v="27500"/>
    <n v="0"/>
    <n v="0"/>
    <n v="0"/>
    <n v="3000"/>
    <n v="3000"/>
    <n v="0"/>
    <n v="0"/>
    <n v="0"/>
    <n v="0"/>
    <n v="0"/>
    <n v="0"/>
    <n v="0"/>
    <n v="0"/>
    <n v="0"/>
    <n v="0"/>
    <n v="0"/>
    <n v="0"/>
    <n v="0"/>
    <m/>
  </r>
  <r>
    <s v="23SDSCE01096"/>
    <s v="KALADIYA MAHEK ASHIKYUSUF"/>
    <s v="SDS"/>
    <x v="0"/>
    <n v="2"/>
    <s v="8200099456 9824251831"/>
    <s v="8200099456 9824251831"/>
    <s v="DCE_2023-26"/>
    <m/>
    <n v="27500"/>
    <n v="27500"/>
    <n v="0"/>
    <n v="0"/>
    <n v="0"/>
    <n v="3000"/>
    <n v="3000"/>
    <n v="0"/>
    <n v="0"/>
    <n v="0"/>
    <n v="0"/>
    <n v="0"/>
    <n v="0"/>
    <n v="0"/>
    <n v="0"/>
    <n v="0"/>
    <n v="0"/>
    <n v="0"/>
    <n v="0"/>
    <n v="0"/>
    <m/>
  </r>
  <r>
    <s v="23SDSCE01097"/>
    <s v="KAPADIYA KENIL ATULBHAI"/>
    <s v="SDS"/>
    <x v="0"/>
    <n v="2"/>
    <s v="9712815937 9426715937"/>
    <s v="9712815937 9426715937"/>
    <s v="DCE_2023-26"/>
    <s v="MYSY"/>
    <n v="27500"/>
    <n v="27500"/>
    <n v="0"/>
    <n v="0"/>
    <n v="0"/>
    <n v="3000"/>
    <n v="3000"/>
    <n v="0"/>
    <n v="0"/>
    <n v="0"/>
    <n v="0"/>
    <n v="0"/>
    <n v="0"/>
    <n v="0"/>
    <n v="0"/>
    <n v="0"/>
    <n v="0"/>
    <n v="0"/>
    <n v="0"/>
    <n v="0"/>
    <s v="MYSY (25000/-)_x0009_KSPS ( 12500/- )"/>
  </r>
  <r>
    <s v="23SDSCE01098"/>
    <s v="KARKAR KRUSITA RAJESHBHAI"/>
    <s v="SDS"/>
    <x v="0"/>
    <n v="2"/>
    <s v="9023347970 9428769961"/>
    <s v="9023347970 9428769961"/>
    <s v="DCE_2023-26"/>
    <m/>
    <n v="27500"/>
    <n v="27500"/>
    <n v="0"/>
    <n v="0"/>
    <n v="0"/>
    <n v="3000"/>
    <n v="3000"/>
    <n v="0"/>
    <n v="0"/>
    <n v="0"/>
    <n v="0"/>
    <n v="0"/>
    <n v="0"/>
    <n v="0"/>
    <n v="0"/>
    <n v="0"/>
    <n v="0"/>
    <n v="0"/>
    <n v="0"/>
    <n v="0"/>
    <m/>
  </r>
  <r>
    <s v="23SDSCE01099"/>
    <s v="KHOLIYA JAY RAJESHBHAI"/>
    <s v="SDS"/>
    <x v="0"/>
    <n v="2"/>
    <s v="8128742590 9909460414"/>
    <s v="8128742590 9909460414"/>
    <s v="DCE_2023-26"/>
    <s v="MYSY"/>
    <n v="27500"/>
    <n v="0"/>
    <n v="0"/>
    <n v="0"/>
    <n v="27500"/>
    <n v="3000"/>
    <n v="3000"/>
    <n v="0"/>
    <n v="0"/>
    <n v="0"/>
    <n v="0"/>
    <n v="0"/>
    <n v="0"/>
    <n v="0"/>
    <n v="0"/>
    <n v="0"/>
    <n v="0"/>
    <n v="0"/>
    <n v="0"/>
    <n v="0"/>
    <s v="MYSY (25000/-)_x0009_KSPS ( 12500/- )"/>
  </r>
  <r>
    <s v="23SDSCE01100"/>
    <s v="KHUNT VANSH SUNILBHAI"/>
    <s v="SDS"/>
    <x v="0"/>
    <n v="2"/>
    <s v="9662556448 6353689298 9998341444"/>
    <s v="9662556448 6353689298 9998341444"/>
    <s v="DCE_2023-26"/>
    <m/>
    <n v="27500"/>
    <n v="27500"/>
    <n v="0"/>
    <n v="0"/>
    <n v="0"/>
    <n v="3000"/>
    <n v="3000"/>
    <n v="0"/>
    <n v="0"/>
    <n v="0"/>
    <n v="0"/>
    <n v="0"/>
    <n v="0"/>
    <n v="0"/>
    <n v="0"/>
    <n v="0"/>
    <n v="0"/>
    <n v="0"/>
    <n v="0"/>
    <n v="0"/>
    <m/>
  </r>
  <r>
    <s v="23SDSCE01101"/>
    <s v="LADANI PALAKBEN DIPAKBHAI"/>
    <s v="SDS"/>
    <x v="0"/>
    <n v="2"/>
    <s v="7567282059 8347348599"/>
    <s v="7567282059 8347348599"/>
    <s v="DCE_2023-26"/>
    <s v="MYSY"/>
    <n v="27500"/>
    <n v="15000"/>
    <n v="0"/>
    <n v="12500"/>
    <n v="0"/>
    <n v="3000"/>
    <n v="3000"/>
    <n v="0"/>
    <n v="0"/>
    <n v="0"/>
    <n v="0"/>
    <n v="0"/>
    <n v="0"/>
    <n v="0"/>
    <n v="0"/>
    <n v="0"/>
    <n v="0"/>
    <n v="0"/>
    <n v="0"/>
    <n v="0"/>
    <s v="KSPS ( 6250/- )_x000a_RS 6250 1ST SEM TRANSFER TO HERE"/>
  </r>
  <r>
    <s v="23SDSCE01102"/>
    <s v="MASANI AMRUT KALIDASBHAI"/>
    <s v="SDS"/>
    <x v="0"/>
    <n v="2"/>
    <s v="9724427465 9106725651"/>
    <s v="9724427465 9106725651"/>
    <s v="DCE_2023-26"/>
    <m/>
    <n v="27500"/>
    <n v="27500"/>
    <n v="0"/>
    <n v="0"/>
    <n v="0"/>
    <n v="3000"/>
    <n v="3000"/>
    <n v="0"/>
    <n v="0"/>
    <n v="0"/>
    <n v="0"/>
    <n v="0"/>
    <n v="0"/>
    <n v="0"/>
    <n v="0"/>
    <n v="0"/>
    <n v="0"/>
    <n v="0"/>
    <n v="0"/>
    <n v="0"/>
    <m/>
  </r>
  <r>
    <s v="23SDSCE01103"/>
    <s v="MONPARA PRINCE SHAILESHBHAI"/>
    <s v="SDS"/>
    <x v="0"/>
    <n v="2"/>
    <s v="7016480572 9879630961"/>
    <s v="7016480572 9879630961"/>
    <s v="DCE_2023-26"/>
    <m/>
    <n v="27500"/>
    <n v="0"/>
    <n v="0"/>
    <n v="0"/>
    <n v="27500"/>
    <n v="3000"/>
    <n v="0"/>
    <n v="0"/>
    <n v="0"/>
    <n v="3000"/>
    <n v="0"/>
    <n v="0"/>
    <n v="0"/>
    <n v="0"/>
    <n v="0"/>
    <n v="0"/>
    <n v="0"/>
    <n v="0"/>
    <n v="0"/>
    <n v="0"/>
    <m/>
  </r>
  <r>
    <s v="23SDSCE01104"/>
    <s v="NANDANIYA JENIL GIRISHBHAI"/>
    <s v="SDS"/>
    <x v="0"/>
    <n v="2"/>
    <s v="9313277615 9879029251"/>
    <s v="9313277615 9879029251"/>
    <s v="DCE_2023-26"/>
    <m/>
    <n v="27500"/>
    <n v="27500"/>
    <n v="0"/>
    <n v="0"/>
    <n v="0"/>
    <n v="3000"/>
    <n v="3000"/>
    <n v="0"/>
    <n v="0"/>
    <n v="0"/>
    <n v="0"/>
    <n v="0"/>
    <n v="0"/>
    <n v="0"/>
    <n v="0"/>
    <n v="0"/>
    <n v="0"/>
    <n v="0"/>
    <n v="0"/>
    <n v="0"/>
    <m/>
  </r>
  <r>
    <s v="23SDSCE01105"/>
    <s v="PADALIYA MAAN RINKALBHAI"/>
    <s v="SDS"/>
    <x v="0"/>
    <n v="2"/>
    <s v="9998101586 9925632357 "/>
    <s v="9998101586 9925632357 "/>
    <s v="DME_2023-26"/>
    <m/>
    <n v="27500"/>
    <n v="27500"/>
    <n v="0"/>
    <n v="0"/>
    <n v="0"/>
    <n v="3000"/>
    <n v="3000"/>
    <n v="0"/>
    <n v="0"/>
    <n v="0"/>
    <n v="0"/>
    <n v="0"/>
    <n v="0"/>
    <n v="0"/>
    <n v="0"/>
    <n v="0"/>
    <n v="0"/>
    <n v="0"/>
    <n v="0"/>
    <n v="0"/>
    <m/>
  </r>
  <r>
    <s v="23SDSCE01106"/>
    <s v="PADALIYA VED VIMALBHAI"/>
    <s v="SDS"/>
    <x v="0"/>
    <n v="2"/>
    <s v="9106799512 9925894055"/>
    <s v="9106799512 9925894055"/>
    <s v="DCE_2023-26"/>
    <m/>
    <n v="27500"/>
    <n v="27500"/>
    <n v="0"/>
    <n v="0"/>
    <n v="0"/>
    <n v="3000"/>
    <n v="3000"/>
    <n v="0"/>
    <n v="0"/>
    <n v="0"/>
    <n v="0"/>
    <n v="0"/>
    <n v="0"/>
    <n v="0"/>
    <n v="0"/>
    <n v="0"/>
    <n v="0"/>
    <n v="0"/>
    <n v="0"/>
    <n v="0"/>
    <m/>
  </r>
  <r>
    <s v="23SDSCE01107"/>
    <s v="PAGHDAR PART HARDASBHAI"/>
    <s v="SDS"/>
    <x v="0"/>
    <n v="2"/>
    <s v="8140668221 9106526861"/>
    <s v="8140668221 9106526861"/>
    <s v="DCE_2023-26"/>
    <s v="MYSY"/>
    <n v="27500"/>
    <n v="27500"/>
    <n v="0"/>
    <n v="0"/>
    <n v="0"/>
    <n v="3000"/>
    <n v="3000"/>
    <n v="0"/>
    <n v="0"/>
    <n v="0"/>
    <n v="0"/>
    <n v="0"/>
    <n v="0"/>
    <n v="0"/>
    <n v="0"/>
    <n v="0"/>
    <n v="0"/>
    <n v="0"/>
    <n v="0"/>
    <n v="0"/>
    <s v="MYSY (25000/-)_x0009_KSPS ( 12500/- )"/>
  </r>
  <r>
    <s v="23SDSCE01108"/>
    <s v="PANCHASARA VIVEK VIJAYBHAI"/>
    <s v="SDS"/>
    <x v="0"/>
    <n v="2"/>
    <s v="9737175978 9979602467"/>
    <s v="9737175978 9979602467"/>
    <s v="DCE_2023-26"/>
    <s v="KSP"/>
    <n v="27500"/>
    <n v="21250"/>
    <n v="0"/>
    <n v="6250"/>
    <n v="0"/>
    <n v="3000"/>
    <n v="3000"/>
    <n v="0"/>
    <n v="0"/>
    <n v="0"/>
    <n v="0"/>
    <n v="0"/>
    <n v="0"/>
    <n v="0"/>
    <n v="0"/>
    <n v="0"/>
    <n v="0"/>
    <n v="0"/>
    <n v="0"/>
    <n v="0"/>
    <s v="KSPS ( 6250/- )"/>
  </r>
  <r>
    <s v="23SDSCE01109"/>
    <s v="PATRA SABUJ SANJAY"/>
    <s v="SDS"/>
    <x v="0"/>
    <n v="2"/>
    <s v="9409510510 9408651950"/>
    <s v="9409510510 9408651950"/>
    <s v="DCE_2023-26"/>
    <m/>
    <n v="27500"/>
    <n v="27500"/>
    <n v="0"/>
    <n v="0"/>
    <n v="0"/>
    <n v="3000"/>
    <n v="3000"/>
    <n v="0"/>
    <n v="0"/>
    <n v="0"/>
    <n v="0"/>
    <n v="0"/>
    <n v="0"/>
    <n v="0"/>
    <n v="0"/>
    <n v="0"/>
    <n v="0"/>
    <n v="0"/>
    <n v="0"/>
    <n v="0"/>
    <m/>
  </r>
  <r>
    <s v="23SDSCE01110"/>
    <s v="PIPALIYA JEEL VINODBHAI"/>
    <s v="SDS"/>
    <x v="0"/>
    <n v="2"/>
    <s v="9824940955_x000a_9016184541"/>
    <s v="9824940955_x000a_9016184541"/>
    <s v="DCE_2023-26"/>
    <s v="KSP"/>
    <n v="27500"/>
    <n v="21250"/>
    <n v="0"/>
    <n v="6250"/>
    <n v="0"/>
    <n v="3000"/>
    <n v="3000"/>
    <n v="0"/>
    <n v="0"/>
    <n v="0"/>
    <n v="0"/>
    <n v="0"/>
    <n v="0"/>
    <n v="0"/>
    <n v="0"/>
    <n v="0"/>
    <n v="0"/>
    <n v="0"/>
    <n v="0"/>
    <n v="0"/>
    <s v="KSPS ( 6250/- )"/>
  </r>
  <r>
    <s v="23SDSCE01111"/>
    <s v="POPAT RIYA SACHINBHAI"/>
    <s v="SDS"/>
    <x v="0"/>
    <n v="2"/>
    <s v="9558717749 9328174046 9510304443"/>
    <s v="9558717749 9328174046 9510304443"/>
    <s v="DCE_2023-26"/>
    <s v="MYSY"/>
    <n v="27500"/>
    <n v="0"/>
    <n v="0"/>
    <n v="0"/>
    <n v="27500"/>
    <n v="3000"/>
    <n v="3000"/>
    <n v="0"/>
    <n v="0"/>
    <n v="0"/>
    <n v="0"/>
    <n v="0"/>
    <n v="0"/>
    <n v="0"/>
    <n v="0"/>
    <n v="0"/>
    <n v="0"/>
    <n v="0"/>
    <n v="0"/>
    <n v="0"/>
    <m/>
  </r>
  <r>
    <s v="23SDSCE01112"/>
    <s v="POSHIYA KIRTAN SHAILESHBHAI"/>
    <s v="SDS"/>
    <x v="0"/>
    <n v="2"/>
    <s v="9624765055 9904538702"/>
    <s v="9624765055 9904538702"/>
    <s v="DCE_2023-26"/>
    <m/>
    <n v="27500"/>
    <n v="27500"/>
    <n v="0"/>
    <n v="0"/>
    <n v="0"/>
    <n v="3000"/>
    <n v="3000"/>
    <n v="0"/>
    <n v="0"/>
    <n v="0"/>
    <n v="0"/>
    <n v="0"/>
    <n v="0"/>
    <n v="0"/>
    <n v="0"/>
    <n v="0"/>
    <n v="0"/>
    <n v="0"/>
    <n v="0"/>
    <n v="0"/>
    <m/>
  </r>
  <r>
    <s v="23SDSCE01113"/>
    <s v="RAKHAIYA MAHAVIR HITESHBHAI"/>
    <s v="SDS"/>
    <x v="0"/>
    <n v="2"/>
    <s v="6356733039 7698177077"/>
    <s v="6356733039 7698177077"/>
    <s v="DCE_2023-26"/>
    <s v="FREESHIP CARD"/>
    <n v="27500"/>
    <n v="0"/>
    <n v="0"/>
    <n v="0"/>
    <n v="27500"/>
    <n v="3000"/>
    <n v="0"/>
    <n v="0"/>
    <n v="0"/>
    <n v="3000"/>
    <n v="0"/>
    <n v="0"/>
    <n v="0"/>
    <n v="0"/>
    <n v="0"/>
    <n v="0"/>
    <n v="0"/>
    <n v="0"/>
    <n v="0"/>
    <n v="0"/>
    <s v="FREESHIP CARD"/>
  </r>
  <r>
    <s v="23SDSCE01114"/>
    <s v="RATHOD PARTH HARESHBHAI"/>
    <s v="SDS"/>
    <x v="0"/>
    <n v="2"/>
    <s v="6356134018 9979442815"/>
    <s v="6356134018 9979442815"/>
    <s v="DCE_2023-26"/>
    <m/>
    <n v="27500"/>
    <n v="0"/>
    <n v="0"/>
    <n v="0"/>
    <n v="27500"/>
    <n v="3000"/>
    <n v="0"/>
    <n v="0"/>
    <n v="0"/>
    <n v="3000"/>
    <n v="0"/>
    <n v="0"/>
    <n v="0"/>
    <n v="0"/>
    <n v="0"/>
    <n v="0"/>
    <n v="0"/>
    <n v="0"/>
    <n v="0"/>
    <n v="0"/>
    <m/>
  </r>
  <r>
    <s v="23SDSCE01115"/>
    <s v="RATHOD PRIYANKA DIPAKBHAI"/>
    <s v="SDS"/>
    <x v="0"/>
    <n v="2"/>
    <s v="8849924469"/>
    <s v="8849924469"/>
    <s v="DCE_2023-26"/>
    <m/>
    <n v="27500"/>
    <n v="0"/>
    <n v="0"/>
    <n v="0"/>
    <n v="27500"/>
    <n v="3000"/>
    <n v="0"/>
    <n v="0"/>
    <n v="0"/>
    <n v="3000"/>
    <n v="0"/>
    <n v="0"/>
    <n v="0"/>
    <n v="0"/>
    <n v="0"/>
    <n v="0"/>
    <n v="0"/>
    <n v="0"/>
    <n v="0"/>
    <n v="0"/>
    <m/>
  </r>
  <r>
    <s v="23SDSCE01117"/>
    <s v="SANGADIYA ADITYABHAI GIRISHBHAI"/>
    <s v="SDS"/>
    <x v="0"/>
    <n v="2"/>
    <s v="7698367408 9924008808"/>
    <s v="7698367408 9924008808"/>
    <s v="DCE_2023-26"/>
    <m/>
    <n v="27500"/>
    <n v="27500"/>
    <n v="0"/>
    <n v="0"/>
    <n v="0"/>
    <n v="3000"/>
    <n v="3000"/>
    <n v="0"/>
    <n v="0"/>
    <n v="0"/>
    <n v="0"/>
    <n v="0"/>
    <n v="0"/>
    <n v="0"/>
    <n v="0"/>
    <n v="0"/>
    <n v="0"/>
    <n v="0"/>
    <n v="0"/>
    <n v="0"/>
    <m/>
  </r>
  <r>
    <s v="23SDSCE01118"/>
    <s v="SAPARIYA DHRUV MAHESHBHAI"/>
    <s v="SDS"/>
    <x v="0"/>
    <n v="2"/>
    <s v="8320111018 9427772766 9106835045"/>
    <s v="8320111018 9427772766 9106835045"/>
    <s v="DCE_2023-26"/>
    <m/>
    <n v="27500"/>
    <n v="27500"/>
    <n v="0"/>
    <n v="0"/>
    <n v="0"/>
    <n v="3000"/>
    <n v="3000"/>
    <n v="0"/>
    <n v="0"/>
    <n v="0"/>
    <n v="0"/>
    <n v="0"/>
    <n v="0"/>
    <n v="0"/>
    <n v="0"/>
    <n v="0"/>
    <n v="0"/>
    <n v="0"/>
    <n v="0"/>
    <n v="0"/>
    <m/>
  </r>
  <r>
    <s v="23SDSCE01119"/>
    <s v="SHAHMADAR NOMAN HARUNSHA"/>
    <s v="SDS"/>
    <x v="0"/>
    <n v="2"/>
    <s v="8511989895 7041666411"/>
    <s v="8511989895 7041666411"/>
    <s v="DCE_2023-26"/>
    <m/>
    <n v="27500"/>
    <n v="27500"/>
    <n v="0"/>
    <n v="0"/>
    <n v="0"/>
    <n v="3000"/>
    <n v="3000"/>
    <n v="0"/>
    <n v="0"/>
    <n v="0"/>
    <n v="0"/>
    <n v="0"/>
    <n v="0"/>
    <n v="0"/>
    <n v="0"/>
    <n v="0"/>
    <n v="0"/>
    <n v="0"/>
    <n v="0"/>
    <n v="0"/>
    <m/>
  </r>
  <r>
    <s v="23SDSCE01120"/>
    <s v="DAKSHKUMAR SINDHAV"/>
    <s v="SDS"/>
    <x v="0"/>
    <n v="2"/>
    <s v="9898875474_x000a_9574783320"/>
    <s v="9898875474_x000a_9574783320"/>
    <s v="DCE_2023-26"/>
    <s v="FREESHIP CARD"/>
    <n v="27500"/>
    <n v="0"/>
    <n v="0"/>
    <n v="0"/>
    <n v="27500"/>
    <n v="3000"/>
    <n v="0"/>
    <n v="0"/>
    <n v="0"/>
    <n v="3000"/>
    <n v="0"/>
    <n v="0"/>
    <n v="0"/>
    <n v="0"/>
    <n v="0"/>
    <n v="0"/>
    <n v="0"/>
    <n v="0"/>
    <n v="0"/>
    <n v="0"/>
    <s v="FREESHIP CARD"/>
  </r>
  <r>
    <s v="23SDSCE01121"/>
    <s v="SOLANKI PARTH BHARATBHAI"/>
    <s v="SDS"/>
    <x v="0"/>
    <n v="2"/>
    <s v="9624765055 9904538702"/>
    <s v="9624765055 9904538702"/>
    <s v="DCE_2023-26"/>
    <s v="KSP"/>
    <n v="27500"/>
    <n v="21250"/>
    <n v="0"/>
    <n v="6250"/>
    <n v="0"/>
    <n v="3000"/>
    <n v="3000"/>
    <n v="0"/>
    <n v="0"/>
    <n v="0"/>
    <n v="0"/>
    <n v="0"/>
    <n v="0"/>
    <n v="0"/>
    <n v="0"/>
    <n v="0"/>
    <n v="0"/>
    <n v="0"/>
    <n v="0"/>
    <n v="0"/>
    <s v="KSPS ( 6250/- )"/>
  </r>
  <r>
    <s v="23SDSCE01122"/>
    <s v="SHYAM NAVIN"/>
    <s v="SDS"/>
    <x v="0"/>
    <n v="2"/>
    <s v="6355895394_x000a_9904720880"/>
    <s v="6355895394_x000a_9904720880"/>
    <s v="DCE_2023-26"/>
    <s v="MYSY"/>
    <n v="27500"/>
    <n v="27500"/>
    <n v="0"/>
    <n v="0"/>
    <n v="0"/>
    <n v="3000"/>
    <n v="3000"/>
    <n v="0"/>
    <n v="0"/>
    <n v="0"/>
    <n v="0"/>
    <n v="0"/>
    <n v="0"/>
    <n v="0"/>
    <n v="0"/>
    <n v="0"/>
    <n v="0"/>
    <n v="0"/>
    <n v="0"/>
    <n v="0"/>
    <s v="MYSY (25000/-)_x0009_KSPS ( 12500/- )"/>
  </r>
  <r>
    <s v="23SDSCE01123"/>
    <s v="VISHNUSWAMI BANSARI RAMESHBHAI"/>
    <s v="SDS"/>
    <x v="0"/>
    <n v="2"/>
    <s v="8849924469"/>
    <s v="8849924469"/>
    <s v="DCE_2023-26"/>
    <s v="KSP"/>
    <n v="27500"/>
    <n v="0"/>
    <n v="0"/>
    <n v="6250"/>
    <n v="21250"/>
    <n v="3000"/>
    <n v="0"/>
    <n v="0"/>
    <n v="0"/>
    <n v="3000"/>
    <n v="0"/>
    <n v="0"/>
    <n v="0"/>
    <n v="0"/>
    <n v="0"/>
    <n v="0"/>
    <n v="0"/>
    <n v="0"/>
    <n v="0"/>
    <n v="0"/>
    <s v="KSPS ( 6250/- )"/>
  </r>
  <r>
    <s v="23SDSCE01203"/>
    <s v="AGWAN MOHAMMAD ZAKIR MAHEBUBBHAI"/>
    <s v="SDS"/>
    <x v="0"/>
    <n v="2"/>
    <s v="9998457839 9824852254"/>
    <s v="9998457839 9824852254"/>
    <s v="DCE_2023-26"/>
    <m/>
    <n v="27500"/>
    <n v="27500"/>
    <n v="0"/>
    <n v="0"/>
    <n v="0"/>
    <n v="3000"/>
    <n v="0"/>
    <n v="0"/>
    <n v="0"/>
    <n v="3000"/>
    <n v="0"/>
    <n v="0"/>
    <n v="0"/>
    <n v="0"/>
    <n v="0"/>
    <n v="0"/>
    <n v="0"/>
    <n v="0"/>
    <n v="0"/>
    <n v="0"/>
    <m/>
  </r>
  <r>
    <s v="23SDSCE01204"/>
    <s v="BAMBHANIYA YASH DHANSUKH"/>
    <s v="SDS"/>
    <x v="0"/>
    <n v="2"/>
    <s v="7434850264 9265663100"/>
    <s v="7434850264 9265663100"/>
    <s v="DCE_2023-26"/>
    <m/>
    <n v="27500"/>
    <n v="27500"/>
    <n v="0"/>
    <n v="0"/>
    <n v="0"/>
    <n v="3000"/>
    <n v="3000"/>
    <n v="0"/>
    <n v="0"/>
    <n v="0"/>
    <n v="0"/>
    <n v="0"/>
    <n v="0"/>
    <n v="0"/>
    <n v="0"/>
    <n v="0"/>
    <n v="0"/>
    <n v="0"/>
    <n v="0"/>
    <n v="0"/>
    <m/>
  </r>
  <r>
    <s v="23SDSCE01205"/>
    <s v="BHAYANI JANVI RASIKBHAI"/>
    <s v="SDS"/>
    <x v="0"/>
    <n v="2"/>
    <s v="7863859904_x000a_9879878216"/>
    <s v="7863859904_x000a_9879878216"/>
    <s v="DCE_2023-26"/>
    <s v="MYSY"/>
    <n v="27500"/>
    <n v="0"/>
    <n v="0"/>
    <n v="0"/>
    <n v="27500"/>
    <n v="3000"/>
    <n v="3000"/>
    <n v="0"/>
    <n v="0"/>
    <n v="0"/>
    <n v="0"/>
    <n v="0"/>
    <n v="0"/>
    <n v="0"/>
    <n v="0"/>
    <n v="0"/>
    <n v="0"/>
    <n v="0"/>
    <n v="0"/>
    <n v="0"/>
    <s v="MYSY (25000/-)_x0009_KSPS ( 12500/- )"/>
  </r>
  <r>
    <s v="23SDSCE01206"/>
    <s v="ANAS BILAKHIA"/>
    <s v="SDS"/>
    <x v="0"/>
    <n v="2"/>
    <s v="8140593509 9016626021"/>
    <s v="8140593509 9016626021"/>
    <s v="DCE_2023-26"/>
    <s v="KSP"/>
    <n v="27500"/>
    <n v="21250"/>
    <n v="0"/>
    <n v="6250"/>
    <n v="0"/>
    <n v="3000"/>
    <n v="3000"/>
    <n v="0"/>
    <n v="0"/>
    <n v="0"/>
    <n v="0"/>
    <n v="0"/>
    <n v="0"/>
    <n v="0"/>
    <n v="0"/>
    <n v="0"/>
    <n v="0"/>
    <n v="0"/>
    <n v="0"/>
    <n v="0"/>
    <s v="KSPS ( 6250/- )"/>
  </r>
  <r>
    <s v="23SDSCE01207"/>
    <s v="CHANDARANA TULSI KASHMIK KUMAR"/>
    <s v="SDS"/>
    <x v="0"/>
    <n v="2"/>
    <s v="9924961807"/>
    <s v="9924961807"/>
    <s v="DCE_2023-26"/>
    <s v="TFW"/>
    <n v="0"/>
    <n v="27500"/>
    <n v="0"/>
    <n v="0"/>
    <n v="-27500"/>
    <n v="0"/>
    <n v="3000"/>
    <n v="0"/>
    <n v="0"/>
    <n v="-3000"/>
    <n v="0"/>
    <n v="0"/>
    <n v="0"/>
    <n v="0"/>
    <n v="0"/>
    <n v="0"/>
    <n v="0"/>
    <n v="0"/>
    <n v="0"/>
    <n v="0"/>
    <s v="THIS FEE REFUND _x000a_NO FEE 100 % SCHOLASHIP"/>
  </r>
  <r>
    <s v="23SDSCE01208"/>
    <s v="CHANGELA YUG MANISHBHAI"/>
    <s v="SDS"/>
    <x v="0"/>
    <n v="2"/>
    <s v="8154835933 8141135933"/>
    <s v="8154835933 8141135933"/>
    <s v="DCE_2023-26"/>
    <m/>
    <n v="27500"/>
    <n v="27500"/>
    <n v="0"/>
    <n v="0"/>
    <n v="0"/>
    <n v="3000"/>
    <n v="3000"/>
    <n v="0"/>
    <n v="0"/>
    <n v="0"/>
    <n v="0"/>
    <n v="0"/>
    <n v="0"/>
    <n v="0"/>
    <n v="0"/>
    <n v="0"/>
    <n v="0"/>
    <n v="0"/>
    <n v="0"/>
    <n v="0"/>
    <m/>
  </r>
  <r>
    <s v="23SDSCE01209"/>
    <s v="CHAPANERA SHREY NILESHBHAI"/>
    <s v="SDS"/>
    <x v="0"/>
    <n v="2"/>
    <s v="9054614884 9825388836"/>
    <s v="9054614884 9825388836"/>
    <s v="DCE_2023-26"/>
    <s v="KSP"/>
    <n v="27500"/>
    <n v="22500"/>
    <n v="0"/>
    <n v="5000"/>
    <n v="0"/>
    <n v="3000"/>
    <n v="3000"/>
    <n v="0"/>
    <n v="0"/>
    <n v="0"/>
    <n v="0"/>
    <n v="0"/>
    <n v="0"/>
    <n v="0"/>
    <n v="0"/>
    <n v="0"/>
    <n v="0"/>
    <n v="0"/>
    <n v="0"/>
    <n v="0"/>
    <s v="RS 5000 ONE TIME ONLY"/>
  </r>
  <r>
    <s v="23SDSCE01210"/>
    <s v="DEVANI ASHVI MANAHRBHAI"/>
    <s v="SDS"/>
    <x v="0"/>
    <n v="2"/>
    <s v="8866884375 9898890443 8460614635"/>
    <s v="8866884375 9898890443 8460614635"/>
    <s v="DCE_2023-26"/>
    <s v="MYSY"/>
    <n v="27500"/>
    <n v="0"/>
    <n v="0"/>
    <n v="0"/>
    <n v="27500"/>
    <n v="3000"/>
    <n v="3000"/>
    <n v="0"/>
    <n v="0"/>
    <n v="0"/>
    <n v="0"/>
    <n v="0"/>
    <n v="0"/>
    <n v="0"/>
    <n v="0"/>
    <n v="0"/>
    <n v="0"/>
    <n v="0"/>
    <n v="0"/>
    <n v="0"/>
    <s v="MYSY 50%"/>
  </r>
  <r>
    <s v="23SDSCE01211"/>
    <s v="DEVMURARI KARAN RAJANBHAI"/>
    <s v="SDS"/>
    <x v="0"/>
    <n v="2"/>
    <s v="9662805927 9723883327"/>
    <s v="9662805927 9723883327"/>
    <s v="DCE_2023-26"/>
    <m/>
    <n v="27500"/>
    <n v="27500"/>
    <n v="0"/>
    <n v="0"/>
    <n v="0"/>
    <n v="3000"/>
    <n v="3000"/>
    <n v="0"/>
    <n v="0"/>
    <n v="0"/>
    <n v="0"/>
    <n v="0"/>
    <n v="0"/>
    <n v="0"/>
    <n v="0"/>
    <n v="0"/>
    <n v="0"/>
    <n v="0"/>
    <n v="0"/>
    <n v="0"/>
    <m/>
  </r>
  <r>
    <s v="23SDSCE01212"/>
    <s v="DOMADIYA PRANAV NILESHBHAI"/>
    <s v="SDS"/>
    <x v="0"/>
    <n v="2"/>
    <s v="9925267207 9016894889"/>
    <s v="9925267207 9016894889"/>
    <s v="DCE_2023-26"/>
    <s v="MYSY"/>
    <n v="27500"/>
    <n v="27500"/>
    <n v="0"/>
    <n v="0"/>
    <n v="0"/>
    <n v="3000"/>
    <n v="3000"/>
    <n v="0"/>
    <n v="0"/>
    <n v="0"/>
    <n v="0"/>
    <n v="0"/>
    <n v="0"/>
    <n v="0"/>
    <n v="0"/>
    <n v="0"/>
    <n v="0"/>
    <n v="0"/>
    <n v="0"/>
    <n v="0"/>
    <s v="MYSY (25000/-)_x0009_KSPS ( 12500/- )"/>
  </r>
  <r>
    <s v="23SDSCE01213"/>
    <s v="GODHANIYA JAYESH SARMANBHAI"/>
    <s v="SDS"/>
    <x v="0"/>
    <n v="2"/>
    <s v="9998593622 9924465495"/>
    <s v="9998593622 9924465495"/>
    <s v="DCE_2023-26"/>
    <m/>
    <n v="27500"/>
    <n v="27500"/>
    <n v="0"/>
    <n v="0"/>
    <n v="0"/>
    <n v="3000"/>
    <n v="3000"/>
    <n v="0"/>
    <n v="0"/>
    <n v="0"/>
    <n v="0"/>
    <n v="0"/>
    <n v="0"/>
    <n v="0"/>
    <n v="0"/>
    <n v="0"/>
    <n v="0"/>
    <n v="0"/>
    <n v="0"/>
    <n v="0"/>
    <m/>
  </r>
  <r>
    <s v="23SDSCE01214"/>
    <s v="GOTI OM PARESHBHAI"/>
    <s v="SDS"/>
    <x v="0"/>
    <n v="2"/>
    <s v="8780485484 9979264332"/>
    <s v="8780485484 9979264332"/>
    <s v="DCE_2023-26"/>
    <m/>
    <n v="27500"/>
    <n v="27500"/>
    <n v="0"/>
    <n v="0"/>
    <n v="0"/>
    <n v="3000"/>
    <n v="3000"/>
    <n v="0"/>
    <n v="0"/>
    <n v="0"/>
    <n v="0"/>
    <n v="0"/>
    <n v="0"/>
    <n v="0"/>
    <n v="0"/>
    <n v="0"/>
    <n v="0"/>
    <n v="0"/>
    <n v="0"/>
    <n v="0"/>
    <m/>
  </r>
  <r>
    <s v="23SDSCE01215"/>
    <s v="HIRAPARA HARVINKUMAR BAKULBHAI"/>
    <s v="SDS"/>
    <x v="0"/>
    <n v="2"/>
    <s v="7069136955 9723436955"/>
    <s v="7069136955 9723436955"/>
    <s v="DCE_2023-26"/>
    <s v="MYSY"/>
    <n v="27500"/>
    <n v="27500"/>
    <n v="0"/>
    <n v="0"/>
    <n v="0"/>
    <n v="3000"/>
    <n v="3000"/>
    <n v="0"/>
    <n v="0"/>
    <n v="0"/>
    <n v="0"/>
    <n v="0"/>
    <n v="0"/>
    <n v="0"/>
    <n v="0"/>
    <n v="0"/>
    <n v="0"/>
    <n v="0"/>
    <n v="0"/>
    <n v="0"/>
    <s v="MYSY (25000/-)_x0009_KSPS ( 12500/- )"/>
  </r>
  <r>
    <s v="23SDSCE01216"/>
    <s v="HIRAPARA OMI"/>
    <s v="SDS"/>
    <x v="0"/>
    <n v="2"/>
    <s v="7226901920 9712273372"/>
    <s v="7226901920 9712273372"/>
    <s v="DCE_2023-26"/>
    <m/>
    <n v="27500"/>
    <n v="27500"/>
    <n v="0"/>
    <n v="0"/>
    <n v="0"/>
    <n v="3000"/>
    <n v="3000"/>
    <n v="0"/>
    <n v="0"/>
    <n v="0"/>
    <n v="0"/>
    <n v="0"/>
    <n v="0"/>
    <n v="0"/>
    <n v="0"/>
    <n v="0"/>
    <n v="0"/>
    <n v="0"/>
    <n v="0"/>
    <n v="0"/>
    <m/>
  </r>
  <r>
    <s v="23SDSCE01217"/>
    <s v="PARAM NILESHKUMAR JOSHI"/>
    <s v="SDS"/>
    <x v="0"/>
    <n v="2"/>
    <s v="8511576528 7226016606"/>
    <s v="8511576528 7226016606"/>
    <s v="DCE_2023-26"/>
    <m/>
    <n v="27500"/>
    <n v="27500"/>
    <n v="0"/>
    <n v="0"/>
    <n v="0"/>
    <n v="3000"/>
    <n v="3000"/>
    <n v="0"/>
    <n v="0"/>
    <n v="0"/>
    <n v="0"/>
    <n v="0"/>
    <n v="0"/>
    <n v="0"/>
    <n v="0"/>
    <n v="0"/>
    <n v="0"/>
    <n v="0"/>
    <n v="0"/>
    <n v="0"/>
    <m/>
  </r>
  <r>
    <s v="23SDSCE01218"/>
    <s v="KANSAGRA HETKUMAR KEVINBHAI"/>
    <s v="SDS"/>
    <x v="0"/>
    <n v="2"/>
    <s v="9913635460 9537869744"/>
    <s v="9913635460 9537869744"/>
    <s v="DCE_2023-26"/>
    <m/>
    <n v="27500"/>
    <n v="27500"/>
    <n v="0"/>
    <n v="0"/>
    <n v="0"/>
    <n v="3000"/>
    <n v="3000"/>
    <n v="0"/>
    <n v="0"/>
    <n v="0"/>
    <n v="0"/>
    <n v="0"/>
    <n v="0"/>
    <n v="0"/>
    <n v="0"/>
    <n v="0"/>
    <n v="0"/>
    <n v="0"/>
    <n v="0"/>
    <n v="0"/>
    <m/>
  </r>
  <r>
    <s v="23SDSCE01219"/>
    <s v="KATESHIYA JATIN JIGNESHBHAI"/>
    <s v="SDS"/>
    <x v="0"/>
    <n v="2"/>
    <s v="9624765055 9904538702"/>
    <s v="9624765055 9904538702"/>
    <s v="DCV_2023-26"/>
    <m/>
    <n v="27500"/>
    <n v="27500"/>
    <n v="0"/>
    <n v="0"/>
    <n v="0"/>
    <n v="3000"/>
    <n v="3000"/>
    <n v="0"/>
    <n v="0"/>
    <n v="0"/>
    <n v="0"/>
    <n v="0"/>
    <n v="0"/>
    <n v="0"/>
    <n v="0"/>
    <n v="0"/>
    <n v="0"/>
    <n v="0"/>
    <n v="0"/>
    <n v="0"/>
    <m/>
  </r>
  <r>
    <s v="23SDSCE01220"/>
    <s v="KOTHIVAR ADITYA RAJESHBHAI"/>
    <s v="SDS"/>
    <x v="0"/>
    <n v="2"/>
    <s v="6352799804 9909475220"/>
    <s v="6352799804 9909475220"/>
    <s v="DCE_2023-26"/>
    <m/>
    <n v="27500"/>
    <n v="0"/>
    <n v="0"/>
    <n v="0"/>
    <n v="27500"/>
    <n v="3000"/>
    <n v="0"/>
    <n v="0"/>
    <n v="0"/>
    <n v="3000"/>
    <n v="0"/>
    <n v="0"/>
    <n v="0"/>
    <n v="0"/>
    <n v="0"/>
    <n v="0"/>
    <n v="0"/>
    <n v="0"/>
    <n v="0"/>
    <n v="0"/>
    <m/>
  </r>
  <r>
    <s v="23SDSCE01221"/>
    <s v="PANARA HETVI SHARADBHAI"/>
    <s v="SDS"/>
    <x v="0"/>
    <n v="2"/>
    <s v="6359075599 9824346246"/>
    <s v="6359075599 9824346246"/>
    <s v="DCE_2023-26"/>
    <m/>
    <n v="27500"/>
    <n v="0"/>
    <n v="0"/>
    <n v="0"/>
    <n v="27500"/>
    <n v="3000"/>
    <n v="0"/>
    <n v="0"/>
    <n v="0"/>
    <n v="3000"/>
    <n v="0"/>
    <n v="0"/>
    <n v="0"/>
    <n v="0"/>
    <n v="0"/>
    <n v="0"/>
    <n v="0"/>
    <n v="0"/>
    <n v="0"/>
    <n v="0"/>
    <m/>
  </r>
  <r>
    <s v="23SDSCE01222"/>
    <s v="PANSERIYA ANANDKUMAR PRAKASHBHAI"/>
    <s v="SDS"/>
    <x v="0"/>
    <n v="2"/>
    <s v="9512864861 8238292407 9558241718"/>
    <s v="9512864861 8238292407 9558241718"/>
    <s v="DCE_2023-26"/>
    <m/>
    <n v="27500"/>
    <n v="27500"/>
    <n v="0"/>
    <n v="0"/>
    <n v="0"/>
    <n v="3000"/>
    <n v="3000"/>
    <n v="0"/>
    <n v="0"/>
    <n v="0"/>
    <n v="0"/>
    <n v="0"/>
    <n v="0"/>
    <n v="0"/>
    <n v="0"/>
    <n v="0"/>
    <n v="0"/>
    <n v="0"/>
    <n v="0"/>
    <n v="0"/>
    <m/>
  </r>
  <r>
    <s v="23SDSCE01223"/>
    <s v="RAMANI NANDANI KISHORBHAI"/>
    <s v="SDS"/>
    <x v="0"/>
    <n v="2"/>
    <s v="6355361356 9727114843"/>
    <s v="6355361356 9727114843"/>
    <s v="DCE_2023-26"/>
    <s v="MYSY"/>
    <n v="27500"/>
    <n v="0"/>
    <n v="0"/>
    <n v="0"/>
    <n v="27500"/>
    <n v="3000"/>
    <n v="3000"/>
    <n v="0"/>
    <n v="0"/>
    <n v="0"/>
    <n v="0"/>
    <n v="0"/>
    <n v="0"/>
    <n v="0"/>
    <n v="0"/>
    <n v="0"/>
    <n v="0"/>
    <n v="0"/>
    <n v="0"/>
    <n v="0"/>
    <s v="MYSY (25000/-)_x0009_KSPS ( 12500/- )"/>
  </r>
  <r>
    <s v="23SDSCE01224"/>
    <s v="RAMANI VIDHYA JAYSUKHBHAI"/>
    <s v="SDS"/>
    <x v="0"/>
    <n v="2"/>
    <s v="9909625330"/>
    <s v="9909625330"/>
    <s v="DCE_2023-26"/>
    <s v="TFW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NO FEE _x000a_100 % SCHOLARSHIP"/>
  </r>
  <r>
    <s v="23SDSCE01225"/>
    <s v="SABHAYA OM ATULBHAI"/>
    <s v="SDS"/>
    <x v="0"/>
    <n v="2"/>
    <s v="8200179695 8160577964"/>
    <s v="8200179695 8160577964"/>
    <s v="DCE_2023-26"/>
    <s v="MYSY"/>
    <n v="27500"/>
    <n v="0"/>
    <n v="0"/>
    <n v="0"/>
    <n v="27500"/>
    <n v="3000"/>
    <n v="0"/>
    <n v="0"/>
    <n v="0"/>
    <n v="3000"/>
    <n v="0"/>
    <n v="0"/>
    <n v="0"/>
    <n v="0"/>
    <n v="0"/>
    <n v="0"/>
    <n v="0"/>
    <n v="0"/>
    <n v="0"/>
    <n v="0"/>
    <s v="MYSY (25000/-)"/>
  </r>
  <r>
    <s v="23SDSCE01226"/>
    <s v="SANTHOKI ESHITH"/>
    <s v="SDS"/>
    <x v="0"/>
    <n v="2"/>
    <s v="8799643342 9441367302"/>
    <s v="8799643342 9441367302"/>
    <s v="DCE_2023-26"/>
    <m/>
    <n v="27500"/>
    <n v="27500"/>
    <n v="0"/>
    <n v="0"/>
    <n v="0"/>
    <n v="3000"/>
    <n v="3000"/>
    <n v="0"/>
    <n v="0"/>
    <n v="0"/>
    <n v="0"/>
    <n v="0"/>
    <n v="0"/>
    <n v="0"/>
    <n v="0"/>
    <n v="0"/>
    <n v="0"/>
    <n v="0"/>
    <n v="0"/>
    <n v="0"/>
    <m/>
  </r>
  <r>
    <s v="23SDSCE01227"/>
    <s v="SARVAIYA JIGAR HARSHADBHAI"/>
    <s v="SDS"/>
    <x v="0"/>
    <n v="2"/>
    <s v="9687623818 9687634478"/>
    <s v="9687623818 9687634478"/>
    <s v="DCE_2023-26"/>
    <m/>
    <n v="27500"/>
    <n v="27500"/>
    <n v="0"/>
    <n v="0"/>
    <n v="0"/>
    <n v="3000"/>
    <n v="3000"/>
    <n v="0"/>
    <n v="0"/>
    <n v="0"/>
    <n v="0"/>
    <n v="0"/>
    <n v="0"/>
    <n v="0"/>
    <n v="0"/>
    <n v="0"/>
    <n v="0"/>
    <n v="0"/>
    <n v="0"/>
    <n v="0"/>
    <m/>
  </r>
  <r>
    <s v="23SDSCE01228"/>
    <s v="SIDPARA VIVEK RASIKBHAI"/>
    <s v="SDS"/>
    <x v="0"/>
    <n v="2"/>
    <s v="7600091942 8160089994"/>
    <s v="7600091942 8160089994"/>
    <s v="DCE_2023-26"/>
    <s v="MYSY"/>
    <n v="27500"/>
    <n v="27500"/>
    <n v="0"/>
    <n v="0"/>
    <n v="0"/>
    <n v="3000"/>
    <n v="3000"/>
    <n v="0"/>
    <n v="0"/>
    <n v="0"/>
    <n v="0"/>
    <n v="0"/>
    <n v="0"/>
    <n v="0"/>
    <n v="0"/>
    <n v="0"/>
    <n v="0"/>
    <n v="0"/>
    <n v="0"/>
    <n v="0"/>
    <s v="MYSY (25000/-)"/>
  </r>
  <r>
    <s v="23SDSCE01229"/>
    <s v="SOLANKI NIKHILBHAI DINESHBHAI"/>
    <s v="SDS"/>
    <x v="0"/>
    <n v="2"/>
    <s v="8320331245 6355830372"/>
    <s v="8320331245 6355830372"/>
    <s v="DCE_2023-26"/>
    <s v="FREESHIP CARD"/>
    <n v="27500"/>
    <n v="0"/>
    <n v="0"/>
    <n v="0"/>
    <n v="27500"/>
    <n v="3000"/>
    <n v="0"/>
    <n v="0"/>
    <n v="0"/>
    <n v="3000"/>
    <n v="0"/>
    <n v="0"/>
    <n v="0"/>
    <n v="0"/>
    <n v="0"/>
    <n v="0"/>
    <n v="0"/>
    <n v="0"/>
    <n v="0"/>
    <n v="0"/>
    <s v="FREESHIP CARD"/>
  </r>
  <r>
    <s v="23SDSCE01124"/>
    <s v="AJANI PARIMAL ANVARALI"/>
    <s v="SDS"/>
    <x v="0"/>
    <n v="2"/>
    <s v="9664812238 8320640273 9327528527"/>
    <s v="9664812238 8320640273 9327528527"/>
    <s v="DCE_2023-26"/>
    <s v="MYSY"/>
    <n v="27500"/>
    <n v="27500"/>
    <n v="0"/>
    <n v="0"/>
    <n v="0"/>
    <n v="3000"/>
    <n v="3000"/>
    <n v="0"/>
    <n v="0"/>
    <n v="0"/>
    <n v="0"/>
    <n v="0"/>
    <n v="0"/>
    <n v="0"/>
    <n v="0"/>
    <n v="0"/>
    <n v="0"/>
    <n v="0"/>
    <n v="0"/>
    <n v="0"/>
    <s v="MYSY (25000/-)"/>
  </r>
  <r>
    <s v="23SDSCE01125"/>
    <s v="BALDANIYA YAGNESH KISHORBHAI"/>
    <s v="SDS"/>
    <x v="0"/>
    <n v="2"/>
    <s v="8780900366 9925739419"/>
    <s v="8780900366 9925739419"/>
    <s v="DCE_2023-26"/>
    <m/>
    <n v="27500"/>
    <n v="27500"/>
    <n v="0"/>
    <n v="0"/>
    <n v="0"/>
    <n v="3000"/>
    <n v="3000"/>
    <n v="0"/>
    <n v="0"/>
    <n v="0"/>
    <n v="0"/>
    <n v="0"/>
    <n v="0"/>
    <n v="0"/>
    <n v="0"/>
    <n v="0"/>
    <n v="0"/>
    <n v="0"/>
    <n v="0"/>
    <n v="0"/>
    <m/>
  </r>
  <r>
    <s v="23SDSCE01126"/>
    <s v="CHAVDA HARSH UMESHBHAI"/>
    <s v="SDS"/>
    <x v="0"/>
    <n v="2"/>
    <s v="9016407474 9824172075"/>
    <s v="9016407474 9824172075"/>
    <s v="DCE_2023-26"/>
    <m/>
    <n v="27500"/>
    <n v="27500"/>
    <n v="0"/>
    <n v="0"/>
    <n v="0"/>
    <n v="3000"/>
    <n v="3000"/>
    <n v="0"/>
    <n v="0"/>
    <n v="0"/>
    <n v="0"/>
    <n v="0"/>
    <n v="0"/>
    <n v="0"/>
    <n v="0"/>
    <n v="0"/>
    <n v="0"/>
    <n v="0"/>
    <n v="0"/>
    <n v="0"/>
    <m/>
  </r>
  <r>
    <s v="23SDSCE01127"/>
    <s v="CHOTHANI AYUSH ASHVINBHAI"/>
    <s v="SDS"/>
    <x v="0"/>
    <n v="2"/>
    <s v="9205527648 8866722774 9033463287"/>
    <s v="9205527648 8866722774 9033463287"/>
    <s v="DCE_2023-26"/>
    <m/>
    <n v="27500"/>
    <n v="27500"/>
    <n v="0"/>
    <n v="0"/>
    <n v="0"/>
    <n v="3000"/>
    <n v="3000"/>
    <n v="0"/>
    <n v="0"/>
    <n v="0"/>
    <n v="0"/>
    <n v="0"/>
    <n v="0"/>
    <n v="0"/>
    <n v="0"/>
    <n v="0"/>
    <n v="0"/>
    <n v="0"/>
    <n v="0"/>
    <n v="0"/>
    <m/>
  </r>
  <r>
    <s v="23SDSCE01128"/>
    <s v="CHOVATIYA TIRTH VIMALBHAI"/>
    <s v="SDS"/>
    <x v="0"/>
    <n v="2"/>
    <s v="8140900952 8160729219"/>
    <s v="8140900952 8160729219"/>
    <s v="DCE_2023-26"/>
    <s v="KSP"/>
    <n v="27500"/>
    <n v="21250"/>
    <n v="0"/>
    <n v="6250"/>
    <n v="0"/>
    <n v="3000"/>
    <n v="3000"/>
    <n v="0"/>
    <n v="0"/>
    <n v="0"/>
    <n v="0"/>
    <n v="0"/>
    <n v="0"/>
    <n v="0"/>
    <n v="0"/>
    <n v="0"/>
    <n v="0"/>
    <n v="0"/>
    <n v="0"/>
    <n v="0"/>
    <s v="KSPS ( 6250/- )"/>
  </r>
  <r>
    <s v="23SDSCE01129"/>
    <s v="DAYATAR MAHMAD AHAD FARUKBHAI"/>
    <s v="SDS"/>
    <x v="0"/>
    <n v="2"/>
    <s v="9104036022 9106186022"/>
    <s v="9104036022 9106186022"/>
    <s v="DCE_2023-26"/>
    <s v="MYSY"/>
    <n v="27500"/>
    <n v="27500"/>
    <n v="0"/>
    <n v="0"/>
    <n v="0"/>
    <n v="3000"/>
    <n v="3000"/>
    <n v="0"/>
    <n v="0"/>
    <n v="0"/>
    <n v="0"/>
    <n v="0"/>
    <n v="0"/>
    <n v="0"/>
    <n v="0"/>
    <n v="0"/>
    <n v="0"/>
    <n v="0"/>
    <n v="0"/>
    <n v="0"/>
    <s v="MYSY (25000/-)"/>
  </r>
  <r>
    <s v="23SDSCE01130"/>
    <s v="DOBARIYA SATV KANUBHAI"/>
    <s v="SDS"/>
    <x v="0"/>
    <n v="2"/>
    <s v="9316214147 8200783451"/>
    <s v="9316214147 8200783451"/>
    <s v="DCE_2023-26"/>
    <m/>
    <n v="27500"/>
    <n v="12600"/>
    <n v="0"/>
    <n v="0"/>
    <n v="14900"/>
    <n v="3000"/>
    <n v="3000"/>
    <n v="0"/>
    <n v="0"/>
    <n v="0"/>
    <n v="0"/>
    <n v="0"/>
    <n v="0"/>
    <n v="0"/>
    <n v="0"/>
    <n v="0"/>
    <n v="0"/>
    <n v="0"/>
    <n v="0"/>
    <n v="0"/>
    <m/>
  </r>
  <r>
    <s v="23SDSCE01131"/>
    <s v="DUSARA JEEL DILIPBHAI"/>
    <s v="SDS"/>
    <x v="0"/>
    <n v="2"/>
    <s v="8160026255 9714302418"/>
    <s v="8160026255 9714302418"/>
    <s v="DCV_2023-26"/>
    <m/>
    <n v="27500"/>
    <n v="27500"/>
    <n v="0"/>
    <n v="0"/>
    <n v="0"/>
    <n v="3000"/>
    <n v="3000"/>
    <n v="0"/>
    <n v="0"/>
    <n v="0"/>
    <n v="0"/>
    <n v="0"/>
    <n v="0"/>
    <n v="0"/>
    <n v="0"/>
    <n v="0"/>
    <n v="0"/>
    <n v="0"/>
    <n v="0"/>
    <n v="0"/>
    <m/>
  </r>
  <r>
    <s v="23SDSCE01132"/>
    <s v="GAJERA PARTH CHHAGANBHAI"/>
    <s v="SDS"/>
    <x v="0"/>
    <n v="2"/>
    <s v="9106990597 9427722948"/>
    <s v="9106990597 9427722948"/>
    <s v="DCE_2023-26"/>
    <m/>
    <n v="27500"/>
    <n v="27500"/>
    <n v="0"/>
    <n v="0"/>
    <n v="0"/>
    <n v="3000"/>
    <n v="3000"/>
    <n v="0"/>
    <n v="0"/>
    <n v="0"/>
    <n v="0"/>
    <n v="0"/>
    <n v="0"/>
    <n v="0"/>
    <n v="0"/>
    <n v="0"/>
    <n v="0"/>
    <n v="0"/>
    <n v="0"/>
    <n v="0"/>
    <m/>
  </r>
  <r>
    <s v="23SDSCE01133"/>
    <s v="GHELANI HET SHAILESHBHAI"/>
    <s v="SDS"/>
    <x v="0"/>
    <n v="2"/>
    <s v="9510555151 9974425543"/>
    <s v="9510555151 9974425543"/>
    <s v="DCE_2023-26"/>
    <m/>
    <n v="27500"/>
    <n v="27500"/>
    <n v="0"/>
    <n v="0"/>
    <n v="0"/>
    <n v="3000"/>
    <n v="3000"/>
    <n v="0"/>
    <n v="0"/>
    <n v="0"/>
    <n v="0"/>
    <n v="0"/>
    <n v="0"/>
    <n v="0"/>
    <n v="0"/>
    <n v="0"/>
    <n v="0"/>
    <n v="0"/>
    <n v="0"/>
    <n v="0"/>
    <m/>
  </r>
  <r>
    <s v="23SDSCE01134"/>
    <s v="GONDALIYA MEET VIPULBHAI"/>
    <s v="SDS"/>
    <x v="0"/>
    <n v="2"/>
    <s v="9824290381"/>
    <s v="9824290381"/>
    <s v="DCE_2023-26"/>
    <m/>
    <n v="27500"/>
    <n v="27500"/>
    <n v="0"/>
    <n v="0"/>
    <n v="0"/>
    <n v="3000"/>
    <n v="3000"/>
    <n v="0"/>
    <n v="0"/>
    <n v="0"/>
    <n v="0"/>
    <n v="0"/>
    <n v="0"/>
    <n v="0"/>
    <n v="0"/>
    <n v="0"/>
    <n v="0"/>
    <n v="0"/>
    <n v="0"/>
    <n v="0"/>
    <m/>
  </r>
  <r>
    <s v="23SDSCE01135"/>
    <s v="JADAV HIREN MUKESHBHAI"/>
    <s v="SDS"/>
    <x v="0"/>
    <n v="2"/>
    <s v="9664590392 9909708323"/>
    <s v="9664590392 9909708323"/>
    <s v="DCE_2023-26"/>
    <m/>
    <n v="27500"/>
    <n v="27500"/>
    <n v="0"/>
    <n v="0"/>
    <n v="0"/>
    <n v="3000"/>
    <n v="3000"/>
    <n v="0"/>
    <n v="0"/>
    <n v="0"/>
    <n v="0"/>
    <n v="0"/>
    <n v="0"/>
    <n v="0"/>
    <n v="0"/>
    <n v="0"/>
    <n v="0"/>
    <n v="0"/>
    <n v="0"/>
    <n v="0"/>
    <m/>
  </r>
  <r>
    <s v="23SDSCE01136"/>
    <s v="JADAV NIRAJ KALPESHBHAI"/>
    <s v="SDS"/>
    <x v="0"/>
    <n v="2"/>
    <s v="8849121143 9723038412"/>
    <s v="8849121143 9723038412"/>
    <s v="DCE_2023-26"/>
    <s v="KSP"/>
    <n v="27500"/>
    <n v="21250"/>
    <n v="0"/>
    <n v="6250"/>
    <n v="0"/>
    <n v="3000"/>
    <n v="3000"/>
    <n v="0"/>
    <n v="0"/>
    <n v="0"/>
    <n v="0"/>
    <n v="0"/>
    <n v="0"/>
    <n v="0"/>
    <n v="0"/>
    <n v="0"/>
    <n v="0"/>
    <n v="0"/>
    <n v="0"/>
    <n v="0"/>
    <s v="KSPS ( 6250/- )"/>
  </r>
  <r>
    <s v="23SDSCE01137"/>
    <s v="KAILA ANAND DHARMENDRABHAI"/>
    <s v="SDS"/>
    <x v="0"/>
    <n v="2"/>
    <s v="9173205130 9316120053"/>
    <s v="9173205130 9316120053"/>
    <s v="DCE_2023-26"/>
    <m/>
    <n v="27500"/>
    <n v="0"/>
    <n v="0"/>
    <n v="0"/>
    <n v="27500"/>
    <n v="3000"/>
    <n v="0"/>
    <n v="0"/>
    <n v="0"/>
    <n v="3000"/>
    <n v="0"/>
    <n v="0"/>
    <n v="0"/>
    <n v="0"/>
    <n v="0"/>
    <n v="0"/>
    <n v="0"/>
    <n v="0"/>
    <n v="0"/>
    <n v="0"/>
    <m/>
  </r>
  <r>
    <s v="23SDSCE01138"/>
    <s v="MEGHPARA HIT KAUSHIK"/>
    <s v="SDS"/>
    <x v="0"/>
    <n v="2"/>
    <s v="8849225672 9712964301"/>
    <s v="8849225672 9712964301"/>
    <s v="DCE_2023-26"/>
    <m/>
    <n v="27500"/>
    <n v="27500"/>
    <n v="0"/>
    <n v="0"/>
    <n v="0"/>
    <n v="3000"/>
    <n v="3000"/>
    <n v="0"/>
    <n v="0"/>
    <n v="0"/>
    <n v="0"/>
    <n v="0"/>
    <n v="0"/>
    <n v="0"/>
    <n v="0"/>
    <n v="0"/>
    <n v="0"/>
    <n v="0"/>
    <n v="0"/>
    <n v="0"/>
    <m/>
  </r>
  <r>
    <s v="23SDSCE01139"/>
    <s v="METAR MAHMADSADAB ARIFBHAI"/>
    <s v="SDS"/>
    <x v="0"/>
    <n v="2"/>
    <s v="9426054489 9426834489"/>
    <s v="9426054489 9426834489"/>
    <s v="DCE_2023-26"/>
    <m/>
    <n v="27500"/>
    <n v="27500"/>
    <n v="0"/>
    <n v="0"/>
    <n v="0"/>
    <n v="3000"/>
    <n v="3000"/>
    <n v="0"/>
    <n v="0"/>
    <n v="0"/>
    <n v="0"/>
    <n v="0"/>
    <n v="0"/>
    <n v="0"/>
    <n v="0"/>
    <n v="0"/>
    <n v="0"/>
    <n v="0"/>
    <n v="0"/>
    <n v="0"/>
    <m/>
  </r>
  <r>
    <s v="23SDSCE01140"/>
    <s v="MONPARA SUJIT SAMIRBHAI"/>
    <s v="SDS"/>
    <x v="0"/>
    <n v="2"/>
    <s v="7383510570 9879949988"/>
    <s v="7383510570 9879949988"/>
    <s v="DCE_2023-26"/>
    <m/>
    <n v="27500"/>
    <n v="27500"/>
    <n v="0"/>
    <n v="0"/>
    <n v="0"/>
    <n v="3000"/>
    <n v="3000"/>
    <n v="0"/>
    <n v="0"/>
    <n v="0"/>
    <n v="0"/>
    <n v="0"/>
    <n v="0"/>
    <n v="0"/>
    <n v="0"/>
    <n v="0"/>
    <n v="0"/>
    <n v="0"/>
    <n v="0"/>
    <n v="0"/>
    <m/>
  </r>
  <r>
    <s v="23SDSCE01141"/>
    <s v="NAGAR HET MANISHBHAI"/>
    <s v="SDS"/>
    <x v="0"/>
    <n v="2"/>
    <s v="9904761233 9825699741"/>
    <s v="9904761233 9825699741"/>
    <s v="DCE_2023-26"/>
    <m/>
    <n v="27500"/>
    <n v="27500"/>
    <n v="0"/>
    <n v="0"/>
    <n v="0"/>
    <n v="3000"/>
    <n v="3000"/>
    <n v="0"/>
    <n v="0"/>
    <n v="0"/>
    <n v="0"/>
    <n v="0"/>
    <n v="0"/>
    <n v="0"/>
    <n v="0"/>
    <n v="0"/>
    <n v="0"/>
    <n v="0"/>
    <n v="0"/>
    <n v="0"/>
    <m/>
  </r>
  <r>
    <s v="23SDSCE01142"/>
    <s v="NAKUM SAGAR CHETANBHAI"/>
    <s v="SDS"/>
    <x v="0"/>
    <n v="2"/>
    <s v="6354305942 9558769999"/>
    <s v="6354305942 9558769999"/>
    <s v="DCE_2023-26"/>
    <m/>
    <n v="27500"/>
    <n v="27500"/>
    <n v="0"/>
    <n v="0"/>
    <n v="0"/>
    <n v="3000"/>
    <n v="3000"/>
    <n v="0"/>
    <n v="0"/>
    <n v="0"/>
    <n v="0"/>
    <n v="0"/>
    <n v="0"/>
    <n v="0"/>
    <n v="0"/>
    <n v="0"/>
    <n v="0"/>
    <n v="0"/>
    <n v="0"/>
    <n v="0"/>
    <m/>
  </r>
  <r>
    <s v="23SDSCE01143"/>
    <s v="NANERA PUNITKUMAR SAMATBHAI"/>
    <s v="SDS"/>
    <x v="0"/>
    <n v="2"/>
    <s v="9510518442 9624552902"/>
    <s v="9510518442 9624552902"/>
    <s v="DCE_2023-26"/>
    <m/>
    <n v="27500"/>
    <n v="27500"/>
    <n v="0"/>
    <n v="0"/>
    <n v="0"/>
    <n v="3000"/>
    <n v="3000"/>
    <n v="0"/>
    <n v="0"/>
    <n v="0"/>
    <n v="0"/>
    <n v="0"/>
    <n v="0"/>
    <n v="0"/>
    <n v="0"/>
    <n v="0"/>
    <n v="0"/>
    <n v="0"/>
    <n v="0"/>
    <n v="0"/>
    <m/>
  </r>
  <r>
    <s v="23SDSCE01144"/>
    <s v="VEDANT PANDYA"/>
    <s v="SDS"/>
    <x v="0"/>
    <n v="2"/>
    <s v="8866209920 6354343945"/>
    <s v="8866209920 6354343945"/>
    <s v="DCE_2023-26"/>
    <m/>
    <n v="27500"/>
    <n v="27500"/>
    <n v="0"/>
    <n v="0"/>
    <n v="0"/>
    <n v="3000"/>
    <n v="3000"/>
    <n v="0"/>
    <n v="0"/>
    <n v="0"/>
    <n v="0"/>
    <n v="0"/>
    <n v="0"/>
    <n v="0"/>
    <n v="0"/>
    <n v="0"/>
    <n v="0"/>
    <n v="0"/>
    <n v="0"/>
    <n v="0"/>
    <m/>
  </r>
  <r>
    <s v="23SDSCE01145"/>
    <s v="PANKHANIYA TUSHAR MUKESHBHAI"/>
    <s v="SDS"/>
    <x v="0"/>
    <n v="2"/>
    <s v="8347598994"/>
    <s v="8347598994"/>
    <s v="DCE_2023-26"/>
    <m/>
    <n v="27500"/>
    <n v="27500"/>
    <n v="0"/>
    <n v="0"/>
    <n v="0"/>
    <n v="3000"/>
    <n v="3000"/>
    <n v="0"/>
    <n v="0"/>
    <n v="0"/>
    <n v="0"/>
    <n v="0"/>
    <n v="0"/>
    <n v="0"/>
    <n v="0"/>
    <n v="0"/>
    <n v="0"/>
    <n v="0"/>
    <n v="0"/>
    <n v="0"/>
    <m/>
  </r>
  <r>
    <s v="23SDSCE01146"/>
    <s v="SANEPARA TAKSH RAJESHBHAI"/>
    <s v="SDS"/>
    <x v="0"/>
    <n v="2"/>
    <s v="6351343892 9879270500"/>
    <s v="6351343892 9879270500"/>
    <s v="DCE_2023-26"/>
    <m/>
    <n v="27500"/>
    <n v="27500"/>
    <n v="0"/>
    <n v="0"/>
    <n v="0"/>
    <n v="3000"/>
    <n v="3000"/>
    <n v="0"/>
    <n v="0"/>
    <n v="0"/>
    <n v="0"/>
    <n v="0"/>
    <n v="0"/>
    <n v="0"/>
    <n v="0"/>
    <n v="0"/>
    <n v="0"/>
    <n v="0"/>
    <n v="0"/>
    <n v="0"/>
    <m/>
  </r>
  <r>
    <s v="23SDSCE01147"/>
    <s v="SANKHAVARA DHRUV MAGANBHAI"/>
    <s v="SDS"/>
    <x v="0"/>
    <n v="2"/>
    <s v="7041784670 9998441115"/>
    <s v="7041784670 9998441115"/>
    <s v="DCE_2023-26"/>
    <m/>
    <n v="27500"/>
    <n v="27500"/>
    <n v="0"/>
    <n v="0"/>
    <n v="0"/>
    <n v="3000"/>
    <n v="3000"/>
    <n v="0"/>
    <n v="0"/>
    <n v="0"/>
    <n v="0"/>
    <n v="0"/>
    <n v="0"/>
    <n v="0"/>
    <n v="0"/>
    <n v="0"/>
    <n v="0"/>
    <n v="0"/>
    <n v="0"/>
    <n v="0"/>
    <m/>
  </r>
  <r>
    <s v="23SDSCE01148"/>
    <s v="TANK NIRAVKUMAR JATINBHAI"/>
    <s v="SDS"/>
    <x v="0"/>
    <n v="2"/>
    <s v="9974648121_x000a_8780003681"/>
    <s v="9974648121_x000a_8780003681"/>
    <s v="DCE_2023-26"/>
    <s v="MYSY"/>
    <n v="27500"/>
    <n v="0"/>
    <n v="0"/>
    <n v="0"/>
    <n v="27500"/>
    <n v="3000"/>
    <n v="0"/>
    <n v="0"/>
    <n v="0"/>
    <n v="3000"/>
    <n v="0"/>
    <n v="0"/>
    <n v="0"/>
    <n v="0"/>
    <n v="0"/>
    <n v="0"/>
    <n v="0"/>
    <n v="0"/>
    <n v="0"/>
    <n v="0"/>
    <s v="MYSY (25000/-)"/>
  </r>
  <r>
    <s v="23SDSCE01149"/>
    <s v="VAMAJA RAJ ISHVARBHAI"/>
    <s v="SDS"/>
    <x v="0"/>
    <n v="2"/>
    <s v="9924310871 7046386826"/>
    <s v="9924310871 7046386826"/>
    <s v="DCE_2023-26"/>
    <m/>
    <n v="27500"/>
    <n v="27500"/>
    <n v="0"/>
    <n v="0"/>
    <n v="0"/>
    <n v="3000"/>
    <n v="3000"/>
    <n v="0"/>
    <n v="0"/>
    <n v="0"/>
    <n v="0"/>
    <n v="0"/>
    <n v="0"/>
    <n v="0"/>
    <n v="0"/>
    <n v="0"/>
    <n v="0"/>
    <n v="0"/>
    <n v="0"/>
    <n v="0"/>
    <m/>
  </r>
  <r>
    <s v="23SDSCE01150"/>
    <s v="ZALAVADIYA JAYKUMAR KALUBHAI"/>
    <s v="SDS"/>
    <x v="0"/>
    <n v="2"/>
    <s v="8156079201 9979466507"/>
    <s v="8156079201 9979466507"/>
    <s v="DCE_2023-26"/>
    <m/>
    <n v="27500"/>
    <n v="0"/>
    <n v="0"/>
    <n v="0"/>
    <n v="27500"/>
    <n v="3000"/>
    <n v="0"/>
    <n v="0"/>
    <n v="0"/>
    <n v="3000"/>
    <n v="0"/>
    <n v="0"/>
    <n v="0"/>
    <n v="0"/>
    <n v="0"/>
    <n v="0"/>
    <n v="0"/>
    <n v="0"/>
    <n v="0"/>
    <n v="0"/>
    <m/>
  </r>
  <r>
    <s v="23SDSCE01151"/>
    <s v="ZINZUVADIYA DIRGH PARESH"/>
    <s v="SDS"/>
    <x v="0"/>
    <n v="2"/>
    <s v="8160356973 9638051721"/>
    <s v="8160356973 9638051721"/>
    <s v="DCE_2023-26"/>
    <m/>
    <n v="27500"/>
    <n v="27500"/>
    <n v="0"/>
    <n v="0"/>
    <n v="0"/>
    <n v="3000"/>
    <n v="3000"/>
    <n v="0"/>
    <n v="0"/>
    <n v="0"/>
    <n v="0"/>
    <n v="0"/>
    <n v="0"/>
    <n v="0"/>
    <n v="0"/>
    <n v="0"/>
    <n v="0"/>
    <n v="0"/>
    <n v="0"/>
    <n v="0"/>
    <m/>
  </r>
  <r>
    <s v="23SDSCE01152"/>
    <s v="FANGALIYA BHAGIRATH KARSHANBHAI"/>
    <s v="SDS"/>
    <x v="0"/>
    <n v="2"/>
    <s v="9327911112 9824452549"/>
    <s v="9327911112 9824452549"/>
    <s v="DCE_2023-26"/>
    <m/>
    <n v="27500"/>
    <n v="2500"/>
    <n v="0"/>
    <n v="0"/>
    <n v="25000"/>
    <n v="3000"/>
    <n v="0"/>
    <n v="0"/>
    <n v="0"/>
    <n v="3000"/>
    <n v="0"/>
    <n v="0"/>
    <n v="0"/>
    <n v="0"/>
    <n v="0"/>
    <n v="0"/>
    <n v="0"/>
    <n v="0"/>
    <n v="0"/>
    <n v="0"/>
    <m/>
  </r>
  <r>
    <s v="23SDSCE01230"/>
    <s v="BABARIYA PRANSHU VIMALBHAI"/>
    <s v="SDS"/>
    <x v="0"/>
    <n v="2"/>
    <s v="8153031594 9925742792"/>
    <s v="8153031594 9925742792"/>
    <s v="DCE_2023-26"/>
    <m/>
    <n v="27500"/>
    <n v="27500"/>
    <n v="0"/>
    <n v="0"/>
    <n v="0"/>
    <n v="3000"/>
    <n v="3000"/>
    <n v="0"/>
    <n v="0"/>
    <n v="0"/>
    <n v="0"/>
    <n v="0"/>
    <n v="0"/>
    <n v="0"/>
    <n v="0"/>
    <n v="0"/>
    <n v="0"/>
    <n v="0"/>
    <n v="0"/>
    <n v="0"/>
    <m/>
  </r>
  <r>
    <s v="23SDSCE01231"/>
    <s v="BHUVA NIJ MUKESHBHAI"/>
    <s v="SDS"/>
    <x v="0"/>
    <n v="2"/>
    <s v="7984350551 6351078267"/>
    <s v="7984350551 6351078267"/>
    <s v="DCE_2023-26"/>
    <m/>
    <n v="27500"/>
    <n v="0"/>
    <n v="0"/>
    <n v="0"/>
    <n v="27500"/>
    <n v="3000"/>
    <n v="0"/>
    <n v="0"/>
    <n v="0"/>
    <n v="3000"/>
    <n v="0"/>
    <n v="0"/>
    <n v="0"/>
    <n v="0"/>
    <n v="0"/>
    <n v="0"/>
    <n v="0"/>
    <n v="0"/>
    <n v="0"/>
    <n v="0"/>
    <m/>
  </r>
  <r>
    <s v="23SDSCE01232"/>
    <s v="CHAUDHARI HARSH KAUSHIKKUMAR"/>
    <s v="SDS"/>
    <x v="0"/>
    <n v="2"/>
    <s v="7575001475 9714915511"/>
    <s v="7575001475 9714915511"/>
    <s v="DCE_2023-26"/>
    <m/>
    <n v="27500"/>
    <n v="27500"/>
    <n v="0"/>
    <n v="0"/>
    <n v="0"/>
    <n v="3000"/>
    <n v="3000"/>
    <n v="0"/>
    <n v="0"/>
    <n v="0"/>
    <n v="0"/>
    <n v="0"/>
    <n v="0"/>
    <n v="0"/>
    <n v="0"/>
    <n v="0"/>
    <n v="0"/>
    <n v="0"/>
    <n v="0"/>
    <n v="0"/>
    <m/>
  </r>
  <r>
    <s v="23SDSCE01233"/>
    <s v="CHAVDA DIPAK ANILBHAI"/>
    <s v="SDS"/>
    <x v="0"/>
    <n v="2"/>
    <s v="6355885022 9624258211"/>
    <s v="6355885022 9624258211"/>
    <s v="DCE_2023-26"/>
    <m/>
    <n v="27500"/>
    <n v="27500"/>
    <n v="0"/>
    <n v="0"/>
    <n v="0"/>
    <n v="3000"/>
    <n v="3000"/>
    <n v="0"/>
    <n v="0"/>
    <n v="0"/>
    <n v="0"/>
    <n v="0"/>
    <n v="0"/>
    <n v="0"/>
    <n v="0"/>
    <n v="0"/>
    <n v="0"/>
    <n v="0"/>
    <n v="0"/>
    <n v="0"/>
    <m/>
  </r>
  <r>
    <s v="23SDSCE01234"/>
    <s v="CHAVDA SAHIL KAMLESHBHAI"/>
    <s v="SDS"/>
    <x v="0"/>
    <n v="2"/>
    <s v="7874289598 9099275092"/>
    <s v="7874289598 9099275092"/>
    <s v="DCE_2023-26"/>
    <m/>
    <n v="27500"/>
    <n v="27500"/>
    <n v="0"/>
    <n v="0"/>
    <n v="0"/>
    <n v="3000"/>
    <n v="3000"/>
    <n v="0"/>
    <n v="0"/>
    <n v="0"/>
    <n v="0"/>
    <n v="0"/>
    <n v="0"/>
    <n v="0"/>
    <n v="0"/>
    <n v="0"/>
    <n v="0"/>
    <n v="0"/>
    <n v="0"/>
    <n v="0"/>
    <m/>
  </r>
  <r>
    <s v="23SDSCE01235"/>
    <s v="JOBANPUTRA PRANSHAV BAKULBHAI"/>
    <s v="SDS"/>
    <x v="0"/>
    <n v="2"/>
    <s v="7016835372 9924171916"/>
    <s v="7016835372 9924171916"/>
    <s v="DCE_2023-26"/>
    <m/>
    <n v="27500"/>
    <n v="27500"/>
    <n v="0"/>
    <n v="0"/>
    <n v="0"/>
    <n v="3000"/>
    <n v="3000"/>
    <n v="0"/>
    <n v="0"/>
    <n v="0"/>
    <n v="0"/>
    <n v="0"/>
    <n v="0"/>
    <n v="0"/>
    <n v="0"/>
    <n v="0"/>
    <n v="0"/>
    <n v="0"/>
    <n v="0"/>
    <n v="0"/>
    <m/>
  </r>
  <r>
    <s v="23SDSCE01236"/>
    <s v="JOSHI SARTHAK HITESHBHAI"/>
    <s v="SDS"/>
    <x v="0"/>
    <n v="2"/>
    <s v="9426379996 9824167996"/>
    <s v="9426379996 9824167996"/>
    <s v="DCE_2023-26"/>
    <m/>
    <n v="27500"/>
    <n v="27500"/>
    <n v="0"/>
    <n v="0"/>
    <n v="0"/>
    <n v="3000"/>
    <n v="3000"/>
    <n v="0"/>
    <n v="0"/>
    <n v="0"/>
    <n v="0"/>
    <n v="0"/>
    <n v="0"/>
    <n v="0"/>
    <n v="0"/>
    <n v="0"/>
    <n v="0"/>
    <n v="0"/>
    <n v="0"/>
    <n v="0"/>
    <m/>
  </r>
  <r>
    <s v="23SDSCE01237"/>
    <s v="KHUNT AKSHAR PANKAJBHAI"/>
    <s v="SDS"/>
    <x v="0"/>
    <n v="2"/>
    <s v="9428462541 9824854886"/>
    <s v="9428462541 9824854886"/>
    <s v="DCE_2023-26"/>
    <m/>
    <n v="27500"/>
    <n v="27500"/>
    <n v="0"/>
    <n v="0"/>
    <n v="0"/>
    <n v="3000"/>
    <n v="3000"/>
    <n v="0"/>
    <n v="0"/>
    <n v="0"/>
    <n v="0"/>
    <n v="0"/>
    <n v="0"/>
    <n v="0"/>
    <n v="0"/>
    <n v="0"/>
    <n v="0"/>
    <n v="0"/>
    <n v="0"/>
    <n v="0"/>
    <m/>
  </r>
  <r>
    <s v="23SDSCE01238"/>
    <s v="KIHALA KISHANBHAI ARVINDBHAI"/>
    <s v="SDS"/>
    <x v="0"/>
    <n v="2"/>
    <s v="9737219017 6356270072"/>
    <s v="9737219017 6356270072"/>
    <s v="DCV_2023-26"/>
    <m/>
    <n v="27500"/>
    <n v="27500"/>
    <n v="0"/>
    <n v="0"/>
    <n v="0"/>
    <n v="3000"/>
    <n v="3000"/>
    <n v="0"/>
    <n v="0"/>
    <n v="0"/>
    <n v="0"/>
    <n v="0"/>
    <n v="0"/>
    <n v="0"/>
    <n v="0"/>
    <n v="0"/>
    <n v="0"/>
    <n v="0"/>
    <n v="0"/>
    <n v="0"/>
    <m/>
  </r>
  <r>
    <s v="23SDSCE01239"/>
    <s v="PADIYA SHUBHAM VIMALKUMAR"/>
    <s v="SDS"/>
    <x v="0"/>
    <n v="2"/>
    <s v="7096680648 9265333376"/>
    <s v="7096680648 9265333376"/>
    <s v="DCE_2023-26"/>
    <m/>
    <n v="27500"/>
    <n v="27500"/>
    <n v="0"/>
    <n v="0"/>
    <n v="0"/>
    <n v="3000"/>
    <n v="3000"/>
    <n v="0"/>
    <n v="0"/>
    <n v="0"/>
    <n v="0"/>
    <n v="0"/>
    <n v="0"/>
    <n v="0"/>
    <n v="0"/>
    <n v="0"/>
    <n v="0"/>
    <n v="0"/>
    <n v="0"/>
    <n v="0"/>
    <m/>
  </r>
  <r>
    <s v="23SDSCE01240"/>
    <s v="TANMAY JAYWANT PAWAR"/>
    <s v="SDS"/>
    <x v="0"/>
    <n v="2"/>
    <s v="9322634913_x000a_9767129785"/>
    <s v="9322634913_x000a_9767129785"/>
    <s v="DCE_2023-26"/>
    <m/>
    <n v="27500"/>
    <n v="27500"/>
    <n v="0"/>
    <n v="0"/>
    <n v="0"/>
    <n v="3000"/>
    <n v="3000"/>
    <n v="0"/>
    <n v="0"/>
    <n v="0"/>
    <n v="0"/>
    <n v="0"/>
    <n v="0"/>
    <n v="0"/>
    <n v="0"/>
    <n v="0"/>
    <n v="0"/>
    <n v="0"/>
    <n v="0"/>
    <n v="0"/>
    <m/>
  </r>
  <r>
    <s v="23SDSCE01241"/>
    <s v="SAKARIYA SIDDHARTH ASHVINBHAI"/>
    <s v="SDS"/>
    <x v="0"/>
    <n v="2"/>
    <s v="9978026140 7990718391 "/>
    <s v="9978026140 7990718391 "/>
    <s v="DCE_2023-26"/>
    <m/>
    <n v="27500"/>
    <n v="27500"/>
    <n v="0"/>
    <n v="0"/>
    <n v="0"/>
    <n v="3000"/>
    <n v="3000"/>
    <n v="0"/>
    <n v="0"/>
    <n v="0"/>
    <n v="0"/>
    <n v="0"/>
    <n v="0"/>
    <n v="0"/>
    <n v="0"/>
    <n v="0"/>
    <n v="0"/>
    <n v="0"/>
    <n v="0"/>
    <n v="0"/>
    <m/>
  </r>
  <r>
    <s v="23SDSCE01242"/>
    <s v="TRIVEDI RUDRAKUMAR KALPESHBHAI"/>
    <s v="SDS"/>
    <x v="0"/>
    <n v="2"/>
    <s v="9316540465 9265032933"/>
    <s v="9316540465 9265032933"/>
    <s v="DCE_2023-26"/>
    <m/>
    <n v="27500"/>
    <n v="0"/>
    <n v="0"/>
    <n v="0"/>
    <n v="27500"/>
    <n v="3000"/>
    <n v="0"/>
    <n v="0"/>
    <n v="0"/>
    <n v="3000"/>
    <n v="0"/>
    <n v="0"/>
    <n v="0"/>
    <n v="0"/>
    <n v="0"/>
    <n v="0"/>
    <n v="0"/>
    <n v="0"/>
    <n v="0"/>
    <n v="0"/>
    <m/>
  </r>
  <r>
    <s v="23SDSCE01243"/>
    <s v="ZALAVADIYA KEVIN SANJAYBHAI"/>
    <s v="SDS"/>
    <x v="0"/>
    <n v="2"/>
    <s v="9913107663"/>
    <s v="9913107663"/>
    <s v="DCE_2023-26"/>
    <m/>
    <n v="27500"/>
    <n v="0"/>
    <n v="0"/>
    <n v="0"/>
    <n v="27500"/>
    <n v="3000"/>
    <n v="0"/>
    <n v="0"/>
    <n v="0"/>
    <n v="3000"/>
    <n v="0"/>
    <n v="0"/>
    <n v="0"/>
    <n v="0"/>
    <n v="0"/>
    <n v="0"/>
    <n v="0"/>
    <n v="0"/>
    <n v="0"/>
    <n v="0"/>
    <m/>
  </r>
  <r>
    <s v="23SDSCE01245"/>
    <s v="ZALAVADIYA KEVAL SANJAYBHAI"/>
    <s v="SDS"/>
    <x v="0"/>
    <n v="2"/>
    <s v="9913107663"/>
    <s v="9913107663"/>
    <s v="DCE_2023-26"/>
    <s v="KSP"/>
    <n v="27500"/>
    <n v="0"/>
    <n v="0"/>
    <n v="6250"/>
    <n v="21250"/>
    <n v="3000"/>
    <n v="0"/>
    <n v="0"/>
    <n v="0"/>
    <n v="3000"/>
    <n v="0"/>
    <n v="0"/>
    <n v="0"/>
    <n v="0"/>
    <n v="0"/>
    <n v="0"/>
    <n v="0"/>
    <n v="0"/>
    <n v="0"/>
    <n v="0"/>
    <s v="KSPS ( 6250/- )"/>
  </r>
  <r>
    <s v="23SDSCE01602"/>
    <s v="ROHIT MEHTA"/>
    <s v="SDS"/>
    <x v="0"/>
    <n v="2"/>
    <s v="INTERNATIONAL"/>
    <s v="USD FEE STUDENT"/>
    <s v="DCE_2023-26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23SDSCE01603"/>
    <s v="SANTOSH KUMAR YADAV"/>
    <s v="SDS"/>
    <x v="0"/>
    <n v="2"/>
    <s v="INTERNATIONAL"/>
    <s v="USD FEE STUDENT"/>
    <s v="DCE_2023-26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23SDSCE01604"/>
    <s v="AKLESH BHUJ"/>
    <s v="SDS"/>
    <x v="0"/>
    <n v="2"/>
    <s v="INTERNATIONAL"/>
    <s v="INR FEE STUDENT"/>
    <s v="DCE_2023-26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23SDSCE01605"/>
    <s v="DIPENDRA MAHATO"/>
    <s v="SDS"/>
    <x v="0"/>
    <n v="2"/>
    <s v="INTERNATIONAL"/>
    <s v="INR FEE STUDENT"/>
    <s v="DCE_2023-26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23SDSCE01606"/>
    <s v="AUNISH RAJ KUMAR TIWARI"/>
    <s v="SDS"/>
    <x v="0"/>
    <n v="2"/>
    <s v="INTERNATIONAL"/>
    <s v="INR FEE STUDENT"/>
    <s v="DCE_2023-26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23SDSCE02901"/>
    <s v="DEVMURARI RISHI RAJNIKANT"/>
    <s v="SDS"/>
    <x v="0"/>
    <n v="2"/>
    <s v="9824288445"/>
    <s v="9824288445"/>
    <s v="DCE_2023-26"/>
    <m/>
    <n v="27500"/>
    <n v="0"/>
    <n v="0"/>
    <n v="0"/>
    <n v="27500"/>
    <n v="19500"/>
    <n v="0"/>
    <n v="0"/>
    <n v="0"/>
    <n v="19500"/>
    <m/>
    <m/>
    <m/>
    <m/>
    <m/>
    <m/>
    <m/>
    <m/>
    <m/>
    <m/>
    <m/>
  </r>
  <r>
    <s v="21SDSCE01162"/>
    <s v="VEKARIYA SALONIBEN VIPULBHAI"/>
    <s v="SDS"/>
    <x v="0"/>
    <n v="4"/>
    <s v="7096684460 8141317352"/>
    <s v="7096684460 8141317352"/>
    <s v="DCE_2021-24"/>
    <s v="KSP"/>
    <n v="25000"/>
    <n v="0"/>
    <n v="0"/>
    <n v="12500"/>
    <n v="12500"/>
    <n v="3000"/>
    <n v="0"/>
    <n v="0"/>
    <n v="0"/>
    <n v="3000"/>
    <n v="0"/>
    <n v="0"/>
    <n v="0"/>
    <n v="0"/>
    <n v="0"/>
    <n v="0"/>
    <n v="0"/>
    <n v="0"/>
    <n v="0"/>
    <n v="0"/>
    <s v="KSPS (50%)_x000a_RS 12500 PER SEM SCHOLARSHIP"/>
  </r>
  <r>
    <s v="22SDSCE01001"/>
    <s v="AGHERA HARSH NITINBHAI"/>
    <s v="SDS"/>
    <x v="0"/>
    <n v="4"/>
    <s v="6353751599 9714204903"/>
    <s v="6353751599 9714204903"/>
    <s v="DCE_2022-25"/>
    <m/>
    <n v="25000"/>
    <n v="25000"/>
    <n v="0"/>
    <n v="0"/>
    <n v="0"/>
    <n v="3000"/>
    <n v="3000"/>
    <n v="0"/>
    <n v="0"/>
    <n v="0"/>
    <n v="0"/>
    <n v="0"/>
    <n v="0"/>
    <n v="0"/>
    <n v="0"/>
    <n v="0"/>
    <n v="0"/>
    <n v="0"/>
    <n v="0"/>
    <n v="0"/>
    <m/>
  </r>
  <r>
    <s v="22SDSCE01002"/>
    <s v="AGHERA SANKETKUMAR SATISHBHAI"/>
    <s v="SDS"/>
    <x v="0"/>
    <n v="4"/>
    <s v="9898895924"/>
    <s v="9898895924"/>
    <s v="DCE_2022-25"/>
    <m/>
    <n v="25000"/>
    <n v="25000"/>
    <n v="0"/>
    <n v="0"/>
    <n v="0"/>
    <n v="3000"/>
    <n v="3000"/>
    <n v="0"/>
    <n v="0"/>
    <n v="0"/>
    <n v="0"/>
    <n v="0"/>
    <n v="0"/>
    <n v="0"/>
    <n v="0"/>
    <n v="0"/>
    <n v="0"/>
    <n v="0"/>
    <n v="0"/>
    <n v="0"/>
    <m/>
  </r>
  <r>
    <s v="22SDSCE01003"/>
    <s v="AJANI MEET PARESHBHAI"/>
    <s v="SDS"/>
    <x v="0"/>
    <n v="4"/>
    <s v="6354372977_x000a_9723517895"/>
    <s v="6354372977_x000a_9723517895"/>
    <s v="DCE_2022-25"/>
    <s v="KSP"/>
    <n v="25000"/>
    <n v="12500"/>
    <n v="0"/>
    <n v="12500"/>
    <n v="0"/>
    <n v="3000"/>
    <n v="3000"/>
    <n v="0"/>
    <n v="0"/>
    <n v="0"/>
    <n v="0"/>
    <n v="0"/>
    <n v="0"/>
    <n v="0"/>
    <n v="0"/>
    <n v="0"/>
    <n v="0"/>
    <n v="0"/>
    <n v="0"/>
    <n v="0"/>
    <s v="&quot;KSPS (50%)_x000a_12500 per sem scholarship&quot;"/>
  </r>
  <r>
    <s v="22SDSCE01004"/>
    <s v="AKBARI AMISHABEN HARESHBHAI"/>
    <s v="SDS"/>
    <x v="0"/>
    <n v="4"/>
    <s v="7069886757 9712886757"/>
    <s v="7069886757 9712886757"/>
    <s v="DCE_2022-25"/>
    <s v="KSP"/>
    <n v="25000"/>
    <n v="12500"/>
    <n v="0"/>
    <n v="12500"/>
    <n v="0"/>
    <n v="3000"/>
    <n v="3000"/>
    <n v="0"/>
    <n v="0"/>
    <n v="0"/>
    <n v="0"/>
    <n v="0"/>
    <n v="0"/>
    <n v="0"/>
    <n v="0"/>
    <n v="0"/>
    <n v="0"/>
    <n v="0"/>
    <n v="0"/>
    <n v="0"/>
    <s v="KSPS(25%) + MYSY(50%) _x000a_MYSY FORM NOT FULL FILL"/>
  </r>
  <r>
    <s v="22SDSCE01005"/>
    <s v="AMBASANA DHRITI VIJAYBHAI"/>
    <s v="SDS"/>
    <x v="0"/>
    <n v="4"/>
    <s v="8160489388_x000a_9924114044"/>
    <s v="8160489388_x000a_9924114044"/>
    <s v="DCE_2022-25"/>
    <s v="TFW"/>
    <n v="25000"/>
    <n v="0"/>
    <n v="0"/>
    <n v="25000"/>
    <n v="0"/>
    <n v="3000"/>
    <n v="3000"/>
    <n v="0"/>
    <n v="0"/>
    <n v="0"/>
    <n v="0"/>
    <n v="0"/>
    <n v="0"/>
    <n v="0"/>
    <n v="0"/>
    <n v="0"/>
    <n v="0"/>
    <n v="0"/>
    <n v="0"/>
    <n v="0"/>
    <m/>
  </r>
  <r>
    <s v="22SDSCE01006"/>
    <s v="BAGDA SATYAM MUKESHBHAI"/>
    <s v="SDS"/>
    <x v="0"/>
    <n v="4"/>
    <s v="9106606395 9537101265"/>
    <s v="9106606395 9537101265"/>
    <s v="DCE_2022-25"/>
    <m/>
    <n v="25000"/>
    <n v="25000"/>
    <n v="0"/>
    <n v="0"/>
    <n v="0"/>
    <n v="3000"/>
    <n v="3000"/>
    <n v="0"/>
    <n v="0"/>
    <n v="0"/>
    <n v="0"/>
    <n v="0"/>
    <n v="0"/>
    <n v="0"/>
    <n v="0"/>
    <n v="0"/>
    <n v="0"/>
    <n v="0"/>
    <n v="0"/>
    <n v="0"/>
    <m/>
  </r>
  <r>
    <s v="22SDSCE01007"/>
    <s v="BAGTHALIYA MIHIR NARESHKUMAR"/>
    <s v="SDS"/>
    <x v="0"/>
    <n v="4"/>
    <s v="6353778125 9714456111"/>
    <s v="6353778125 9714456111"/>
    <s v="DEE_2022-25"/>
    <s v="KSP"/>
    <n v="25000"/>
    <n v="22500"/>
    <n v="0"/>
    <n v="2500"/>
    <n v="0"/>
    <n v="3000"/>
    <n v="3000"/>
    <n v="0"/>
    <n v="0"/>
    <n v="0"/>
    <n v="0"/>
    <n v="0"/>
    <n v="0"/>
    <n v="0"/>
    <n v="0"/>
    <n v="0"/>
    <n v="0"/>
    <n v="0"/>
    <n v="0"/>
    <n v="0"/>
    <s v="RS 2500 PER SEM SCHOLARSHIP"/>
  </r>
  <r>
    <s v="22SDSCE01008"/>
    <s v="BAKORI KISHAN"/>
    <s v="SDS"/>
    <x v="0"/>
    <n v="4"/>
    <s v="9624203804"/>
    <s v="9624203804"/>
    <s v="DCE_2022-25"/>
    <m/>
    <n v="25000"/>
    <n v="25000"/>
    <n v="0"/>
    <n v="0"/>
    <n v="0"/>
    <n v="3000"/>
    <n v="3000"/>
    <n v="0"/>
    <n v="0"/>
    <n v="0"/>
    <n v="0"/>
    <n v="0"/>
    <n v="0"/>
    <n v="0"/>
    <n v="0"/>
    <n v="0"/>
    <n v="0"/>
    <n v="0"/>
    <n v="0"/>
    <n v="0"/>
    <m/>
  </r>
  <r>
    <s v="22SDSCE01009"/>
    <s v="BAMBHAROLIYA DAKSH KIRITBHAI"/>
    <s v="SDS"/>
    <x v="0"/>
    <n v="4"/>
    <s v="9913737915 9978115934"/>
    <s v="9913737915 9978115934"/>
    <s v="DCE_2022-25"/>
    <s v="MYSY"/>
    <n v="25000"/>
    <n v="0"/>
    <n v="0"/>
    <n v="0"/>
    <n v="25000"/>
    <n v="3000"/>
    <n v="3000"/>
    <n v="0"/>
    <n v="0"/>
    <n v="0"/>
    <n v="0"/>
    <n v="0"/>
    <n v="0"/>
    <n v="0"/>
    <n v="0"/>
    <n v="0"/>
    <n v="0"/>
    <n v="0"/>
    <n v="0"/>
    <n v="0"/>
    <s v=" KSPS(50%) + MYSY(50%) "/>
  </r>
  <r>
    <s v="22SDSCE01010"/>
    <s v="BARAIYA JEET ASHOKBHAI"/>
    <s v="SDS"/>
    <x v="0"/>
    <n v="4"/>
    <s v="6353919960 9879695378"/>
    <s v="6353919960 9879695378"/>
    <s v="DCE_2022-25"/>
    <m/>
    <n v="25000"/>
    <n v="25000"/>
    <n v="0"/>
    <n v="0"/>
    <n v="0"/>
    <n v="3000"/>
    <n v="3000"/>
    <n v="0"/>
    <n v="0"/>
    <n v="0"/>
    <n v="0"/>
    <n v="0"/>
    <n v="0"/>
    <n v="0"/>
    <n v="0"/>
    <n v="0"/>
    <n v="0"/>
    <n v="0"/>
    <n v="0"/>
    <n v="0"/>
    <m/>
  </r>
  <r>
    <s v="22SDSCE01011"/>
    <s v="BARAIYA MOHIT SHAMJIBHAI"/>
    <s v="SDS"/>
    <x v="0"/>
    <n v="4"/>
    <s v="9979025331"/>
    <s v="9979025331"/>
    <s v="DCE_2022-25"/>
    <s v="TFW"/>
    <n v="25000"/>
    <n v="0"/>
    <n v="0"/>
    <n v="25000"/>
    <n v="0"/>
    <n v="3000"/>
    <n v="3000"/>
    <n v="0"/>
    <n v="0"/>
    <n v="0"/>
    <n v="0"/>
    <n v="0"/>
    <n v="0"/>
    <n v="0"/>
    <n v="0"/>
    <n v="0"/>
    <n v="0"/>
    <n v="0"/>
    <n v="0"/>
    <n v="0"/>
    <m/>
  </r>
  <r>
    <s v="22SDSCE01013"/>
    <s v="BHADANI MEET ASHVINBHAI"/>
    <s v="SDS"/>
    <x v="0"/>
    <n v="4"/>
    <s v="9106174419 9925264960"/>
    <s v="9106174419 9925264960"/>
    <s v="DCE_2022-25"/>
    <s v="MYSY"/>
    <n v="25000"/>
    <n v="0"/>
    <n v="0"/>
    <n v="0"/>
    <n v="25000"/>
    <n v="3000"/>
    <n v="3000"/>
    <n v="0"/>
    <n v="0"/>
    <n v="0"/>
    <n v="0"/>
    <n v="0"/>
    <n v="0"/>
    <n v="0"/>
    <n v="0"/>
    <n v="0"/>
    <n v="0"/>
    <n v="0"/>
    <n v="0"/>
    <n v="0"/>
    <s v="KSPS(25%) + MYSY(50%)"/>
  </r>
  <r>
    <s v="22SDSCE01014"/>
    <s v="BHAKHAR KUNJ NITINKUMAR"/>
    <s v="SDS"/>
    <x v="0"/>
    <n v="4"/>
    <s v="6354215231 _x000a_8849894229"/>
    <s v="6354215231 _x000a_8849894229"/>
    <s v="DCE_2022-25"/>
    <s v="MYSY"/>
    <n v="25000"/>
    <n v="0"/>
    <n v="0"/>
    <n v="0"/>
    <n v="25000"/>
    <n v="3000"/>
    <n v="3000"/>
    <n v="0"/>
    <n v="0"/>
    <n v="0"/>
    <n v="0"/>
    <n v="0"/>
    <n v="0"/>
    <n v="0"/>
    <n v="0"/>
    <n v="0"/>
    <n v="0"/>
    <n v="0"/>
    <n v="0"/>
    <n v="0"/>
    <s v=" KSPS(50%) + MYSY(50%) "/>
  </r>
  <r>
    <s v="22SDSCE01015"/>
    <s v="BHALANI DHRUVIBEN DHARMENDRABHAI"/>
    <s v="SDS"/>
    <x v="0"/>
    <n v="4"/>
    <s v="6355252662 7698583898"/>
    <s v="6355252662 7698583898"/>
    <s v="DCE_2022-25"/>
    <s v="MYSY"/>
    <n v="25000"/>
    <n v="0"/>
    <n v="0"/>
    <n v="0"/>
    <n v="25000"/>
    <n v="3000"/>
    <n v="3000"/>
    <n v="0"/>
    <n v="0"/>
    <n v="0"/>
    <n v="0"/>
    <n v="0"/>
    <n v="0"/>
    <n v="0"/>
    <n v="0"/>
    <n v="0"/>
    <n v="0"/>
    <n v="0"/>
    <n v="0"/>
    <n v="0"/>
    <s v=" KSPS(50%) + MYSY(50%) "/>
  </r>
  <r>
    <s v="22SDSCE01016"/>
    <s v="BHALANI TISHA RAMESHBHAI"/>
    <s v="SDS"/>
    <x v="0"/>
    <n v="4"/>
    <s v="8849945584 9428622402"/>
    <s v="8849945584 9428622402"/>
    <s v="DCE_2022-25"/>
    <s v="MYSY"/>
    <n v="25000"/>
    <n v="12500"/>
    <n v="0"/>
    <n v="0"/>
    <n v="12500"/>
    <n v="3000"/>
    <n v="3000"/>
    <n v="0"/>
    <n v="0"/>
    <n v="0"/>
    <n v="0"/>
    <n v="0"/>
    <n v="0"/>
    <n v="0"/>
    <n v="0"/>
    <n v="0"/>
    <n v="0"/>
    <n v="0"/>
    <n v="0"/>
    <n v="0"/>
    <s v="KSPS(25%) + MYSY(50%) "/>
  </r>
  <r>
    <s v="22SDSCE01017"/>
    <s v="BHANDERI TIRTH SURESHBHAI"/>
    <s v="SDS"/>
    <x v="0"/>
    <n v="4"/>
    <s v="9737006181 9924682868"/>
    <s v="9737006181 9924682868"/>
    <s v="DCE_2022-25"/>
    <s v="MYSY"/>
    <n v="25000"/>
    <n v="0"/>
    <n v="0"/>
    <n v="0"/>
    <n v="25000"/>
    <n v="3000"/>
    <n v="3000"/>
    <n v="0"/>
    <n v="0"/>
    <n v="0"/>
    <n v="0"/>
    <n v="0"/>
    <n v="0"/>
    <n v="0"/>
    <n v="0"/>
    <n v="0"/>
    <n v="0"/>
    <n v="0"/>
    <n v="0"/>
    <n v="0"/>
    <s v=" KSPS(50%) + MYSY(50%) "/>
  </r>
  <r>
    <s v="22SDSCE01018"/>
    <s v="BHARMAL IBRAHIM IDRISHBHAI"/>
    <s v="SDS"/>
    <x v="0"/>
    <n v="4"/>
    <s v="8734821153"/>
    <s v="8734821153"/>
    <s v="DCE_2022-25"/>
    <s v="MYSY"/>
    <n v="25000"/>
    <n v="0"/>
    <n v="0"/>
    <n v="0"/>
    <n v="25000"/>
    <n v="3000"/>
    <n v="3000"/>
    <n v="0"/>
    <n v="0"/>
    <n v="0"/>
    <n v="0"/>
    <n v="0"/>
    <n v="0"/>
    <n v="0"/>
    <n v="0"/>
    <n v="0"/>
    <n v="0"/>
    <n v="0"/>
    <n v="0"/>
    <n v="0"/>
    <s v="KSPS(25%) + MYSY(50%) "/>
  </r>
  <r>
    <s v="22SDSCE01019"/>
    <s v="BHATT RUTVA VIMALBHAI"/>
    <s v="SDS"/>
    <x v="0"/>
    <n v="4"/>
    <s v="8849065287 9727733515"/>
    <s v="8849065287 9727733515"/>
    <s v="DCE_2022-25"/>
    <s v="KSP"/>
    <n v="25000"/>
    <n v="12500"/>
    <n v="0"/>
    <n v="12500"/>
    <n v="0"/>
    <n v="3000"/>
    <n v="3000"/>
    <n v="0"/>
    <n v="0"/>
    <n v="0"/>
    <n v="0"/>
    <n v="0"/>
    <n v="0"/>
    <n v="0"/>
    <n v="0"/>
    <n v="0"/>
    <n v="0"/>
    <n v="0"/>
    <n v="0"/>
    <n v="0"/>
    <s v="KSPS(50%)_x000a_12500 every sem"/>
  </r>
  <r>
    <s v="22SDSCE01021"/>
    <s v="BHUDIYA HARSHIL DINESH"/>
    <s v="SDS"/>
    <x v="0"/>
    <n v="4"/>
    <s v="9913471295_x000a_9687314200"/>
    <s v="9913471295_x000a_9687314200"/>
    <s v="DCE_2022-25"/>
    <m/>
    <n v="25000"/>
    <n v="25000"/>
    <n v="0"/>
    <n v="0"/>
    <n v="0"/>
    <n v="3000"/>
    <n v="3000"/>
    <n v="0"/>
    <n v="0"/>
    <n v="0"/>
    <n v="0"/>
    <n v="0"/>
    <n v="0"/>
    <n v="0"/>
    <n v="0"/>
    <n v="0"/>
    <n v="0"/>
    <n v="0"/>
    <n v="0"/>
    <n v="0"/>
    <m/>
  </r>
  <r>
    <s v="22SDSCE01022"/>
    <s v="BORAD KHUSH ATULBHAI"/>
    <s v="SDS"/>
    <x v="0"/>
    <n v="4"/>
    <s v="9328055146 9714861612"/>
    <s v="9328055146 9714861612"/>
    <s v="DCE_2022-25"/>
    <s v="KSP"/>
    <n v="25000"/>
    <n v="12500"/>
    <n v="0"/>
    <n v="12500"/>
    <n v="0"/>
    <n v="3000"/>
    <n v="3000"/>
    <n v="0"/>
    <n v="0"/>
    <n v="0"/>
    <n v="0"/>
    <n v="0"/>
    <n v="0"/>
    <n v="0"/>
    <n v="0"/>
    <n v="0"/>
    <n v="0"/>
    <n v="0"/>
    <n v="0"/>
    <n v="0"/>
    <s v="KSPS(50%)_x000a_12500 every sem"/>
  </r>
  <r>
    <s v="22SDSCE01023"/>
    <s v="CHABHAD JAYRAJ ABHALBHAI"/>
    <s v="SDS"/>
    <x v="0"/>
    <n v="4"/>
    <s v="8238474680 9662918958"/>
    <s v="8238474680 9662918958"/>
    <s v="DCE_2022-25"/>
    <s v="KSP"/>
    <n v="25000"/>
    <n v="12500"/>
    <n v="0"/>
    <n v="12500"/>
    <n v="0"/>
    <n v="3000"/>
    <n v="3000"/>
    <n v="0"/>
    <n v="0"/>
    <n v="0"/>
    <n v="0"/>
    <n v="0"/>
    <n v="0"/>
    <n v="0"/>
    <n v="0"/>
    <n v="0"/>
    <n v="0"/>
    <n v="0"/>
    <n v="0"/>
    <n v="0"/>
    <s v="KSPS(50%)_x000a_12500 every sem"/>
  </r>
  <r>
    <s v="22SDSCE01024"/>
    <s v="CHABHADIYA HARDI DHARMENDRABHAI"/>
    <s v="SDS"/>
    <x v="0"/>
    <n v="4"/>
    <s v="9601618904 9998623709"/>
    <s v="9601618904 9998623709"/>
    <s v="DCE_2022-25"/>
    <s v="MYSY"/>
    <n v="25000"/>
    <n v="0"/>
    <n v="0"/>
    <n v="0"/>
    <n v="25000"/>
    <n v="3000"/>
    <n v="3000"/>
    <n v="0"/>
    <n v="0"/>
    <n v="0"/>
    <n v="0"/>
    <n v="0"/>
    <n v="0"/>
    <n v="0"/>
    <n v="0"/>
    <n v="0"/>
    <n v="0"/>
    <n v="0"/>
    <n v="0"/>
    <n v="0"/>
    <s v=" KSPS(50%) + MYSY(50%) "/>
  </r>
  <r>
    <s v="22SDSCE01025"/>
    <s v="CHANDPA MITUL KISHORBHAI"/>
    <s v="SDS"/>
    <x v="0"/>
    <n v="4"/>
    <s v="9016165210 9106670719"/>
    <s v="9016165210 9106670719"/>
    <s v="DCE_2022-25"/>
    <s v="FREESHIP CARD"/>
    <n v="25000"/>
    <n v="0"/>
    <n v="0"/>
    <n v="0"/>
    <n v="25000"/>
    <n v="3000"/>
    <n v="3000"/>
    <n v="0"/>
    <n v="0"/>
    <n v="0"/>
    <n v="0"/>
    <n v="0"/>
    <n v="0"/>
    <n v="0"/>
    <n v="0"/>
    <n v="0"/>
    <n v="0"/>
    <n v="0"/>
    <n v="0"/>
    <n v="0"/>
    <s v="FREESHIP CARD"/>
  </r>
  <r>
    <s v="22SDSCE01026"/>
    <s v="DHYEY CHANGELA"/>
    <s v="SDS"/>
    <x v="0"/>
    <n v="4"/>
    <s v="9664797482 9825432092"/>
    <s v="9664797482 9825432092"/>
    <s v="DCE_2022-25"/>
    <m/>
    <n v="25000"/>
    <n v="25000"/>
    <n v="0"/>
    <n v="0"/>
    <n v="0"/>
    <n v="3000"/>
    <n v="3000"/>
    <n v="0"/>
    <n v="0"/>
    <n v="0"/>
    <n v="0"/>
    <n v="0"/>
    <n v="0"/>
    <n v="0"/>
    <n v="0"/>
    <n v="0"/>
    <n v="0"/>
    <n v="0"/>
    <n v="0"/>
    <n v="0"/>
    <m/>
  </r>
  <r>
    <s v="22SDSCE01028"/>
    <s v="CHAUHAN MEET PARESHBHAI"/>
    <s v="SDS"/>
    <x v="0"/>
    <n v="4"/>
    <s v="8154066235 9825689072"/>
    <s v="8154066235 9825689072"/>
    <s v="DCE_2022-25"/>
    <m/>
    <n v="25000"/>
    <n v="25000"/>
    <n v="0"/>
    <n v="0"/>
    <n v="0"/>
    <n v="3000"/>
    <n v="3000"/>
    <n v="0"/>
    <n v="0"/>
    <n v="0"/>
    <n v="0"/>
    <n v="0"/>
    <n v="0"/>
    <n v="0"/>
    <n v="0"/>
    <n v="0"/>
    <n v="0"/>
    <n v="0"/>
    <n v="0"/>
    <n v="0"/>
    <m/>
  </r>
  <r>
    <s v="22SDSCE01030"/>
    <s v="CHAVDA MAYUR MANSUKHBHAI"/>
    <s v="SDS"/>
    <x v="0"/>
    <n v="4"/>
    <s v="9904598373 9723645451"/>
    <s v="9904598373 9723645451"/>
    <s v="DCE_2022-25"/>
    <s v="FREESHIP CARD"/>
    <n v="25000"/>
    <n v="0"/>
    <n v="0"/>
    <n v="0"/>
    <n v="25000"/>
    <n v="3000"/>
    <n v="3000"/>
    <n v="0"/>
    <n v="0"/>
    <n v="0"/>
    <n v="0"/>
    <n v="0"/>
    <n v="0"/>
    <n v="0"/>
    <n v="0"/>
    <n v="0"/>
    <n v="0"/>
    <n v="0"/>
    <n v="0"/>
    <n v="0"/>
    <s v="FREESHIP CARD"/>
  </r>
  <r>
    <s v="22SDSCE01031"/>
    <s v="CHUDASAMA BHAVYKUMAR MAHESHBHAI"/>
    <s v="SDS"/>
    <x v="0"/>
    <n v="4"/>
    <s v="9898595918_x000a_9898595918"/>
    <s v="9898595918_x000a_9898595918"/>
    <s v="DCE_2022-25"/>
    <s v="MYSY"/>
    <n v="25000"/>
    <n v="0"/>
    <n v="0"/>
    <n v="0"/>
    <n v="25000"/>
    <n v="3000"/>
    <n v="0"/>
    <n v="0"/>
    <n v="0"/>
    <n v="3000"/>
    <n v="0"/>
    <n v="0"/>
    <n v="0"/>
    <n v="0"/>
    <n v="0"/>
    <n v="0"/>
    <n v="0"/>
    <n v="0"/>
    <n v="0"/>
    <n v="0"/>
    <s v="KSPS(25%) + MYSY(50%) "/>
  </r>
  <r>
    <s v="22SDSCE01032"/>
    <s v="CHUDASAMA JEET PRAVINBHAI"/>
    <s v="SDS"/>
    <x v="0"/>
    <n v="4"/>
    <s v="9974717832 9825771514"/>
    <s v="9974717832 9825771514"/>
    <s v="DCE_2022-25"/>
    <s v="MYSY"/>
    <n v="25000"/>
    <n v="0"/>
    <n v="0"/>
    <n v="0"/>
    <n v="25000"/>
    <n v="3000"/>
    <n v="3000"/>
    <n v="0"/>
    <n v="0"/>
    <n v="0"/>
    <n v="0"/>
    <n v="0"/>
    <n v="0"/>
    <n v="0"/>
    <n v="0"/>
    <n v="0"/>
    <n v="0"/>
    <n v="0"/>
    <n v="0"/>
    <n v="0"/>
    <s v=" KSPS(50%) + MYSY(50%) "/>
  </r>
  <r>
    <s v="22SDSCE01033"/>
    <s v="DADHANIA DHRUVI NITESHBHAI"/>
    <s v="SDS"/>
    <x v="0"/>
    <n v="4"/>
    <s v="9558230248"/>
    <s v="9558230248"/>
    <s v="DCE_2022-25"/>
    <m/>
    <n v="25000"/>
    <n v="25000"/>
    <n v="0"/>
    <n v="0"/>
    <n v="0"/>
    <n v="3000"/>
    <n v="3000"/>
    <n v="0"/>
    <n v="0"/>
    <n v="0"/>
    <n v="0"/>
    <n v="0"/>
    <n v="0"/>
    <n v="0"/>
    <n v="0"/>
    <n v="0"/>
    <n v="0"/>
    <n v="0"/>
    <n v="0"/>
    <n v="0"/>
    <m/>
  </r>
  <r>
    <s v="22SDSCE01034"/>
    <s v="DARJI GHANSHYAM JAGDISHBHAI"/>
    <s v="SDS"/>
    <x v="0"/>
    <n v="4"/>
    <s v="9099254823 7574031390"/>
    <s v="9099254823 7574031390"/>
    <s v="DCE_2022-25"/>
    <s v="MYSY"/>
    <n v="25000"/>
    <n v="0"/>
    <n v="0"/>
    <n v="0"/>
    <n v="25000"/>
    <n v="3000"/>
    <n v="0"/>
    <n v="0"/>
    <n v="0"/>
    <n v="3000"/>
    <n v="0"/>
    <n v="0"/>
    <n v="0"/>
    <n v="0"/>
    <n v="0"/>
    <n v="0"/>
    <n v="0"/>
    <n v="0"/>
    <n v="0"/>
    <n v="0"/>
    <s v="KSPS(25%) + MYSY(50%) "/>
  </r>
  <r>
    <s v="22SDSCE01035"/>
    <s v="DESAI DHARA DINESHBHAI"/>
    <s v="SDS"/>
    <x v="0"/>
    <n v="4"/>
    <s v="9081818535"/>
    <s v="9081818535"/>
    <s v="DCE_2022-25"/>
    <s v="TFW"/>
    <n v="25000"/>
    <n v="0"/>
    <n v="0"/>
    <n v="25000"/>
    <n v="0"/>
    <n v="3000"/>
    <n v="3000"/>
    <n v="0"/>
    <n v="0"/>
    <n v="0"/>
    <n v="0"/>
    <n v="0"/>
    <n v="0"/>
    <n v="0"/>
    <n v="0"/>
    <n v="0"/>
    <n v="0"/>
    <n v="0"/>
    <n v="0"/>
    <n v="0"/>
    <m/>
  </r>
  <r>
    <s v="22SDSCE01036"/>
    <s v="DESAI SUJAL JAYESHBHAI"/>
    <s v="SDS"/>
    <x v="0"/>
    <n v="4"/>
    <s v="6353060649 9558137630"/>
    <s v="6353060649 9558137630"/>
    <s v="DCE_2022-25"/>
    <m/>
    <n v="25000"/>
    <n v="25000"/>
    <n v="0"/>
    <n v="0"/>
    <n v="0"/>
    <n v="3000"/>
    <n v="3000"/>
    <n v="0"/>
    <n v="0"/>
    <n v="0"/>
    <n v="0"/>
    <n v="0"/>
    <n v="0"/>
    <n v="0"/>
    <n v="0"/>
    <n v="0"/>
    <n v="0"/>
    <n v="0"/>
    <n v="0"/>
    <n v="0"/>
    <m/>
  </r>
  <r>
    <s v="22SDSCE01037"/>
    <s v="DETROJA RADHE SHAILESHBHAI"/>
    <s v="SDS"/>
    <x v="0"/>
    <n v="4"/>
    <s v="9825478841_x000a_8780082615"/>
    <s v="9825478841_x000a_8780082615"/>
    <s v="DCE_2022-25"/>
    <m/>
    <n v="25000"/>
    <n v="0"/>
    <n v="0"/>
    <n v="0"/>
    <n v="25000"/>
    <n v="3000"/>
    <n v="0"/>
    <n v="0"/>
    <n v="0"/>
    <n v="3000"/>
    <n v="0"/>
    <n v="0"/>
    <n v="0"/>
    <n v="0"/>
    <n v="0"/>
    <n v="0"/>
    <n v="0"/>
    <n v="0"/>
    <n v="0"/>
    <n v="0"/>
    <m/>
  </r>
  <r>
    <s v="22SDSCE01038"/>
    <s v="DHAMELIYA NIRAV PRAVINBHAI"/>
    <s v="SDS"/>
    <x v="0"/>
    <n v="4"/>
    <s v="7567423069 7567112414"/>
    <s v="7567423069 7567112414"/>
    <s v="DCE_2022-25"/>
    <s v="MYSY"/>
    <n v="25000"/>
    <n v="0"/>
    <n v="0"/>
    <n v="0"/>
    <n v="25000"/>
    <n v="3000"/>
    <n v="3000"/>
    <n v="0"/>
    <n v="0"/>
    <n v="0"/>
    <n v="0"/>
    <n v="0"/>
    <n v="0"/>
    <n v="0"/>
    <n v="0"/>
    <n v="0"/>
    <n v="0"/>
    <n v="0"/>
    <n v="0"/>
    <n v="0"/>
    <s v="MYSY(50%) "/>
  </r>
  <r>
    <s v="22SDSCE01039"/>
    <s v="DHOLAKIYA BRIJESHKUMAR ROHITBHAI"/>
    <s v="SDS"/>
    <x v="0"/>
    <n v="4"/>
    <s v="7600472406"/>
    <s v="7600472406"/>
    <s v="DCE_2022-25"/>
    <m/>
    <n v="25000"/>
    <n v="0"/>
    <n v="0"/>
    <n v="0"/>
    <n v="25000"/>
    <n v="3000"/>
    <n v="0"/>
    <n v="0"/>
    <n v="0"/>
    <n v="3000"/>
    <n v="0"/>
    <n v="0"/>
    <n v="0"/>
    <n v="0"/>
    <n v="0"/>
    <n v="0"/>
    <n v="0"/>
    <n v="0"/>
    <n v="0"/>
    <n v="0"/>
    <m/>
  </r>
  <r>
    <s v="22SDSCE01041"/>
    <s v="FICHADIYA SHYAM MAYURBHAI"/>
    <s v="SDS"/>
    <x v="0"/>
    <n v="4"/>
    <s v="9712331831 9727331831"/>
    <s v="9712331831 9727331831"/>
    <s v="DCE_2022-25"/>
    <m/>
    <n v="25000"/>
    <n v="25000"/>
    <n v="0"/>
    <n v="0"/>
    <n v="0"/>
    <n v="3000"/>
    <n v="3000"/>
    <n v="0"/>
    <n v="0"/>
    <n v="0"/>
    <n v="0"/>
    <n v="0"/>
    <n v="0"/>
    <n v="0"/>
    <n v="0"/>
    <n v="0"/>
    <n v="0"/>
    <n v="0"/>
    <n v="0"/>
    <n v="0"/>
    <m/>
  </r>
  <r>
    <s v="22SDSCE01042"/>
    <s v="GADHIYA DARSHIL RAJESHBHAI"/>
    <s v="SDS"/>
    <x v="0"/>
    <n v="4"/>
    <s v="8866589617 6355001106"/>
    <s v="8866589617 6355001106"/>
    <s v="DCE_2022-25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22SDSCE01044"/>
    <s v="GHELANI FORAM GHANSHYAMBHAI"/>
    <s v="SDS"/>
    <x v="0"/>
    <n v="4"/>
    <s v="8866220622 9824687560"/>
    <s v="8866220622 9824687560"/>
    <s v="DCE_2022-25"/>
    <m/>
    <n v="25000"/>
    <n v="25000"/>
    <n v="0"/>
    <n v="0"/>
    <n v="0"/>
    <n v="3000"/>
    <n v="3000"/>
    <n v="0"/>
    <n v="0"/>
    <n v="0"/>
    <n v="0"/>
    <n v="0"/>
    <n v="0"/>
    <n v="0"/>
    <n v="0"/>
    <n v="0"/>
    <n v="0"/>
    <n v="0"/>
    <n v="0"/>
    <n v="0"/>
    <m/>
  </r>
  <r>
    <s v="22SDSCE01045"/>
    <s v="GHETIYA VASU BHAVESHBHAI"/>
    <s v="SDS"/>
    <x v="0"/>
    <n v="4"/>
    <s v="8320673754 9574190912"/>
    <s v="8320673754 9574190912"/>
    <s v="DCE_2022-25"/>
    <s v="MYSY"/>
    <n v="25000"/>
    <n v="25000"/>
    <n v="0"/>
    <n v="0"/>
    <n v="0"/>
    <n v="3000"/>
    <n v="3000"/>
    <n v="0"/>
    <n v="0"/>
    <n v="0"/>
    <n v="0"/>
    <n v="0"/>
    <n v="0"/>
    <n v="0"/>
    <n v="0"/>
    <n v="0"/>
    <n v="0"/>
    <n v="0"/>
    <n v="0"/>
    <n v="0"/>
    <s v="KSPS(25%) + MYSY(50%)"/>
  </r>
  <r>
    <s v="22SDSCE01046"/>
    <s v="GHIYAD YXAY CHANDUBHAI"/>
    <s v="SDS"/>
    <x v="0"/>
    <n v="4"/>
    <s v="6351144954_x000a_6351144954"/>
    <s v="6351144954_x000a_6351144954"/>
    <s v="DCE_2022-25"/>
    <s v="MYSY"/>
    <n v="25000"/>
    <n v="0"/>
    <n v="0"/>
    <n v="0"/>
    <n v="25000"/>
    <n v="3000"/>
    <n v="3000"/>
    <n v="0"/>
    <n v="0"/>
    <n v="0"/>
    <n v="0"/>
    <n v="0"/>
    <n v="0"/>
    <n v="0"/>
    <n v="0"/>
    <n v="0"/>
    <n v="0"/>
    <n v="0"/>
    <n v="0"/>
    <n v="0"/>
    <s v="KSPS(25%) + MYSY(50%)"/>
  </r>
  <r>
    <s v="22SDSCE01047"/>
    <s v="GHODASARA SHREYU DHARMENDRABHAI"/>
    <s v="SDS"/>
    <x v="0"/>
    <n v="4"/>
    <s v="8160883531 9662581300"/>
    <s v="8160883531 9662581300"/>
    <s v="DCE_2022-25"/>
    <s v="MYSY"/>
    <n v="25000"/>
    <n v="25000"/>
    <n v="0"/>
    <n v="0"/>
    <n v="0"/>
    <n v="3000"/>
    <n v="3000"/>
    <n v="0"/>
    <n v="0"/>
    <n v="0"/>
    <n v="0"/>
    <n v="0"/>
    <n v="0"/>
    <n v="0"/>
    <n v="0"/>
    <n v="0"/>
    <n v="0"/>
    <n v="0"/>
    <n v="0"/>
    <n v="0"/>
    <s v="KSPS(25%) + MYSY(50%)"/>
  </r>
  <r>
    <s v="22SDSCE01048"/>
    <s v="HATHILA LAXMI SURESHBHAI"/>
    <s v="SDS"/>
    <x v="0"/>
    <n v="4"/>
    <s v="9601092302"/>
    <s v="9601092302"/>
    <s v="DCE_2022-25"/>
    <s v="FREESHIP CARD"/>
    <n v="25000"/>
    <n v="0"/>
    <n v="0"/>
    <n v="0"/>
    <n v="25000"/>
    <n v="3000"/>
    <n v="3000"/>
    <n v="0"/>
    <n v="0"/>
    <n v="0"/>
    <n v="0"/>
    <n v="0"/>
    <n v="0"/>
    <n v="0"/>
    <n v="0"/>
    <n v="0"/>
    <n v="0"/>
    <n v="0"/>
    <n v="0"/>
    <n v="0"/>
    <s v="FREESHIP CARD"/>
  </r>
  <r>
    <s v="22SDSCE01049"/>
    <s v="HINDOCHA KARTAVYA KALPESHBHAI"/>
    <s v="SDS"/>
    <x v="0"/>
    <n v="4"/>
    <s v="9429980320 8200098229"/>
    <s v="9429980320 8200098229"/>
    <s v="DCE_2022-25"/>
    <s v="MYSY"/>
    <n v="25000"/>
    <n v="0"/>
    <n v="0"/>
    <n v="0"/>
    <n v="25000"/>
    <n v="3000"/>
    <n v="0"/>
    <n v="0"/>
    <n v="0"/>
    <n v="3000"/>
    <n v="0"/>
    <n v="0"/>
    <n v="0"/>
    <n v="0"/>
    <n v="0"/>
    <n v="0"/>
    <n v="0"/>
    <n v="0"/>
    <n v="0"/>
    <n v="0"/>
    <s v="MYSY(50%) + KSPS(25%)"/>
  </r>
  <r>
    <s v="22SDSCE01050"/>
    <s v="JADEJA VISHVARAJSINH VIKRAMSINH"/>
    <s v="SDS"/>
    <x v="0"/>
    <n v="4"/>
    <s v="8487916772 9687516772"/>
    <s v="8487916772 9687516772"/>
    <s v="DCE_2022-25"/>
    <m/>
    <n v="25000"/>
    <n v="25000"/>
    <n v="0"/>
    <n v="0"/>
    <n v="0"/>
    <n v="3000"/>
    <n v="3000"/>
    <n v="0"/>
    <n v="0"/>
    <n v="0"/>
    <n v="0"/>
    <n v="0"/>
    <n v="0"/>
    <n v="0"/>
    <n v="0"/>
    <n v="0"/>
    <n v="0"/>
    <n v="0"/>
    <n v="0"/>
    <n v="0"/>
    <m/>
  </r>
  <r>
    <s v="22SDSCE01051"/>
    <s v="KACHHADIYA KRISH VITTHALBHAI"/>
    <s v="SDS"/>
    <x v="0"/>
    <n v="4"/>
    <s v="8849793479 8200747973"/>
    <s v="8849793479 8200747973"/>
    <s v="DCE_2022-25"/>
    <s v="MYSY"/>
    <n v="25000"/>
    <n v="0"/>
    <n v="0"/>
    <n v="0"/>
    <n v="25000"/>
    <n v="3000"/>
    <n v="3000"/>
    <n v="0"/>
    <n v="0"/>
    <n v="0"/>
    <n v="0"/>
    <n v="0"/>
    <n v="0"/>
    <n v="0"/>
    <n v="0"/>
    <n v="0"/>
    <n v="0"/>
    <n v="0"/>
    <n v="0"/>
    <n v="0"/>
    <s v="KSPS(25%) + MYSY(50%) "/>
  </r>
  <r>
    <s v="22SDSCE01053"/>
    <s v="KIKANI RAJ KISHORBHAI"/>
    <s v="SDS"/>
    <x v="0"/>
    <n v="4"/>
    <s v="9106848736 6352799727"/>
    <s v="9106848736 6352799727"/>
    <s v="DCE_2022-25"/>
    <s v="MYSY"/>
    <n v="25000"/>
    <n v="0"/>
    <n v="0"/>
    <n v="0"/>
    <n v="25000"/>
    <n v="3000"/>
    <n v="3000"/>
    <n v="0"/>
    <n v="0"/>
    <n v="0"/>
    <n v="0"/>
    <n v="0"/>
    <n v="0"/>
    <n v="0"/>
    <n v="0"/>
    <n v="0"/>
    <n v="0"/>
    <n v="0"/>
    <n v="0"/>
    <n v="0"/>
    <s v="KSPS(25%) + MYSY(50%) "/>
  </r>
  <r>
    <s v="22SDSCE01054"/>
    <s v="KOTADIYA SHUBHAM JENTIBHAI"/>
    <s v="SDS"/>
    <x v="0"/>
    <n v="4"/>
    <s v="9978120865_x000a_9879817895"/>
    <s v="9978120865_x000a_9879817895"/>
    <s v="DCE_2022-25"/>
    <m/>
    <n v="25000"/>
    <n v="25000"/>
    <n v="0"/>
    <n v="0"/>
    <n v="0"/>
    <n v="3000"/>
    <n v="3000"/>
    <n v="0"/>
    <n v="0"/>
    <n v="0"/>
    <n v="0"/>
    <n v="0"/>
    <n v="0"/>
    <n v="0"/>
    <n v="0"/>
    <n v="0"/>
    <n v="0"/>
    <n v="0"/>
    <n v="0"/>
    <n v="0"/>
    <m/>
  </r>
  <r>
    <s v="22SDSCE01055"/>
    <s v="KOTADIYA VATSAL KISHORBHAI"/>
    <s v="SDS"/>
    <x v="0"/>
    <n v="4"/>
    <s v="9316562865 9833676591"/>
    <s v="9316562865 9833676591"/>
    <s v="DCE_2022-25"/>
    <m/>
    <n v="25000"/>
    <n v="25000"/>
    <n v="0"/>
    <n v="0"/>
    <n v="0"/>
    <n v="3000"/>
    <n v="3000"/>
    <n v="0"/>
    <n v="0"/>
    <n v="0"/>
    <n v="0"/>
    <n v="0"/>
    <n v="0"/>
    <n v="0"/>
    <n v="0"/>
    <n v="0"/>
    <n v="0"/>
    <n v="0"/>
    <n v="0"/>
    <n v="0"/>
    <m/>
  </r>
  <r>
    <s v="22SDSCE01056"/>
    <s v="KOTAK NIKHIL PANKAJBHAI"/>
    <s v="SDS"/>
    <x v="0"/>
    <n v="4"/>
    <s v="6353050513_x000a_9276557605"/>
    <s v="6353050513_x000a_9276557605"/>
    <s v="DCE_2022-25"/>
    <s v="MYSY"/>
    <n v="25000"/>
    <n v="0"/>
    <n v="0"/>
    <n v="0"/>
    <n v="25000"/>
    <n v="3000"/>
    <n v="3000"/>
    <n v="0"/>
    <n v="0"/>
    <n v="0"/>
    <n v="0"/>
    <n v="0"/>
    <n v="0"/>
    <n v="0"/>
    <n v="0"/>
    <n v="0"/>
    <n v="0"/>
    <n v="0"/>
    <n v="0"/>
    <n v="0"/>
    <s v="KSPS(25%) + MYSY(50%)"/>
  </r>
  <r>
    <s v="22SDSCE01058"/>
    <s v="LATHIGARA ARYAN KALPESHBHAI"/>
    <s v="SDS"/>
    <x v="0"/>
    <n v="4"/>
    <s v="9978912034 9924527753"/>
    <s v="9978912034 9924527753"/>
    <s v="DCE_2022-25"/>
    <s v="MYSY"/>
    <n v="25000"/>
    <n v="0"/>
    <n v="0"/>
    <n v="0"/>
    <n v="25000"/>
    <n v="3000"/>
    <n v="3000"/>
    <n v="0"/>
    <n v="0"/>
    <n v="0"/>
    <n v="0"/>
    <n v="0"/>
    <n v="0"/>
    <n v="0"/>
    <n v="0"/>
    <n v="0"/>
    <n v="0"/>
    <n v="0"/>
    <n v="0"/>
    <n v="0"/>
    <s v="KSPS(50%) + MYSY(50%) "/>
  </r>
  <r>
    <s v="22SDSCE01059"/>
    <s v="LIMBANI RAJ SHAILESHBHAI"/>
    <s v="SDS"/>
    <x v="0"/>
    <n v="4"/>
    <s v="8780040581 9427431981"/>
    <s v="8780040581 9427431981"/>
    <s v="DCE_2022-25"/>
    <s v="KSP"/>
    <n v="25000"/>
    <n v="18750"/>
    <n v="0"/>
    <n v="6250"/>
    <n v="0"/>
    <n v="3000"/>
    <n v="3000"/>
    <n v="0"/>
    <n v="0"/>
    <n v="0"/>
    <n v="0"/>
    <n v="0"/>
    <n v="0"/>
    <n v="0"/>
    <n v="0"/>
    <n v="0"/>
    <n v="0"/>
    <n v="0"/>
    <n v="0"/>
    <n v="0"/>
    <s v="6250 per sem scholarship"/>
  </r>
  <r>
    <s v="22SDSCE01060"/>
    <s v="RAMANI UTTAM RAJESHBHAI"/>
    <s v="SDS"/>
    <x v="0"/>
    <n v="4"/>
    <s v="9510894941"/>
    <s v="9510894941"/>
    <s v="DCE_2022-25"/>
    <s v="TFW"/>
    <n v="25000"/>
    <n v="0"/>
    <n v="0"/>
    <n v="25000"/>
    <n v="0"/>
    <n v="3000"/>
    <n v="3000"/>
    <n v="0"/>
    <n v="0"/>
    <n v="0"/>
    <n v="0"/>
    <n v="0"/>
    <n v="0"/>
    <n v="0"/>
    <n v="0"/>
    <n v="0"/>
    <n v="0"/>
    <n v="0"/>
    <n v="0"/>
    <n v="0"/>
    <m/>
  </r>
  <r>
    <s v="22SDSCE01061"/>
    <s v="RATHOD AVANI SURESHBHAI"/>
    <s v="SDS"/>
    <x v="0"/>
    <n v="4"/>
    <s v="7069840646 9687140646"/>
    <s v="7069840646 9687140646"/>
    <s v="DCE_2022-25"/>
    <s v="MYSY"/>
    <n v="25000"/>
    <n v="0"/>
    <n v="0"/>
    <n v="0"/>
    <n v="25000"/>
    <n v="3000"/>
    <n v="3000"/>
    <n v="0"/>
    <n v="0"/>
    <n v="0"/>
    <n v="0"/>
    <n v="0"/>
    <n v="0"/>
    <n v="0"/>
    <n v="0"/>
    <n v="0"/>
    <n v="0"/>
    <n v="0"/>
    <n v="0"/>
    <n v="0"/>
    <s v="MYSY(50%) "/>
  </r>
  <r>
    <s v="22SDSCE01062"/>
    <s v="SANCHANIYA SAKSHI TUSHARBHAI"/>
    <s v="SDS"/>
    <x v="0"/>
    <n v="4"/>
    <s v="9998936880"/>
    <s v="9998936880"/>
    <s v="DCE_2022-25"/>
    <m/>
    <n v="25000"/>
    <n v="25000"/>
    <n v="0"/>
    <n v="0"/>
    <n v="0"/>
    <n v="3000"/>
    <n v="3000"/>
    <n v="0"/>
    <n v="0"/>
    <n v="0"/>
    <n v="0"/>
    <n v="0"/>
    <n v="0"/>
    <n v="0"/>
    <n v="0"/>
    <n v="0"/>
    <n v="0"/>
    <n v="0"/>
    <n v="0"/>
    <n v="0"/>
    <m/>
  </r>
  <r>
    <s v="22SDSCE01063"/>
    <s v="TANK DRASHTI ASHOKBHAI"/>
    <s v="SDS"/>
    <x v="0"/>
    <n v="4"/>
    <s v="9313229533 9426288184"/>
    <s v="9313229533 9426288184"/>
    <s v="DCE_2022-25"/>
    <s v="MYSY"/>
    <n v="25000"/>
    <n v="12500"/>
    <n v="0"/>
    <n v="0"/>
    <n v="12500"/>
    <n v="3000"/>
    <n v="3000"/>
    <n v="0"/>
    <n v="0"/>
    <n v="0"/>
    <n v="0"/>
    <n v="0"/>
    <n v="0"/>
    <n v="0"/>
    <n v="0"/>
    <n v="0"/>
    <n v="0"/>
    <n v="0"/>
    <n v="0"/>
    <n v="0"/>
    <s v="KSPS(25%) + MYSY(50%)"/>
  </r>
  <r>
    <s v="22SDSCE01198"/>
    <s v="BHATT BHARGAV VIPULBHAI"/>
    <s v="SDS"/>
    <x v="0"/>
    <n v="4"/>
    <s v="9067024265 8000562815"/>
    <s v="9067024265 8000562815"/>
    <s v="DCE_2022-25"/>
    <m/>
    <n v="25000"/>
    <n v="0"/>
    <n v="0"/>
    <n v="0"/>
    <n v="25000"/>
    <n v="3000"/>
    <n v="0"/>
    <n v="0"/>
    <n v="0"/>
    <n v="3000"/>
    <n v="0"/>
    <n v="0"/>
    <n v="0"/>
    <n v="0"/>
    <n v="0"/>
    <n v="0"/>
    <n v="0"/>
    <n v="0"/>
    <n v="0"/>
    <n v="0"/>
    <m/>
  </r>
  <r>
    <s v="22SDSCE01201"/>
    <s v="DUDHREJIYA ROHIT ASHWINBHAI"/>
    <s v="SDS"/>
    <x v="0"/>
    <n v="4"/>
    <s v="9726103165 9824803165"/>
    <s v="9726103165 9824803165"/>
    <s v="DCE_2022-25"/>
    <m/>
    <n v="25000"/>
    <n v="25000"/>
    <n v="0"/>
    <n v="0"/>
    <n v="0"/>
    <n v="3000"/>
    <n v="3000"/>
    <n v="0"/>
    <n v="0"/>
    <n v="0"/>
    <n v="0"/>
    <n v="0"/>
    <n v="0"/>
    <n v="0"/>
    <n v="0"/>
    <n v="0"/>
    <n v="0"/>
    <n v="0"/>
    <n v="0"/>
    <n v="0"/>
    <m/>
  </r>
  <r>
    <s v="22SDSCE01202"/>
    <s v="JADAV JAINIK JAGDISHBHAI"/>
    <s v="SDS"/>
    <x v="0"/>
    <n v="4"/>
    <s v="8160848149 9824243005"/>
    <s v="8160848149 9824243005"/>
    <s v="DCE_2022-25"/>
    <m/>
    <n v="25000"/>
    <n v="25000"/>
    <n v="0"/>
    <n v="0"/>
    <n v="0"/>
    <n v="3000"/>
    <n v="3000"/>
    <n v="0"/>
    <n v="0"/>
    <n v="0"/>
    <n v="0"/>
    <n v="0"/>
    <n v="0"/>
    <n v="0"/>
    <n v="0"/>
    <n v="0"/>
    <n v="0"/>
    <n v="0"/>
    <n v="0"/>
    <n v="0"/>
    <m/>
  </r>
  <r>
    <s v="22SDSCE01203"/>
    <s v="KAVA MITESH RAJESHBHAI"/>
    <s v="SDS"/>
    <x v="0"/>
    <n v="4"/>
    <s v="9998830490_x0009_ 9723888998"/>
    <s v="9998830490_x0009_ 9723888998"/>
    <s v="DCE_2022-25"/>
    <s v="MYSY"/>
    <n v="25000"/>
    <n v="25000"/>
    <n v="0"/>
    <n v="0"/>
    <n v="0"/>
    <n v="3000"/>
    <n v="3000"/>
    <n v="0"/>
    <n v="0"/>
    <n v="0"/>
    <n v="0"/>
    <n v="0"/>
    <n v="0"/>
    <n v="0"/>
    <n v="0"/>
    <n v="0"/>
    <n v="0"/>
    <n v="0"/>
    <n v="0"/>
    <n v="0"/>
    <s v="MYSY(50%)"/>
  </r>
  <r>
    <s v="22SDSCE01207"/>
    <s v="PRATHAM KUMAR"/>
    <s v="SDS"/>
    <x v="0"/>
    <n v="4"/>
    <s v="9512477078 9671022909"/>
    <s v="9512477078 9671022909"/>
    <s v="DCE_2022-25"/>
    <m/>
    <n v="25000"/>
    <n v="25000"/>
    <n v="0"/>
    <n v="0"/>
    <n v="0"/>
    <n v="3000"/>
    <n v="3000"/>
    <n v="0"/>
    <n v="0"/>
    <n v="0"/>
    <n v="0"/>
    <n v="0"/>
    <n v="0"/>
    <n v="0"/>
    <n v="0"/>
    <n v="0"/>
    <n v="0"/>
    <n v="0"/>
    <n v="0"/>
    <n v="0"/>
    <m/>
  </r>
  <r>
    <s v="22SDSCE01212"/>
    <s v="CHAVDA PRINCE SHAILESHBHAI"/>
    <s v="SDS"/>
    <x v="0"/>
    <n v="4"/>
    <s v="8780944098 8160284620"/>
    <s v="8780944098 8160284620"/>
    <s v="DCE_2022-25"/>
    <m/>
    <n v="25000"/>
    <n v="25000"/>
    <n v="0"/>
    <n v="0"/>
    <n v="0"/>
    <n v="3000"/>
    <n v="3000"/>
    <n v="0"/>
    <n v="0"/>
    <n v="0"/>
    <n v="0"/>
    <n v="0"/>
    <n v="0"/>
    <n v="0"/>
    <n v="0"/>
    <n v="0"/>
    <n v="0"/>
    <n v="0"/>
    <n v="0"/>
    <n v="0"/>
    <m/>
  </r>
  <r>
    <s v="22SDSCE01064"/>
    <s v="CHANDARANA PAVAN KAMLESHBHAI"/>
    <s v="SDS"/>
    <x v="0"/>
    <n v="4"/>
    <s v="9081718952 9428318152"/>
    <s v="9081718952 9428318152"/>
    <s v="DCE_2022-25"/>
    <m/>
    <n v="25000"/>
    <n v="25000"/>
    <n v="0"/>
    <n v="0"/>
    <n v="0"/>
    <n v="3000"/>
    <n v="3000"/>
    <n v="0"/>
    <n v="0"/>
    <n v="0"/>
    <n v="0"/>
    <n v="0"/>
    <n v="0"/>
    <n v="0"/>
    <n v="0"/>
    <n v="0"/>
    <n v="0"/>
    <n v="0"/>
    <n v="0"/>
    <n v="0"/>
    <m/>
  </r>
  <r>
    <s v="22SDSCE01065"/>
    <s v="MAKVANA RAHUL KANJIBHAI"/>
    <s v="SDS"/>
    <x v="0"/>
    <n v="4"/>
    <s v="9081276346 7624048651"/>
    <s v="9081276346 7624048651"/>
    <s v="DCE_2022-25"/>
    <s v="KSP"/>
    <n v="25000"/>
    <n v="25000"/>
    <n v="0"/>
    <n v="12500"/>
    <n v="-12500"/>
    <n v="3000"/>
    <n v="3000"/>
    <n v="0"/>
    <n v="0"/>
    <n v="0"/>
    <n v="0"/>
    <n v="0"/>
    <n v="0"/>
    <n v="0"/>
    <n v="0"/>
    <n v="0"/>
    <n v="0"/>
    <n v="0"/>
    <n v="0"/>
    <n v="0"/>
    <s v="12500 PER SEM SCHOLARSHIP"/>
  </r>
  <r>
    <s v="22SDSCE01066"/>
    <s v="MALVIYA PRIYANK ASHVINBHAI"/>
    <s v="SDS"/>
    <x v="0"/>
    <n v="4"/>
    <s v="9537707190 9979571491"/>
    <s v="9537707190 9979571491"/>
    <s v="DCE_2022-25"/>
    <s v="MYSY"/>
    <n v="25000"/>
    <n v="0"/>
    <n v="0"/>
    <n v="0"/>
    <n v="25000"/>
    <n v="3000"/>
    <n v="3000"/>
    <n v="0"/>
    <n v="0"/>
    <n v="0"/>
    <n v="0"/>
    <n v="0"/>
    <n v="0"/>
    <n v="0"/>
    <n v="0"/>
    <n v="0"/>
    <n v="0"/>
    <n v="0"/>
    <n v="0"/>
    <n v="0"/>
    <s v="KSPS(25%) + MYSY(50%) "/>
  </r>
  <r>
    <s v="22SDSCE01067"/>
    <s v="MANDANKA VANSH LALJIBHAI"/>
    <s v="SDS"/>
    <x v="0"/>
    <n v="4"/>
    <s v="6354355617 9586397290"/>
    <s v="6354355617 9586397290"/>
    <s v="DCE_2022-25"/>
    <s v="MYSY"/>
    <n v="25000"/>
    <n v="0"/>
    <n v="0"/>
    <n v="0"/>
    <n v="25000"/>
    <n v="3000"/>
    <n v="3000"/>
    <n v="0"/>
    <n v="0"/>
    <n v="0"/>
    <n v="0"/>
    <n v="0"/>
    <n v="0"/>
    <n v="0"/>
    <n v="0"/>
    <n v="0"/>
    <n v="0"/>
    <n v="0"/>
    <n v="0"/>
    <n v="0"/>
    <s v="KSPS(25%) + MYSY(50%) "/>
  </r>
  <r>
    <s v="22SDSCE01068"/>
    <s v="MARAVIYA SOHIL YUNUS"/>
    <s v="SDS"/>
    <x v="0"/>
    <n v="4"/>
    <s v="9638836234 9925895760"/>
    <s v="9638836234 9925895760"/>
    <s v="DCE_2022-25"/>
    <s v="MYSY"/>
    <n v="25000"/>
    <n v="0"/>
    <n v="0"/>
    <n v="0"/>
    <n v="25000"/>
    <n v="3000"/>
    <n v="3000"/>
    <n v="0"/>
    <n v="0"/>
    <n v="0"/>
    <n v="0"/>
    <n v="0"/>
    <n v="0"/>
    <n v="0"/>
    <n v="0"/>
    <n v="0"/>
    <n v="0"/>
    <n v="0"/>
    <n v="0"/>
    <n v="0"/>
    <s v="KSPS(50%) + MYSY(50%) "/>
  </r>
  <r>
    <s v="22SDSCE01069"/>
    <s v="MENDPARA JEEL KAUSHIKBHAI"/>
    <s v="SDS"/>
    <x v="0"/>
    <n v="4"/>
    <s v="9624070070_x000a_9879434751"/>
    <s v="9624070070_x000a_9879434751"/>
    <s v="DCE_2022-25"/>
    <m/>
    <n v="25000"/>
    <n v="25000"/>
    <n v="0"/>
    <n v="0"/>
    <n v="0"/>
    <n v="3000"/>
    <n v="3000"/>
    <n v="0"/>
    <n v="0"/>
    <n v="0"/>
    <n v="0"/>
    <n v="0"/>
    <n v="0"/>
    <n v="0"/>
    <n v="0"/>
    <n v="0"/>
    <n v="0"/>
    <n v="0"/>
    <n v="0"/>
    <n v="0"/>
    <m/>
  </r>
  <r>
    <s v="22SDSCE01070"/>
    <s v="MER PIYUSH BIPINBHAI"/>
    <s v="SDS"/>
    <x v="0"/>
    <n v="4"/>
    <s v="9328120545 9904991965"/>
    <s v="9328120545 9904991965"/>
    <s v="DCE_2022-25"/>
    <s v="MYSY"/>
    <n v="25000"/>
    <n v="0"/>
    <n v="0"/>
    <n v="0"/>
    <n v="25000"/>
    <n v="3000"/>
    <n v="3000"/>
    <n v="0"/>
    <n v="0"/>
    <n v="0"/>
    <n v="0"/>
    <n v="0"/>
    <n v="0"/>
    <n v="0"/>
    <n v="0"/>
    <n v="0"/>
    <n v="0"/>
    <n v="0"/>
    <n v="0"/>
    <n v="0"/>
    <s v="KSPS(25%) + MYSY(50%) "/>
  </r>
  <r>
    <s v="22SDSCE01071"/>
    <s v="MODHVADIYA HETALBEN RAMBHAI"/>
    <s v="SDS"/>
    <x v="0"/>
    <n v="4"/>
    <s v="9879899945 9365236851"/>
    <s v="9879899945 9365236851"/>
    <s v="DCE_2022-25"/>
    <m/>
    <n v="25000"/>
    <n v="0"/>
    <n v="0"/>
    <n v="0"/>
    <n v="25000"/>
    <n v="3000"/>
    <n v="0"/>
    <n v="0"/>
    <n v="0"/>
    <n v="3000"/>
    <n v="0"/>
    <n v="0"/>
    <n v="0"/>
    <n v="0"/>
    <n v="0"/>
    <n v="0"/>
    <n v="0"/>
    <n v="0"/>
    <n v="0"/>
    <n v="0"/>
    <m/>
  </r>
  <r>
    <s v="22SDSCE01072"/>
    <s v="MOLIYA KRUPA HEMANTKUMAR"/>
    <s v="SDS"/>
    <x v="0"/>
    <n v="4"/>
    <s v="9313481869 9664993509"/>
    <s v="9313481869 9664993509"/>
    <s v="DCE_2022-25"/>
    <m/>
    <n v="25000"/>
    <n v="25000"/>
    <n v="0"/>
    <n v="0"/>
    <n v="0"/>
    <n v="3000"/>
    <n v="3000"/>
    <n v="0"/>
    <n v="0"/>
    <n v="0"/>
    <n v="0"/>
    <n v="0"/>
    <n v="0"/>
    <n v="0"/>
    <n v="0"/>
    <n v="0"/>
    <n v="0"/>
    <n v="0"/>
    <n v="0"/>
    <n v="0"/>
    <m/>
  </r>
  <r>
    <s v="22SDSCE01073"/>
    <s v="MORADIYA MOKSH MEHULKUMAR"/>
    <s v="SDS"/>
    <x v="0"/>
    <n v="4"/>
    <s v="9426141300 9426141300"/>
    <s v="9426141300 9426141300"/>
    <s v="DCE_2022-25"/>
    <s v="MYSY"/>
    <n v="25000"/>
    <n v="0"/>
    <n v="0"/>
    <n v="0"/>
    <n v="25000"/>
    <n v="3000"/>
    <n v="3000"/>
    <n v="0"/>
    <n v="0"/>
    <n v="0"/>
    <n v="0"/>
    <n v="0"/>
    <n v="0"/>
    <n v="0"/>
    <n v="0"/>
    <n v="0"/>
    <n v="0"/>
    <n v="0"/>
    <n v="0"/>
    <n v="0"/>
    <s v="KSPS(25%) + MYSY(50%) "/>
  </r>
  <r>
    <s v="22SDSCE01075"/>
    <s v="MUNGRA JIGAR SURESHBHAI"/>
    <s v="SDS"/>
    <x v="0"/>
    <n v="4"/>
    <s v="8401180700_x000a_9924404924"/>
    <s v="8401180700_x000a_9924404924"/>
    <s v="DCE_2022-25"/>
    <s v="TFW"/>
    <n v="25000"/>
    <n v="0"/>
    <n v="0"/>
    <n v="25000"/>
    <n v="0"/>
    <n v="3000"/>
    <n v="3000"/>
    <n v="0"/>
    <n v="0"/>
    <n v="0"/>
    <n v="0"/>
    <n v="0"/>
    <n v="0"/>
    <n v="0"/>
    <n v="0"/>
    <n v="0"/>
    <n v="0"/>
    <n v="0"/>
    <n v="0"/>
    <n v="0"/>
    <m/>
  </r>
  <r>
    <s v="22SDSCE01077"/>
    <s v="NASHIT AAYUSH ASHVINBHAI"/>
    <s v="SDS"/>
    <x v="0"/>
    <n v="4"/>
    <s v="6353979810 9313542835"/>
    <s v="6353979810 9313542835"/>
    <s v="DCE_2022-25"/>
    <s v="KSP"/>
    <n v="25000"/>
    <n v="12500"/>
    <n v="0"/>
    <n v="12500"/>
    <n v="0"/>
    <n v="3000"/>
    <n v="3000"/>
    <n v="0"/>
    <n v="0"/>
    <n v="0"/>
    <n v="0"/>
    <n v="0"/>
    <n v="0"/>
    <n v="0"/>
    <n v="0"/>
    <n v="0"/>
    <n v="0"/>
    <n v="0"/>
    <n v="0"/>
    <n v="0"/>
    <s v="KSPS 50 %_x000a_12500 PER SEM"/>
  </r>
  <r>
    <s v="22SDSCE01078"/>
    <s v="HARVI NASIT"/>
    <s v="SDS"/>
    <x v="0"/>
    <n v="4"/>
    <s v="8866085830 _x000a_8320482183"/>
    <s v="8866085830 _x000a_8320482183"/>
    <s v="DCE_2022-25"/>
    <s v="KSP"/>
    <n v="25000"/>
    <n v="12500"/>
    <n v="0"/>
    <n v="12500"/>
    <n v="0"/>
    <n v="3000"/>
    <n v="3000"/>
    <n v="0"/>
    <n v="0"/>
    <n v="0"/>
    <n v="0"/>
    <n v="0"/>
    <n v="0"/>
    <n v="0"/>
    <n v="0"/>
    <n v="0"/>
    <n v="0"/>
    <n v="0"/>
    <n v="0"/>
    <n v="0"/>
    <s v="12500 PER SEM SCHOLARSHIP"/>
  </r>
  <r>
    <s v="22SDSCE01079"/>
    <s v="NASIT MEET HASMUKHBHAI"/>
    <s v="SDS"/>
    <x v="0"/>
    <n v="4"/>
    <s v="7600680576 9879917361"/>
    <s v="7600680576 9879917361"/>
    <s v="DCE_2022-25"/>
    <s v="KSP"/>
    <n v="25000"/>
    <n v="18750"/>
    <n v="0"/>
    <n v="6250"/>
    <n v="0"/>
    <n v="3000"/>
    <n v="3000"/>
    <n v="0"/>
    <n v="0"/>
    <n v="0"/>
    <n v="0"/>
    <n v="0"/>
    <n v="0"/>
    <n v="0"/>
    <n v="0"/>
    <n v="0"/>
    <n v="0"/>
    <n v="0"/>
    <n v="0"/>
    <n v="0"/>
    <s v="RS 6250 PER SEM SCHOLARSHIP"/>
  </r>
  <r>
    <s v="22SDSCE01080"/>
    <s v="NIRANJANI PRASHANTKUMAR RAJESHBHAI"/>
    <s v="SDS"/>
    <x v="0"/>
    <n v="4"/>
    <s v="9712058519 8155943353"/>
    <s v="9712058519 8155943353"/>
    <s v="DCE_2022-25"/>
    <s v="MYSY"/>
    <n v="25000"/>
    <n v="0"/>
    <n v="0"/>
    <n v="0"/>
    <n v="25000"/>
    <n v="3000"/>
    <n v="3000"/>
    <n v="0"/>
    <n v="0"/>
    <n v="0"/>
    <n v="0"/>
    <n v="0"/>
    <n v="0"/>
    <n v="0"/>
    <n v="0"/>
    <n v="0"/>
    <n v="0"/>
    <n v="0"/>
    <n v="0"/>
    <n v="0"/>
    <s v="KSPS(25%) + MYSY(50%) "/>
  </r>
  <r>
    <s v="22SDSCE01081"/>
    <s v="PAMBHAR KUSH DINESHBHAI"/>
    <s v="SDS"/>
    <x v="0"/>
    <n v="4"/>
    <s v="9408832292 8200721024"/>
    <s v="9408832292 8200721024"/>
    <s v="DCE_2022-25"/>
    <s v="KSP"/>
    <n v="25000"/>
    <n v="18750"/>
    <n v="0"/>
    <n v="6250"/>
    <n v="0"/>
    <n v="3000"/>
    <n v="3000"/>
    <n v="0"/>
    <n v="0"/>
    <n v="0"/>
    <n v="0"/>
    <n v="0"/>
    <n v="0"/>
    <n v="0"/>
    <n v="0"/>
    <n v="0"/>
    <n v="0"/>
    <n v="0"/>
    <n v="0"/>
    <n v="0"/>
    <s v="RS 6250 PER SEM SCHOLARSHIP"/>
  </r>
  <r>
    <s v="22SDSCE01082"/>
    <s v="PAMBHAR SMIT"/>
    <s v="SDS"/>
    <x v="0"/>
    <n v="4"/>
    <s v="9824590491 9909404963"/>
    <s v="9824590491 9909404963"/>
    <s v="DCE_2022-25"/>
    <m/>
    <n v="25000"/>
    <n v="25000"/>
    <n v="0"/>
    <n v="0"/>
    <n v="0"/>
    <n v="3000"/>
    <n v="3000"/>
    <n v="0"/>
    <n v="0"/>
    <n v="0"/>
    <n v="0"/>
    <n v="0"/>
    <n v="0"/>
    <n v="0"/>
    <n v="0"/>
    <n v="0"/>
    <n v="0"/>
    <n v="0"/>
    <n v="0"/>
    <n v="0"/>
    <m/>
  </r>
  <r>
    <s v="22SDSCE01083"/>
    <s v="PANDYA SMITKUMAR BHAVESHBHAI"/>
    <s v="SDS"/>
    <x v="0"/>
    <n v="4"/>
    <s v="7486892425 8866193894"/>
    <s v="7486892425 8866193894"/>
    <s v="DCE_2022-25"/>
    <m/>
    <n v="25000"/>
    <n v="0"/>
    <n v="0"/>
    <n v="0"/>
    <n v="25000"/>
    <n v="3000"/>
    <n v="0"/>
    <n v="0"/>
    <n v="0"/>
    <n v="3000"/>
    <n v="0"/>
    <n v="0"/>
    <n v="0"/>
    <n v="0"/>
    <n v="0"/>
    <n v="0"/>
    <n v="0"/>
    <n v="0"/>
    <n v="0"/>
    <n v="0"/>
    <m/>
  </r>
  <r>
    <s v="22SDSCE01084"/>
    <s v="PANSURIYA KHUSHI DHARMESHBHAI"/>
    <s v="SDS"/>
    <x v="0"/>
    <n v="4"/>
    <s v="9106101047_x000a_9426289534"/>
    <s v="9106101047_x000a_9426289534"/>
    <s v="DCE_2022-25"/>
    <s v="KSP"/>
    <n v="25000"/>
    <n v="12500"/>
    <n v="0"/>
    <n v="12500"/>
    <n v="0"/>
    <n v="3000"/>
    <n v="3000"/>
    <n v="0"/>
    <n v="0"/>
    <n v="0"/>
    <n v="0"/>
    <n v="0"/>
    <n v="0"/>
    <n v="0"/>
    <n v="0"/>
    <n v="0"/>
    <n v="0"/>
    <n v="0"/>
    <n v="0"/>
    <n v="0"/>
    <s v="KSP 50%_x000a_12500 PER SEM SCHOLARSHIP"/>
  </r>
  <r>
    <s v="22SDSCE01085"/>
    <s v="PANSURIYA PRIT SANJAYBHAI"/>
    <s v="SDS"/>
    <x v="0"/>
    <n v="4"/>
    <s v="9726550606_x000a_8320096190"/>
    <s v="9726550606_x000a_8320096190"/>
    <s v="DCE_2022-25"/>
    <s v="TFW"/>
    <n v="25000"/>
    <n v="0"/>
    <n v="0"/>
    <n v="25000"/>
    <n v="0"/>
    <n v="3000"/>
    <n v="3000"/>
    <n v="0"/>
    <n v="0"/>
    <n v="0"/>
    <n v="0"/>
    <n v="0"/>
    <n v="0"/>
    <n v="0"/>
    <n v="0"/>
    <n v="0"/>
    <n v="0"/>
    <n v="0"/>
    <n v="0"/>
    <n v="0"/>
    <m/>
  </r>
  <r>
    <s v="22SDSCE01086"/>
    <s v="PARABIYA DIPALI RAJESHBHAI"/>
    <s v="SDS"/>
    <x v="0"/>
    <n v="4"/>
    <s v="9714140456 9712197464"/>
    <s v="9714140456 9712197464"/>
    <s v="DCE_2022-25"/>
    <s v="MYSY"/>
    <n v="25000"/>
    <n v="25000"/>
    <n v="0"/>
    <n v="0"/>
    <n v="0"/>
    <n v="3000"/>
    <n v="3000"/>
    <n v="0"/>
    <n v="0"/>
    <n v="0"/>
    <n v="0"/>
    <n v="0"/>
    <n v="0"/>
    <n v="0"/>
    <n v="0"/>
    <n v="0"/>
    <n v="0"/>
    <n v="0"/>
    <n v="0"/>
    <n v="0"/>
    <s v="MYSY(50%) + KSPS (50%)"/>
  </r>
  <r>
    <s v="22SDSCE01087"/>
    <s v="PARMAR DEVENDRASINH ANILSINH"/>
    <s v="SDS"/>
    <x v="0"/>
    <n v="4"/>
    <s v="7202904718 7016755318"/>
    <s v="7202904718 7016755318"/>
    <s v="DCE_2022-25"/>
    <s v="KSP"/>
    <n v="25000"/>
    <n v="12500"/>
    <n v="0"/>
    <n v="12500"/>
    <n v="0"/>
    <n v="3000"/>
    <n v="3000"/>
    <n v="0"/>
    <n v="0"/>
    <n v="0"/>
    <n v="0"/>
    <n v="0"/>
    <n v="0"/>
    <n v="0"/>
    <n v="0"/>
    <n v="0"/>
    <n v="0"/>
    <n v="0"/>
    <n v="0"/>
    <n v="0"/>
    <s v="12500 PER SEM SCHOLARSHIP"/>
  </r>
  <r>
    <s v="22SDSCE01088"/>
    <s v="DHRUVI PARSANA"/>
    <s v="SDS"/>
    <x v="0"/>
    <n v="4"/>
    <s v="9316409367 8780673596"/>
    <s v="9316409367 8780673596"/>
    <s v="DCE_2022-25"/>
    <m/>
    <n v="25000"/>
    <n v="25000"/>
    <n v="0"/>
    <n v="0"/>
    <n v="0"/>
    <n v="3000"/>
    <n v="3000"/>
    <n v="0"/>
    <n v="0"/>
    <n v="0"/>
    <n v="0"/>
    <n v="0"/>
    <n v="0"/>
    <n v="0"/>
    <n v="0"/>
    <n v="0"/>
    <n v="0"/>
    <n v="0"/>
    <n v="0"/>
    <n v="0"/>
    <m/>
  </r>
  <r>
    <s v="22SDSCE01089"/>
    <s v="PATEL DEV NILESH"/>
    <s v="SDS"/>
    <x v="0"/>
    <n v="4"/>
    <s v="9712393045_x000a_9824603108"/>
    <s v="9712393045_x000a_9824603108"/>
    <s v="DCE_2022-25"/>
    <m/>
    <n v="25000"/>
    <n v="25000"/>
    <n v="0"/>
    <n v="0"/>
    <n v="0"/>
    <n v="3000"/>
    <n v="3000"/>
    <n v="0"/>
    <n v="0"/>
    <n v="0"/>
    <n v="0"/>
    <n v="0"/>
    <n v="0"/>
    <n v="0"/>
    <n v="0"/>
    <n v="0"/>
    <n v="0"/>
    <n v="0"/>
    <n v="0"/>
    <n v="0"/>
    <m/>
  </r>
  <r>
    <s v="22SDSCE01090"/>
    <s v="PATOLIYA SAKSHEE VINODBHAI"/>
    <s v="SDS"/>
    <x v="0"/>
    <n v="4"/>
    <s v="8780058844"/>
    <s v="8780058844"/>
    <s v="DCE_2022-25"/>
    <m/>
    <n v="25000"/>
    <n v="0"/>
    <n v="0"/>
    <n v="0"/>
    <n v="25000"/>
    <n v="3000"/>
    <n v="3000"/>
    <n v="0"/>
    <n v="0"/>
    <n v="0"/>
    <n v="0"/>
    <n v="0"/>
    <n v="0"/>
    <n v="0"/>
    <n v="0"/>
    <n v="0"/>
    <n v="0"/>
    <n v="0"/>
    <n v="0"/>
    <n v="0"/>
    <m/>
  </r>
  <r>
    <s v="22SDSCE01091"/>
    <s v="PIPARIYA SARJAK"/>
    <s v="SDS"/>
    <x v="0"/>
    <n v="4"/>
    <s v="8490845067 9227148699"/>
    <s v="8490845067 9227148699"/>
    <s v="DCE_2022-25"/>
    <m/>
    <n v="25000"/>
    <n v="25000"/>
    <n v="0"/>
    <n v="0"/>
    <n v="0"/>
    <n v="3000"/>
    <n v="3000"/>
    <n v="0"/>
    <n v="0"/>
    <n v="0"/>
    <n v="0"/>
    <n v="0"/>
    <n v="0"/>
    <n v="0"/>
    <n v="0"/>
    <n v="0"/>
    <n v="0"/>
    <n v="0"/>
    <n v="0"/>
    <n v="0"/>
    <m/>
  </r>
  <r>
    <s v="22SDSCE01092"/>
    <s v="RADADIYA MIHIR RAMESHBHAI"/>
    <s v="SDS"/>
    <x v="0"/>
    <n v="4"/>
    <s v="9265043977_x000a_9825251548"/>
    <s v="9265043977_x000a_9825251548"/>
    <s v="DCE_2022-25"/>
    <s v="KSP"/>
    <n v="25000"/>
    <n v="12500"/>
    <n v="0"/>
    <n v="12500"/>
    <n v="0"/>
    <n v="3000"/>
    <n v="3000"/>
    <n v="0"/>
    <n v="0"/>
    <n v="0"/>
    <n v="0"/>
    <n v="0"/>
    <n v="0"/>
    <n v="0"/>
    <n v="0"/>
    <n v="0"/>
    <n v="0"/>
    <n v="0"/>
    <n v="0"/>
    <n v="0"/>
    <s v="KSPS (50%)_x000a_12500 PER SEM SCHOLARSHIP"/>
  </r>
  <r>
    <s v="22SDSCE01093"/>
    <s v="RAMANI UJJWAL NITINBHAI"/>
    <s v="SDS"/>
    <x v="0"/>
    <n v="4"/>
    <s v="8799520502 9825351760"/>
    <s v="8799520502 9825351760"/>
    <s v="DCE_2022-25"/>
    <m/>
    <n v="25000"/>
    <n v="25000"/>
    <n v="0"/>
    <n v="0"/>
    <n v="0"/>
    <n v="3000"/>
    <n v="3000"/>
    <n v="0"/>
    <n v="0"/>
    <n v="0"/>
    <n v="0"/>
    <n v="0"/>
    <n v="0"/>
    <n v="0"/>
    <n v="0"/>
    <n v="0"/>
    <n v="0"/>
    <n v="0"/>
    <n v="0"/>
    <n v="0"/>
    <m/>
  </r>
  <r>
    <s v="22SDSCE01095"/>
    <s v="RANGANI KAUSHAL PRAVINBHAI"/>
    <s v="SDS"/>
    <x v="0"/>
    <n v="4"/>
    <s v="8160346751 9638562280"/>
    <s v="8160346751 9638562280"/>
    <s v="DCE_2022-25"/>
    <s v="MYSY"/>
    <n v="25000"/>
    <n v="25000"/>
    <n v="0"/>
    <n v="0"/>
    <n v="0"/>
    <n v="3000"/>
    <n v="3000"/>
    <n v="0"/>
    <n v="0"/>
    <n v="0"/>
    <n v="0"/>
    <n v="0"/>
    <n v="0"/>
    <n v="0"/>
    <n v="0"/>
    <n v="0"/>
    <n v="0"/>
    <n v="0"/>
    <n v="0"/>
    <n v="0"/>
    <s v="KSPS(25%) + MYSY(50%) "/>
  </r>
  <r>
    <s v="22SDSCE01096"/>
    <s v="RANK SHUBH CHHAGANBHAI"/>
    <s v="SDS"/>
    <x v="0"/>
    <n v="4"/>
    <s v="9978775494 9727943606"/>
    <s v="9978775494 9727943606"/>
    <s v="DCE_2022-25"/>
    <s v="MYSY"/>
    <n v="25000"/>
    <n v="0"/>
    <n v="0"/>
    <n v="0"/>
    <n v="25000"/>
    <n v="3000"/>
    <n v="0"/>
    <n v="0"/>
    <n v="0"/>
    <n v="3000"/>
    <n v="0"/>
    <n v="0"/>
    <n v="0"/>
    <n v="0"/>
    <n v="0"/>
    <n v="0"/>
    <n v="0"/>
    <n v="0"/>
    <n v="0"/>
    <n v="0"/>
    <s v="KSPS(50%) + MYSY(50%) "/>
  </r>
  <r>
    <s v="22SDSCE01097"/>
    <s v="RATANPARA NIKHIL ASHOKBHAI"/>
    <s v="SDS"/>
    <x v="0"/>
    <n v="4"/>
    <s v="7622981147 7874694054"/>
    <s v="7622981147 7874694054"/>
    <s v="DCE_2022-25"/>
    <s v="KSP"/>
    <n v="25000"/>
    <n v="12500"/>
    <n v="0"/>
    <n v="12500"/>
    <n v="0"/>
    <n v="3000"/>
    <n v="3000"/>
    <n v="0"/>
    <n v="0"/>
    <n v="0"/>
    <n v="0"/>
    <n v="0"/>
    <n v="0"/>
    <n v="0"/>
    <n v="0"/>
    <n v="0"/>
    <n v="0"/>
    <n v="0"/>
    <n v="0"/>
    <n v="0"/>
    <s v="RS 12500 PER SEM SCHOLARSHIP"/>
  </r>
  <r>
    <s v="22SDSCE01099"/>
    <s v="SAKHIYA SMIT VINODBHAI"/>
    <s v="SDS"/>
    <x v="0"/>
    <n v="4"/>
    <s v="9879018989_x000a_9825624670"/>
    <s v="9879018989_x000a_9825624670"/>
    <s v="DCE_2022-25"/>
    <s v="KSP"/>
    <n v="25000"/>
    <n v="0"/>
    <n v="0"/>
    <n v="6250"/>
    <n v="18750"/>
    <n v="3000"/>
    <n v="0"/>
    <n v="0"/>
    <n v="0"/>
    <n v="3000"/>
    <n v="0"/>
    <n v="0"/>
    <n v="0"/>
    <n v="0"/>
    <n v="0"/>
    <n v="0"/>
    <n v="0"/>
    <n v="0"/>
    <n v="0"/>
    <n v="0"/>
    <s v="6250 PER SEM SCHOLARSHIP"/>
  </r>
  <r>
    <s v="22SDSCE01100"/>
    <s v="SANTOKI JAY JITENDRABHAI"/>
    <s v="SDS"/>
    <x v="0"/>
    <n v="4"/>
    <s v="9904472697 9924340435"/>
    <s v="9904472697 9924340435"/>
    <s v="DCE_2022-25"/>
    <m/>
    <n v="25000"/>
    <n v="25000"/>
    <n v="0"/>
    <n v="0"/>
    <n v="0"/>
    <n v="3000"/>
    <n v="3000"/>
    <n v="0"/>
    <n v="0"/>
    <n v="0"/>
    <n v="0"/>
    <n v="0"/>
    <n v="0"/>
    <n v="0"/>
    <n v="0"/>
    <n v="0"/>
    <n v="0"/>
    <n v="0"/>
    <n v="0"/>
    <n v="0"/>
    <s v="RS 5000 ONE TIME SCHOLARSHIP"/>
  </r>
  <r>
    <s v="22SDSCE01101"/>
    <s v="SARDHARA RUSHIT JITENDRABHAI"/>
    <s v="SDS"/>
    <x v="0"/>
    <n v="4"/>
    <s v="9016736367 9924023833"/>
    <s v="9016736367 9924023833"/>
    <s v="DCE_2022-25"/>
    <s v="KSP"/>
    <n v="25000"/>
    <n v="18750"/>
    <n v="0"/>
    <n v="6250"/>
    <n v="0"/>
    <n v="3000"/>
    <n v="3000"/>
    <n v="0"/>
    <n v="0"/>
    <n v="0"/>
    <n v="0"/>
    <n v="0"/>
    <n v="0"/>
    <n v="0"/>
    <n v="0"/>
    <n v="0"/>
    <n v="0"/>
    <n v="0"/>
    <n v="0"/>
    <n v="0"/>
    <s v="6250 PER SEM SCHOLARSHIP"/>
  </r>
  <r>
    <s v="22SDSCE01103"/>
    <s v="SHERASIYA ANSH RAJESHBHAI"/>
    <s v="SDS"/>
    <x v="0"/>
    <n v="4"/>
    <s v="7859955749 9601681145"/>
    <s v="7859955749 9601681145"/>
    <s v="DCE_2022-25"/>
    <s v="MYSY"/>
    <n v="25000"/>
    <n v="0"/>
    <n v="0"/>
    <n v="0"/>
    <n v="25000"/>
    <n v="3000"/>
    <n v="3000"/>
    <n v="0"/>
    <n v="0"/>
    <n v="0"/>
    <n v="0"/>
    <n v="0"/>
    <n v="0"/>
    <n v="0"/>
    <n v="0"/>
    <n v="0"/>
    <n v="0"/>
    <n v="0"/>
    <n v="0"/>
    <n v="0"/>
    <s v="KSPS(25%) + MYSY(50%) "/>
  </r>
  <r>
    <s v="22SDSCE01104"/>
    <s v="SHIRA MANAV CHANDUBHAI"/>
    <s v="SDS"/>
    <x v="0"/>
    <n v="4"/>
    <s v="8866347815 9099774773"/>
    <s v="8866347815 9099774773"/>
    <s v="DCE_2022-25"/>
    <s v="KSP"/>
    <n v="25000"/>
    <n v="12500"/>
    <n v="0"/>
    <n v="12500"/>
    <n v="0"/>
    <n v="3000"/>
    <n v="3000"/>
    <n v="0"/>
    <n v="0"/>
    <n v="0"/>
    <n v="0"/>
    <n v="0"/>
    <n v="0"/>
    <n v="0"/>
    <n v="0"/>
    <n v="0"/>
    <n v="0"/>
    <n v="0"/>
    <n v="0"/>
    <n v="0"/>
    <s v="RS 12500 PER SEM SCHOLARSHIP"/>
  </r>
  <r>
    <s v="22SDSCE01105"/>
    <s v="SIDDHAPURA NAIMISH DIPAKBHAI"/>
    <s v="SDS"/>
    <x v="0"/>
    <n v="4"/>
    <s v="9313439875 9824838129"/>
    <s v="9313439875 9824838129"/>
    <s v="DCE_2022-25"/>
    <m/>
    <n v="25000"/>
    <n v="25000"/>
    <n v="0"/>
    <n v="0"/>
    <n v="0"/>
    <n v="3000"/>
    <n v="3000"/>
    <n v="0"/>
    <n v="0"/>
    <n v="0"/>
    <n v="0"/>
    <n v="0"/>
    <n v="0"/>
    <n v="0"/>
    <n v="0"/>
    <n v="0"/>
    <n v="0"/>
    <n v="0"/>
    <n v="0"/>
    <n v="0"/>
    <m/>
  </r>
  <r>
    <s v="22SDSCE01106"/>
    <s v="SIDPARA KRISH BHAVESHBHAI"/>
    <s v="SDS"/>
    <x v="0"/>
    <n v="4"/>
    <s v="9537374760 9924277538"/>
    <s v="9537374760 9924277538"/>
    <s v="DCE_2022-25"/>
    <s v="KSP"/>
    <n v="25000"/>
    <n v="12500"/>
    <n v="0"/>
    <n v="12500"/>
    <n v="0"/>
    <n v="3000"/>
    <n v="3000"/>
    <n v="0"/>
    <n v="0"/>
    <n v="0"/>
    <n v="0"/>
    <n v="0"/>
    <n v="0"/>
    <n v="0"/>
    <n v="0"/>
    <n v="0"/>
    <n v="0"/>
    <n v="0"/>
    <n v="0"/>
    <n v="0"/>
    <s v="RS 12500 PER SEM SCHOLARSHIP"/>
  </r>
  <r>
    <s v="22SDSCE01108"/>
    <s v="SURANI VANSH CHETANBHAI"/>
    <s v="SDS"/>
    <x v="0"/>
    <n v="4"/>
    <s v="9313306473 9825764293"/>
    <s v="9313306473 9825764293"/>
    <s v="DCE_2022-25"/>
    <m/>
    <n v="25000"/>
    <n v="25000"/>
    <n v="0"/>
    <n v="0"/>
    <n v="0"/>
    <n v="3000"/>
    <n v="3000"/>
    <n v="0"/>
    <n v="0"/>
    <n v="0"/>
    <n v="0"/>
    <n v="0"/>
    <n v="0"/>
    <n v="0"/>
    <n v="0"/>
    <n v="0"/>
    <n v="0"/>
    <n v="0"/>
    <n v="0"/>
    <n v="0"/>
    <m/>
  </r>
  <r>
    <s v="22SDSCE01109"/>
    <s v="TANK SAHIL ASHOKBHAI"/>
    <s v="SDS"/>
    <x v="0"/>
    <n v="4"/>
    <s v="7623045838 9106365829"/>
    <s v="7623045838 9106365829"/>
    <s v="DCE_2022-25"/>
    <s v="MYSY"/>
    <n v="25000"/>
    <n v="0"/>
    <n v="0"/>
    <n v="0"/>
    <n v="25000"/>
    <n v="3000"/>
    <n v="3000"/>
    <n v="0"/>
    <n v="0"/>
    <n v="0"/>
    <n v="0"/>
    <n v="0"/>
    <n v="0"/>
    <n v="0"/>
    <n v="0"/>
    <n v="0"/>
    <n v="0"/>
    <n v="0"/>
    <n v="0"/>
    <n v="0"/>
    <s v="KSPS (50%) + MYSY(50%) "/>
  </r>
  <r>
    <s v="22SDSCE01110"/>
    <s v="TARPADA MANALI"/>
    <s v="SDS"/>
    <x v="0"/>
    <n v="4"/>
    <s v="9825315448 9727715448"/>
    <s v="9825315448 9727715448"/>
    <s v="DCE_2022-25"/>
    <m/>
    <n v="25000"/>
    <n v="25000"/>
    <n v="0"/>
    <n v="0"/>
    <n v="0"/>
    <n v="3000"/>
    <n v="3000"/>
    <n v="0"/>
    <n v="0"/>
    <n v="0"/>
    <n v="0"/>
    <n v="0"/>
    <n v="0"/>
    <n v="0"/>
    <n v="0"/>
    <n v="0"/>
    <n v="0"/>
    <n v="0"/>
    <n v="0"/>
    <n v="0"/>
    <m/>
  </r>
  <r>
    <s v="22SDSCE01111"/>
    <s v="TILALA YASH DILIPBHAI"/>
    <s v="SDS"/>
    <x v="0"/>
    <n v="4"/>
    <s v="7203937386 8469996017"/>
    <s v="7203937386 8469996017"/>
    <s v="DCE_2022-25"/>
    <s v="KSP"/>
    <n v="25000"/>
    <n v="12500"/>
    <n v="0"/>
    <n v="12500"/>
    <n v="0"/>
    <n v="3000"/>
    <n v="3000"/>
    <n v="0"/>
    <n v="0"/>
    <n v="0"/>
    <n v="0"/>
    <n v="0"/>
    <n v="0"/>
    <n v="0"/>
    <n v="0"/>
    <n v="0"/>
    <n v="0"/>
    <n v="0"/>
    <n v="0"/>
    <n v="0"/>
    <s v="KSPS (50%)_x000a_12500 PER SEM SCHOLARSHIP"/>
  </r>
  <r>
    <s v="22SDSCE01112"/>
    <s v="TILVA VIRAJ SURESHBHAI"/>
    <s v="SDS"/>
    <x v="0"/>
    <n v="4"/>
    <s v="9924093850_x000a_9313056003"/>
    <s v="9924093850_x000a_9313056003"/>
    <s v="DCE_2022-25"/>
    <s v="TFW"/>
    <n v="25000"/>
    <n v="0"/>
    <n v="0"/>
    <n v="25000"/>
    <n v="0"/>
    <n v="3000"/>
    <n v="3000"/>
    <n v="0"/>
    <n v="0"/>
    <n v="0"/>
    <n v="0"/>
    <n v="0"/>
    <n v="0"/>
    <n v="0"/>
    <n v="0"/>
    <n v="0"/>
    <n v="0"/>
    <n v="0"/>
    <n v="0"/>
    <n v="0"/>
    <m/>
  </r>
  <r>
    <s v="22SDSCE01113"/>
    <s v="TRIVEDI JAIMIL KAMAL"/>
    <s v="SDS"/>
    <x v="0"/>
    <n v="4"/>
    <s v="9427317570_x000a_9824416860"/>
    <s v="9427317570_x000a_9824416860"/>
    <s v="DCE_2022-25"/>
    <s v="KSP"/>
    <n v="25000"/>
    <n v="18750"/>
    <n v="0"/>
    <n v="6250"/>
    <n v="0"/>
    <n v="3000"/>
    <n v="0"/>
    <n v="0"/>
    <n v="0"/>
    <n v="3000"/>
    <n v="0"/>
    <n v="0"/>
    <n v="0"/>
    <n v="0"/>
    <n v="0"/>
    <n v="0"/>
    <n v="0"/>
    <n v="0"/>
    <n v="0"/>
    <n v="0"/>
    <s v="6250 per sem scholarship"/>
  </r>
  <r>
    <s v="22SDSCE01114"/>
    <s v="UNADKAT YASHVI MANOJBHAI"/>
    <s v="SDS"/>
    <x v="0"/>
    <n v="4"/>
    <s v="9426666985 7878989830"/>
    <s v="9426666985 7878989830"/>
    <s v="DCE_2022-25"/>
    <m/>
    <n v="25000"/>
    <n v="25000"/>
    <n v="0"/>
    <n v="0"/>
    <n v="0"/>
    <n v="3000"/>
    <n v="3000"/>
    <n v="0"/>
    <n v="0"/>
    <n v="0"/>
    <n v="0"/>
    <n v="0"/>
    <n v="0"/>
    <n v="0"/>
    <n v="0"/>
    <n v="0"/>
    <n v="0"/>
    <n v="0"/>
    <n v="0"/>
    <n v="0"/>
    <m/>
  </r>
  <r>
    <s v="22SDSCE01115"/>
    <s v="UNDHAD OM PARESHBHAI"/>
    <s v="SDS"/>
    <x v="0"/>
    <n v="4"/>
    <s v="7096328370 8511744617"/>
    <s v="7096328370 8511744617"/>
    <s v="DCE_2022-25"/>
    <s v="MYSY"/>
    <n v="25000"/>
    <n v="25000"/>
    <n v="0"/>
    <n v="0"/>
    <n v="0"/>
    <n v="3000"/>
    <n v="3000"/>
    <n v="0"/>
    <n v="0"/>
    <n v="0"/>
    <n v="0"/>
    <n v="0"/>
    <n v="0"/>
    <n v="0"/>
    <n v="0"/>
    <n v="0"/>
    <n v="0"/>
    <n v="0"/>
    <n v="0"/>
    <n v="0"/>
    <s v="MYSY(50%) + KSPS(25%)"/>
  </r>
  <r>
    <s v="22SDSCE01117"/>
    <s v="VAGHASIYA MITUL SANJAYBHAI"/>
    <s v="SDS"/>
    <x v="0"/>
    <n v="4"/>
    <s v="6352434440 9824816738"/>
    <s v="6352434440 9824816738"/>
    <s v="DCE_2022-25"/>
    <s v="MYSY"/>
    <n v="25000"/>
    <n v="25000"/>
    <n v="0"/>
    <n v="0"/>
    <n v="0"/>
    <n v="3000"/>
    <n v="3000"/>
    <n v="0"/>
    <n v="0"/>
    <n v="0"/>
    <n v="0"/>
    <n v="0"/>
    <n v="0"/>
    <n v="0"/>
    <n v="0"/>
    <n v="0"/>
    <n v="0"/>
    <n v="0"/>
    <n v="0"/>
    <n v="0"/>
    <s v="MYSY(50%) + KSPS(50%)"/>
  </r>
  <r>
    <s v="22SDSCE01118"/>
    <s v="VARAN AYUSH PRAFULBHAI"/>
    <s v="SDS"/>
    <x v="0"/>
    <n v="4"/>
    <s v="7698986756_x000a_9898750627"/>
    <s v="7698986756_x000a_9898750627"/>
    <s v="DCE_2022-25"/>
    <s v="FREESHIP CARD"/>
    <n v="25000"/>
    <n v="0"/>
    <n v="0"/>
    <n v="0"/>
    <n v="25000"/>
    <n v="3000"/>
    <n v="3000"/>
    <n v="0"/>
    <n v="0"/>
    <n v="0"/>
    <n v="0"/>
    <n v="0"/>
    <n v="0"/>
    <n v="0"/>
    <n v="0"/>
    <n v="0"/>
    <n v="0"/>
    <n v="0"/>
    <n v="0"/>
    <n v="0"/>
    <s v="FREESHIP CARD"/>
  </r>
  <r>
    <s v="22SDSCE01119"/>
    <s v="VARSANI NANDISH NILESH"/>
    <s v="SDS"/>
    <x v="0"/>
    <n v="4"/>
    <s v="8511160195 9978220775"/>
    <s v="8511160195 9978220775"/>
    <s v="DCE_2022-25"/>
    <m/>
    <n v="25000"/>
    <n v="0"/>
    <n v="0"/>
    <n v="0"/>
    <n v="25000"/>
    <n v="3000"/>
    <n v="0"/>
    <n v="0"/>
    <n v="0"/>
    <n v="3000"/>
    <n v="0"/>
    <n v="0"/>
    <n v="0"/>
    <n v="0"/>
    <n v="0"/>
    <n v="0"/>
    <n v="0"/>
    <n v="0"/>
    <n v="0"/>
    <n v="0"/>
    <m/>
  </r>
  <r>
    <s v="22SDSCE01120"/>
    <s v="VASANI UTSAV LAKHAMANBHAI"/>
    <s v="SDS"/>
    <x v="0"/>
    <n v="4"/>
    <s v="8200388858 9428469375"/>
    <s v="8200388858 9428469375"/>
    <s v="DCE_2022-25"/>
    <s v="MYSY"/>
    <n v="25000"/>
    <n v="0"/>
    <n v="0"/>
    <n v="0"/>
    <n v="25000"/>
    <n v="3000"/>
    <n v="3000"/>
    <n v="0"/>
    <n v="0"/>
    <n v="0"/>
    <n v="0"/>
    <n v="0"/>
    <n v="0"/>
    <n v="0"/>
    <n v="0"/>
    <n v="0"/>
    <n v="0"/>
    <n v="0"/>
    <n v="0"/>
    <n v="0"/>
    <s v="MYSY(50%)"/>
  </r>
  <r>
    <s v="22SDSCE01121"/>
    <s v="VASOYA MALAY PRAFULBHAI"/>
    <s v="SDS"/>
    <x v="0"/>
    <n v="4"/>
    <s v="8160708699 6353259386"/>
    <s v="8160708699 6353259386"/>
    <s v="DCE_2022-25"/>
    <s v="KSP"/>
    <n v="25000"/>
    <n v="12500"/>
    <n v="0"/>
    <n v="12500"/>
    <n v="0"/>
    <n v="3000"/>
    <n v="3000"/>
    <n v="0"/>
    <n v="0"/>
    <n v="0"/>
    <n v="0"/>
    <n v="0"/>
    <n v="0"/>
    <n v="0"/>
    <n v="0"/>
    <n v="0"/>
    <n v="0"/>
    <n v="0"/>
    <n v="0"/>
    <n v="0"/>
    <s v="12500 PER SEM SCHOLARSHIP_x000a_KSPS (50%)"/>
  </r>
  <r>
    <s v="22SDSCE01122"/>
    <s v="VASOYA UTSAV BAKULBHAI"/>
    <s v="SDS"/>
    <x v="0"/>
    <n v="4"/>
    <s v="9712027139 9737310324"/>
    <s v="9712027139 9737310324"/>
    <s v="DCE_2022-25"/>
    <s v="MYSY"/>
    <n v="25000"/>
    <n v="25000"/>
    <n v="0"/>
    <n v="0"/>
    <n v="0"/>
    <n v="3000"/>
    <n v="3000"/>
    <n v="0"/>
    <n v="0"/>
    <n v="0"/>
    <n v="0"/>
    <n v="0"/>
    <n v="0"/>
    <n v="0"/>
    <n v="0"/>
    <n v="0"/>
    <n v="0"/>
    <n v="0"/>
    <n v="0"/>
    <n v="0"/>
    <s v="KSPS(25%) + MYSY(50%)"/>
  </r>
  <r>
    <s v="22SDSCE01123"/>
    <s v="VEKARIYA BRIJESH MAHESHBHAI"/>
    <s v="SDS"/>
    <x v="0"/>
    <n v="4"/>
    <s v="9313206488 8511204415"/>
    <s v="9313206488 8511204415"/>
    <s v="DCE_2022-25"/>
    <s v="MYSY"/>
    <n v="25000"/>
    <n v="0"/>
    <n v="0"/>
    <n v="0"/>
    <n v="25000"/>
    <n v="3000"/>
    <n v="0"/>
    <n v="0"/>
    <n v="0"/>
    <n v="3000"/>
    <n v="0"/>
    <n v="0"/>
    <n v="0"/>
    <n v="0"/>
    <n v="0"/>
    <n v="0"/>
    <n v="0"/>
    <n v="0"/>
    <n v="0"/>
    <n v="0"/>
    <s v="MYSY(50%) + KSPS(50%)"/>
  </r>
  <r>
    <s v="22SDSCE01124"/>
    <s v="VISANI AKHIL ATULBHAI"/>
    <s v="SDS"/>
    <x v="0"/>
    <n v="4"/>
    <s v="9313527026 9898361412"/>
    <s v="9313527026 9898361412"/>
    <s v="DCE_2022-25"/>
    <s v="MYSY"/>
    <n v="25000"/>
    <n v="0"/>
    <n v="0"/>
    <n v="0"/>
    <n v="25000"/>
    <n v="3000"/>
    <n v="3000"/>
    <n v="0"/>
    <n v="0"/>
    <n v="0"/>
    <n v="0"/>
    <n v="0"/>
    <n v="0"/>
    <n v="0"/>
    <n v="0"/>
    <n v="0"/>
    <n v="0"/>
    <n v="0"/>
    <n v="0"/>
    <n v="0"/>
    <s v="KSPS(25%) + MYSY(50%) "/>
  </r>
  <r>
    <s v="22SDSCE01125"/>
    <s v="VYAS BANSI YOGESHKUMAR"/>
    <s v="SDS"/>
    <x v="0"/>
    <n v="4"/>
    <s v="9408153706 9429096730"/>
    <s v="9408153706 9429096730"/>
    <s v="DCE_2022-25"/>
    <s v="MYSY"/>
    <n v="25000"/>
    <n v="0"/>
    <n v="0"/>
    <n v="0"/>
    <n v="25000"/>
    <n v="3000"/>
    <n v="3000"/>
    <n v="0"/>
    <n v="0"/>
    <n v="0"/>
    <n v="0"/>
    <n v="0"/>
    <n v="0"/>
    <n v="0"/>
    <n v="0"/>
    <n v="0"/>
    <n v="0"/>
    <n v="0"/>
    <n v="0"/>
    <n v="0"/>
    <s v="MYSY(50%) + KSPS(50%)"/>
  </r>
  <r>
    <s v="22SDSCE01126"/>
    <s v="VYAS BHAVARTH VIPULKUMAR"/>
    <s v="SDS"/>
    <x v="0"/>
    <n v="4"/>
    <s v="9428970772_x000a_9426965344"/>
    <s v="9428970772_x000a_9426965344"/>
    <s v="DCE_2022-25"/>
    <s v="MYSY"/>
    <n v="25000"/>
    <n v="0"/>
    <n v="0"/>
    <n v="0"/>
    <n v="25000"/>
    <n v="3000"/>
    <n v="3000"/>
    <n v="0"/>
    <n v="0"/>
    <n v="0"/>
    <n v="0"/>
    <n v="0"/>
    <n v="0"/>
    <n v="0"/>
    <n v="0"/>
    <n v="0"/>
    <n v="0"/>
    <n v="0"/>
    <n v="0"/>
    <n v="0"/>
    <s v=" KSPS(25%) + MYSY(50%) "/>
  </r>
  <r>
    <s v="22SDSCE01127"/>
    <s v="VYAS PARAM NAYANKUMAR"/>
    <s v="SDS"/>
    <x v="0"/>
    <n v="4"/>
    <s v="9924514299 9824822033"/>
    <s v="9924514299 9824822033"/>
    <s v="DCE_2022-25"/>
    <s v="KSP"/>
    <n v="25000"/>
    <n v="12500"/>
    <n v="0"/>
    <n v="12500"/>
    <n v="0"/>
    <n v="3000"/>
    <n v="3000"/>
    <n v="0"/>
    <n v="0"/>
    <n v="0"/>
    <n v="0"/>
    <n v="0"/>
    <n v="0"/>
    <n v="0"/>
    <n v="0"/>
    <n v="0"/>
    <n v="0"/>
    <n v="0"/>
    <n v="0"/>
    <n v="0"/>
    <s v="12500 PER SEM SCHOLARSHIP_x000a_KSPS (50%)"/>
  </r>
  <r>
    <s v="22SDSCE01215"/>
    <s v="PANSURIYA ANSH PARESHBHAI"/>
    <s v="SDS"/>
    <x v="0"/>
    <n v="4"/>
    <s v="8128689921 9825182009"/>
    <s v="8128689921 9825182009"/>
    <s v="DCE_2022-25"/>
    <m/>
    <n v="25000"/>
    <n v="0"/>
    <n v="0"/>
    <n v="0"/>
    <n v="25000"/>
    <n v="3000"/>
    <n v="0"/>
    <n v="0"/>
    <n v="0"/>
    <n v="3000"/>
    <n v="0"/>
    <n v="0"/>
    <n v="0"/>
    <n v="0"/>
    <n v="0"/>
    <n v="0"/>
    <n v="0"/>
    <n v="0"/>
    <n v="0"/>
    <n v="0"/>
    <m/>
  </r>
  <r>
    <s v="22SDSCE01217"/>
    <s v="POPAT HENISH BRIJESHBHAI"/>
    <s v="SDS"/>
    <x v="0"/>
    <n v="4"/>
    <s v="7863824849 9825653808"/>
    <s v="7863824849 9825653808"/>
    <s v="DCE_2022-25"/>
    <m/>
    <n v="25000"/>
    <n v="25000"/>
    <n v="0"/>
    <n v="0"/>
    <n v="0"/>
    <n v="3000"/>
    <n v="3000"/>
    <n v="0"/>
    <n v="0"/>
    <n v="0"/>
    <n v="0"/>
    <n v="0"/>
    <n v="0"/>
    <n v="0"/>
    <n v="0"/>
    <n v="0"/>
    <n v="0"/>
    <n v="0"/>
    <n v="0"/>
    <n v="0"/>
    <m/>
  </r>
  <r>
    <s v="22SDSCE01219"/>
    <s v="SORATHIYA MANAV KISHORBHAI"/>
    <s v="SDS"/>
    <x v="0"/>
    <n v="4"/>
    <s v="7859959596 9727054101"/>
    <s v="7859959596 9727054101"/>
    <s v="DCE_2022-25"/>
    <m/>
    <n v="25000"/>
    <n v="25000"/>
    <n v="0"/>
    <n v="0"/>
    <n v="0"/>
    <n v="3000"/>
    <n v="3000"/>
    <n v="0"/>
    <n v="0"/>
    <n v="0"/>
    <n v="0"/>
    <n v="0"/>
    <n v="0"/>
    <n v="0"/>
    <n v="0"/>
    <n v="0"/>
    <n v="0"/>
    <n v="0"/>
    <n v="0"/>
    <n v="0"/>
    <m/>
  </r>
  <r>
    <s v="22SDSCE01128"/>
    <s v="ASODARIYA DHRUVIL JAGDISHBHAI"/>
    <s v="SDS"/>
    <x v="0"/>
    <n v="4"/>
    <s v="8200606297 9879242740"/>
    <s v="8200606297 9879242740"/>
    <s v="DCE_2022-25"/>
    <s v="MYSY"/>
    <n v="25000"/>
    <n v="25000"/>
    <n v="0"/>
    <n v="0"/>
    <n v="0"/>
    <n v="3000"/>
    <n v="3000"/>
    <n v="0"/>
    <n v="0"/>
    <n v="0"/>
    <n v="0"/>
    <n v="0"/>
    <n v="0"/>
    <n v="0"/>
    <n v="0"/>
    <n v="0"/>
    <n v="0"/>
    <n v="0"/>
    <n v="0"/>
    <n v="0"/>
    <s v=" KSPS (50%) + MYSY(50%) "/>
  </r>
  <r>
    <s v="22SDSCE01129"/>
    <s v="ASODARIYA MEET BHAVESHBHAI"/>
    <s v="SDS"/>
    <x v="0"/>
    <n v="4"/>
    <s v="7229065367 9978775297"/>
    <s v="7229065367 9978775297"/>
    <s v="DCE_2022-25"/>
    <s v="MYSY"/>
    <n v="25000"/>
    <n v="25000"/>
    <n v="0"/>
    <n v="0"/>
    <n v="0"/>
    <n v="3000"/>
    <n v="3000"/>
    <n v="0"/>
    <n v="0"/>
    <n v="0"/>
    <n v="0"/>
    <n v="0"/>
    <n v="0"/>
    <n v="0"/>
    <n v="0"/>
    <n v="0"/>
    <n v="0"/>
    <n v="0"/>
    <n v="0"/>
    <n v="0"/>
    <s v="KSPS(25%) + MYSY(50%)"/>
  </r>
  <r>
    <s v="22SDSCE01130"/>
    <s v="BAGDA SHREYAS NIRENBHAI"/>
    <s v="SDS"/>
    <x v="0"/>
    <n v="4"/>
    <s v="9016374764 7016408886"/>
    <s v="9016374764 7016408886"/>
    <s v="DCE_2022-25"/>
    <s v="KSP"/>
    <n v="25000"/>
    <n v="18750"/>
    <n v="0"/>
    <n v="6250"/>
    <n v="0"/>
    <n v="3000"/>
    <n v="3000"/>
    <n v="0"/>
    <n v="0"/>
    <n v="0"/>
    <n v="0"/>
    <n v="0"/>
    <n v="0"/>
    <n v="0"/>
    <n v="0"/>
    <n v="0"/>
    <n v="0"/>
    <n v="0"/>
    <n v="0"/>
    <n v="0"/>
    <s v="6250 PER SEM SCHOLARSHIP"/>
  </r>
  <r>
    <s v="22SDSCE01131"/>
    <s v="BATHANI DAKSHKUMAR RAJESHBHAI"/>
    <s v="SDS"/>
    <x v="0"/>
    <n v="4"/>
    <s v="9313338641 7984792757 9429570004"/>
    <s v="9313338641 7984792757 9429570004"/>
    <s v="DCE_2022-25"/>
    <s v="KSP"/>
    <n v="25000"/>
    <n v="12500"/>
    <n v="0"/>
    <n v="12500"/>
    <n v="0"/>
    <n v="3000"/>
    <n v="3000"/>
    <n v="0"/>
    <n v="0"/>
    <n v="0"/>
    <n v="0"/>
    <n v="0"/>
    <n v="0"/>
    <n v="0"/>
    <n v="0"/>
    <n v="0"/>
    <n v="0"/>
    <n v="0"/>
    <n v="0"/>
    <n v="0"/>
    <s v="RS 12500 PER SEM SCHOLARSHIP"/>
  </r>
  <r>
    <s v="22SDSCE01132"/>
    <s v="BHAKHAR PRINCE JAYSUKHBHAI"/>
    <s v="SDS"/>
    <x v="0"/>
    <n v="4"/>
    <s v="9106934165 9023695595"/>
    <s v="9106934165 9023695595"/>
    <s v="DCE_2022-25"/>
    <s v="MYSY"/>
    <n v="25000"/>
    <n v="0"/>
    <n v="0"/>
    <n v="0"/>
    <n v="25000"/>
    <n v="3000"/>
    <n v="3000"/>
    <n v="0"/>
    <n v="0"/>
    <n v="0"/>
    <n v="0"/>
    <n v="0"/>
    <n v="0"/>
    <n v="0"/>
    <n v="0"/>
    <n v="0"/>
    <n v="0"/>
    <n v="0"/>
    <n v="0"/>
    <n v="0"/>
    <s v="MYSY (50%)"/>
  </r>
  <r>
    <s v="22SDSCE01133"/>
    <s v="BHARADWA PRITESH PRAVINBHAI"/>
    <s v="SDS"/>
    <x v="0"/>
    <n v="4"/>
    <s v="9510304006 7405437207"/>
    <s v="9510304006 7405437207"/>
    <s v="DCE_2022-25"/>
    <m/>
    <n v="25000"/>
    <n v="25000"/>
    <n v="0"/>
    <n v="0"/>
    <n v="0"/>
    <n v="3000"/>
    <n v="3000"/>
    <n v="0"/>
    <n v="0"/>
    <n v="0"/>
    <n v="0"/>
    <n v="0"/>
    <n v="0"/>
    <n v="0"/>
    <n v="0"/>
    <n v="0"/>
    <n v="0"/>
    <n v="0"/>
    <n v="0"/>
    <n v="0"/>
    <m/>
  </r>
  <r>
    <s v="22SDSCE01134"/>
    <s v="BHIMANI MAHIBEN ASHOKBHAI"/>
    <s v="SDS"/>
    <x v="0"/>
    <n v="4"/>
    <s v="9327493535_x000a_6359798267"/>
    <s v="9327493535_x000a_6359798267"/>
    <s v="DCE_2022-25"/>
    <m/>
    <n v="25000"/>
    <n v="25000"/>
    <n v="0"/>
    <n v="0"/>
    <n v="0"/>
    <n v="3000"/>
    <n v="3000"/>
    <n v="0"/>
    <n v="0"/>
    <n v="0"/>
    <n v="0"/>
    <n v="0"/>
    <n v="0"/>
    <n v="0"/>
    <n v="0"/>
    <n v="0"/>
    <n v="0"/>
    <n v="0"/>
    <n v="0"/>
    <n v="0"/>
    <m/>
  </r>
  <r>
    <s v="22SDSCE01135"/>
    <s v="BHUT MILAP BHARATBHAI"/>
    <s v="SDS"/>
    <x v="0"/>
    <n v="4"/>
    <s v="8156027370 9824957615"/>
    <s v="8156027370 9824957615"/>
    <s v="DCE_2022-25"/>
    <s v="MYSY"/>
    <n v="25000"/>
    <n v="0"/>
    <n v="0"/>
    <n v="0"/>
    <n v="25000"/>
    <n v="3000"/>
    <n v="3000"/>
    <n v="0"/>
    <n v="0"/>
    <n v="0"/>
    <n v="0"/>
    <n v="0"/>
    <n v="0"/>
    <n v="0"/>
    <n v="0"/>
    <n v="0"/>
    <n v="0"/>
    <n v="0"/>
    <n v="0"/>
    <n v="0"/>
    <s v="KSPS(25%) + MYSY(50%) "/>
  </r>
  <r>
    <s v="22SDSCE01136"/>
    <s v="BHUVA DAKSH MANOJBHAI"/>
    <s v="SDS"/>
    <x v="0"/>
    <n v="4"/>
    <s v="9023721053 9974841979"/>
    <s v="9023721053 9974841979"/>
    <s v="DCE_2022-25"/>
    <m/>
    <n v="25000"/>
    <n v="25000"/>
    <n v="0"/>
    <n v="0"/>
    <n v="0"/>
    <n v="3000"/>
    <n v="3000"/>
    <n v="0"/>
    <n v="0"/>
    <n v="0"/>
    <n v="0"/>
    <n v="0"/>
    <n v="0"/>
    <n v="0"/>
    <n v="0"/>
    <n v="0"/>
    <n v="0"/>
    <n v="0"/>
    <n v="0"/>
    <n v="0"/>
    <m/>
  </r>
  <r>
    <s v="22SDSCE01137"/>
    <s v="CHAVDA KARTIK BHARATBHAI"/>
    <s v="SDS"/>
    <x v="0"/>
    <n v="4"/>
    <s v="7621081527 _x000a_9106660620"/>
    <s v="7621081527 _x000a_9106660620"/>
    <s v="DCE_2022-25"/>
    <s v="FREESHIP CARD"/>
    <n v="25000"/>
    <n v="0"/>
    <n v="0"/>
    <n v="0"/>
    <n v="25000"/>
    <n v="3000"/>
    <n v="3000"/>
    <n v="0"/>
    <n v="0"/>
    <n v="0"/>
    <n v="0"/>
    <n v="0"/>
    <n v="0"/>
    <n v="0"/>
    <n v="0"/>
    <n v="0"/>
    <n v="0"/>
    <n v="0"/>
    <n v="0"/>
    <n v="0"/>
    <s v="FREESHIP CARD"/>
  </r>
  <r>
    <s v="22SDSCE01138"/>
    <s v="CHAVDA NIKUNJ JAGDISHBHAI"/>
    <s v="SDS"/>
    <x v="0"/>
    <n v="4"/>
    <s v="9714432687 9714939506"/>
    <s v="9714432687 9714939506"/>
    <s v="DCE_2022-25"/>
    <s v="MYSY"/>
    <n v="25000"/>
    <n v="0"/>
    <n v="0"/>
    <n v="0"/>
    <n v="25000"/>
    <n v="3000"/>
    <n v="3000"/>
    <n v="0"/>
    <n v="0"/>
    <n v="0"/>
    <n v="0"/>
    <n v="0"/>
    <n v="0"/>
    <n v="0"/>
    <n v="0"/>
    <n v="0"/>
    <n v="0"/>
    <n v="0"/>
    <n v="0"/>
    <n v="0"/>
    <s v="KSPS(25%) + MYSY(50%)"/>
  </r>
  <r>
    <s v="22SDSCE01139"/>
    <s v="DHADUK JEET KARSHANBHAI"/>
    <s v="SDS"/>
    <x v="0"/>
    <n v="4"/>
    <s v="7567209526 9727507066"/>
    <s v="7567209526 9727507066"/>
    <s v="DCE_2022-25"/>
    <m/>
    <n v="25000"/>
    <n v="25000"/>
    <n v="0"/>
    <n v="0"/>
    <n v="0"/>
    <n v="3000"/>
    <n v="3000"/>
    <n v="0"/>
    <n v="0"/>
    <n v="0"/>
    <n v="0"/>
    <n v="0"/>
    <n v="0"/>
    <n v="0"/>
    <n v="0"/>
    <n v="0"/>
    <n v="0"/>
    <n v="0"/>
    <n v="0"/>
    <n v="0"/>
    <m/>
  </r>
  <r>
    <s v="22SDSCE01140"/>
    <s v="DHADUK KASHYAP SURESHBHAI"/>
    <s v="SDS"/>
    <x v="0"/>
    <n v="4"/>
    <s v="9601658381 9913923293"/>
    <s v="9601658381 9913923293"/>
    <s v="DCE_2022-25"/>
    <s v="MYSY"/>
    <n v="25000"/>
    <n v="25000"/>
    <n v="0"/>
    <n v="0"/>
    <n v="0"/>
    <n v="3000"/>
    <n v="3000"/>
    <n v="0"/>
    <n v="0"/>
    <n v="0"/>
    <n v="0"/>
    <n v="0"/>
    <n v="0"/>
    <n v="0"/>
    <n v="0"/>
    <n v="0"/>
    <n v="0"/>
    <n v="0"/>
    <n v="0"/>
    <n v="0"/>
    <s v="MYSY(50%) + KSPS(25%)"/>
  </r>
  <r>
    <s v="22SDSCE01141"/>
    <s v="DHAMAL HARSHKUMAR HIMMATBHAI"/>
    <s v="SDS"/>
    <x v="0"/>
    <n v="4"/>
    <s v="8200966386 9879913105"/>
    <s v="8200966386 9879913105"/>
    <s v="DCE_2022-25"/>
    <s v="FREESHIP CARD"/>
    <n v="25000"/>
    <n v="0"/>
    <n v="0"/>
    <n v="0"/>
    <n v="25000"/>
    <n v="3000"/>
    <n v="0"/>
    <n v="0"/>
    <n v="0"/>
    <n v="3000"/>
    <n v="0"/>
    <n v="0"/>
    <n v="0"/>
    <n v="0"/>
    <n v="0"/>
    <n v="0"/>
    <n v="0"/>
    <n v="0"/>
    <n v="0"/>
    <n v="0"/>
    <s v="FREESHIP CARD"/>
  </r>
  <r>
    <s v="22SDSCE01142"/>
    <s v="DOBARIYA HET NAVNITBHAI"/>
    <s v="SDS"/>
    <x v="0"/>
    <n v="4"/>
    <s v="9825984732 9427425362"/>
    <s v="9825984732 9427425362"/>
    <s v="DCE_2022-25"/>
    <s v="MYSY"/>
    <n v="25000"/>
    <n v="25000"/>
    <n v="0"/>
    <n v="0"/>
    <n v="0"/>
    <n v="3000"/>
    <n v="3000"/>
    <n v="0"/>
    <n v="0"/>
    <n v="0"/>
    <n v="0"/>
    <n v="0"/>
    <n v="0"/>
    <n v="0"/>
    <n v="0"/>
    <n v="0"/>
    <n v="0"/>
    <n v="0"/>
    <n v="0"/>
    <n v="0"/>
    <s v="KSPS(25%) + MYSY(50%)"/>
  </r>
  <r>
    <s v="22SDSCE01143"/>
    <s v="DOBARIYA PARTH BHAVESHBHAI"/>
    <s v="SDS"/>
    <x v="0"/>
    <n v="4"/>
    <s v="8160298426 6355767055"/>
    <s v="8160298426 6355767055"/>
    <s v="DCE_2022-25"/>
    <m/>
    <n v="25000"/>
    <n v="25000"/>
    <n v="0"/>
    <n v="0"/>
    <n v="0"/>
    <n v="3000"/>
    <n v="3000"/>
    <n v="0"/>
    <n v="0"/>
    <n v="0"/>
    <n v="0"/>
    <n v="0"/>
    <n v="0"/>
    <n v="0"/>
    <n v="0"/>
    <n v="0"/>
    <n v="0"/>
    <n v="0"/>
    <n v="0"/>
    <n v="0"/>
    <m/>
  </r>
  <r>
    <s v="22SDSCE01144"/>
    <s v="DOBARIYA SUJAL SURESHBHAI"/>
    <s v="SDS"/>
    <x v="0"/>
    <n v="4"/>
    <s v="9687824812 7284872975"/>
    <s v="9687824812 7284872975"/>
    <s v="DCE_2022-25"/>
    <m/>
    <n v="25000"/>
    <n v="25000"/>
    <n v="0"/>
    <n v="0"/>
    <n v="0"/>
    <n v="3000"/>
    <n v="3000"/>
    <n v="0"/>
    <n v="0"/>
    <n v="0"/>
    <n v="0"/>
    <n v="0"/>
    <n v="0"/>
    <n v="0"/>
    <n v="0"/>
    <n v="0"/>
    <n v="0"/>
    <n v="0"/>
    <n v="0"/>
    <n v="0"/>
    <m/>
  </r>
  <r>
    <s v="22SDSCE01145"/>
    <s v="DOBARIYA YASHKUMAR NILESHBHAI"/>
    <s v="SDS"/>
    <x v="0"/>
    <n v="4"/>
    <s v="6351731884 9909743021"/>
    <s v="6351731884 9909743021"/>
    <s v="DCE_2022-25"/>
    <m/>
    <n v="25000"/>
    <n v="25000"/>
    <n v="0"/>
    <n v="0"/>
    <n v="0"/>
    <n v="3000"/>
    <n v="3000"/>
    <n v="0"/>
    <n v="0"/>
    <n v="0"/>
    <n v="0"/>
    <n v="0"/>
    <n v="0"/>
    <n v="0"/>
    <n v="0"/>
    <n v="0"/>
    <n v="0"/>
    <n v="0"/>
    <n v="0"/>
    <n v="0"/>
    <m/>
  </r>
  <r>
    <s v="22SDSCE01146"/>
    <s v="DOLAR PRIYESH LALJIBHAI"/>
    <s v="SDS"/>
    <x v="0"/>
    <n v="4"/>
    <s v="7990235752 8128316751"/>
    <s v="7990235752 8128316751"/>
    <s v="DCE_2022-25"/>
    <m/>
    <n v="25000"/>
    <n v="25000"/>
    <n v="0"/>
    <n v="0"/>
    <n v="0"/>
    <n v="3000"/>
    <n v="3000"/>
    <n v="0"/>
    <n v="0"/>
    <n v="0"/>
    <n v="0"/>
    <n v="0"/>
    <n v="0"/>
    <n v="0"/>
    <n v="0"/>
    <n v="0"/>
    <n v="0"/>
    <n v="0"/>
    <n v="0"/>
    <n v="0"/>
    <m/>
  </r>
  <r>
    <s v="22SDSCE01147"/>
    <s v="DOLAR PURVAS LALJIBHAI"/>
    <s v="SDS"/>
    <x v="0"/>
    <n v="4"/>
    <s v="7990231374 8128316751"/>
    <s v="7990231374 8128316751"/>
    <s v="DCE_2022-25"/>
    <m/>
    <n v="25000"/>
    <n v="25000"/>
    <n v="0"/>
    <n v="0"/>
    <n v="0"/>
    <n v="3000"/>
    <n v="3000"/>
    <n v="0"/>
    <n v="0"/>
    <n v="0"/>
    <n v="0"/>
    <n v="0"/>
    <n v="0"/>
    <n v="0"/>
    <n v="0"/>
    <n v="0"/>
    <n v="0"/>
    <n v="0"/>
    <n v="0"/>
    <n v="0"/>
    <m/>
  </r>
  <r>
    <s v="22SDSCE01148"/>
    <s v="DUDHAGARA BHARGAV KANTIBHAI"/>
    <s v="SDS"/>
    <x v="0"/>
    <n v="4"/>
    <s v="9106536420"/>
    <s v="9106536420"/>
    <s v="DCE_2022-25"/>
    <m/>
    <n v="25000"/>
    <n v="25000"/>
    <n v="0"/>
    <n v="0"/>
    <n v="0"/>
    <n v="3000"/>
    <n v="3000"/>
    <n v="0"/>
    <n v="0"/>
    <n v="0"/>
    <n v="0"/>
    <n v="0"/>
    <n v="0"/>
    <n v="0"/>
    <n v="0"/>
    <n v="0"/>
    <n v="0"/>
    <n v="0"/>
    <n v="0"/>
    <n v="0"/>
    <m/>
  </r>
  <r>
    <s v="22SDSCE01149"/>
    <s v="GANGADIYA DHRUVIL SHAILESHBHAI"/>
    <s v="SDS"/>
    <x v="0"/>
    <n v="4"/>
    <s v="9512359905 9429683970"/>
    <s v="9512359905 9429683970"/>
    <s v="DCE_2022-25"/>
    <s v="KSP"/>
    <n v="25000"/>
    <n v="12500"/>
    <n v="0"/>
    <n v="12500"/>
    <n v="0"/>
    <n v="3000"/>
    <n v="3000"/>
    <n v="0"/>
    <n v="0"/>
    <n v="0"/>
    <n v="0"/>
    <n v="0"/>
    <n v="0"/>
    <n v="0"/>
    <n v="0"/>
    <n v="0"/>
    <n v="0"/>
    <n v="0"/>
    <n v="0"/>
    <n v="0"/>
    <s v="KSPS (50%)_x000a_12500 PER SEM"/>
  </r>
  <r>
    <s v="22SDSCE01150"/>
    <s v="GARCHAR KARANBHAI DILIPBHAI"/>
    <s v="SDS"/>
    <x v="0"/>
    <n v="4"/>
    <s v="9586047780 7567844080"/>
    <s v="9586047780 7567844080"/>
    <s v="DCE_2022-25"/>
    <s v="FREESHIP CARD"/>
    <n v="25000"/>
    <n v="0"/>
    <n v="0"/>
    <n v="0"/>
    <n v="25000"/>
    <n v="3000"/>
    <n v="3000"/>
    <n v="0"/>
    <n v="0"/>
    <n v="0"/>
    <n v="0"/>
    <n v="0"/>
    <n v="0"/>
    <n v="0"/>
    <n v="0"/>
    <n v="0"/>
    <n v="0"/>
    <n v="0"/>
    <n v="0"/>
    <n v="0"/>
    <s v="FREESHIPCARD STUDENT"/>
  </r>
  <r>
    <s v="22SDSCE01152"/>
    <s v="GORANIYA KARAN RAMDEBHAI"/>
    <s v="SDS"/>
    <x v="0"/>
    <n v="4"/>
    <s v="8758904667 9727070596"/>
    <s v="8758904667 9727070596"/>
    <s v="DCE_2022-25"/>
    <m/>
    <n v="25000"/>
    <n v="25000"/>
    <n v="0"/>
    <n v="0"/>
    <n v="0"/>
    <n v="3000"/>
    <n v="3000"/>
    <n v="0"/>
    <n v="0"/>
    <n v="0"/>
    <n v="0"/>
    <n v="0"/>
    <n v="0"/>
    <n v="0"/>
    <n v="0"/>
    <n v="0"/>
    <n v="0"/>
    <n v="0"/>
    <n v="0"/>
    <n v="0"/>
    <m/>
  </r>
  <r>
    <s v="22SDSCE01153"/>
    <s v="JASANI KRISHA MAHESHBHAI"/>
    <s v="SDS"/>
    <x v="0"/>
    <n v="4"/>
    <s v="9426183637"/>
    <s v="9426183637"/>
    <s v="DCE_2022-25"/>
    <m/>
    <n v="25000"/>
    <n v="25000"/>
    <n v="0"/>
    <n v="0"/>
    <n v="0"/>
    <n v="3000"/>
    <n v="3000"/>
    <n v="0"/>
    <n v="0"/>
    <n v="0"/>
    <n v="0"/>
    <n v="0"/>
    <n v="0"/>
    <n v="0"/>
    <n v="0"/>
    <n v="0"/>
    <n v="0"/>
    <n v="0"/>
    <n v="0"/>
    <n v="0"/>
    <m/>
  </r>
  <r>
    <s v="22SDSCE01154"/>
    <s v="JAVIYA KRISHABEN PRAKASHBHAI"/>
    <s v="SDS"/>
    <x v="0"/>
    <n v="4"/>
    <s v="9586203264_x000a_8980230591"/>
    <s v="9586203264_x000a_8980230591"/>
    <s v="DCE_2022-25"/>
    <s v="TFW"/>
    <n v="25000"/>
    <n v="0"/>
    <n v="0"/>
    <n v="25000"/>
    <n v="0"/>
    <n v="3000"/>
    <n v="3000"/>
    <n v="0"/>
    <n v="0"/>
    <n v="0"/>
    <n v="0"/>
    <n v="0"/>
    <n v="0"/>
    <n v="0"/>
    <n v="0"/>
    <n v="0"/>
    <n v="0"/>
    <n v="0"/>
    <n v="0"/>
    <n v="0"/>
    <m/>
  </r>
  <r>
    <s v="22SDSCE01155"/>
    <s v="KADACHHA BHARAT MASARIBHAI"/>
    <s v="SDS"/>
    <x v="0"/>
    <n v="4"/>
    <s v="9510874505 6355518718"/>
    <s v="9510874505 6355518718"/>
    <s v="DCE_2022-25"/>
    <m/>
    <n v="25000"/>
    <n v="25000"/>
    <n v="0"/>
    <n v="0"/>
    <n v="0"/>
    <n v="3000"/>
    <n v="3000"/>
    <n v="0"/>
    <n v="0"/>
    <n v="0"/>
    <n v="0"/>
    <n v="0"/>
    <n v="0"/>
    <n v="0"/>
    <n v="0"/>
    <n v="0"/>
    <n v="0"/>
    <n v="0"/>
    <n v="0"/>
    <n v="0"/>
    <m/>
  </r>
  <r>
    <s v="22SDSCE01156"/>
    <s v="KARDANI TIRTH CHIMANBHAI"/>
    <s v="SDS"/>
    <x v="0"/>
    <n v="4"/>
    <s v="9898718883 7573010721"/>
    <s v="9898718883 7573010721"/>
    <s v="DCE_2022-25"/>
    <m/>
    <n v="25000"/>
    <n v="25000"/>
    <n v="0"/>
    <n v="0"/>
    <n v="0"/>
    <n v="3000"/>
    <n v="3000"/>
    <n v="0"/>
    <n v="0"/>
    <n v="0"/>
    <n v="0"/>
    <n v="0"/>
    <n v="0"/>
    <n v="0"/>
    <n v="0"/>
    <n v="0"/>
    <n v="0"/>
    <n v="0"/>
    <n v="0"/>
    <n v="0"/>
    <m/>
  </r>
  <r>
    <s v="22SDSCE01157"/>
    <s v="KATESHIYA PRIYANSHU BHAVESHBHAI"/>
    <s v="SDS"/>
    <x v="0"/>
    <n v="4"/>
    <s v="8401368370 9558063644"/>
    <s v="8401368370 9558063644"/>
    <s v="DCE_2022-25"/>
    <m/>
    <n v="25000"/>
    <n v="25000"/>
    <n v="0"/>
    <n v="0"/>
    <n v="0"/>
    <n v="3000"/>
    <n v="3000"/>
    <n v="0"/>
    <n v="0"/>
    <n v="0"/>
    <n v="0"/>
    <n v="0"/>
    <n v="0"/>
    <n v="0"/>
    <n v="0"/>
    <n v="0"/>
    <n v="0"/>
    <n v="0"/>
    <n v="0"/>
    <n v="0"/>
    <m/>
  </r>
  <r>
    <s v="22SDSCE01158"/>
    <s v="KATHIRIYA MEETKUMAR VALLABHBHAI"/>
    <s v="SDS"/>
    <x v="0"/>
    <n v="4"/>
    <s v="9328875788 9723969502"/>
    <s v="9328875788 9723969502"/>
    <s v="DCE_2022-25"/>
    <m/>
    <n v="25000"/>
    <n v="25000"/>
    <n v="0"/>
    <n v="0"/>
    <n v="0"/>
    <n v="3000"/>
    <n v="3000"/>
    <n v="0"/>
    <n v="0"/>
    <n v="0"/>
    <n v="0"/>
    <n v="0"/>
    <n v="0"/>
    <n v="0"/>
    <n v="0"/>
    <n v="0"/>
    <n v="0"/>
    <n v="0"/>
    <n v="0"/>
    <n v="0"/>
    <m/>
  </r>
  <r>
    <s v="22SDSCE01159"/>
    <s v="KESHVALA VIPUL JETHABHAI"/>
    <s v="SDS"/>
    <x v="0"/>
    <n v="4"/>
    <s v="9106725651 9106495622"/>
    <s v="9106725651 9106495622"/>
    <s v="DCE_2022-25"/>
    <m/>
    <n v="25000"/>
    <n v="25000"/>
    <n v="0"/>
    <n v="0"/>
    <n v="0"/>
    <n v="3000"/>
    <n v="3000"/>
    <n v="0"/>
    <n v="0"/>
    <n v="0"/>
    <n v="0"/>
    <n v="0"/>
    <n v="0"/>
    <n v="0"/>
    <n v="0"/>
    <n v="0"/>
    <n v="0"/>
    <n v="0"/>
    <n v="0"/>
    <n v="0"/>
    <m/>
  </r>
  <r>
    <s v="22SDSCE01160"/>
    <s v="KHANT PRINCE MANISHBHAI"/>
    <s v="SDS"/>
    <x v="0"/>
    <n v="4"/>
    <s v="9825128575 9978842985"/>
    <s v="9825128575 9978842985"/>
    <s v="DCE_2022-25"/>
    <m/>
    <n v="25000"/>
    <n v="25000"/>
    <n v="0"/>
    <n v="0"/>
    <n v="0"/>
    <n v="3000"/>
    <n v="3000"/>
    <n v="0"/>
    <n v="0"/>
    <n v="0"/>
    <n v="0"/>
    <n v="0"/>
    <n v="0"/>
    <n v="0"/>
    <n v="0"/>
    <n v="0"/>
    <n v="0"/>
    <n v="0"/>
    <n v="0"/>
    <n v="0"/>
    <m/>
  </r>
  <r>
    <s v="22SDSCE01161"/>
    <s v="KHUNT KRINA PIYUSHBHAI"/>
    <s v="SDS"/>
    <x v="0"/>
    <n v="4"/>
    <s v="9428374891 9824893269"/>
    <s v="9428374891 9824893269"/>
    <s v="DCE_2022-25"/>
    <s v="KSP"/>
    <n v="25000"/>
    <n v="18750"/>
    <n v="0"/>
    <n v="6250"/>
    <n v="0"/>
    <n v="3000"/>
    <n v="3000"/>
    <n v="0"/>
    <n v="0"/>
    <n v="0"/>
    <n v="0"/>
    <n v="0"/>
    <n v="0"/>
    <n v="0"/>
    <n v="0"/>
    <n v="0"/>
    <n v="0"/>
    <n v="0"/>
    <n v="0"/>
    <n v="0"/>
    <s v="6250 PER SEM SCHOLARSHIP"/>
  </r>
  <r>
    <s v="22SDSCE01164"/>
    <s v="DEEP KUNDALIYA"/>
    <s v="SDS"/>
    <x v="0"/>
    <n v="4"/>
    <s v="9228396606 9824577030"/>
    <s v="9228396606 9824577030"/>
    <s v="DCE_2022-25"/>
    <m/>
    <n v="25000"/>
    <n v="25000"/>
    <n v="0"/>
    <n v="0"/>
    <n v="0"/>
    <n v="3000"/>
    <n v="3000"/>
    <n v="0"/>
    <n v="0"/>
    <n v="0"/>
    <n v="0"/>
    <n v="0"/>
    <n v="0"/>
    <n v="0"/>
    <n v="0"/>
    <n v="0"/>
    <n v="0"/>
    <n v="0"/>
    <n v="0"/>
    <n v="0"/>
    <m/>
  </r>
  <r>
    <s v="22SDSCE01165"/>
    <s v="LADANI MARGI KALPESHBHAI"/>
    <s v="SDS"/>
    <x v="0"/>
    <n v="4"/>
    <s v="9979361164 9925333396"/>
    <s v="9979361164 9925333396"/>
    <s v="DCE_2022-25"/>
    <s v="MYSY"/>
    <n v="25000"/>
    <n v="0"/>
    <n v="0"/>
    <n v="0"/>
    <n v="25000"/>
    <n v="3000"/>
    <n v="3000"/>
    <n v="0"/>
    <n v="0"/>
    <n v="0"/>
    <n v="0"/>
    <n v="0"/>
    <n v="0"/>
    <n v="0"/>
    <n v="0"/>
    <n v="0"/>
    <n v="0"/>
    <n v="0"/>
    <n v="0"/>
    <n v="0"/>
    <s v="KSPS(50%) + MYSY(50%) "/>
  </r>
  <r>
    <s v="22SDSCE01166"/>
    <s v="SHRUTI LAKHANI"/>
    <s v="SDS"/>
    <x v="0"/>
    <n v="4"/>
    <s v="8799055115 9724289161"/>
    <s v="8799055115 9724289161"/>
    <s v="DCE_2022-25"/>
    <m/>
    <n v="25000"/>
    <n v="25000"/>
    <n v="0"/>
    <n v="0"/>
    <n v="0"/>
    <n v="3000"/>
    <n v="3000"/>
    <n v="0"/>
    <n v="0"/>
    <n v="0"/>
    <n v="0"/>
    <n v="0"/>
    <n v="0"/>
    <n v="0"/>
    <n v="0"/>
    <n v="0"/>
    <n v="0"/>
    <n v="0"/>
    <n v="0"/>
    <n v="0"/>
    <m/>
  </r>
  <r>
    <s v="22SDSCE01167"/>
    <s v="LIMBAD DHRUVAL BAKULBHAI"/>
    <s v="SDS"/>
    <x v="0"/>
    <n v="4"/>
    <s v="8155042249 9327040661"/>
    <s v="8155042249 9327040661"/>
    <s v="DCE_2022-25"/>
    <m/>
    <n v="25000"/>
    <n v="25000"/>
    <n v="0"/>
    <n v="0"/>
    <n v="0"/>
    <n v="3000"/>
    <n v="3000"/>
    <n v="0"/>
    <n v="0"/>
    <n v="0"/>
    <n v="0"/>
    <n v="0"/>
    <n v="0"/>
    <n v="0"/>
    <n v="0"/>
    <n v="0"/>
    <n v="0"/>
    <n v="0"/>
    <n v="0"/>
    <n v="0"/>
    <m/>
  </r>
  <r>
    <s v="22SDSCE01168"/>
    <s v="MAKVANA HIREN DINESHBHAI"/>
    <s v="SDS"/>
    <x v="0"/>
    <n v="4"/>
    <s v="7567396721 9974712237"/>
    <s v="7567396721 9974712237"/>
    <s v="DCE_2022-25"/>
    <s v="FREESHIP CARD"/>
    <n v="25000"/>
    <n v="0"/>
    <n v="0"/>
    <n v="0"/>
    <n v="25000"/>
    <n v="3000"/>
    <n v="3000"/>
    <n v="0"/>
    <n v="0"/>
    <n v="0"/>
    <n v="0"/>
    <n v="0"/>
    <n v="0"/>
    <n v="0"/>
    <n v="0"/>
    <n v="0"/>
    <n v="0"/>
    <n v="0"/>
    <n v="0"/>
    <n v="0"/>
    <s v="FREESHIPCARD STUDENT"/>
  </r>
  <r>
    <s v="22SDSCE01169"/>
    <s v="MEET MAKWANA"/>
    <s v="SDS"/>
    <x v="0"/>
    <n v="4"/>
    <s v="9924076967_x000a_9925076967"/>
    <s v="9924076967_x000a_9925076967"/>
    <s v="DCE_2022-25"/>
    <m/>
    <n v="25000"/>
    <n v="25000"/>
    <n v="0"/>
    <n v="0"/>
    <n v="0"/>
    <n v="3000"/>
    <n v="3000"/>
    <n v="0"/>
    <n v="0"/>
    <n v="0"/>
    <n v="0"/>
    <n v="0"/>
    <n v="0"/>
    <n v="0"/>
    <n v="0"/>
    <n v="0"/>
    <n v="0"/>
    <n v="0"/>
    <n v="0"/>
    <n v="0"/>
    <m/>
  </r>
  <r>
    <s v="22SDSCE01170"/>
    <s v="MAKWANA VIVEK MADHUBHAI"/>
    <s v="SDS"/>
    <x v="0"/>
    <n v="4"/>
    <s v="6354503517 9265423552"/>
    <s v="6354503517 9265423552"/>
    <s v="DCE_2022-25"/>
    <s v="FREESHIP CARD"/>
    <n v="25000"/>
    <n v="0"/>
    <n v="0"/>
    <n v="0"/>
    <n v="25000"/>
    <n v="3000"/>
    <n v="3000"/>
    <n v="0"/>
    <n v="0"/>
    <n v="0"/>
    <n v="0"/>
    <n v="0"/>
    <n v="0"/>
    <n v="0"/>
    <n v="0"/>
    <n v="0"/>
    <n v="0"/>
    <n v="0"/>
    <n v="0"/>
    <n v="0"/>
    <s v="FREESHIPCARD STUDENT"/>
  </r>
  <r>
    <s v="22SDSCE01171"/>
    <s v="MARVANIYA MUKESH VASANTBHAI"/>
    <s v="SDS"/>
    <x v="0"/>
    <n v="4"/>
    <s v="8128706795 9925794795"/>
    <s v="8128706795 9925794795"/>
    <s v="DCE_2022-25"/>
    <s v="MYSY"/>
    <n v="25000"/>
    <n v="0"/>
    <n v="0"/>
    <n v="0"/>
    <n v="25000"/>
    <n v="3000"/>
    <n v="0"/>
    <n v="0"/>
    <n v="0"/>
    <n v="3000"/>
    <n v="0"/>
    <n v="0"/>
    <n v="0"/>
    <n v="0"/>
    <n v="0"/>
    <n v="0"/>
    <n v="0"/>
    <n v="0"/>
    <n v="0"/>
    <n v="0"/>
    <s v="KSPS(25%) + MYSY(50%)"/>
  </r>
  <r>
    <s v="22SDSCE01172"/>
    <s v="JITKUMAR ARVINDBHAI MAVANI"/>
    <s v="SDS"/>
    <x v="0"/>
    <n v="4"/>
    <s v="8780489577 9825543181"/>
    <s v="8780489577 9825543181"/>
    <s v="DCE_2022-25"/>
    <m/>
    <n v="25000"/>
    <n v="25000"/>
    <n v="0"/>
    <n v="0"/>
    <n v="0"/>
    <n v="3000"/>
    <n v="3000"/>
    <n v="0"/>
    <n v="0"/>
    <n v="0"/>
    <n v="0"/>
    <n v="0"/>
    <n v="0"/>
    <n v="0"/>
    <n v="0"/>
    <n v="0"/>
    <n v="0"/>
    <n v="0"/>
    <n v="0"/>
    <n v="0"/>
    <m/>
  </r>
  <r>
    <s v="22SDSCE01173"/>
    <s v="MAYARIYA SAHIL LAKHDEERBHAI"/>
    <s v="SDS"/>
    <x v="0"/>
    <n v="4"/>
    <s v="7096665362 9924645362"/>
    <s v="7096665362 9924645362"/>
    <s v="DCE_2022-25"/>
    <s v="MYSY"/>
    <n v="25000"/>
    <n v="0"/>
    <n v="0"/>
    <n v="0"/>
    <n v="25000"/>
    <n v="3000"/>
    <n v="3000"/>
    <n v="0"/>
    <n v="0"/>
    <n v="0"/>
    <n v="0"/>
    <n v="0"/>
    <n v="0"/>
    <n v="0"/>
    <n v="0"/>
    <n v="0"/>
    <n v="0"/>
    <n v="0"/>
    <n v="0"/>
    <n v="0"/>
    <s v="KSPS(25%) + MYSY(50%)"/>
  </r>
  <r>
    <s v="22SDSCE01174"/>
    <s v="MODHVADIYA DILIP BABUBHAI"/>
    <s v="SDS"/>
    <x v="0"/>
    <n v="4"/>
    <s v="9824989095 9925543914"/>
    <s v="9824989095 9925543914"/>
    <s v="DCE_2022-25"/>
    <s v="KSP"/>
    <n v="25000"/>
    <n v="12500"/>
    <n v="0"/>
    <n v="12500"/>
    <n v="0"/>
    <n v="3000"/>
    <n v="3000"/>
    <n v="0"/>
    <n v="0"/>
    <n v="0"/>
    <n v="0"/>
    <n v="0"/>
    <n v="0"/>
    <n v="0"/>
    <n v="0"/>
    <n v="0"/>
    <n v="0"/>
    <n v="0"/>
    <n v="0"/>
    <n v="0"/>
    <s v="12500 PER SEM SCHOLARSHIP"/>
  </r>
  <r>
    <s v="22SDSCE01175"/>
    <s v="MULTANI FAIZAN IMRANBHAI"/>
    <s v="SDS"/>
    <x v="0"/>
    <n v="4"/>
    <s v="9825692565 9723647565"/>
    <s v="9825692565 9723647565"/>
    <s v="DCE_2022-25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22SDSCE01176"/>
    <s v="NARIYA SMITKUMAR NAVALBHAI"/>
    <s v="SDS"/>
    <x v="0"/>
    <n v="4"/>
    <s v="9328472964 9426715745"/>
    <s v="9328472964 9426715745"/>
    <s v="DCE_2022-25"/>
    <m/>
    <n v="25000"/>
    <n v="25000"/>
    <n v="0"/>
    <n v="0"/>
    <n v="0"/>
    <n v="3000"/>
    <n v="3000"/>
    <n v="0"/>
    <n v="0"/>
    <n v="0"/>
    <n v="0"/>
    <n v="0"/>
    <n v="0"/>
    <n v="0"/>
    <n v="0"/>
    <n v="0"/>
    <n v="0"/>
    <n v="0"/>
    <n v="0"/>
    <n v="0"/>
    <m/>
  </r>
  <r>
    <s v="22SDSCE01177"/>
    <s v="NIMAVAT HEMANGI BHARATBHAI"/>
    <s v="SDS"/>
    <x v="0"/>
    <n v="4"/>
    <s v="7405072586 9904030511"/>
    <s v="7405072586 9904030511"/>
    <s v="DCE_2022-25"/>
    <m/>
    <n v="25000"/>
    <n v="25000"/>
    <n v="0"/>
    <n v="0"/>
    <n v="0"/>
    <n v="3000"/>
    <n v="3000"/>
    <n v="0"/>
    <n v="0"/>
    <n v="0"/>
    <n v="0"/>
    <n v="0"/>
    <n v="0"/>
    <n v="0"/>
    <n v="0"/>
    <n v="0"/>
    <n v="0"/>
    <n v="0"/>
    <n v="0"/>
    <n v="0"/>
    <m/>
  </r>
  <r>
    <s v="22SDSCE01178"/>
    <s v="ODEDARA JAYKUMAR LILABHAI"/>
    <s v="SDS"/>
    <x v="0"/>
    <n v="4"/>
    <s v="8511776118  9427926995 "/>
    <s v="8511776118  9427926995 "/>
    <s v="DCE_2022-25"/>
    <m/>
    <n v="25000"/>
    <n v="25000"/>
    <n v="0"/>
    <n v="0"/>
    <n v="0"/>
    <n v="3000"/>
    <n v="3000"/>
    <n v="0"/>
    <n v="0"/>
    <n v="0"/>
    <n v="0"/>
    <n v="0"/>
    <n v="0"/>
    <n v="0"/>
    <n v="0"/>
    <n v="0"/>
    <n v="0"/>
    <n v="0"/>
    <n v="0"/>
    <n v="0"/>
    <m/>
  </r>
  <r>
    <s v="22SDSCE01179"/>
    <s v="PARAKHIYA BHAKTIBEN BIPINKUMAR"/>
    <s v="SDS"/>
    <x v="0"/>
    <n v="4"/>
    <s v="8200996817 9714303968"/>
    <s v="8200996817 9714303968"/>
    <s v="DCE_2022-25"/>
    <s v="MYSY"/>
    <n v="25000"/>
    <n v="0"/>
    <n v="0"/>
    <n v="0"/>
    <n v="25000"/>
    <n v="3000"/>
    <n v="3000"/>
    <n v="0"/>
    <n v="0"/>
    <n v="0"/>
    <n v="0"/>
    <n v="0"/>
    <n v="0"/>
    <n v="0"/>
    <n v="0"/>
    <n v="0"/>
    <n v="0"/>
    <n v="0"/>
    <n v="0"/>
    <n v="0"/>
    <s v="MYSY (50%)"/>
  </r>
  <r>
    <s v="22SDSCE01180"/>
    <s v="PARMAR MEET MAHESHBHAI"/>
    <s v="SDS"/>
    <x v="0"/>
    <n v="4"/>
    <s v="9265375343 9824899625"/>
    <s v="9265375343 9824899625"/>
    <s v="DCE_2022-25"/>
    <m/>
    <n v="25000"/>
    <n v="25000"/>
    <n v="0"/>
    <n v="0"/>
    <n v="0"/>
    <n v="3000"/>
    <n v="3000"/>
    <n v="0"/>
    <n v="0"/>
    <n v="0"/>
    <n v="0"/>
    <n v="0"/>
    <n v="0"/>
    <n v="0"/>
    <n v="0"/>
    <n v="0"/>
    <n v="0"/>
    <n v="0"/>
    <n v="0"/>
    <n v="0"/>
    <m/>
  </r>
  <r>
    <s v="22SDSCE01181"/>
    <s v="POLARA VANDAN NILESHBHAI"/>
    <s v="SDS"/>
    <x v="0"/>
    <n v="4"/>
    <s v="9974327722 9909396389"/>
    <s v="9974327722 9909396389"/>
    <s v="DCE_2022-25"/>
    <s v="KSP"/>
    <n v="25000"/>
    <n v="12500"/>
    <n v="0"/>
    <n v="12500"/>
    <n v="0"/>
    <n v="3000"/>
    <n v="3000"/>
    <n v="0"/>
    <n v="0"/>
    <n v="0"/>
    <n v="0"/>
    <n v="0"/>
    <n v="0"/>
    <n v="0"/>
    <n v="0"/>
    <n v="0"/>
    <n v="0"/>
    <n v="0"/>
    <n v="0"/>
    <n v="0"/>
    <s v="KSPS (50%)_x000a_12500 PER SEM"/>
  </r>
  <r>
    <s v="22SDSCE01182"/>
    <s v="RAMANI PRIYANSHI VIPULBHAI"/>
    <s v="SDS"/>
    <x v="0"/>
    <n v="4"/>
    <s v="9099062719 _x000a_9879662719"/>
    <s v="9099062719 _x000a_9879662719"/>
    <s v="DCE_2022-25"/>
    <s v="MYSY"/>
    <n v="25000"/>
    <n v="0"/>
    <n v="0"/>
    <n v="0"/>
    <n v="25000"/>
    <n v="3000"/>
    <n v="3000"/>
    <n v="0"/>
    <n v="0"/>
    <n v="0"/>
    <n v="0"/>
    <n v="0"/>
    <n v="0"/>
    <n v="0"/>
    <n v="0"/>
    <n v="0"/>
    <n v="0"/>
    <n v="0"/>
    <n v="0"/>
    <n v="0"/>
    <s v="MYSY (50%)"/>
  </r>
  <r>
    <s v="22SDSCE01183"/>
    <s v="DEV RAMJIYANI"/>
    <s v="SDS"/>
    <x v="0"/>
    <n v="4"/>
    <s v="9316602805 9426789102"/>
    <s v="9316602805 9426789102"/>
    <s v="DCE_2022-25"/>
    <m/>
    <n v="25000"/>
    <n v="25000"/>
    <n v="0"/>
    <n v="0"/>
    <n v="0"/>
    <n v="3000"/>
    <n v="3000"/>
    <n v="0"/>
    <n v="0"/>
    <n v="0"/>
    <n v="0"/>
    <n v="0"/>
    <n v="0"/>
    <n v="0"/>
    <n v="0"/>
    <n v="0"/>
    <n v="0"/>
    <n v="0"/>
    <n v="0"/>
    <n v="0"/>
    <m/>
  </r>
  <r>
    <s v="22SDSCE01184"/>
    <s v="RANAVAYA DISHA MURUBHAI"/>
    <s v="SDS"/>
    <x v="0"/>
    <n v="4"/>
    <s v="7600000664 9537993366"/>
    <s v="7600000664 9537993366"/>
    <s v="DCE_2022-25"/>
    <m/>
    <n v="25000"/>
    <n v="25000"/>
    <n v="0"/>
    <n v="0"/>
    <n v="0"/>
    <n v="3000"/>
    <n v="3000"/>
    <n v="0"/>
    <n v="0"/>
    <n v="0"/>
    <n v="0"/>
    <n v="0"/>
    <n v="0"/>
    <n v="0"/>
    <n v="0"/>
    <n v="0"/>
    <n v="0"/>
    <n v="0"/>
    <n v="0"/>
    <n v="0"/>
    <m/>
  </r>
  <r>
    <s v="22SDSCE01185"/>
    <s v="RATHOD ROHIT RANJITBHAI"/>
    <s v="SDS"/>
    <x v="0"/>
    <n v="4"/>
    <s v="9275380872"/>
    <s v="9275380872"/>
    <s v="DCE_2022-25"/>
    <s v="KSP"/>
    <n v="25000"/>
    <n v="18750"/>
    <n v="0"/>
    <n v="6250"/>
    <n v="0"/>
    <n v="3000"/>
    <n v="3000"/>
    <n v="0"/>
    <n v="0"/>
    <n v="0"/>
    <n v="0"/>
    <n v="0"/>
    <n v="0"/>
    <n v="0"/>
    <n v="0"/>
    <n v="0"/>
    <n v="0"/>
    <n v="0"/>
    <n v="0"/>
    <n v="0"/>
    <s v="6250 PER SEM SCHOLARSHIP"/>
  </r>
  <r>
    <s v="22SDSCE01186"/>
    <s v="SADIKOT ALIFIYA MUSTAFABHAI"/>
    <s v="SDS"/>
    <x v="0"/>
    <n v="4"/>
    <s v="8799680149 9723660972"/>
    <s v="8799680149 9723660972"/>
    <s v="DCE_2022-25"/>
    <m/>
    <n v="25000"/>
    <n v="25000"/>
    <n v="0"/>
    <n v="0"/>
    <n v="0"/>
    <n v="3000"/>
    <n v="3000"/>
    <n v="0"/>
    <n v="0"/>
    <n v="0"/>
    <n v="0"/>
    <n v="0"/>
    <n v="0"/>
    <n v="0"/>
    <n v="0"/>
    <n v="0"/>
    <n v="0"/>
    <n v="0"/>
    <n v="0"/>
    <n v="0"/>
    <s v="6250 PER SEM SCHOLARSHIP"/>
  </r>
  <r>
    <s v="22SDSCE01187"/>
    <s v="SANGANI DEVANSH ASHVINBHAI"/>
    <s v="SDS"/>
    <x v="0"/>
    <n v="4"/>
    <s v="9427942526_x000a_8849636011"/>
    <s v="9427942526_x000a_8849636011"/>
    <s v="DCE_2022-25"/>
    <m/>
    <n v="25000"/>
    <n v="0"/>
    <n v="0"/>
    <n v="0"/>
    <n v="25000"/>
    <n v="3000"/>
    <n v="0"/>
    <n v="0"/>
    <n v="0"/>
    <n v="3000"/>
    <n v="0"/>
    <n v="0"/>
    <n v="0"/>
    <n v="0"/>
    <n v="0"/>
    <n v="0"/>
    <n v="0"/>
    <n v="0"/>
    <n v="0"/>
    <n v="0"/>
    <m/>
  </r>
  <r>
    <s v="22SDSCE01188"/>
    <s v="SHAH DHRUV MEHUL"/>
    <s v="SDS"/>
    <x v="0"/>
    <n v="4"/>
    <s v="8866436831 9510736831"/>
    <s v="8866436831 9510736831"/>
    <s v="DCE_2022-25"/>
    <m/>
    <n v="25000"/>
    <n v="25000"/>
    <n v="0"/>
    <n v="0"/>
    <n v="0"/>
    <n v="3000"/>
    <n v="3000"/>
    <n v="0"/>
    <n v="0"/>
    <n v="0"/>
    <n v="0"/>
    <n v="0"/>
    <n v="0"/>
    <n v="0"/>
    <n v="0"/>
    <n v="0"/>
    <n v="0"/>
    <n v="0"/>
    <n v="0"/>
    <n v="0"/>
    <m/>
  </r>
  <r>
    <s v="22SDSCE01189"/>
    <s v="SITAPARA FORAMBEN HIRENBHAI"/>
    <s v="SDS"/>
    <x v="0"/>
    <n v="4"/>
    <s v="7016770874 9825747970"/>
    <s v="7016770874 9825747970"/>
    <s v="DCE_2022-25"/>
    <s v="MYSY"/>
    <n v="25000"/>
    <n v="0"/>
    <n v="0"/>
    <n v="0"/>
    <n v="25000"/>
    <n v="3000"/>
    <n v="3000"/>
    <n v="0"/>
    <n v="0"/>
    <n v="0"/>
    <n v="0"/>
    <n v="0"/>
    <n v="0"/>
    <n v="0"/>
    <n v="0"/>
    <n v="0"/>
    <n v="0"/>
    <n v="0"/>
    <n v="0"/>
    <n v="0"/>
    <s v="MYSY (50%)"/>
  </r>
  <r>
    <s v="22SDSCE01190"/>
    <s v="SOLANKI TUSHAR NATUBHAI"/>
    <s v="SDS"/>
    <x v="0"/>
    <n v="4"/>
    <s v="9909299349 9909599349"/>
    <s v="9909299349 9909599349"/>
    <s v="DCE_2022-25"/>
    <m/>
    <n v="25000"/>
    <n v="25000"/>
    <n v="0"/>
    <n v="0"/>
    <n v="0"/>
    <n v="3000"/>
    <n v="3000"/>
    <n v="0"/>
    <n v="0"/>
    <n v="0"/>
    <n v="0"/>
    <n v="0"/>
    <n v="0"/>
    <n v="0"/>
    <n v="0"/>
    <n v="0"/>
    <n v="0"/>
    <n v="0"/>
    <n v="0"/>
    <n v="0"/>
    <m/>
  </r>
  <r>
    <s v="22SDSCE01191"/>
    <s v="TANK VIVEK ANILBHAI"/>
    <s v="SDS"/>
    <x v="0"/>
    <n v="4"/>
    <s v="9624889463"/>
    <s v="9624889463"/>
    <s v="DCE_2022-25"/>
    <m/>
    <n v="25000"/>
    <n v="25000"/>
    <n v="0"/>
    <n v="0"/>
    <n v="0"/>
    <n v="3000"/>
    <n v="3000"/>
    <n v="0"/>
    <n v="0"/>
    <n v="0"/>
    <n v="0"/>
    <n v="0"/>
    <n v="0"/>
    <n v="0"/>
    <n v="0"/>
    <n v="0"/>
    <n v="0"/>
    <n v="0"/>
    <n v="0"/>
    <n v="0"/>
    <m/>
  </r>
  <r>
    <s v="22SDSCE01192"/>
    <s v="TARAPADA HARSHIT ASHVINBHAI"/>
    <s v="SDS"/>
    <x v="0"/>
    <n v="4"/>
    <s v="9726078107"/>
    <s v="9726078107"/>
    <s v="DCE_2022-25"/>
    <m/>
    <n v="25000"/>
    <n v="0"/>
    <n v="0"/>
    <n v="0"/>
    <n v="25000"/>
    <n v="3000"/>
    <n v="0"/>
    <n v="0"/>
    <n v="0"/>
    <n v="3000"/>
    <n v="0"/>
    <n v="0"/>
    <n v="0"/>
    <n v="0"/>
    <n v="0"/>
    <n v="0"/>
    <n v="0"/>
    <n v="0"/>
    <n v="0"/>
    <n v="0"/>
    <m/>
  </r>
  <r>
    <s v="22SDSCE01194"/>
    <s v="VADHAVANA ISHITKUMAR RUPESHBHAI"/>
    <s v="SDS"/>
    <x v="0"/>
    <n v="4"/>
    <s v="9723476911 9409756523"/>
    <s v="9723476911 9409756523"/>
    <s v="DCE_2022-25"/>
    <s v="KSP"/>
    <n v="25000"/>
    <n v="0"/>
    <n v="0"/>
    <n v="25000"/>
    <n v="0"/>
    <n v="3000"/>
    <n v="3000"/>
    <n v="0"/>
    <n v="0"/>
    <n v="0"/>
    <n v="0"/>
    <n v="0"/>
    <n v="0"/>
    <n v="0"/>
    <n v="0"/>
    <n v="0"/>
    <n v="0"/>
    <n v="0"/>
    <n v="0"/>
    <n v="0"/>
    <s v=" KSPS(50%) + MYSY(50%) "/>
  </r>
  <r>
    <s v="22SDSCE01195"/>
    <s v="VAJA VANSH ATULKUMAR"/>
    <s v="SDS"/>
    <x v="0"/>
    <n v="4"/>
    <s v="8469166133 9879809615"/>
    <s v="8469166133 9879809615"/>
    <s v="DCE_2022-25"/>
    <m/>
    <n v="25000"/>
    <n v="25000"/>
    <n v="0"/>
    <n v="0"/>
    <n v="0"/>
    <n v="3000"/>
    <n v="3000"/>
    <n v="0"/>
    <n v="0"/>
    <n v="0"/>
    <n v="0"/>
    <n v="0"/>
    <n v="0"/>
    <n v="0"/>
    <n v="0"/>
    <n v="0"/>
    <n v="0"/>
    <n v="0"/>
    <n v="0"/>
    <n v="0"/>
    <m/>
  </r>
  <r>
    <s v="22SDSCE01197"/>
    <s v="VEGAD VIVEK DIPAKBHAI"/>
    <s v="SDS"/>
    <x v="0"/>
    <n v="4"/>
    <s v="9898411263 8780403140"/>
    <s v="9898411263 8780403140"/>
    <s v="DCE_2022-25"/>
    <m/>
    <n v="25000"/>
    <n v="25000"/>
    <n v="0"/>
    <n v="0"/>
    <n v="0"/>
    <n v="3000"/>
    <n v="3000"/>
    <n v="0"/>
    <n v="0"/>
    <n v="0"/>
    <n v="0"/>
    <n v="0"/>
    <n v="0"/>
    <n v="0"/>
    <n v="0"/>
    <n v="0"/>
    <n v="0"/>
    <n v="0"/>
    <n v="0"/>
    <n v="0"/>
    <m/>
  </r>
  <r>
    <s v="22SDSCE01204"/>
    <s v="MAHETA RAJAN JANAKBHAI"/>
    <s v="SDS"/>
    <x v="0"/>
    <n v="4"/>
    <s v="9974352805 9909472672"/>
    <s v="9974352805 9909472672"/>
    <s v="DCE_2022-25"/>
    <m/>
    <n v="25000"/>
    <n v="0"/>
    <n v="0"/>
    <n v="0"/>
    <n v="25000"/>
    <n v="3000"/>
    <n v="0"/>
    <n v="0"/>
    <n v="0"/>
    <n v="3000"/>
    <n v="0"/>
    <n v="0"/>
    <n v="0"/>
    <n v="0"/>
    <n v="0"/>
    <n v="0"/>
    <n v="0"/>
    <n v="0"/>
    <n v="0"/>
    <n v="0"/>
    <m/>
  </r>
  <r>
    <s v="22SDSCE01220"/>
    <s v="JADEJA BHAVYARAJSINH GIRIRAJSINH"/>
    <s v="SDS"/>
    <x v="0"/>
    <n v="4"/>
    <s v="7016334083 9427207299"/>
    <s v="7016334083 9427207299"/>
    <s v="DCE_2022-25"/>
    <m/>
    <n v="25000"/>
    <n v="25000"/>
    <n v="0"/>
    <n v="0"/>
    <n v="0"/>
    <n v="3000"/>
    <n v="3000"/>
    <n v="0"/>
    <n v="0"/>
    <n v="0"/>
    <n v="0"/>
    <n v="0"/>
    <n v="0"/>
    <n v="0"/>
    <n v="0"/>
    <n v="0"/>
    <n v="0"/>
    <n v="0"/>
    <n v="0"/>
    <n v="0"/>
    <m/>
  </r>
  <r>
    <s v="22SDSCE01200"/>
    <s v="MRITUNJAY CHOUDHARY"/>
    <s v="SDS"/>
    <x v="0"/>
    <n v="4"/>
    <s v="BIHAR STUDENT"/>
    <s v="BIHAR STUDENT"/>
    <s v="DCE_2022-25"/>
    <m/>
    <n v="42500"/>
    <n v="0"/>
    <n v="0"/>
    <n v="0"/>
    <n v="42500"/>
    <n v="0"/>
    <n v="0"/>
    <n v="0"/>
    <n v="0"/>
    <n v="0"/>
    <n v="0"/>
    <n v="0"/>
    <n v="0"/>
    <n v="0"/>
    <n v="0"/>
    <n v="0"/>
    <n v="0"/>
    <n v="0"/>
    <n v="0"/>
    <n v="0"/>
    <m/>
  </r>
  <r>
    <s v="22SDSCE01206"/>
    <s v="ADITYA RANA"/>
    <s v="SDS"/>
    <x v="0"/>
    <n v="4"/>
    <s v="BIHAR STUDENT"/>
    <s v="BIHAR STUDENT"/>
    <s v="DCE_2022-25"/>
    <m/>
    <n v="42500"/>
    <n v="0"/>
    <n v="0"/>
    <n v="0"/>
    <n v="42500"/>
    <n v="0"/>
    <n v="0"/>
    <n v="0"/>
    <n v="0"/>
    <n v="0"/>
    <n v="0"/>
    <n v="0"/>
    <n v="0"/>
    <n v="0"/>
    <n v="0"/>
    <n v="0"/>
    <n v="0"/>
    <n v="0"/>
    <n v="0"/>
    <n v="0"/>
    <m/>
  </r>
  <r>
    <s v="22SDSCE01209"/>
    <s v="SURESH KUMAR SINGH"/>
    <s v="SDS"/>
    <x v="0"/>
    <n v="4"/>
    <s v="BIHAR STUDENT"/>
    <s v="BIHAR STUDENT"/>
    <s v="DCE_2022-25"/>
    <m/>
    <n v="42500"/>
    <n v="0"/>
    <n v="0"/>
    <n v="0"/>
    <n v="42500"/>
    <n v="0"/>
    <n v="0"/>
    <n v="0"/>
    <n v="0"/>
    <n v="0"/>
    <n v="0"/>
    <n v="0"/>
    <n v="0"/>
    <n v="0"/>
    <n v="0"/>
    <n v="0"/>
    <n v="0"/>
    <n v="0"/>
    <n v="0"/>
    <n v="0"/>
    <m/>
  </r>
  <r>
    <s v="22SDSCE01210"/>
    <s v="NISHANT GAURAV"/>
    <s v="SDS"/>
    <x v="0"/>
    <n v="4"/>
    <s v="BIHAR STUDENT"/>
    <s v="BIHAR STUDENT"/>
    <s v="DCE_2022-25"/>
    <m/>
    <n v="42500"/>
    <n v="0"/>
    <n v="0"/>
    <n v="0"/>
    <n v="42500"/>
    <n v="0"/>
    <n v="0"/>
    <n v="0"/>
    <n v="0"/>
    <n v="0"/>
    <n v="0"/>
    <n v="0"/>
    <n v="0"/>
    <n v="0"/>
    <n v="0"/>
    <n v="0"/>
    <n v="0"/>
    <n v="0"/>
    <n v="0"/>
    <n v="0"/>
    <m/>
  </r>
  <r>
    <s v="22SDSCE01211"/>
    <s v="DHIRAJ KUMAR"/>
    <s v="SDS"/>
    <x v="0"/>
    <n v="4"/>
    <s v="BIHAR STUDENT"/>
    <s v="BIHAR STUDENT"/>
    <s v="DCE_2022-25"/>
    <m/>
    <n v="42500"/>
    <n v="0"/>
    <n v="0"/>
    <n v="0"/>
    <n v="42500"/>
    <n v="0"/>
    <n v="0"/>
    <n v="0"/>
    <n v="0"/>
    <n v="0"/>
    <n v="0"/>
    <n v="0"/>
    <n v="0"/>
    <n v="0"/>
    <n v="0"/>
    <n v="0"/>
    <n v="0"/>
    <n v="0"/>
    <n v="0"/>
    <n v="0"/>
    <m/>
  </r>
  <r>
    <s v="22SDSCE01216"/>
    <s v="AKASH KUMAR"/>
    <s v="SDS"/>
    <x v="0"/>
    <n v="4"/>
    <s v="BIHAR STUDENT"/>
    <s v="BIHAR STUDENT"/>
    <s v="DCE_2022-25"/>
    <m/>
    <n v="42500"/>
    <n v="0"/>
    <n v="0"/>
    <n v="0"/>
    <n v="42500"/>
    <n v="0"/>
    <n v="0"/>
    <n v="0"/>
    <n v="0"/>
    <n v="0"/>
    <n v="0"/>
    <n v="0"/>
    <n v="0"/>
    <n v="0"/>
    <n v="0"/>
    <n v="0"/>
    <n v="0"/>
    <n v="0"/>
    <n v="0"/>
    <n v="0"/>
    <m/>
  </r>
  <r>
    <s v="22SDSCE01220"/>
    <s v="JADEJA BHAVYARAJSINH GIRIRAJSINH"/>
    <s v="SDS"/>
    <x v="0"/>
    <n v="4"/>
    <s v="7016334083 9427207299"/>
    <s v="7016334083 9427207299"/>
    <s v="DCE_2022-25"/>
    <m/>
    <n v="25000"/>
    <n v="25000"/>
    <n v="0"/>
    <n v="0"/>
    <n v="0"/>
    <n v="3000"/>
    <n v="3000"/>
    <n v="0"/>
    <n v="0"/>
    <n v="0"/>
    <n v="0"/>
    <n v="0"/>
    <n v="0"/>
    <n v="0"/>
    <n v="0"/>
    <n v="0"/>
    <n v="0"/>
    <n v="0"/>
    <n v="0"/>
    <n v="0"/>
    <m/>
  </r>
  <r>
    <s v="22SDSCE01222"/>
    <s v="SARFARAJ ANSARI"/>
    <s v="SDS"/>
    <x v="0"/>
    <n v="4"/>
    <s v="BIHAR STUDENT"/>
    <s v="BIHAR STUDENT"/>
    <s v="DCE_2022-25"/>
    <m/>
    <n v="42500"/>
    <n v="425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22SDSCE01223"/>
    <s v="NILESH DIXIT"/>
    <s v="SDS"/>
    <x v="0"/>
    <n v="4"/>
    <s v="BIHAR STUDENT"/>
    <s v="BIHAR STUDENT"/>
    <s v="DCE_2022-25"/>
    <m/>
    <n v="42500"/>
    <n v="425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22SDSCE01224"/>
    <s v="MOHD SAHIL HUSSAIN"/>
    <s v="SDS"/>
    <x v="0"/>
    <n v="4"/>
    <s v="BIHAR STUDENT"/>
    <s v="BIHAR STUDENT"/>
    <s v="DCE_2022-25"/>
    <m/>
    <n v="42500"/>
    <n v="425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22SDSCE01226"/>
    <s v="FARZAN KHAN"/>
    <s v="SDS"/>
    <x v="0"/>
    <n v="4"/>
    <s v="BIHAR STUDENT"/>
    <s v="BIHAR STUDENT"/>
    <s v="DCE_2022-25"/>
    <m/>
    <n v="42500"/>
    <n v="0"/>
    <n v="0"/>
    <n v="0"/>
    <n v="42500"/>
    <n v="0"/>
    <n v="0"/>
    <n v="0"/>
    <n v="0"/>
    <n v="0"/>
    <n v="0"/>
    <n v="0"/>
    <n v="0"/>
    <n v="0"/>
    <n v="0"/>
    <n v="0"/>
    <n v="0"/>
    <n v="0"/>
    <n v="0"/>
    <n v="0"/>
    <m/>
  </r>
  <r>
    <s v="22SDSCE01227"/>
    <s v="BHANU KUMAR"/>
    <s v="SDS"/>
    <x v="0"/>
    <n v="4"/>
    <s v="BIHAR STUDENT"/>
    <s v="BIHAR STUDENT"/>
    <s v="DCE_2022-25"/>
    <m/>
    <n v="42500"/>
    <n v="425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22SDSCE01228"/>
    <s v="RAHUL KUMAR"/>
    <s v="SDS"/>
    <x v="0"/>
    <n v="4"/>
    <s v="BIHAR STUDENT"/>
    <s v="BIHAR STUDENT"/>
    <s v="DCE_2022-25"/>
    <m/>
    <n v="42500"/>
    <n v="0"/>
    <n v="0"/>
    <n v="0"/>
    <n v="42500"/>
    <n v="0"/>
    <n v="0"/>
    <n v="0"/>
    <n v="0"/>
    <n v="0"/>
    <n v="0"/>
    <n v="0"/>
    <n v="0"/>
    <n v="0"/>
    <n v="0"/>
    <n v="0"/>
    <n v="0"/>
    <n v="0"/>
    <n v="0"/>
    <n v="0"/>
    <m/>
  </r>
  <r>
    <s v="22SDSCE01229"/>
    <s v="RAUSHAN KUMAR"/>
    <s v="SDS"/>
    <x v="0"/>
    <n v="4"/>
    <s v="BIHAR STUDENT"/>
    <s v="BIHAR STUDENT"/>
    <s v="DCE_2022-25"/>
    <m/>
    <n v="42500"/>
    <n v="425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22SDSCE01230"/>
    <s v="ROHIT KUMAR"/>
    <s v="SDS"/>
    <x v="0"/>
    <n v="4"/>
    <s v="BIHAR STUDENT"/>
    <s v="BIHAR STUDENT"/>
    <s v="DCE_2022-25"/>
    <m/>
    <n v="42500"/>
    <n v="425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22SDSCE01231"/>
    <s v="SHIVAM KUMAR"/>
    <s v="SDS"/>
    <x v="0"/>
    <n v="4"/>
    <s v="BIHAR STUDENT"/>
    <s v="BIHAR STUDENT"/>
    <s v="DCE_2022-25"/>
    <m/>
    <n v="42500"/>
    <n v="0"/>
    <n v="0"/>
    <n v="0"/>
    <n v="42500"/>
    <n v="0"/>
    <n v="0"/>
    <n v="0"/>
    <n v="0"/>
    <n v="0"/>
    <n v="0"/>
    <n v="0"/>
    <n v="0"/>
    <n v="0"/>
    <n v="0"/>
    <n v="0"/>
    <n v="0"/>
    <n v="0"/>
    <n v="0"/>
    <n v="0"/>
    <m/>
  </r>
  <r>
    <s v="22SDSCE01232"/>
    <s v="UDAY KUMAR"/>
    <s v="SDS"/>
    <x v="0"/>
    <n v="4"/>
    <s v="BIHAR STUDENT"/>
    <s v="BIHAR STUDENT"/>
    <s v="DCE_2022-25"/>
    <m/>
    <n v="42500"/>
    <n v="0"/>
    <n v="0"/>
    <n v="0"/>
    <n v="42500"/>
    <n v="0"/>
    <n v="0"/>
    <n v="0"/>
    <n v="0"/>
    <n v="0"/>
    <n v="0"/>
    <n v="0"/>
    <n v="0"/>
    <n v="0"/>
    <n v="0"/>
    <n v="0"/>
    <n v="0"/>
    <n v="0"/>
    <n v="0"/>
    <n v="0"/>
    <m/>
  </r>
  <r>
    <s v="22SDSCE01233"/>
    <s v="ANJALI KUMARI"/>
    <s v="SDS"/>
    <x v="0"/>
    <n v="4"/>
    <s v="BIHAR STUDENT"/>
    <s v="BIHAR STUDENT"/>
    <s v="DCE_2022-25"/>
    <m/>
    <n v="42500"/>
    <n v="0"/>
    <n v="0"/>
    <n v="0"/>
    <n v="42500"/>
    <n v="0"/>
    <n v="0"/>
    <n v="0"/>
    <n v="0"/>
    <n v="0"/>
    <n v="0"/>
    <n v="0"/>
    <n v="0"/>
    <n v="0"/>
    <n v="0"/>
    <n v="0"/>
    <n v="0"/>
    <n v="0"/>
    <n v="0"/>
    <n v="0"/>
    <m/>
  </r>
  <r>
    <s v="22SDSCE01234"/>
    <s v="CHANCHAL KUMARI"/>
    <s v="SDS"/>
    <x v="0"/>
    <n v="4"/>
    <s v="BIHAR STUDENT"/>
    <s v="BIHAR STUDENT"/>
    <s v="DCE_2022-25"/>
    <m/>
    <n v="42500"/>
    <n v="0"/>
    <n v="0"/>
    <n v="0"/>
    <n v="42500"/>
    <n v="0"/>
    <n v="0"/>
    <n v="0"/>
    <n v="0"/>
    <n v="0"/>
    <n v="0"/>
    <n v="0"/>
    <n v="0"/>
    <n v="0"/>
    <n v="0"/>
    <n v="0"/>
    <n v="0"/>
    <n v="0"/>
    <n v="0"/>
    <n v="0"/>
    <m/>
  </r>
  <r>
    <s v="22SDSCE01235"/>
    <s v="KAJAL KUMARI"/>
    <s v="SDS"/>
    <x v="0"/>
    <n v="4"/>
    <s v="BIHAR STUDENT"/>
    <s v="BIHAR STUDENT"/>
    <s v="DCE_2022-25"/>
    <m/>
    <n v="42500"/>
    <n v="0"/>
    <n v="0"/>
    <n v="0"/>
    <n v="42500"/>
    <n v="0"/>
    <n v="0"/>
    <n v="0"/>
    <n v="0"/>
    <n v="0"/>
    <n v="0"/>
    <n v="0"/>
    <n v="0"/>
    <n v="0"/>
    <n v="0"/>
    <n v="0"/>
    <n v="0"/>
    <n v="0"/>
    <n v="0"/>
    <n v="0"/>
    <m/>
  </r>
  <r>
    <s v="22SDSCE01236"/>
    <s v="NILU KUMARI"/>
    <s v="SDS"/>
    <x v="0"/>
    <n v="4"/>
    <s v="BIHAR STUDENT"/>
    <s v="BIHAR STUDENT"/>
    <s v="DCE_2022-25"/>
    <m/>
    <n v="42500"/>
    <n v="0"/>
    <n v="0"/>
    <n v="0"/>
    <n v="42500"/>
    <n v="0"/>
    <n v="0"/>
    <n v="0"/>
    <n v="0"/>
    <n v="0"/>
    <n v="0"/>
    <n v="0"/>
    <n v="0"/>
    <n v="0"/>
    <n v="0"/>
    <n v="0"/>
    <n v="0"/>
    <n v="0"/>
    <n v="0"/>
    <n v="0"/>
    <m/>
  </r>
  <r>
    <s v="22SDSCE01237"/>
    <s v="NISHANT"/>
    <s v="SDS"/>
    <x v="0"/>
    <n v="4"/>
    <s v="BIHAR STUDENT"/>
    <s v="BIHAR STUDENT"/>
    <s v="DCE_2022-25"/>
    <m/>
    <n v="42500"/>
    <n v="0"/>
    <n v="0"/>
    <n v="0"/>
    <n v="42500"/>
    <n v="0"/>
    <n v="0"/>
    <n v="0"/>
    <n v="0"/>
    <n v="0"/>
    <n v="0"/>
    <n v="0"/>
    <n v="0"/>
    <n v="0"/>
    <n v="0"/>
    <n v="0"/>
    <n v="0"/>
    <n v="0"/>
    <n v="0"/>
    <n v="0"/>
    <m/>
  </r>
  <r>
    <s v="22SDSCE01238"/>
    <s v="SAKSHI KUMARI"/>
    <s v="SDS"/>
    <x v="0"/>
    <n v="4"/>
    <s v="BIHAR STUDENT"/>
    <s v="BIHAR STUDENT"/>
    <s v="DCE_2022-25"/>
    <m/>
    <n v="42500"/>
    <n v="0"/>
    <n v="0"/>
    <n v="0"/>
    <n v="42500"/>
    <n v="0"/>
    <n v="0"/>
    <n v="0"/>
    <n v="0"/>
    <n v="0"/>
    <n v="0"/>
    <n v="0"/>
    <n v="0"/>
    <n v="0"/>
    <n v="0"/>
    <n v="0"/>
    <n v="0"/>
    <n v="0"/>
    <n v="0"/>
    <n v="0"/>
    <m/>
  </r>
  <r>
    <s v="22SDSCE01239"/>
    <s v="SUGGI KUMARI"/>
    <s v="SDS"/>
    <x v="0"/>
    <n v="4"/>
    <s v="BIHAR STUDENT"/>
    <s v="BIHAR STUDENT"/>
    <s v="DCE_2022-25"/>
    <m/>
    <n v="42500"/>
    <n v="0"/>
    <n v="0"/>
    <n v="0"/>
    <n v="42500"/>
    <n v="0"/>
    <n v="0"/>
    <n v="0"/>
    <n v="0"/>
    <n v="0"/>
    <n v="0"/>
    <n v="0"/>
    <n v="0"/>
    <n v="0"/>
    <n v="0"/>
    <n v="0"/>
    <n v="0"/>
    <n v="0"/>
    <n v="0"/>
    <n v="0"/>
    <m/>
  </r>
  <r>
    <s v="22SDSCE01240"/>
    <s v="ANKUR KUMAR MANDAL"/>
    <s v="SDS"/>
    <x v="0"/>
    <n v="4"/>
    <s v="BIHAR STUDENT"/>
    <s v="BIHAR STUDENT"/>
    <s v="DCE_2022-25"/>
    <m/>
    <n v="42500"/>
    <n v="0"/>
    <n v="0"/>
    <n v="0"/>
    <n v="42500"/>
    <n v="0"/>
    <n v="0"/>
    <n v="0"/>
    <n v="0"/>
    <n v="0"/>
    <n v="0"/>
    <n v="0"/>
    <n v="0"/>
    <n v="0"/>
    <n v="0"/>
    <n v="0"/>
    <n v="0"/>
    <n v="0"/>
    <n v="0"/>
    <n v="0"/>
    <m/>
  </r>
  <r>
    <s v="22SDSCE01241"/>
    <s v="ROSHAN KUMAR MANDAL"/>
    <s v="SDS"/>
    <x v="0"/>
    <n v="4"/>
    <s v="BIHAR STUDENT"/>
    <s v="BIHAR STUDENT"/>
    <s v="DCE_2022-25"/>
    <m/>
    <n v="42500"/>
    <n v="0"/>
    <n v="0"/>
    <n v="0"/>
    <n v="42500"/>
    <n v="0"/>
    <n v="0"/>
    <n v="0"/>
    <n v="0"/>
    <n v="0"/>
    <n v="0"/>
    <n v="0"/>
    <n v="0"/>
    <n v="0"/>
    <n v="0"/>
    <n v="0"/>
    <n v="0"/>
    <n v="0"/>
    <n v="0"/>
    <n v="0"/>
    <m/>
  </r>
  <r>
    <s v="22SDSCE01242"/>
    <s v="UTTAM KUMAR SINGH"/>
    <s v="SDS"/>
    <x v="0"/>
    <n v="4"/>
    <s v="BIHAR STUDENT"/>
    <s v="BIHAR STUDENT"/>
    <s v="DCE_2022-25"/>
    <m/>
    <n v="42500"/>
    <n v="425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22SDSCE01243"/>
    <s v="ABHISHEK KUMAR"/>
    <s v="SDS"/>
    <x v="0"/>
    <n v="4"/>
    <s v="BIHAR STUDENT"/>
    <s v="BIHAR STUDENT"/>
    <s v="DCE_2022-25"/>
    <m/>
    <n v="42500"/>
    <n v="0"/>
    <n v="0"/>
    <n v="0"/>
    <n v="42500"/>
    <n v="0"/>
    <n v="0"/>
    <n v="0"/>
    <n v="0"/>
    <n v="0"/>
    <n v="0"/>
    <n v="0"/>
    <n v="0"/>
    <n v="0"/>
    <n v="0"/>
    <n v="0"/>
    <n v="0"/>
    <n v="0"/>
    <n v="0"/>
    <n v="0"/>
    <m/>
  </r>
  <r>
    <s v="22SDSCE01244"/>
    <s v="RANI KUMARI"/>
    <s v="SDS"/>
    <x v="0"/>
    <n v="4"/>
    <s v="BIHAR STUDENT"/>
    <s v="BIHAR STUDENT"/>
    <s v="DCE_2022-25"/>
    <m/>
    <n v="42500"/>
    <n v="425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22SDSCE01245"/>
    <s v="KANCHAN KUMARI"/>
    <s v="SDS"/>
    <x v="0"/>
    <n v="4"/>
    <s v="BIHAR STUDENT"/>
    <s v="BIHAR STUDENT"/>
    <s v="DCE_2022-25"/>
    <m/>
    <n v="42500"/>
    <n v="425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22SDSCE01246"/>
    <s v="ABHISHEK YADAV"/>
    <s v="SDS"/>
    <x v="0"/>
    <n v="4"/>
    <s v="BIHAR STUDENT"/>
    <s v="BIHAR STUDENT"/>
    <s v="DCE_2022-25"/>
    <m/>
    <n v="42500"/>
    <n v="425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22SDSCE01247"/>
    <s v="MD IMRAN ALAM"/>
    <s v="SDS"/>
    <x v="0"/>
    <n v="4"/>
    <s v="BIHAR STUDENT"/>
    <s v="BIHAR STUDENT"/>
    <s v="DCE_2022-25"/>
    <m/>
    <n v="42500"/>
    <n v="0"/>
    <n v="0"/>
    <n v="0"/>
    <n v="42500"/>
    <n v="0"/>
    <n v="0"/>
    <n v="0"/>
    <n v="0"/>
    <n v="0"/>
    <n v="0"/>
    <n v="0"/>
    <n v="0"/>
    <n v="0"/>
    <n v="0"/>
    <n v="0"/>
    <n v="0"/>
    <n v="0"/>
    <n v="0"/>
    <n v="0"/>
    <m/>
  </r>
  <r>
    <s v="22SDSCE01248"/>
    <s v="AVINASH KUMAR"/>
    <s v="SDS"/>
    <x v="0"/>
    <n v="4"/>
    <s v="BIHAR STUDENT"/>
    <s v="BIHAR STUDENT"/>
    <s v="DCE_2022-25"/>
    <m/>
    <n v="42500"/>
    <n v="425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22SDSCE01250"/>
    <s v="ANISH PANDEY"/>
    <s v="SDS"/>
    <x v="0"/>
    <n v="4"/>
    <s v="BIHAR STUDENT"/>
    <s v="BIHAR STUDENT"/>
    <s v="DCE_2022-25"/>
    <m/>
    <n v="42500"/>
    <n v="0"/>
    <n v="0"/>
    <n v="0"/>
    <n v="42500"/>
    <n v="0"/>
    <n v="0"/>
    <n v="0"/>
    <n v="0"/>
    <n v="0"/>
    <n v="0"/>
    <n v="0"/>
    <n v="0"/>
    <n v="0"/>
    <n v="0"/>
    <n v="0"/>
    <n v="0"/>
    <n v="0"/>
    <n v="0"/>
    <n v="0"/>
    <m/>
  </r>
  <r>
    <s v="22SDSCE01251"/>
    <s v="DEEPAK KUMAR SINGH"/>
    <s v="SDS"/>
    <x v="0"/>
    <n v="4"/>
    <s v="BIHAR STUDENT"/>
    <s v="BIHAR STUDENT"/>
    <s v="DCE_2022-25"/>
    <m/>
    <n v="42500"/>
    <n v="0"/>
    <n v="0"/>
    <n v="0"/>
    <n v="42500"/>
    <n v="0"/>
    <n v="0"/>
    <n v="0"/>
    <n v="0"/>
    <n v="0"/>
    <n v="0"/>
    <n v="0"/>
    <n v="0"/>
    <n v="0"/>
    <n v="0"/>
    <n v="0"/>
    <n v="0"/>
    <n v="0"/>
    <n v="0"/>
    <n v="0"/>
    <m/>
  </r>
  <r>
    <s v="22SDSCE01252"/>
    <s v="MD ASHAD KAMAL"/>
    <s v="SDS"/>
    <x v="0"/>
    <n v="4"/>
    <s v="BIHAR STUDENT"/>
    <s v="BIHAR STUDENT"/>
    <s v="DCE_2022-25"/>
    <m/>
    <n v="42500"/>
    <n v="0"/>
    <n v="0"/>
    <n v="0"/>
    <n v="42500"/>
    <n v="0"/>
    <n v="0"/>
    <n v="0"/>
    <n v="0"/>
    <n v="0"/>
    <n v="0"/>
    <n v="0"/>
    <n v="0"/>
    <n v="0"/>
    <n v="0"/>
    <n v="0"/>
    <n v="0"/>
    <n v="0"/>
    <n v="0"/>
    <n v="0"/>
    <m/>
  </r>
  <r>
    <s v="22SDSCE01253"/>
    <s v="PREM KUMAR"/>
    <s v="SDS"/>
    <x v="0"/>
    <n v="4"/>
    <s v="BIHAR STUDENT"/>
    <s v="BIHAR STUDENT"/>
    <s v="DCE_2022-25"/>
    <m/>
    <n v="42500"/>
    <n v="0"/>
    <n v="0"/>
    <n v="0"/>
    <n v="42500"/>
    <n v="0"/>
    <n v="0"/>
    <n v="0"/>
    <n v="0"/>
    <n v="0"/>
    <n v="0"/>
    <n v="0"/>
    <n v="0"/>
    <n v="0"/>
    <n v="0"/>
    <n v="0"/>
    <n v="0"/>
    <n v="0"/>
    <n v="0"/>
    <n v="0"/>
    <m/>
  </r>
  <r>
    <s v="22SDSCE01254"/>
    <s v="SUMIT KUMAR"/>
    <s v="SDS"/>
    <x v="0"/>
    <n v="4"/>
    <s v="BIHAR STUDENT"/>
    <s v="BIHAR STUDENT"/>
    <s v="DCE_2022-25"/>
    <m/>
    <n v="42500"/>
    <n v="0"/>
    <n v="0"/>
    <n v="0"/>
    <n v="42500"/>
    <n v="0"/>
    <n v="0"/>
    <n v="0"/>
    <n v="0"/>
    <n v="0"/>
    <n v="0"/>
    <n v="0"/>
    <n v="0"/>
    <n v="0"/>
    <n v="0"/>
    <n v="0"/>
    <n v="0"/>
    <n v="0"/>
    <n v="0"/>
    <n v="0"/>
    <m/>
  </r>
  <r>
    <s v="22SDSCE01255"/>
    <s v="PREM SAGAR"/>
    <s v="SDS"/>
    <x v="0"/>
    <n v="4"/>
    <s v="BIHAR STUDENT"/>
    <s v="BIHAR STUDENT"/>
    <s v="DCE_2022-25"/>
    <m/>
    <n v="42500"/>
    <n v="0"/>
    <n v="0"/>
    <n v="0"/>
    <n v="42500"/>
    <n v="0"/>
    <n v="0"/>
    <n v="0"/>
    <n v="0"/>
    <n v="0"/>
    <n v="0"/>
    <n v="0"/>
    <n v="0"/>
    <n v="0"/>
    <n v="0"/>
    <n v="0"/>
    <n v="0"/>
    <n v="0"/>
    <n v="0"/>
    <n v="0"/>
    <m/>
  </r>
  <r>
    <s v="22SDSCE01601"/>
    <s v="BALRAM BARAI"/>
    <s v="SDS"/>
    <x v="0"/>
    <n v="4"/>
    <s v="INTERNATIONAL"/>
    <s v="INR FEE STUDENT"/>
    <s v="DCE_2022-25"/>
    <m/>
    <n v="37500"/>
    <n v="0"/>
    <n v="0"/>
    <n v="0"/>
    <n v="37500"/>
    <n v="0"/>
    <n v="0"/>
    <n v="0"/>
    <n v="0"/>
    <n v="0"/>
    <n v="0"/>
    <n v="0"/>
    <n v="0"/>
    <n v="0"/>
    <n v="0"/>
    <n v="0"/>
    <n v="0"/>
    <n v="0"/>
    <n v="0"/>
    <n v="0"/>
    <m/>
  </r>
  <r>
    <s v="22SDSCE01602"/>
    <s v="PRABIND KUMAR MANDAL"/>
    <s v="SDS"/>
    <x v="0"/>
    <n v="4"/>
    <s v="INTERNATIONAL"/>
    <s v="INR FEE STUDENT"/>
    <s v="DCE_2022-25"/>
    <m/>
    <n v="37500"/>
    <n v="375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22SDSCE01603"/>
    <s v="TRIBHUWAN SARDAR"/>
    <s v="SDS"/>
    <x v="0"/>
    <n v="4"/>
    <s v="INTERNATIONAL"/>
    <s v="INR FEE STUDENT"/>
    <s v="DCE_2022-25"/>
    <m/>
    <n v="37500"/>
    <n v="25000"/>
    <n v="0"/>
    <n v="0"/>
    <n v="12500"/>
    <n v="0"/>
    <n v="0"/>
    <n v="0"/>
    <n v="0"/>
    <n v="0"/>
    <n v="0"/>
    <n v="0"/>
    <n v="0"/>
    <n v="0"/>
    <n v="0"/>
    <n v="0"/>
    <n v="0"/>
    <n v="0"/>
    <n v="0"/>
    <n v="0"/>
    <m/>
  </r>
  <r>
    <s v="22SDSCE01605"/>
    <s v="ANISH ADHIKARI"/>
    <s v="SDS"/>
    <x v="0"/>
    <n v="4"/>
    <s v="INTERNATIONAL"/>
    <s v="INR FEE STUDENT"/>
    <s v="DCE_2022-25"/>
    <m/>
    <n v="37500"/>
    <n v="375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22SDSCE01606"/>
    <s v="ARMAN ANSARI"/>
    <s v="SDS"/>
    <x v="0"/>
    <n v="4"/>
    <s v="INTERNATIONAL"/>
    <s v="INR FEE STUDENT"/>
    <s v="DCE_2022-25"/>
    <m/>
    <n v="37500"/>
    <n v="375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22SDSCE01607"/>
    <s v="MAHBOOB ALAM DHUNIYA"/>
    <s v="SDS"/>
    <x v="0"/>
    <n v="4"/>
    <s v="INTERNATIONAL"/>
    <s v="INR FEE STUDENT"/>
    <s v="DCE_2022-25"/>
    <m/>
    <n v="37500"/>
    <n v="0"/>
    <n v="0"/>
    <n v="0"/>
    <n v="37500"/>
    <n v="0"/>
    <n v="0"/>
    <n v="0"/>
    <n v="0"/>
    <n v="0"/>
    <n v="0"/>
    <n v="0"/>
    <n v="0"/>
    <n v="0"/>
    <n v="0"/>
    <n v="0"/>
    <n v="0"/>
    <n v="0"/>
    <n v="0"/>
    <n v="0"/>
    <m/>
  </r>
  <r>
    <s v="22SDSCE01609"/>
    <s v="SURENDRA KUMAR MAHATO"/>
    <s v="SDS"/>
    <x v="0"/>
    <n v="4"/>
    <s v="INTERNATIONAL"/>
    <s v="INR FEE STUDENT"/>
    <s v="DCE_2022-25"/>
    <m/>
    <n v="37500"/>
    <n v="375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22SDSCE01610"/>
    <s v="BIJAY KUMAR MURAW"/>
    <s v="SDS"/>
    <x v="0"/>
    <n v="4"/>
    <s v="INTERNATIONAL"/>
    <s v="INR FEE STUDENT"/>
    <s v="DCE_2022-25"/>
    <m/>
    <n v="37500"/>
    <n v="375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22SDSCE01611"/>
    <s v="BRIJMOHAN KALWAR"/>
    <s v="SDS"/>
    <x v="0"/>
    <n v="4"/>
    <s v="INTERNATIONAL"/>
    <s v="INR FEE STUDENT"/>
    <s v="DCE_2022-25"/>
    <m/>
    <n v="37500"/>
    <n v="375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22SDSCE01612"/>
    <s v="AAJAM HUSEN MUSALMAN"/>
    <s v="SDS"/>
    <x v="0"/>
    <n v="4"/>
    <s v="INTERNATIONAL"/>
    <s v="INR FEE STUDENT"/>
    <s v="DCE_2022-25"/>
    <m/>
    <n v="37500"/>
    <n v="375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22SDSCE01613"/>
    <s v="PRIYANKA CHAI"/>
    <s v="SDS"/>
    <x v="0"/>
    <n v="4"/>
    <s v="INTERNATIONAL"/>
    <s v="INR FEE STUDENT"/>
    <s v="DCE_2022-25"/>
    <m/>
    <n v="37500"/>
    <n v="0"/>
    <n v="0"/>
    <n v="0"/>
    <n v="37500"/>
    <n v="0"/>
    <n v="0"/>
    <n v="0"/>
    <n v="0"/>
    <n v="0"/>
    <n v="0"/>
    <n v="0"/>
    <n v="0"/>
    <n v="0"/>
    <n v="0"/>
    <n v="0"/>
    <n v="0"/>
    <n v="0"/>
    <n v="0"/>
    <n v="0"/>
    <m/>
  </r>
  <r>
    <s v="22SDSCE01614"/>
    <s v="MD SAHID SAFI"/>
    <s v="SDS"/>
    <x v="0"/>
    <n v="4"/>
    <s v="INTERNATIONAL"/>
    <s v="INR FEE STUDENT"/>
    <s v="DCE_2022-25"/>
    <m/>
    <n v="37500"/>
    <n v="375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22SDSCE01615"/>
    <s v="SUMIT KUMAR CHAUDHARY"/>
    <s v="SDS"/>
    <x v="0"/>
    <n v="4"/>
    <s v="INTERNATIONAL"/>
    <s v="INR FEE STUDENT"/>
    <s v="DCE_2022-25"/>
    <m/>
    <n v="37500"/>
    <n v="375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22SDSCE01616"/>
    <s v="MANOJ KEWAT"/>
    <s v="SDS"/>
    <x v="0"/>
    <n v="4"/>
    <s v="INTERNATIONAL"/>
    <s v="INR FEE STUDENT"/>
    <s v="DCE_2022-25"/>
    <m/>
    <n v="37500"/>
    <n v="375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22SDSCE01617"/>
    <s v="BIBEK PRASAD SAH"/>
    <s v="SDS"/>
    <x v="0"/>
    <n v="4"/>
    <s v="INTERNATIONAL"/>
    <s v="INR FEE STUDENT"/>
    <s v="DCE_2022-25"/>
    <m/>
    <n v="37500"/>
    <n v="375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22SDSCE01618"/>
    <s v="TILAK RAM LODH"/>
    <s v="SDS"/>
    <x v="0"/>
    <n v="4"/>
    <s v="INTERNATIONAL"/>
    <s v="INR FEE STUDENT"/>
    <s v="DCE_2022-25"/>
    <m/>
    <n v="37500"/>
    <n v="375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22SDSCE01619"/>
    <s v="PRINCE SAH"/>
    <s v="SDS"/>
    <x v="0"/>
    <n v="4"/>
    <s v="INTERNATIONAL"/>
    <s v="INR FEE STUDENT"/>
    <s v="DCE_2022-25"/>
    <m/>
    <n v="37500"/>
    <n v="375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22SDSCE01620"/>
    <s v="BIBEK SAH"/>
    <s v="SDS"/>
    <x v="0"/>
    <n v="4"/>
    <s v="INTERNATIONAL"/>
    <s v="INR FEE STUDENT"/>
    <s v="DCE_2022-25"/>
    <m/>
    <n v="37500"/>
    <n v="375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22SDSCE01621"/>
    <s v="ABDUL HAKIM"/>
    <s v="SDS"/>
    <x v="0"/>
    <n v="4"/>
    <s v="INTERNATIONAL"/>
    <s v="INR FEE STUDENT"/>
    <s v="DCE_2022-25"/>
    <m/>
    <n v="37500"/>
    <n v="375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22SDSCE01622"/>
    <s v="KRISHAN KANT SAH"/>
    <s v="SDS"/>
    <x v="0"/>
    <n v="4"/>
    <s v="INTERNATIONAL"/>
    <s v="INR FEE STUDENT"/>
    <s v="DCE_2022-25"/>
    <m/>
    <n v="37500"/>
    <n v="375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22SDSCE01623"/>
    <s v="ANUP THAKUR"/>
    <s v="SDS"/>
    <x v="0"/>
    <n v="4"/>
    <s v="INTERNATIONAL"/>
    <s v="INR FEE STUDENT"/>
    <s v="DCE_2022-25"/>
    <m/>
    <n v="37500"/>
    <n v="375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22SDSCE01624"/>
    <s v="SUDIP CHAUDHARY"/>
    <s v="SDS"/>
    <x v="0"/>
    <n v="4"/>
    <s v="INTERNATIONAL"/>
    <s v="INR FEE STUDENT"/>
    <s v="DCE_2022-25"/>
    <m/>
    <n v="37500"/>
    <n v="375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22SDSCE01625"/>
    <s v="SHIV SAGAR KOHAR"/>
    <s v="SDS"/>
    <x v="0"/>
    <n v="4"/>
    <s v="INTERNATIONAL"/>
    <s v="INR FEE STUDENT"/>
    <s v="DCE_2022-25"/>
    <m/>
    <n v="37500"/>
    <n v="375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23SDSCE03901"/>
    <s v="MUNGRA RAJ NILESH"/>
    <s v="SDS"/>
    <x v="0"/>
    <n v="4"/>
    <s v="7984658690_x000a_8141890031"/>
    <s v="7984658690_x000a_8141890031"/>
    <s v="DCE_2022-25"/>
    <m/>
    <n v="25000"/>
    <n v="25000"/>
    <n v="0"/>
    <n v="0"/>
    <n v="0"/>
    <n v="3000"/>
    <n v="3000"/>
    <n v="0"/>
    <n v="0"/>
    <n v="0"/>
    <n v="0"/>
    <n v="0"/>
    <n v="0"/>
    <n v="0"/>
    <n v="0"/>
    <n v="0"/>
    <n v="0"/>
    <n v="0"/>
    <n v="0"/>
    <n v="0"/>
    <m/>
  </r>
  <r>
    <s v="22SDSCE01163"/>
    <s v="KOTHIYA SANJAY MUKESHBHAI"/>
    <s v="SDS"/>
    <x v="0"/>
    <n v="4"/>
    <s v="8866095805 9099201890"/>
    <s v="8866095805 9099201890"/>
    <s v="DCE_2022-25"/>
    <m/>
    <n v="25000"/>
    <n v="25000"/>
    <n v="0"/>
    <n v="0"/>
    <n v="0"/>
    <n v="3000"/>
    <n v="3000"/>
    <n v="0"/>
    <n v="0"/>
    <n v="0"/>
    <n v="0"/>
    <n v="0"/>
    <n v="0"/>
    <n v="0"/>
    <n v="0"/>
    <n v="0"/>
    <n v="0"/>
    <n v="0"/>
    <n v="0"/>
    <n v="0"/>
    <m/>
  </r>
  <r>
    <s v="21SDSCE01008"/>
    <s v="CHAUHAN MIRABEN MANSUKHBHAI"/>
    <s v="SDS"/>
    <x v="0"/>
    <n v="6"/>
    <s v="6354250033_x000a_6354250033"/>
    <s v="6354250033_x000a_6354250033"/>
    <s v="DCE_2021-24"/>
    <s v="FREESHIP CARD"/>
    <n v="25000"/>
    <n v="0"/>
    <n v="0"/>
    <n v="0"/>
    <n v="25000"/>
    <n v="3750"/>
    <n v="0"/>
    <n v="0"/>
    <n v="0"/>
    <n v="3750"/>
    <n v="0"/>
    <n v="0"/>
    <n v="0"/>
    <n v="0"/>
    <n v="0"/>
    <n v="0"/>
    <n v="0"/>
    <n v="0"/>
    <n v="0"/>
    <n v="0"/>
    <s v="FREESHIPCARD STUDENT"/>
  </r>
  <r>
    <s v="21SDSCE01009"/>
    <s v="CHAVDA KOMAL CHHAGANBHAI"/>
    <s v="SDS"/>
    <x v="0"/>
    <n v="6"/>
    <s v="6354900648 7096084481"/>
    <s v="6354900648 7096084481"/>
    <s v="DCE_2021-24"/>
    <s v="FREESHIP CARD"/>
    <n v="61000"/>
    <n v="0"/>
    <n v="0"/>
    <n v="0"/>
    <n v="61000"/>
    <n v="3750"/>
    <n v="3750"/>
    <n v="0"/>
    <n v="0"/>
    <n v="0"/>
    <n v="0"/>
    <n v="0"/>
    <n v="0"/>
    <n v="0"/>
    <n v="0"/>
    <n v="0"/>
    <n v="0"/>
    <n v="0"/>
    <n v="0"/>
    <n v="0"/>
    <s v="FREESHIPCARD STUDENT"/>
  </r>
  <r>
    <s v="21SDSCE01016"/>
    <s v="GADARA HASTIBEN KISHORBHAI"/>
    <s v="SDS"/>
    <x v="0"/>
    <n v="6"/>
    <s v="9426125060 9879149334"/>
    <s v="9426125060 9879149334"/>
    <s v="DCE_2021-24"/>
    <s v="MYSY"/>
    <n v="25000"/>
    <n v="0"/>
    <n v="0"/>
    <n v="0"/>
    <n v="25000"/>
    <n v="3750"/>
    <n v="3750"/>
    <n v="0"/>
    <n v="0"/>
    <n v="0"/>
    <n v="0"/>
    <n v="0"/>
    <n v="0"/>
    <n v="0"/>
    <n v="0"/>
    <n v="0"/>
    <n v="0"/>
    <n v="0"/>
    <n v="0"/>
    <n v="0"/>
    <s v="MYSY(50%) + KSPS(25%)"/>
  </r>
  <r>
    <s v="21SDSCE01025"/>
    <s v="POOJAN KALARIYA"/>
    <s v="SDS"/>
    <x v="0"/>
    <n v="6"/>
    <s v="9099424384_x000a_9979994243"/>
    <s v="9099424384_x000a_9979994243"/>
    <s v="DCE_2021-24"/>
    <s v="KSP"/>
    <n v="25000"/>
    <n v="12500"/>
    <n v="0"/>
    <n v="12500"/>
    <n v="0"/>
    <n v="3750"/>
    <n v="3750"/>
    <n v="0"/>
    <n v="0"/>
    <n v="0"/>
    <n v="0"/>
    <n v="0"/>
    <n v="0"/>
    <n v="0"/>
    <n v="0"/>
    <n v="0"/>
    <n v="0"/>
    <n v="0"/>
    <n v="0"/>
    <n v="0"/>
    <s v="RS 12500 PER SEM SCHOLARSHIP"/>
  </r>
  <r>
    <s v="21SDSCE01026"/>
    <s v="KAPUPARA KAUSHAL"/>
    <s v="SDS"/>
    <x v="0"/>
    <n v="6"/>
    <s v="9825911929_x000a_9426881307"/>
    <s v="9825911929_x000a_9426881307"/>
    <s v="DCE_2021-24"/>
    <s v="KSP"/>
    <n v="25000"/>
    <n v="0"/>
    <n v="0"/>
    <n v="6250"/>
    <n v="18750"/>
    <n v="3750"/>
    <n v="0"/>
    <n v="0"/>
    <n v="0"/>
    <n v="3750"/>
    <n v="0"/>
    <n v="0"/>
    <n v="0"/>
    <n v="0"/>
    <n v="0"/>
    <n v="0"/>
    <n v="0"/>
    <n v="0"/>
    <n v="0"/>
    <n v="0"/>
    <s v="RS 6250 PER SEM SCHOLARSHIP (ksps 25%)"/>
  </r>
  <r>
    <s v="21SDSCE01028"/>
    <s v="KHAKHRIYA NENCY ATULKUMAR"/>
    <s v="SDS"/>
    <x v="0"/>
    <n v="6"/>
    <s v="9426078318 9427245703"/>
    <s v="9426078318 9427245703"/>
    <s v="DCE_2021-24"/>
    <s v="KSP"/>
    <n v="25000"/>
    <n v="18750"/>
    <n v="0"/>
    <n v="6250"/>
    <n v="0"/>
    <n v="3750"/>
    <n v="3750"/>
    <n v="0"/>
    <n v="0"/>
    <n v="0"/>
    <n v="0"/>
    <n v="0"/>
    <n v="0"/>
    <n v="0"/>
    <n v="0"/>
    <n v="0"/>
    <n v="0"/>
    <n v="0"/>
    <n v="0"/>
    <n v="0"/>
    <s v="RS 6250 PER SEM SCHOLARSHIP (ksps 25%)"/>
  </r>
  <r>
    <s v="21SDSCE01033"/>
    <s v="LAKKAD SRUSHTI PANKAJBHAI"/>
    <s v="SDS"/>
    <x v="0"/>
    <n v="6"/>
    <s v="8401955970_x000a_8401955970"/>
    <s v="8401955970_x000a_8401955970"/>
    <s v="DCE_2021-24"/>
    <s v="MYSY"/>
    <n v="25000"/>
    <n v="0"/>
    <n v="0"/>
    <n v="0"/>
    <n v="25000"/>
    <n v="3750"/>
    <n v="3750"/>
    <n v="0"/>
    <n v="0"/>
    <n v="0"/>
    <n v="0"/>
    <n v="0"/>
    <n v="0"/>
    <n v="0"/>
    <n v="0"/>
    <n v="0"/>
    <n v="0"/>
    <n v="0"/>
    <n v="0"/>
    <n v="0"/>
    <s v="MYSY(50%) + KSPS(50%)"/>
  </r>
  <r>
    <s v="21SDSCE01037"/>
    <s v="PADALIYA MALVI RAYAPALBHAI"/>
    <s v="SDS"/>
    <x v="0"/>
    <n v="6"/>
    <s v="7096094393_x000a_9898303197"/>
    <s v="7096094393_x000a_9898303197"/>
    <s v="DCE_2021-24"/>
    <s v="MYSY"/>
    <n v="25000"/>
    <n v="0"/>
    <n v="0"/>
    <n v="0"/>
    <n v="25000"/>
    <n v="3750"/>
    <n v="3750"/>
    <n v="0"/>
    <n v="0"/>
    <n v="0"/>
    <n v="0"/>
    <n v="0"/>
    <n v="0"/>
    <n v="0"/>
    <n v="0"/>
    <n v="0"/>
    <n v="0"/>
    <n v="0"/>
    <n v="0"/>
    <n v="0"/>
    <s v="MYSY(50%) + KSPS(50%)"/>
  </r>
  <r>
    <s v="21SDSCE01038"/>
    <s v="PADDHARIYA MOHIT KAUSHIK"/>
    <s v="SDS"/>
    <x v="0"/>
    <n v="6"/>
    <s v="9427241506_x000a_8849452295"/>
    <s v="9427241506_x000a_8849452295"/>
    <s v="DCE_2021-24"/>
    <s v="MYSY"/>
    <n v="25000"/>
    <n v="0"/>
    <n v="0"/>
    <n v="0"/>
    <n v="25000"/>
    <n v="3750"/>
    <n v="3750"/>
    <n v="0"/>
    <n v="0"/>
    <n v="0"/>
    <n v="0"/>
    <n v="0"/>
    <n v="0"/>
    <n v="0"/>
    <n v="0"/>
    <n v="0"/>
    <n v="0"/>
    <n v="0"/>
    <n v="0"/>
    <n v="0"/>
    <s v="MYSY(50%) + KSPS(50%)"/>
  </r>
  <r>
    <s v="21SDSCE01040"/>
    <s v="RAKHSHIYA PRITIBEN BABUBHAI"/>
    <s v="SDS"/>
    <x v="0"/>
    <n v="6"/>
    <s v="8980691181 9662458875"/>
    <s v="8980691181 9662458875"/>
    <s v="DCE_2021-24"/>
    <s v="FREESHIP CARD"/>
    <n v="25000"/>
    <n v="0"/>
    <n v="0"/>
    <n v="0"/>
    <n v="25000"/>
    <n v="3750"/>
    <n v="0"/>
    <n v="0"/>
    <n v="0"/>
    <n v="3750"/>
    <n v="0"/>
    <n v="0"/>
    <n v="0"/>
    <n v="0"/>
    <n v="0"/>
    <n v="0"/>
    <n v="0"/>
    <n v="0"/>
    <n v="0"/>
    <n v="0"/>
    <s v="FREESHIPCARD STUDENT"/>
  </r>
  <r>
    <s v="21SDSCE01042"/>
    <s v="RANPARIYA PRUTHA CHANDRAKANTBHAI"/>
    <s v="SDS"/>
    <x v="0"/>
    <n v="6"/>
    <s v="8200080872 9512568643"/>
    <s v="8200080872 9512568643"/>
    <s v="DCE_2021-24"/>
    <s v="MYSY"/>
    <n v="25000"/>
    <n v="0"/>
    <n v="0"/>
    <n v="0"/>
    <n v="25000"/>
    <n v="3750"/>
    <n v="3750"/>
    <n v="0"/>
    <n v="0"/>
    <n v="0"/>
    <n v="0"/>
    <n v="0"/>
    <n v="0"/>
    <n v="0"/>
    <n v="0"/>
    <n v="0"/>
    <n v="0"/>
    <n v="0"/>
    <n v="0"/>
    <n v="0"/>
    <s v="MYSY(50%) + KSPS(50%)"/>
  </r>
  <r>
    <s v="21SDSCE01045"/>
    <s v="SARVAIYA RAVIRAJ JAGDISHBHAI"/>
    <s v="SDS"/>
    <x v="0"/>
    <n v="6"/>
    <s v="6356994493 9879819944"/>
    <s v="6356994493 9879819944"/>
    <s v="DCE_2021-24"/>
    <s v="FREESHIP CARD"/>
    <n v="25000"/>
    <n v="0"/>
    <n v="0"/>
    <n v="0"/>
    <n v="25000"/>
    <n v="3750"/>
    <n v="0"/>
    <n v="0"/>
    <n v="0"/>
    <n v="3750"/>
    <n v="0"/>
    <n v="0"/>
    <n v="0"/>
    <n v="0"/>
    <n v="0"/>
    <n v="0"/>
    <n v="0"/>
    <n v="0"/>
    <n v="0"/>
    <n v="0"/>
    <s v="FREESHIPCARD STUDENT"/>
  </r>
  <r>
    <s v="21SDSCE01051"/>
    <s v="SOLANKI NISHA HARESHBHAI"/>
    <s v="SDS"/>
    <x v="0"/>
    <n v="6"/>
    <s v="9510175688 8000030368"/>
    <s v="9510175688 8000030368"/>
    <s v="DCE_2021-24"/>
    <s v="MYSY"/>
    <n v="25000"/>
    <n v="0"/>
    <n v="0"/>
    <n v="0"/>
    <n v="25000"/>
    <n v="3750"/>
    <n v="0"/>
    <n v="0"/>
    <n v="0"/>
    <n v="3750"/>
    <n v="0"/>
    <n v="0"/>
    <n v="0"/>
    <n v="0"/>
    <n v="0"/>
    <n v="0"/>
    <n v="0"/>
    <n v="0"/>
    <n v="0"/>
    <n v="0"/>
    <s v="MYSY(50%)+KSPS(25%)"/>
  </r>
  <r>
    <s v="21SDSCE01054"/>
    <s v="VYAS KANDARP JITENDRA"/>
    <s v="SDS"/>
    <x v="0"/>
    <n v="6"/>
    <s v="9408518180 9033730010"/>
    <s v="9408518180 9033730010"/>
    <s v="DCE_2021-24"/>
    <m/>
    <n v="25000"/>
    <n v="25000"/>
    <n v="0"/>
    <n v="0"/>
    <n v="0"/>
    <n v="3750"/>
    <n v="3750"/>
    <n v="0"/>
    <n v="0"/>
    <n v="0"/>
    <n v="0"/>
    <n v="0"/>
    <n v="0"/>
    <n v="0"/>
    <n v="0"/>
    <n v="0"/>
    <n v="0"/>
    <n v="0"/>
    <n v="0"/>
    <n v="0"/>
    <m/>
  </r>
  <r>
    <s v="21SDSCE01058"/>
    <s v="BATHANI HEET MAHESHBHAI"/>
    <s v="SDS"/>
    <x v="0"/>
    <n v="6"/>
    <s v="9313338641 9427721285"/>
    <s v="9313338641 9427721285"/>
    <s v="DCE_2021-24"/>
    <m/>
    <n v="25000"/>
    <n v="25000"/>
    <n v="0"/>
    <n v="0"/>
    <n v="0"/>
    <n v="3750"/>
    <n v="3750"/>
    <n v="0"/>
    <n v="0"/>
    <n v="0"/>
    <n v="0"/>
    <n v="0"/>
    <n v="0"/>
    <n v="0"/>
    <n v="0"/>
    <n v="0"/>
    <n v="0"/>
    <n v="0"/>
    <n v="0"/>
    <n v="0"/>
    <m/>
  </r>
  <r>
    <s v="21SDSCE01061"/>
    <s v="CHAVDA KRISH JAYANTIBHAI"/>
    <s v="SDS"/>
    <x v="0"/>
    <n v="6"/>
    <s v="9913238695_x000a_9913238695"/>
    <s v="9913238695_x000a_9913238695"/>
    <s v="DCE_2021-24"/>
    <s v="FREESHIP CARD"/>
    <n v="25000"/>
    <n v="0"/>
    <n v="0"/>
    <n v="0"/>
    <n v="25000"/>
    <n v="3750"/>
    <n v="0"/>
    <n v="0"/>
    <n v="0"/>
    <n v="3750"/>
    <n v="0"/>
    <n v="0"/>
    <n v="0"/>
    <n v="0"/>
    <n v="0"/>
    <n v="0"/>
    <n v="0"/>
    <n v="0"/>
    <n v="0"/>
    <n v="0"/>
    <s v="FREESHIPCARD STUDENT"/>
  </r>
  <r>
    <s v="21SDSCE01062"/>
    <s v="CHAVDA MITESH NARESHBHAI"/>
    <s v="SDS"/>
    <x v="0"/>
    <n v="6"/>
    <s v="9879884507 _x000a_9426484507"/>
    <s v="9879884507 _x000a_9426484507"/>
    <s v="DCE_2021-24"/>
    <s v="FREESHIP CARD"/>
    <n v="25000"/>
    <n v="0"/>
    <n v="0"/>
    <n v="0"/>
    <n v="25000"/>
    <n v="3750"/>
    <n v="0"/>
    <n v="0"/>
    <n v="0"/>
    <n v="3750"/>
    <n v="0"/>
    <n v="0"/>
    <n v="0"/>
    <n v="0"/>
    <n v="0"/>
    <n v="0"/>
    <n v="0"/>
    <n v="0"/>
    <n v="0"/>
    <n v="0"/>
    <s v="FREESHIPCARD STUDENT"/>
  </r>
  <r>
    <s v="21SDSCE01063"/>
    <s v="DAFDA HARSHADBHAI RAMESHBHAI"/>
    <s v="SDS"/>
    <x v="0"/>
    <n v="6"/>
    <s v="9429336635 9687232004"/>
    <s v="9429336635 9687232004"/>
    <s v="DCE_2021-24"/>
    <s v="FREESHIP CARD"/>
    <n v="25000"/>
    <n v="0"/>
    <n v="0"/>
    <n v="0"/>
    <n v="25000"/>
    <n v="3750"/>
    <n v="0"/>
    <n v="0"/>
    <n v="0"/>
    <n v="3750"/>
    <n v="0"/>
    <n v="0"/>
    <n v="0"/>
    <n v="0"/>
    <n v="0"/>
    <n v="0"/>
    <n v="0"/>
    <n v="0"/>
    <n v="0"/>
    <n v="0"/>
    <s v="FREESHIPCARD STUDENT"/>
  </r>
  <r>
    <s v="21SDSCE01065"/>
    <s v="DANGAR DISHA RAJUBHAI"/>
    <s v="SDS"/>
    <x v="0"/>
    <n v="6"/>
    <s v="9157860233 9574470233"/>
    <s v="9157860233 9574470233"/>
    <s v="DCE_2021-24"/>
    <s v="FREESHIP CARD"/>
    <n v="25000"/>
    <n v="0"/>
    <n v="0"/>
    <n v="0"/>
    <n v="25000"/>
    <n v="3750"/>
    <n v="0"/>
    <n v="0"/>
    <n v="0"/>
    <n v="3750"/>
    <n v="0"/>
    <n v="0"/>
    <n v="0"/>
    <n v="0"/>
    <n v="0"/>
    <n v="0"/>
    <n v="0"/>
    <n v="0"/>
    <n v="0"/>
    <n v="0"/>
    <s v="FREESHIPCARD STUDENT"/>
  </r>
  <r>
    <s v="21SDSCE01080"/>
    <s v="KORADIYA ISHA VITHALBHAI"/>
    <s v="SDS"/>
    <x v="0"/>
    <n v="6"/>
    <s v="6354909454 7874970140"/>
    <s v="6354909454 7874970140"/>
    <s v="DCE_2021-24"/>
    <s v="MYSY"/>
    <n v="25000"/>
    <n v="0"/>
    <n v="0"/>
    <n v="0"/>
    <n v="25000"/>
    <n v="3750"/>
    <n v="3750"/>
    <n v="0"/>
    <n v="0"/>
    <n v="0"/>
    <n v="0"/>
    <n v="0"/>
    <n v="0"/>
    <n v="0"/>
    <n v="0"/>
    <n v="0"/>
    <n v="0"/>
    <n v="0"/>
    <n v="0"/>
    <n v="0"/>
    <s v="MYSY(50%) + KAPS(50%)"/>
  </r>
  <r>
    <s v="21SDSCE01081"/>
    <s v="KOTADIYA JENISH VIPULBHAI"/>
    <s v="SDS"/>
    <x v="0"/>
    <n v="6"/>
    <s v="9909191045_x000a_9408178814"/>
    <s v="9909191045_x000a_9408178814"/>
    <s v="DCE_2021-24"/>
    <m/>
    <n v="25000"/>
    <n v="25000"/>
    <n v="0"/>
    <n v="0"/>
    <n v="0"/>
    <n v="3750"/>
    <n v="3750"/>
    <n v="0"/>
    <n v="0"/>
    <n v="0"/>
    <n v="0"/>
    <n v="0"/>
    <n v="0"/>
    <n v="0"/>
    <n v="0"/>
    <n v="0"/>
    <n v="0"/>
    <n v="0"/>
    <n v="0"/>
    <n v="0"/>
    <m/>
  </r>
  <r>
    <s v="21SDSCE01085"/>
    <s v="NANANIYA HARSHIT CHANDARKANT"/>
    <s v="SDS"/>
    <x v="0"/>
    <n v="6"/>
    <s v="9265265100 7043565348"/>
    <s v="9265265100 7043565348"/>
    <s v="DCE_2021-24"/>
    <s v="MYSY"/>
    <n v="25000"/>
    <n v="25000"/>
    <n v="0"/>
    <n v="0"/>
    <n v="0"/>
    <n v="3750"/>
    <n v="3750"/>
    <n v="0"/>
    <n v="0"/>
    <n v="0"/>
    <n v="0"/>
    <n v="0"/>
    <n v="0"/>
    <n v="0"/>
    <n v="0"/>
    <n v="0"/>
    <n v="0"/>
    <n v="0"/>
    <n v="0"/>
    <n v="0"/>
    <s v="MYSY(50%)+KSPS(25%)"/>
  </r>
  <r>
    <s v="21SDSCE01091"/>
    <s v="PARMAR PIYUSHBHAI MEGHRAJBHAI"/>
    <s v="SDS"/>
    <x v="0"/>
    <n v="6"/>
    <s v="9104457019 9924557019"/>
    <s v="9104457019 9924557019"/>
    <s v="DCE_2021-24"/>
    <s v="FREESHIP CARD"/>
    <n v="25000"/>
    <n v="0"/>
    <n v="0"/>
    <n v="0"/>
    <n v="25000"/>
    <n v="3750"/>
    <n v="0"/>
    <n v="0"/>
    <n v="0"/>
    <n v="3750"/>
    <n v="0"/>
    <n v="0"/>
    <n v="0"/>
    <n v="0"/>
    <n v="0"/>
    <n v="0"/>
    <n v="0"/>
    <n v="0"/>
    <n v="0"/>
    <n v="0"/>
    <s v="FREESHIPCARD STUDENT"/>
  </r>
  <r>
    <s v="21SDSCE01092"/>
    <s v="PARMAR VIRAJ MANISHBHAI"/>
    <s v="SDS"/>
    <x v="0"/>
    <n v="6"/>
    <s v="9714757515_x000a_9714757515"/>
    <s v="9714757515_x000a_9714757515"/>
    <s v="DCE_2021-24"/>
    <m/>
    <n v="25000"/>
    <n v="25000"/>
    <n v="0"/>
    <n v="0"/>
    <n v="0"/>
    <n v="3750"/>
    <n v="3750"/>
    <n v="0"/>
    <n v="0"/>
    <n v="0"/>
    <n v="0"/>
    <n v="0"/>
    <n v="0"/>
    <n v="0"/>
    <n v="0"/>
    <n v="0"/>
    <n v="0"/>
    <n v="0"/>
    <n v="0"/>
    <n v="0"/>
    <m/>
  </r>
  <r>
    <s v="21SDSCE01094"/>
    <s v="PATEL DREAMBEN VIMALBHAI"/>
    <s v="SDS"/>
    <x v="0"/>
    <n v="6"/>
    <s v="9313934471 9638478700"/>
    <s v="9313934471 9638478700"/>
    <s v="DCE_2021-24"/>
    <s v="MYSY"/>
    <n v="25000"/>
    <n v="0"/>
    <n v="0"/>
    <n v="0"/>
    <n v="25000"/>
    <n v="3750"/>
    <n v="3750"/>
    <n v="0"/>
    <n v="0"/>
    <n v="0"/>
    <n v="0"/>
    <n v="0"/>
    <n v="0"/>
    <n v="0"/>
    <n v="0"/>
    <n v="0"/>
    <n v="0"/>
    <n v="0"/>
    <n v="0"/>
    <n v="0"/>
    <s v="KSPS(50%) + MYSY(50%)"/>
  </r>
  <r>
    <s v="21SDSCE01099"/>
    <s v="RASHIYA HEMAL HARESHBHAI"/>
    <s v="SDS"/>
    <x v="0"/>
    <n v="6"/>
    <s v="6352359094 6355078575"/>
    <s v="6352359094 6355078575"/>
    <s v="DCE_2021-24"/>
    <s v="MYSY"/>
    <n v="25000"/>
    <n v="0"/>
    <n v="0"/>
    <n v="0"/>
    <n v="25000"/>
    <n v="3750"/>
    <n v="3750"/>
    <n v="0"/>
    <n v="0"/>
    <n v="0"/>
    <n v="0"/>
    <n v="0"/>
    <n v="0"/>
    <n v="0"/>
    <n v="0"/>
    <n v="0"/>
    <n v="0"/>
    <n v="0"/>
    <n v="0"/>
    <n v="0"/>
    <s v="MYSY(50%)+KSPS(25%)"/>
  </r>
  <r>
    <s v="21SDSCE01100"/>
    <s v="RATHOD ROHANBHAI JITENDRABHAI"/>
    <s v="SDS"/>
    <x v="0"/>
    <n v="6"/>
    <s v="7778095490 6351541593"/>
    <s v="7778095490 6351541593"/>
    <s v="DCE_2021-24"/>
    <s v="FREESHIP CARD"/>
    <n v="25000"/>
    <n v="0"/>
    <n v="0"/>
    <n v="0"/>
    <n v="25000"/>
    <n v="3750"/>
    <n v="0"/>
    <n v="0"/>
    <n v="0"/>
    <n v="3750"/>
    <n v="0"/>
    <n v="0"/>
    <n v="0"/>
    <n v="0"/>
    <n v="0"/>
    <n v="0"/>
    <n v="0"/>
    <n v="0"/>
    <n v="0"/>
    <n v="0"/>
    <s v="FREESHIPCARD STUDENT"/>
  </r>
  <r>
    <s v="21SDSCE01101"/>
    <s v="RAVALIYA TUSHAR MAHESHBHAI"/>
    <s v="SDS"/>
    <x v="0"/>
    <n v="6"/>
    <s v="8238186558 _x000a_9898917906"/>
    <s v="8238186558 _x000a_9898917906"/>
    <s v="DCE_2021-24"/>
    <m/>
    <n v="25000"/>
    <n v="25000"/>
    <n v="0"/>
    <n v="0"/>
    <n v="0"/>
    <n v="3750"/>
    <n v="3750"/>
    <n v="0"/>
    <n v="0"/>
    <n v="0"/>
    <n v="0"/>
    <n v="0"/>
    <n v="0"/>
    <n v="0"/>
    <n v="0"/>
    <n v="0"/>
    <n v="0"/>
    <n v="0"/>
    <n v="0"/>
    <n v="0"/>
    <m/>
  </r>
  <r>
    <s v="21SDSCE01102"/>
    <s v="RAVANI ARMAN IMRANBHAI"/>
    <s v="SDS"/>
    <x v="0"/>
    <n v="6"/>
    <s v="7801973789 9374242443"/>
    <s v="7801973789 9374242443"/>
    <s v="DCE_2021-24"/>
    <m/>
    <n v="25000"/>
    <n v="0"/>
    <n v="0"/>
    <n v="0"/>
    <n v="25000"/>
    <n v="3750"/>
    <n v="0"/>
    <n v="0"/>
    <n v="0"/>
    <n v="3750"/>
    <n v="0"/>
    <n v="0"/>
    <n v="0"/>
    <n v="0"/>
    <n v="0"/>
    <n v="0"/>
    <n v="0"/>
    <n v="0"/>
    <n v="0"/>
    <n v="0"/>
    <m/>
  </r>
  <r>
    <s v="21SDSCE01107"/>
    <s v="TERAVADIYA HARMIS KISHORBHAI"/>
    <s v="SDS"/>
    <x v="0"/>
    <n v="6"/>
    <s v="8160331232_x000a_8160331232"/>
    <s v="8160331232_x000a_8160331232"/>
    <s v="DCE_2021-24"/>
    <s v="MYSY"/>
    <n v="25000"/>
    <n v="25000"/>
    <n v="0"/>
    <n v="0"/>
    <n v="0"/>
    <n v="3750"/>
    <n v="3750"/>
    <n v="0"/>
    <n v="0"/>
    <n v="0"/>
    <n v="0"/>
    <n v="0"/>
    <n v="0"/>
    <n v="0"/>
    <n v="0"/>
    <n v="0"/>
    <n v="0"/>
    <n v="0"/>
    <n v="0"/>
    <n v="0"/>
    <s v="MYSY(50%) + KSPS(50%)"/>
  </r>
  <r>
    <s v="21SDSCE01114"/>
    <s v="AMIPARA PARTH DINESHBHAI"/>
    <s v="SDS"/>
    <x v="0"/>
    <n v="6"/>
    <s v="8160452749_x000a_8160452749"/>
    <s v="8160452749_x000a_8160452749"/>
    <s v="DCE_2021-24"/>
    <s v="MYSY"/>
    <n v="25000"/>
    <n v="0"/>
    <n v="0"/>
    <n v="0"/>
    <n v="25000"/>
    <n v="3750"/>
    <n v="3750"/>
    <n v="0"/>
    <n v="0"/>
    <n v="0"/>
    <n v="0"/>
    <n v="0"/>
    <n v="0"/>
    <n v="0"/>
    <n v="0"/>
    <n v="0"/>
    <n v="0"/>
    <n v="0"/>
    <n v="0"/>
    <n v="0"/>
    <s v="MYSY(50%) + KSPS(25%)"/>
  </r>
  <r>
    <s v="21SDSCE01117"/>
    <s v="BHANDERI JEEL RASIKBHAI"/>
    <s v="SDS"/>
    <x v="0"/>
    <n v="6"/>
    <s v="9913036345_x000a_9510533770"/>
    <s v="9913036345_x000a_9510533770"/>
    <s v="DCE_2021-24"/>
    <s v="MYSY"/>
    <n v="25000"/>
    <n v="25000"/>
    <n v="0"/>
    <n v="0"/>
    <n v="0"/>
    <n v="3750"/>
    <n v="3750"/>
    <n v="0"/>
    <n v="0"/>
    <n v="0"/>
    <n v="0"/>
    <n v="0"/>
    <n v="0"/>
    <n v="0"/>
    <n v="0"/>
    <n v="0"/>
    <n v="0"/>
    <n v="0"/>
    <n v="0"/>
    <n v="0"/>
    <s v="MYSY(50%) + KSPS(25%)"/>
  </r>
  <r>
    <s v="21SDSCE01160"/>
    <s v="VASANI HARSHIL MITESHBHAI"/>
    <s v="SDS"/>
    <x v="0"/>
    <n v="6"/>
    <s v="9173156565_x000a_9426599240"/>
    <s v="9173156565_x000a_9426599240"/>
    <s v="DCE_2021-24"/>
    <m/>
    <n v="25000"/>
    <n v="25000"/>
    <n v="0"/>
    <n v="0"/>
    <n v="0"/>
    <n v="3750"/>
    <n v="3750"/>
    <n v="0"/>
    <n v="0"/>
    <n v="0"/>
    <n v="0"/>
    <n v="0"/>
    <n v="0"/>
    <n v="0"/>
    <n v="0"/>
    <n v="0"/>
    <n v="0"/>
    <n v="0"/>
    <n v="0"/>
    <n v="0"/>
    <m/>
  </r>
  <r>
    <s v="21SDSCE01601"/>
    <s v="ASHIM BHATTARAI"/>
    <s v="SDS"/>
    <x v="0"/>
    <n v="6"/>
    <s v="INTERNATIONAL"/>
    <s v="INR FEE STUDENT"/>
    <s v="DCE_2021-24"/>
    <m/>
    <n v="35000"/>
    <n v="0"/>
    <n v="0"/>
    <n v="0"/>
    <n v="35000"/>
    <n v="1250"/>
    <n v="0"/>
    <n v="0"/>
    <n v="0"/>
    <n v="1250"/>
    <n v="0"/>
    <n v="0"/>
    <n v="0"/>
    <n v="0"/>
    <n v="0"/>
    <n v="0"/>
    <n v="0"/>
    <n v="0"/>
    <n v="0"/>
    <n v="0"/>
    <m/>
  </r>
  <r>
    <s v="21SDSCE01602"/>
    <s v="AMARJIT BHUJ"/>
    <s v="SDS"/>
    <x v="0"/>
    <n v="6"/>
    <s v="INTERNATIONAL"/>
    <s v="INR FEE STUDENT"/>
    <s v="DCE_2021-24"/>
    <m/>
    <n v="35000"/>
    <n v="35000"/>
    <n v="0"/>
    <n v="0"/>
    <n v="0"/>
    <n v="1250"/>
    <n v="0"/>
    <n v="0"/>
    <n v="0"/>
    <n v="1250"/>
    <n v="0"/>
    <n v="0"/>
    <n v="0"/>
    <n v="0"/>
    <n v="0"/>
    <n v="0"/>
    <n v="0"/>
    <n v="0"/>
    <n v="0"/>
    <n v="0"/>
    <m/>
  </r>
  <r>
    <s v="21SDSCE01603"/>
    <s v="ABHAY KUMAR GUPTA"/>
    <s v="SDS"/>
    <x v="0"/>
    <n v="6"/>
    <s v="INTERNATIONAL"/>
    <s v="INR FEE STUDENT"/>
    <s v="DCE_2021-24"/>
    <m/>
    <n v="35000"/>
    <n v="0"/>
    <n v="0"/>
    <n v="0"/>
    <n v="35000"/>
    <n v="1250"/>
    <n v="0"/>
    <n v="0"/>
    <n v="0"/>
    <n v="1250"/>
    <n v="0"/>
    <n v="0"/>
    <n v="0"/>
    <n v="0"/>
    <n v="0"/>
    <n v="0"/>
    <n v="0"/>
    <n v="0"/>
    <n v="0"/>
    <n v="0"/>
    <m/>
  </r>
  <r>
    <s v="21SDSCE01604"/>
    <s v="KRISHNU GUPTA"/>
    <s v="SDS"/>
    <x v="0"/>
    <n v="6"/>
    <s v="INTERNATIONAL"/>
    <s v="INR FEE STUDENT"/>
    <s v="DCE_2021-24"/>
    <m/>
    <n v="35000"/>
    <n v="35000"/>
    <n v="0"/>
    <n v="0"/>
    <n v="0"/>
    <n v="1250"/>
    <n v="1250"/>
    <n v="0"/>
    <n v="0"/>
    <n v="0"/>
    <n v="0"/>
    <n v="0"/>
    <n v="0"/>
    <n v="0"/>
    <n v="0"/>
    <n v="0"/>
    <n v="0"/>
    <n v="0"/>
    <n v="0"/>
    <n v="0"/>
    <m/>
  </r>
  <r>
    <s v="21SDSCE01605"/>
    <s v="MOHAMMAD AMJAD HUSAIN"/>
    <s v="SDS"/>
    <x v="0"/>
    <n v="6"/>
    <s v="INTERNATIONAL"/>
    <s v="INR FEE STUDENT"/>
    <s v="DCE_2021-24"/>
    <m/>
    <n v="35000"/>
    <n v="30000"/>
    <n v="0"/>
    <n v="0"/>
    <n v="5000"/>
    <n v="1250"/>
    <n v="0"/>
    <n v="0"/>
    <n v="0"/>
    <n v="1250"/>
    <n v="0"/>
    <n v="0"/>
    <n v="0"/>
    <n v="0"/>
    <n v="0"/>
    <n v="0"/>
    <n v="0"/>
    <n v="0"/>
    <n v="0"/>
    <n v="0"/>
    <m/>
  </r>
  <r>
    <s v="21SDSCE01606"/>
    <s v="RAJIV KUMAR MAHATO"/>
    <s v="SDS"/>
    <x v="0"/>
    <n v="6"/>
    <s v="INTERNATIONAL"/>
    <s v="INR FEE STUDENT"/>
    <s v="DCE_2021-24"/>
    <m/>
    <n v="35000"/>
    <n v="35000"/>
    <n v="0"/>
    <n v="0"/>
    <n v="0"/>
    <n v="1250"/>
    <n v="1250"/>
    <n v="0"/>
    <n v="0"/>
    <n v="0"/>
    <n v="0"/>
    <n v="0"/>
    <n v="0"/>
    <n v="0"/>
    <n v="0"/>
    <n v="0"/>
    <n v="0"/>
    <n v="0"/>
    <n v="0"/>
    <n v="0"/>
    <m/>
  </r>
  <r>
    <s v="21SDSCE01608"/>
    <s v="MUGLEAZAM MIYA"/>
    <s v="SDS"/>
    <x v="0"/>
    <n v="6"/>
    <s v="INTERNATIONAL"/>
    <s v="INR FEE STUDENT"/>
    <s v="DCE_2021-24"/>
    <m/>
    <n v="35000"/>
    <n v="0"/>
    <n v="0"/>
    <n v="0"/>
    <n v="35000"/>
    <n v="1250"/>
    <n v="0"/>
    <n v="0"/>
    <n v="0"/>
    <n v="1250"/>
    <n v="0"/>
    <n v="0"/>
    <n v="0"/>
    <n v="0"/>
    <n v="0"/>
    <n v="0"/>
    <n v="0"/>
    <n v="0"/>
    <n v="0"/>
    <n v="0"/>
    <m/>
  </r>
  <r>
    <s v="21SDSCE01611"/>
    <s v="JUMA KHALID MYAULE"/>
    <s v="SDS"/>
    <x v="0"/>
    <n v="6"/>
    <s v="INTERNATIONAL"/>
    <s v="USD FEE STUDENT"/>
    <s v="DCE_2021-24"/>
    <m/>
    <n v="60000"/>
    <n v="25000"/>
    <n v="0"/>
    <n v="0"/>
    <n v="35000"/>
    <n v="1250"/>
    <n v="0"/>
    <n v="0"/>
    <n v="0"/>
    <n v="1250"/>
    <n v="0"/>
    <n v="0"/>
    <n v="0"/>
    <n v="0"/>
    <n v="0"/>
    <n v="0"/>
    <n v="0"/>
    <n v="0"/>
    <n v="0"/>
    <n v="0"/>
    <m/>
  </r>
  <r>
    <s v="21SDSCE01615"/>
    <s v="SANJAY TELI"/>
    <s v="SDS"/>
    <x v="0"/>
    <n v="6"/>
    <s v="INTERNATIONAL"/>
    <s v="INR FEE STUDENT"/>
    <s v="DCE_2021-24"/>
    <m/>
    <n v="35000"/>
    <n v="35000"/>
    <n v="0"/>
    <n v="0"/>
    <n v="0"/>
    <n v="1250"/>
    <n v="1250"/>
    <n v="0"/>
    <n v="0"/>
    <n v="0"/>
    <n v="0"/>
    <n v="0"/>
    <n v="0"/>
    <n v="0"/>
    <n v="0"/>
    <n v="0"/>
    <n v="0"/>
    <n v="0"/>
    <n v="0"/>
    <n v="0"/>
    <m/>
  </r>
  <r>
    <s v="21SDSCE01616"/>
    <s v="RAGHUNATH YADAV"/>
    <s v="SDS"/>
    <x v="0"/>
    <n v="6"/>
    <s v="INTERNATIONAL"/>
    <s v="INR FEE STUDENT"/>
    <s v="DCE_2021-24"/>
    <m/>
    <n v="35000"/>
    <n v="35000"/>
    <n v="0"/>
    <n v="0"/>
    <n v="0"/>
    <n v="1250"/>
    <n v="0"/>
    <n v="0"/>
    <n v="0"/>
    <n v="1250"/>
    <n v="0"/>
    <n v="0"/>
    <n v="0"/>
    <n v="0"/>
    <n v="0"/>
    <n v="0"/>
    <n v="0"/>
    <n v="0"/>
    <n v="0"/>
    <n v="0"/>
    <m/>
  </r>
  <r>
    <s v="21SDSCE01617"/>
    <s v="RAMESH DAS"/>
    <s v="SDS"/>
    <x v="0"/>
    <n v="6"/>
    <s v="INTERNATIONAL"/>
    <s v="INR FEE STUDENT"/>
    <s v="DCE_2021-24"/>
    <m/>
    <n v="35000"/>
    <n v="35000"/>
    <n v="0"/>
    <n v="0"/>
    <n v="0"/>
    <n v="1250"/>
    <n v="1250"/>
    <n v="0"/>
    <n v="0"/>
    <n v="0"/>
    <n v="0"/>
    <n v="0"/>
    <n v="0"/>
    <n v="0"/>
    <n v="0"/>
    <n v="0"/>
    <n v="0"/>
    <n v="0"/>
    <n v="0"/>
    <n v="0"/>
    <m/>
  </r>
  <r>
    <s v="22SDSCE03901"/>
    <s v="KHUSHI JAYESH KAPADI"/>
    <s v="SDS"/>
    <x v="0"/>
    <n v="6"/>
    <s v="8735910943_x000a_9737332844"/>
    <s v="8735910943_x000a_9737332844"/>
    <s v="DCE_2021-24"/>
    <m/>
    <n v="25000"/>
    <n v="25000"/>
    <n v="0"/>
    <n v="0"/>
    <n v="0"/>
    <n v="3750"/>
    <n v="3750"/>
    <n v="0"/>
    <n v="0"/>
    <n v="0"/>
    <n v="0"/>
    <n v="0"/>
    <n v="0"/>
    <n v="0"/>
    <n v="0"/>
    <n v="0"/>
    <n v="0"/>
    <n v="0"/>
    <n v="0"/>
    <n v="0"/>
    <m/>
  </r>
  <r>
    <s v="21SDSCE01002"/>
    <s v="BAMBHANIYA MANTHAN PRADIPBHAI"/>
    <s v="SDS"/>
    <x v="0"/>
    <n v="6"/>
    <s v="9512023735 _x000a_9998562934"/>
    <s v="9512023735 _x000a_9998562934"/>
    <s v="DCE_2021-24"/>
    <s v="MYSY"/>
    <n v="25000"/>
    <n v="0"/>
    <n v="0"/>
    <n v="0"/>
    <n v="25000"/>
    <n v="3750"/>
    <n v="3750"/>
    <n v="0"/>
    <n v="0"/>
    <n v="0"/>
    <n v="0"/>
    <n v="0"/>
    <n v="0"/>
    <n v="0"/>
    <n v="0"/>
    <n v="0"/>
    <n v="0"/>
    <n v="0"/>
    <n v="0"/>
    <n v="0"/>
    <s v="MYSY(50%) + KSPS(25%)"/>
  </r>
  <r>
    <s v="21SDSCE01003"/>
    <s v="BAMTA BHARGAVI BHAGVATIPRASAD"/>
    <s v="SDS"/>
    <x v="0"/>
    <n v="6"/>
    <s v="9328686505 9428469643"/>
    <s v="9328686505 9428469643"/>
    <s v="DCE_2021-24"/>
    <s v="MYSY"/>
    <n v="25000"/>
    <n v="0"/>
    <n v="0"/>
    <n v="0"/>
    <n v="25000"/>
    <n v="3750"/>
    <n v="3750"/>
    <n v="0"/>
    <n v="0"/>
    <n v="0"/>
    <n v="0"/>
    <n v="0"/>
    <n v="0"/>
    <n v="0"/>
    <n v="0"/>
    <n v="0"/>
    <n v="0"/>
    <n v="0"/>
    <n v="0"/>
    <n v="0"/>
    <s v="MYSY(50%) + KSPS(50%)"/>
  </r>
  <r>
    <s v="21SDSCE01010"/>
    <s v="CHOVATIYA KELVIN NATUBHAI"/>
    <s v="SDS"/>
    <x v="0"/>
    <n v="6"/>
    <s v="9313651711_x000a_9898463557"/>
    <s v="9313651711_x000a_9898463557"/>
    <s v="DCE_2021-24"/>
    <s v="MYSY"/>
    <n v="25000"/>
    <n v="25000"/>
    <n v="0"/>
    <n v="0"/>
    <n v="0"/>
    <n v="3750"/>
    <n v="3750"/>
    <n v="0"/>
    <n v="0"/>
    <n v="0"/>
    <n v="0"/>
    <n v="0"/>
    <n v="0"/>
    <n v="0"/>
    <n v="0"/>
    <n v="0"/>
    <n v="0"/>
    <n v="0"/>
    <n v="0"/>
    <n v="0"/>
    <s v="MYSY(50%) + KSPS(25%)"/>
  </r>
  <r>
    <s v="21SDSCE01012"/>
    <s v="DAV BHARGAV ARJUNBHAI"/>
    <s v="SDS"/>
    <x v="0"/>
    <n v="6"/>
    <s v="9824447021_x000a_9824447021"/>
    <s v="9824447021_x000a_9824447021"/>
    <s v="DCE_2021-24"/>
    <s v="MYSY"/>
    <n v="25000"/>
    <n v="25000"/>
    <n v="0"/>
    <n v="0"/>
    <n v="0"/>
    <n v="3750"/>
    <n v="3750"/>
    <n v="0"/>
    <n v="0"/>
    <n v="0"/>
    <n v="0"/>
    <n v="0"/>
    <n v="0"/>
    <n v="0"/>
    <n v="0"/>
    <n v="0"/>
    <n v="0"/>
    <n v="0"/>
    <n v="0"/>
    <n v="0"/>
    <s v="MYSY(50%) + KSPS(25%)"/>
  </r>
  <r>
    <s v="21SDSCE01013"/>
    <s v="DEVANI NENSI PRAFULBHAI"/>
    <s v="SDS"/>
    <x v="0"/>
    <n v="6"/>
    <s v="7096756240 7016796937"/>
    <s v="7096756240 7016796937"/>
    <s v="DCE_2021-24"/>
    <s v="MYSY"/>
    <n v="25000"/>
    <n v="0"/>
    <n v="0"/>
    <n v="0"/>
    <n v="25000"/>
    <n v="3750"/>
    <n v="3750"/>
    <n v="0"/>
    <n v="0"/>
    <n v="0"/>
    <n v="0"/>
    <n v="0"/>
    <n v="0"/>
    <n v="0"/>
    <n v="0"/>
    <n v="0"/>
    <n v="0"/>
    <n v="0"/>
    <n v="0"/>
    <n v="0"/>
    <s v="MYSY(50%) + KSPS(25%)"/>
  </r>
  <r>
    <s v="21SDSCE01015"/>
    <s v="DHINOJA NEVIL HITENBHAI"/>
    <s v="SDS"/>
    <x v="0"/>
    <n v="6"/>
    <s v="9426080847_x000a_9913131380"/>
    <s v="9426080847_x000a_9913131380"/>
    <s v="DCE_2021-24"/>
    <s v="MYSY"/>
    <n v="25000"/>
    <n v="25000"/>
    <n v="0"/>
    <n v="0"/>
    <n v="0"/>
    <n v="3750"/>
    <n v="3750"/>
    <n v="0"/>
    <n v="0"/>
    <n v="0"/>
    <n v="0"/>
    <n v="0"/>
    <n v="0"/>
    <n v="0"/>
    <n v="0"/>
    <n v="0"/>
    <n v="0"/>
    <n v="0"/>
    <n v="0"/>
    <n v="0"/>
    <s v="MYSY(50%) + KSPS(25%)"/>
  </r>
  <r>
    <s v="21SDSCE01017"/>
    <s v="GANGADIYA MEET DIPAKBHAI"/>
    <s v="SDS"/>
    <x v="0"/>
    <n v="6"/>
    <s v="9081065019_x000a_9428795035_x000a_7990438626"/>
    <s v="9081065019_x000a_9428795035_x000a_7990438626"/>
    <s v="DCE_2021-24"/>
    <m/>
    <n v="25000"/>
    <n v="25000"/>
    <n v="0"/>
    <n v="0"/>
    <n v="0"/>
    <n v="3750"/>
    <n v="3750"/>
    <n v="0"/>
    <n v="0"/>
    <n v="0"/>
    <n v="0"/>
    <n v="0"/>
    <n v="0"/>
    <n v="0"/>
    <n v="0"/>
    <n v="0"/>
    <n v="0"/>
    <n v="0"/>
    <n v="0"/>
    <n v="0"/>
    <m/>
  </r>
  <r>
    <s v="21SDSCE01018"/>
    <s v="GOHEL ABHISHEK DIPAKBHAI"/>
    <s v="SDS"/>
    <x v="0"/>
    <n v="6"/>
    <s v="8980531364 8160972767"/>
    <s v="8980531364 8160972767"/>
    <s v="DCE_2021-24"/>
    <s v="KSP"/>
    <n v="25000"/>
    <n v="12500"/>
    <n v="0"/>
    <n v="12500"/>
    <n v="0"/>
    <n v="3750"/>
    <n v="3750"/>
    <n v="0"/>
    <n v="0"/>
    <n v="0"/>
    <n v="0"/>
    <n v="0"/>
    <n v="0"/>
    <n v="0"/>
    <n v="0"/>
    <n v="0"/>
    <n v="0"/>
    <n v="0"/>
    <n v="0"/>
    <n v="0"/>
    <s v="RS 12500 PER SEM SCHOLARSHIP"/>
  </r>
  <r>
    <s v="21SDSCE01019"/>
    <s v="BHOOMIN RAMJIBHAI GORASIYA"/>
    <s v="SDS"/>
    <x v="0"/>
    <n v="6"/>
    <s v="9913986674_x000a_9909571976"/>
    <s v="9913986674_x000a_9909571976"/>
    <s v="DCE_2021-24"/>
    <m/>
    <n v="25000"/>
    <n v="25000"/>
    <n v="0"/>
    <n v="0"/>
    <n v="0"/>
    <n v="3750"/>
    <n v="3750"/>
    <n v="0"/>
    <n v="0"/>
    <n v="0"/>
    <n v="0"/>
    <n v="0"/>
    <n v="0"/>
    <n v="0"/>
    <n v="0"/>
    <n v="0"/>
    <n v="0"/>
    <n v="0"/>
    <n v="0"/>
    <n v="0"/>
    <m/>
  </r>
  <r>
    <s v="21SDSCE01021"/>
    <s v="JETHWA KEYURI VIMALBHAI"/>
    <s v="SDS"/>
    <x v="0"/>
    <n v="6"/>
    <s v="9409757054 9904133859"/>
    <s v="9409757054 9904133859"/>
    <s v="DCE_2021-24"/>
    <s v="MYSY"/>
    <n v="25000"/>
    <n v="0"/>
    <n v="0"/>
    <n v="0"/>
    <n v="25000"/>
    <n v="3750"/>
    <n v="3750"/>
    <n v="0"/>
    <n v="0"/>
    <n v="0"/>
    <n v="0"/>
    <n v="0"/>
    <n v="0"/>
    <n v="0"/>
    <n v="0"/>
    <n v="0"/>
    <n v="0"/>
    <n v="0"/>
    <n v="0"/>
    <n v="0"/>
    <s v="MYSY(50%) + KSPS(50%)"/>
  </r>
  <r>
    <s v="21SDSCE01022"/>
    <s v="ZINZUVADIYA JENISH PANKAJBHAI"/>
    <s v="SDS"/>
    <x v="0"/>
    <n v="6"/>
    <s v="9104366086 _x000a_9924045200"/>
    <s v="9104366086 _x000a_9924045200"/>
    <s v="DCE_2021-24"/>
    <m/>
    <n v="25000"/>
    <n v="25000"/>
    <n v="0"/>
    <n v="0"/>
    <n v="0"/>
    <n v="3750"/>
    <n v="3750"/>
    <n v="0"/>
    <n v="0"/>
    <n v="0"/>
    <n v="0"/>
    <n v="0"/>
    <n v="0"/>
    <n v="0"/>
    <n v="0"/>
    <n v="0"/>
    <n v="0"/>
    <n v="0"/>
    <n v="0"/>
    <n v="0"/>
    <m/>
  </r>
  <r>
    <s v="21SDSCE01023"/>
    <s v="JUNGIWALA MIHIR CHANDRAKANT"/>
    <s v="SDS"/>
    <x v="0"/>
    <n v="6"/>
    <s v="9265541009_x000a_8511819009"/>
    <s v="9265541009_x000a_8511819009"/>
    <s v="DCE_2021-24"/>
    <m/>
    <n v="25000"/>
    <n v="0"/>
    <n v="0"/>
    <n v="0"/>
    <n v="25000"/>
    <n v="3750"/>
    <n v="0"/>
    <n v="0"/>
    <n v="0"/>
    <n v="3750"/>
    <n v="0"/>
    <n v="0"/>
    <n v="0"/>
    <n v="0"/>
    <n v="0"/>
    <n v="0"/>
    <n v="0"/>
    <n v="0"/>
    <n v="0"/>
    <n v="0"/>
    <s v="PER SEM 2 INSTALMENT PAID _x000a_(PERMISSION GIVEN  BY DHAVAL SIR)"/>
  </r>
  <r>
    <s v="21SDSCE01024"/>
    <s v="KALARIYA KRIS KIRITBHAI"/>
    <s v="SDS"/>
    <x v="0"/>
    <n v="6"/>
    <s v="9727428844 9714026424"/>
    <s v="9727428844 9714026424"/>
    <s v="DCE_2021-24"/>
    <s v="MYSY"/>
    <n v="25000"/>
    <n v="0"/>
    <n v="0"/>
    <n v="0"/>
    <n v="25000"/>
    <n v="3750"/>
    <n v="3750"/>
    <n v="0"/>
    <n v="0"/>
    <n v="0"/>
    <n v="0"/>
    <n v="0"/>
    <n v="0"/>
    <n v="0"/>
    <n v="0"/>
    <n v="0"/>
    <n v="0"/>
    <n v="0"/>
    <n v="0"/>
    <n v="0"/>
    <s v="MYSY(50%) + KSPS(50%)"/>
  </r>
  <r>
    <s v="21SDSCE01027"/>
    <s v="KERALIYA DHRUVISHA BHUPATBHAI"/>
    <s v="SDS"/>
    <x v="0"/>
    <n v="6"/>
    <s v="9428254994 9737340919"/>
    <s v="9428254994 9737340919"/>
    <s v="DCE_2021-24"/>
    <s v="MYSY"/>
    <n v="25000"/>
    <n v="25000"/>
    <n v="0"/>
    <n v="0"/>
    <n v="0"/>
    <n v="3750"/>
    <n v="3750"/>
    <n v="0"/>
    <n v="0"/>
    <n v="0"/>
    <n v="0"/>
    <n v="0"/>
    <n v="0"/>
    <n v="0"/>
    <n v="0"/>
    <n v="0"/>
    <n v="0"/>
    <n v="0"/>
    <n v="0"/>
    <n v="0"/>
    <s v="MYSY(50%) + KSPS(50%)"/>
  </r>
  <r>
    <s v="21SDSCE01030"/>
    <s v="KHIMSURIYA KINJAL MAVJIBHAI"/>
    <s v="SDS"/>
    <x v="0"/>
    <n v="6"/>
    <s v="9265741941 7698918401"/>
    <s v="9265741941 7698918401"/>
    <s v="DCE_2021-24"/>
    <s v="FREESHIP CARD"/>
    <n v="25000"/>
    <n v="0"/>
    <n v="0"/>
    <n v="0"/>
    <n v="25000"/>
    <n v="1250"/>
    <n v="1250"/>
    <n v="0"/>
    <n v="0"/>
    <n v="0"/>
    <n v="0"/>
    <n v="0"/>
    <n v="0"/>
    <n v="0"/>
    <n v="0"/>
    <n v="0"/>
    <n v="0"/>
    <n v="0"/>
    <n v="0"/>
    <n v="0"/>
    <s v="FREESHIPCARD STUDENT"/>
  </r>
  <r>
    <s v="21SDSCE01034"/>
    <s v="MAKATI DISHA ATULBHAI"/>
    <s v="SDS"/>
    <x v="0"/>
    <n v="6"/>
    <s v="6352175288 9904745910"/>
    <s v="6352175288 9904745910"/>
    <s v="DCE_2021-24"/>
    <s v="MYSY"/>
    <n v="25000"/>
    <n v="25000"/>
    <n v="0"/>
    <n v="0"/>
    <n v="0"/>
    <n v="3750"/>
    <n v="3750"/>
    <n v="0"/>
    <n v="0"/>
    <n v="0"/>
    <n v="0"/>
    <n v="0"/>
    <n v="0"/>
    <n v="0"/>
    <n v="0"/>
    <n v="0"/>
    <n v="0"/>
    <n v="0"/>
    <n v="0"/>
    <n v="0"/>
    <s v="MYSY(50%) + KSPS(50%)"/>
  </r>
  <r>
    <s v="21SDSCE01035"/>
    <s v="MAKWANA YASHVI JAYESHBHAI"/>
    <s v="SDS"/>
    <x v="0"/>
    <n v="6"/>
    <s v="9173318545_x000a_96626 88803"/>
    <s v="9173318545_x000a_96626 88803"/>
    <s v="DCE_2021-24"/>
    <m/>
    <n v="25000"/>
    <n v="25000"/>
    <n v="0"/>
    <n v="0"/>
    <n v="0"/>
    <n v="3750"/>
    <n v="3750"/>
    <n v="0"/>
    <n v="0"/>
    <n v="0"/>
    <n v="0"/>
    <n v="0"/>
    <n v="0"/>
    <n v="0"/>
    <n v="0"/>
    <n v="0"/>
    <n v="0"/>
    <n v="0"/>
    <n v="0"/>
    <n v="0"/>
    <m/>
  </r>
  <r>
    <s v="21SDSCE01036"/>
    <s v="MANDHAT ALNUR ALTAFBHAI"/>
    <s v="SDS"/>
    <x v="0"/>
    <n v="6"/>
    <s v="9558675252 8140226998"/>
    <s v="9558675252 8140226998"/>
    <s v="DCE_2021-24"/>
    <s v="MYSY"/>
    <n v="25000"/>
    <n v="25000"/>
    <n v="0"/>
    <n v="0"/>
    <n v="0"/>
    <n v="3750"/>
    <n v="3750"/>
    <n v="0"/>
    <n v="0"/>
    <n v="0"/>
    <n v="0"/>
    <n v="0"/>
    <n v="0"/>
    <n v="0"/>
    <n v="0"/>
    <n v="0"/>
    <n v="0"/>
    <n v="0"/>
    <n v="0"/>
    <n v="0"/>
    <s v="MYSY(50%) + KSPS(50%)"/>
  </r>
  <r>
    <s v="21SDSCE01039"/>
    <s v="RAITHATHA UJJWAL NITESHBHAI"/>
    <s v="SDS"/>
    <x v="0"/>
    <n v="6"/>
    <s v="9773084851 9016603002"/>
    <s v="9773084851 9016603002"/>
    <s v="DCE_2021-24"/>
    <m/>
    <n v="25000"/>
    <n v="25000"/>
    <n v="0"/>
    <n v="0"/>
    <n v="0"/>
    <n v="3750"/>
    <n v="3750"/>
    <n v="0"/>
    <n v="0"/>
    <n v="0"/>
    <n v="0"/>
    <n v="0"/>
    <n v="0"/>
    <n v="0"/>
    <n v="0"/>
    <n v="0"/>
    <n v="0"/>
    <n v="0"/>
    <n v="0"/>
    <n v="0"/>
    <m/>
  </r>
  <r>
    <s v="21SDSCE01043"/>
    <s v="SAKARIYANI TANJIL FIROZBHAI"/>
    <s v="SDS"/>
    <x v="0"/>
    <n v="6"/>
    <s v="9327170219_x000a_9327170219"/>
    <s v="9327170219_x000a_9327170219"/>
    <s v="DCE_2021-24"/>
    <s v="TFW"/>
    <n v="25000"/>
    <n v="0"/>
    <n v="0"/>
    <n v="25000"/>
    <n v="0"/>
    <n v="3750"/>
    <n v="3750"/>
    <n v="0"/>
    <n v="0"/>
    <n v="0"/>
    <n v="0"/>
    <n v="0"/>
    <n v="0"/>
    <n v="0"/>
    <n v="0"/>
    <n v="0"/>
    <n v="0"/>
    <n v="0"/>
    <n v="0"/>
    <n v="0"/>
    <m/>
  </r>
  <r>
    <s v="21SDSCE01046"/>
    <s v="SHAH PREM DIPENBHAI"/>
    <s v="SDS"/>
    <x v="0"/>
    <n v="6"/>
    <s v="7383705302_x000a_9825233825"/>
    <s v="7383705302_x000a_9825233825"/>
    <s v="DCE_2021-24"/>
    <s v="KSP"/>
    <n v="25000"/>
    <n v="13750"/>
    <n v="0"/>
    <n v="11250"/>
    <n v="0"/>
    <n v="3750"/>
    <n v="3750"/>
    <n v="0"/>
    <n v="0"/>
    <n v="0"/>
    <n v="0"/>
    <n v="0"/>
    <n v="0"/>
    <n v="0"/>
    <n v="0"/>
    <n v="0"/>
    <n v="0"/>
    <n v="0"/>
    <n v="0"/>
    <n v="0"/>
    <s v="RS 6250 PER SEM SCHOLARSHIP"/>
  </r>
  <r>
    <s v="21SDSCE01047"/>
    <s v="SHARMA PARTH"/>
    <s v="SDS"/>
    <x v="0"/>
    <n v="6"/>
    <s v="9913081052_x000a_9909587088"/>
    <s v="9913081052_x000a_9909587088"/>
    <s v="DCE_2021-24"/>
    <m/>
    <n v="25000"/>
    <n v="25000"/>
    <n v="0"/>
    <n v="0"/>
    <n v="0"/>
    <n v="3750"/>
    <n v="3750"/>
    <n v="0"/>
    <n v="0"/>
    <n v="0"/>
    <n v="0"/>
    <n v="0"/>
    <n v="0"/>
    <n v="0"/>
    <n v="0"/>
    <n v="0"/>
    <n v="0"/>
    <n v="0"/>
    <n v="0"/>
    <n v="0"/>
    <m/>
  </r>
  <r>
    <s v="21SDSCE01049"/>
    <s v="SK ARIF"/>
    <s v="SDS"/>
    <x v="0"/>
    <n v="6"/>
    <s v="9687278550_x000a_9687278550"/>
    <s v="9687278550_x000a_9687278550"/>
    <s v="DCE_2021-24"/>
    <m/>
    <n v="25000"/>
    <n v="25000"/>
    <n v="0"/>
    <n v="0"/>
    <n v="0"/>
    <n v="3750"/>
    <n v="3750"/>
    <n v="0"/>
    <n v="0"/>
    <n v="0"/>
    <n v="0"/>
    <n v="0"/>
    <n v="0"/>
    <n v="0"/>
    <n v="0"/>
    <n v="0"/>
    <n v="0"/>
    <n v="0"/>
    <n v="0"/>
    <n v="0"/>
    <m/>
  </r>
  <r>
    <s v="21SDSCE01050"/>
    <s v="SOLANKI KRISH VASANTBHAI"/>
    <s v="SDS"/>
    <x v="0"/>
    <n v="6"/>
    <s v="9316659446 7567788945"/>
    <s v="9316659446 7567788945"/>
    <s v="DCE_2021-24"/>
    <s v="MYSY"/>
    <n v="25000"/>
    <n v="0"/>
    <n v="25000"/>
    <n v="0"/>
    <n v="25000"/>
    <n v="3750"/>
    <n v="3750"/>
    <n v="0"/>
    <n v="0"/>
    <n v="0"/>
    <n v="0"/>
    <n v="0"/>
    <n v="0"/>
    <n v="0"/>
    <n v="0"/>
    <n v="0"/>
    <n v="0"/>
    <n v="0"/>
    <n v="0"/>
    <n v="0"/>
    <s v="MYSY(50%)+KSPS(25%)"/>
  </r>
  <r>
    <s v="21SDSCE01052"/>
    <s v="THAKKAR KUNJAL BHAVESHBHAI"/>
    <s v="SDS"/>
    <x v="0"/>
    <n v="6"/>
    <s v="8849696896 8733042000"/>
    <s v="8849696896 8733042000"/>
    <s v="DCE_2021-24"/>
    <m/>
    <n v="25000"/>
    <n v="25000"/>
    <n v="0"/>
    <n v="0"/>
    <n v="0"/>
    <n v="3750"/>
    <n v="3750"/>
    <n v="0"/>
    <n v="0"/>
    <n v="0"/>
    <n v="0"/>
    <n v="0"/>
    <n v="0"/>
    <n v="0"/>
    <n v="0"/>
    <n v="0"/>
    <n v="0"/>
    <n v="0"/>
    <n v="0"/>
    <n v="0"/>
    <m/>
  </r>
  <r>
    <s v="21SDSCE01055"/>
    <s v="AGHERA DEEPKUMAR MAGANBHAI"/>
    <s v="SDS"/>
    <x v="0"/>
    <n v="6"/>
    <s v="7229089917 8511205317"/>
    <s v="7229089917 8511205317"/>
    <s v="DCE_2021-24"/>
    <m/>
    <n v="25000"/>
    <n v="25000"/>
    <n v="0"/>
    <n v="0"/>
    <n v="0"/>
    <n v="3750"/>
    <n v="3750"/>
    <n v="0"/>
    <n v="0"/>
    <n v="0"/>
    <n v="0"/>
    <n v="0"/>
    <n v="0"/>
    <n v="0"/>
    <n v="0"/>
    <n v="0"/>
    <n v="0"/>
    <n v="0"/>
    <n v="0"/>
    <n v="0"/>
    <m/>
  </r>
  <r>
    <s v="21SDSCE01059"/>
    <s v="BHUVA MONIL DINESHBHAI"/>
    <s v="SDS"/>
    <x v="0"/>
    <n v="6"/>
    <s v="9409770083 9409770084"/>
    <s v="9409770083 9409770084"/>
    <s v="DCE_2021-24"/>
    <s v="MYSY"/>
    <n v="25000"/>
    <n v="0"/>
    <n v="0"/>
    <n v="0"/>
    <n v="25000"/>
    <n v="3750"/>
    <n v="3750"/>
    <n v="0"/>
    <n v="0"/>
    <n v="0"/>
    <n v="0"/>
    <n v="0"/>
    <n v="0"/>
    <n v="0"/>
    <n v="0"/>
    <n v="0"/>
    <n v="0"/>
    <n v="0"/>
    <n v="0"/>
    <n v="0"/>
    <s v="_x000a_KSPS(50%)+MYSY(50%)"/>
  </r>
  <r>
    <s v="21SDSCE01068"/>
    <s v="DOBARIYA NANDANI SOMCHANDBHAI"/>
    <s v="SDS"/>
    <x v="0"/>
    <n v="6"/>
    <s v="9574168138 _x000a_9824844709"/>
    <s v="9574168138 _x000a_9824844709"/>
    <s v="DCE_2021-24"/>
    <s v="MYSY"/>
    <n v="25000"/>
    <n v="0"/>
    <n v="0"/>
    <n v="0"/>
    <n v="25000"/>
    <n v="3750"/>
    <n v="3750"/>
    <n v="0"/>
    <n v="0"/>
    <n v="0"/>
    <n v="0"/>
    <n v="0"/>
    <n v="0"/>
    <n v="0"/>
    <n v="0"/>
    <n v="0"/>
    <n v="0"/>
    <n v="0"/>
    <n v="0"/>
    <n v="0"/>
    <s v="MYSY(50%) + KSPS(50%)"/>
  </r>
  <r>
    <s v="21SDSCE01071"/>
    <s v="GAJERA HEET MANOJBHAI"/>
    <s v="SDS"/>
    <x v="0"/>
    <n v="6"/>
    <s v="9427435264 9723647461"/>
    <s v="9427435264 9723647461"/>
    <s v="DCE_2021-24"/>
    <s v="TFW"/>
    <n v="25000"/>
    <n v="0"/>
    <n v="0"/>
    <n v="25000"/>
    <n v="0"/>
    <n v="3750"/>
    <n v="3750"/>
    <n v="0"/>
    <n v="0"/>
    <n v="0"/>
    <n v="0"/>
    <n v="0"/>
    <n v="0"/>
    <n v="0"/>
    <n v="0"/>
    <n v="0"/>
    <n v="0"/>
    <n v="0"/>
    <n v="0"/>
    <n v="0"/>
    <s v="MYSY(50%) + KSPS(50%)"/>
  </r>
  <r>
    <s v="21SDSCE01079"/>
    <s v="KASHIYANI BHADRESH DINESHBHAI"/>
    <s v="SDS"/>
    <x v="0"/>
    <n v="6"/>
    <s v="9106877963 _x000a_9601263704"/>
    <s v="9106877963 _x000a_9601263704"/>
    <s v="DCE_2021-24"/>
    <m/>
    <n v="25000"/>
    <n v="25000"/>
    <n v="0"/>
    <n v="0"/>
    <n v="0"/>
    <n v="3750"/>
    <n v="3750"/>
    <n v="0"/>
    <n v="0"/>
    <n v="0"/>
    <n v="0"/>
    <n v="0"/>
    <n v="0"/>
    <n v="0"/>
    <n v="0"/>
    <n v="0"/>
    <n v="0"/>
    <n v="0"/>
    <n v="0"/>
    <n v="0"/>
    <m/>
  </r>
  <r>
    <s v="21SDSCE01082"/>
    <s v="KOTAK KAUSHAL DHARMESHBHAI"/>
    <s v="SDS"/>
    <x v="0"/>
    <n v="6"/>
    <s v="9023991157 _x000a_9925871303"/>
    <s v="9023991157 _x000a_9925871303"/>
    <s v="DCE_2021-24"/>
    <s v="KSP"/>
    <n v="25000"/>
    <n v="18750"/>
    <n v="0"/>
    <n v="6250"/>
    <n v="0"/>
    <n v="3750"/>
    <n v="3750"/>
    <n v="0"/>
    <n v="0"/>
    <n v="0"/>
    <n v="0"/>
    <n v="0"/>
    <n v="0"/>
    <n v="0"/>
    <n v="0"/>
    <n v="0"/>
    <n v="0"/>
    <n v="0"/>
    <n v="0"/>
    <n v="0"/>
    <s v="RS 6250 PER SEM SCHOLARSHIP"/>
  </r>
  <r>
    <s v="21SDSCE01083"/>
    <s v="MAKRUBIYA ADITYA BHAVESHBHAI"/>
    <s v="SDS"/>
    <x v="0"/>
    <n v="6"/>
    <s v="9724759470_x000a_9662590925"/>
    <s v="9724759470_x000a_9662590925"/>
    <s v="DCE_2021-24"/>
    <m/>
    <n v="25000"/>
    <n v="25000"/>
    <n v="0"/>
    <n v="0"/>
    <n v="0"/>
    <n v="3750"/>
    <n v="3750"/>
    <n v="0"/>
    <n v="0"/>
    <n v="0"/>
    <n v="0"/>
    <n v="0"/>
    <n v="0"/>
    <n v="0"/>
    <n v="0"/>
    <n v="0"/>
    <n v="0"/>
    <n v="0"/>
    <n v="0"/>
    <n v="0"/>
    <m/>
  </r>
  <r>
    <s v="21SDSCE01088"/>
    <s v="PANDYA NEEL SANJAYBHAI"/>
    <s v="SDS"/>
    <x v="0"/>
    <n v="6"/>
    <s v="8866163085_x000a_8200007109"/>
    <s v="8866163085_x000a_8200007109"/>
    <s v="DCE_2021-24"/>
    <s v="TFW"/>
    <n v="25000"/>
    <n v="0"/>
    <n v="0"/>
    <n v="25000"/>
    <n v="0"/>
    <n v="3750"/>
    <n v="3750"/>
    <n v="0"/>
    <n v="0"/>
    <n v="0"/>
    <n v="0"/>
    <n v="0"/>
    <n v="0"/>
    <n v="0"/>
    <n v="0"/>
    <n v="0"/>
    <n v="0"/>
    <n v="0"/>
    <n v="0"/>
    <n v="0"/>
    <m/>
  </r>
  <r>
    <s v="21SDSCE01089"/>
    <s v="PANKHANIYA NISHANT KANTILAL"/>
    <s v="SDS"/>
    <x v="0"/>
    <n v="6"/>
    <s v="9712314216 8780395242"/>
    <s v="9712314216 8780395242"/>
    <s v="DCE_2021-24"/>
    <s v="KSP"/>
    <n v="25000"/>
    <n v="0"/>
    <n v="0"/>
    <n v="6250"/>
    <n v="18750"/>
    <n v="3750"/>
    <n v="0"/>
    <n v="0"/>
    <n v="0"/>
    <n v="3750"/>
    <n v="0"/>
    <n v="0"/>
    <n v="0"/>
    <n v="0"/>
    <n v="0"/>
    <n v="0"/>
    <n v="0"/>
    <n v="0"/>
    <n v="0"/>
    <n v="0"/>
    <s v="RS 6250 PER SEM SCHOLARSHIP"/>
  </r>
  <r>
    <s v="21SDSCE01098"/>
    <s v="RANPARIYA SHREYANSH HARSHADBHAI"/>
    <s v="SDS"/>
    <x v="0"/>
    <n v="6"/>
    <s v="8200822537_x000a_8200822537"/>
    <s v="8200822537_x000a_8200822537"/>
    <s v="DCE_2021-24"/>
    <s v="MYSY"/>
    <n v="25000"/>
    <n v="0"/>
    <n v="0"/>
    <n v="0"/>
    <n v="25000"/>
    <n v="3750"/>
    <n v="3750"/>
    <n v="0"/>
    <n v="0"/>
    <n v="0"/>
    <n v="0"/>
    <n v="0"/>
    <n v="0"/>
    <n v="0"/>
    <n v="0"/>
    <n v="0"/>
    <n v="0"/>
    <n v="0"/>
    <n v="0"/>
    <n v="0"/>
    <s v="MYSY(50%)+KSPS(25%)"/>
  </r>
  <r>
    <s v="21SDSCE01104"/>
    <s v="SINDHAV HARPALSINH BHUPENDRASINH"/>
    <s v="SDS"/>
    <x v="0"/>
    <n v="6"/>
    <s v="9824649023_x000a_9824649023_x0009_"/>
    <s v="9824649023_x000a_9824649023_x0009_"/>
    <s v="DCE_2021-24"/>
    <s v="TFW"/>
    <n v="25000"/>
    <n v="0"/>
    <n v="0"/>
    <n v="25000"/>
    <n v="0"/>
    <n v="3750"/>
    <n v="3750"/>
    <n v="0"/>
    <n v="0"/>
    <n v="0"/>
    <n v="0"/>
    <n v="0"/>
    <n v="0"/>
    <n v="0"/>
    <n v="0"/>
    <n v="0"/>
    <n v="0"/>
    <n v="0"/>
    <n v="0"/>
    <n v="0"/>
    <m/>
  </r>
  <r>
    <s v="21SDSCE01108"/>
    <s v="UMRETIYA SUFIYAN MUSTAKBHAI"/>
    <s v="SDS"/>
    <x v="0"/>
    <n v="6"/>
    <s v="7984424198 9409728018"/>
    <s v="7984424198 9409728018"/>
    <s v="DCE_2021-24"/>
    <s v="KSP"/>
    <n v="25000"/>
    <n v="12500"/>
    <n v="0"/>
    <n v="12500"/>
    <n v="0"/>
    <n v="3750"/>
    <n v="3750"/>
    <n v="0"/>
    <n v="0"/>
    <n v="0"/>
    <n v="0"/>
    <n v="0"/>
    <n v="0"/>
    <n v="0"/>
    <n v="0"/>
    <n v="0"/>
    <n v="0"/>
    <n v="0"/>
    <n v="0"/>
    <n v="0"/>
    <s v="RS 12500 PER SEM SCHOLARSHIP"/>
  </r>
  <r>
    <s v="21SDSCE01111"/>
    <s v="VORA DHRUVESH KANJIBHAI"/>
    <s v="SDS"/>
    <x v="0"/>
    <n v="6"/>
    <s v="9726411336 9427566371"/>
    <s v="9726411336 9427566371"/>
    <s v="DCE_2021-24"/>
    <m/>
    <n v="25000"/>
    <n v="25000"/>
    <n v="0"/>
    <n v="0"/>
    <n v="0"/>
    <n v="3750"/>
    <n v="3750"/>
    <n v="0"/>
    <n v="0"/>
    <n v="0"/>
    <n v="0"/>
    <n v="0"/>
    <n v="0"/>
    <n v="0"/>
    <n v="0"/>
    <n v="0"/>
    <n v="0"/>
    <n v="0"/>
    <n v="0"/>
    <n v="0"/>
    <m/>
  </r>
  <r>
    <s v="21SDSCE01112"/>
    <s v="VYAS UDAY AMITBHAI"/>
    <s v="SDS"/>
    <x v="0"/>
    <n v="6"/>
    <s v="9726411336 9427566371"/>
    <s v="9726411336 9427566371"/>
    <s v="DCE_2021-24"/>
    <s v="MYSY"/>
    <n v="25000"/>
    <n v="0"/>
    <n v="0"/>
    <n v="0"/>
    <n v="25000"/>
    <n v="3750"/>
    <n v="3750"/>
    <n v="0"/>
    <n v="0"/>
    <n v="0"/>
    <n v="0"/>
    <n v="0"/>
    <n v="0"/>
    <n v="0"/>
    <n v="0"/>
    <n v="0"/>
    <n v="0"/>
    <n v="0"/>
    <n v="0"/>
    <n v="0"/>
    <s v="MYSY(50%) + KSPS(50%)"/>
  </r>
  <r>
    <s v="21SDSCE01119"/>
    <s v="BHUVA CHEHAJ HARESHBHAI"/>
    <s v="SDS"/>
    <x v="0"/>
    <n v="6"/>
    <s v="9662401107 9898625788"/>
    <s v="9662401107 9898625788"/>
    <s v="DCE_2021-24"/>
    <s v="MYSY"/>
    <n v="25000"/>
    <n v="0"/>
    <n v="0"/>
    <n v="0"/>
    <n v="25000"/>
    <n v="3750"/>
    <n v="3750"/>
    <n v="0"/>
    <n v="0"/>
    <n v="0"/>
    <n v="0"/>
    <n v="0"/>
    <n v="0"/>
    <n v="0"/>
    <n v="0"/>
    <n v="0"/>
    <n v="0"/>
    <n v="0"/>
    <n v="0"/>
    <n v="0"/>
    <s v="MYSY(50%) + KSPS(50%)"/>
  </r>
  <r>
    <s v="21SDSCE01122"/>
    <s v="CHAUHAN VAIBHAV SHAILESHBHAI"/>
    <s v="SDS"/>
    <x v="0"/>
    <n v="6"/>
    <s v="9737411727_x000a_9924869927"/>
    <s v="9737411727_x000a_9924869927"/>
    <s v="DCE_2021-24"/>
    <s v="KSP"/>
    <n v="25000"/>
    <n v="18750"/>
    <n v="0"/>
    <n v="6250"/>
    <n v="0"/>
    <n v="3750"/>
    <n v="3750"/>
    <n v="0"/>
    <n v="0"/>
    <n v="0"/>
    <n v="0"/>
    <n v="0"/>
    <n v="0"/>
    <n v="0"/>
    <n v="0"/>
    <n v="0"/>
    <n v="0"/>
    <n v="0"/>
    <n v="0"/>
    <n v="0"/>
    <s v="RS 6250 PER SEM SCHOLARSHIP"/>
  </r>
  <r>
    <s v="21SDSCE01127"/>
    <s v="GAJERA HARSHIL HEMANTBHAI"/>
    <s v="SDS"/>
    <x v="0"/>
    <n v="6"/>
    <s v="7984148989 9879811191"/>
    <s v="7984148989 9879811191"/>
    <s v="DCE_2021-24"/>
    <s v="MYSY"/>
    <n v="25000"/>
    <n v="25000"/>
    <n v="0"/>
    <n v="0"/>
    <n v="0"/>
    <n v="3750"/>
    <n v="3750"/>
    <n v="0"/>
    <n v="0"/>
    <n v="0"/>
    <n v="0"/>
    <n v="0"/>
    <n v="0"/>
    <n v="0"/>
    <n v="0"/>
    <n v="0"/>
    <n v="0"/>
    <n v="0"/>
    <n v="0"/>
    <n v="0"/>
    <s v="KSPS(50%)+MYSY(25%)"/>
  </r>
  <r>
    <s v="21SDSCE01128"/>
    <s v="GOHEL MAITRI NAYANBHAI"/>
    <s v="SDS"/>
    <x v="0"/>
    <n v="6"/>
    <s v="9909811908_x000a_8128130228"/>
    <s v="9909811908_x000a_8128130228"/>
    <s v="DCE_2021-24"/>
    <s v="MYSY"/>
    <n v="25000"/>
    <n v="0"/>
    <n v="0"/>
    <n v="0"/>
    <n v="25000"/>
    <n v="3750"/>
    <n v="0"/>
    <n v="0"/>
    <n v="0"/>
    <n v="3750"/>
    <n v="0"/>
    <n v="0"/>
    <n v="0"/>
    <n v="0"/>
    <n v="0"/>
    <n v="0"/>
    <n v="0"/>
    <n v="0"/>
    <n v="0"/>
    <n v="0"/>
    <s v="KSPS(25%) + MYSY(50%)"/>
  </r>
  <r>
    <s v="21SDSCE01130"/>
    <s v="JOSHI KHUSHI MAHENDRABHAI"/>
    <s v="SDS"/>
    <x v="0"/>
    <n v="6"/>
    <s v="7016093121 9426635852"/>
    <s v="7016093121 9426635852"/>
    <s v="DCE_2021-24"/>
    <s v="KSP"/>
    <n v="25000"/>
    <n v="18750"/>
    <n v="0"/>
    <n v="6250"/>
    <n v="0"/>
    <n v="3750"/>
    <n v="3750"/>
    <n v="0"/>
    <n v="0"/>
    <n v="0"/>
    <n v="0"/>
    <n v="0"/>
    <n v="0"/>
    <n v="0"/>
    <n v="0"/>
    <n v="0"/>
    <n v="0"/>
    <n v="0"/>
    <n v="0"/>
    <n v="0"/>
    <s v="KSPS(25%)"/>
  </r>
  <r>
    <s v="21SDSCE01132"/>
    <s v="KODALA HIMANSHU JAGDISHBHAI"/>
    <s v="SDS"/>
    <x v="0"/>
    <n v="6"/>
    <s v="9157763909 9913072324"/>
    <s v="9157763909 9913072324"/>
    <s v="DCE_2021-24"/>
    <s v="KSP"/>
    <n v="25000"/>
    <n v="12500"/>
    <n v="0"/>
    <n v="12500"/>
    <n v="0"/>
    <n v="3750"/>
    <n v="3750"/>
    <n v="0"/>
    <n v="0"/>
    <n v="0"/>
    <n v="0"/>
    <n v="0"/>
    <n v="0"/>
    <n v="0"/>
    <n v="0"/>
    <n v="0"/>
    <n v="0"/>
    <n v="0"/>
    <n v="0"/>
    <n v="0"/>
    <s v="KSPS(50%)"/>
  </r>
  <r>
    <s v="21SDSCE01134"/>
    <s v="MAKDA JUZAR ABBASBHAI"/>
    <s v="SDS"/>
    <x v="0"/>
    <n v="6"/>
    <s v="7984010189 9662813652"/>
    <s v="7984010189 9662813652"/>
    <s v="DCE_2021-24"/>
    <s v="MYSY"/>
    <n v="25000"/>
    <n v="0"/>
    <n v="0"/>
    <n v="0"/>
    <n v="25000"/>
    <n v="3750"/>
    <n v="3750"/>
    <n v="0"/>
    <n v="0"/>
    <n v="0"/>
    <n v="0"/>
    <n v="0"/>
    <n v="0"/>
    <n v="0"/>
    <n v="0"/>
    <n v="0"/>
    <n v="0"/>
    <n v="0"/>
    <n v="0"/>
    <n v="0"/>
    <s v="KSPS(50%)+MYSY(50%)"/>
  </r>
  <r>
    <s v="21SDSCE01143"/>
    <s v="RAMANI TEJAS ASHOKBHAI"/>
    <s v="SDS"/>
    <x v="0"/>
    <n v="6"/>
    <s v="9054648078_x000a_9725392254"/>
    <s v="9054648078_x000a_9725392254"/>
    <s v="DCE_2021-24"/>
    <s v="MYSY"/>
    <n v="25000"/>
    <n v="0"/>
    <n v="0"/>
    <n v="0"/>
    <n v="25000"/>
    <n v="3750"/>
    <n v="3750"/>
    <n v="0"/>
    <n v="0"/>
    <n v="0"/>
    <n v="0"/>
    <n v="0"/>
    <n v="0"/>
    <n v="0"/>
    <n v="0"/>
    <n v="0"/>
    <n v="0"/>
    <n v="0"/>
    <n v="0"/>
    <n v="0"/>
    <s v="MYSY(50%) + KSPS(50%)"/>
  </r>
  <r>
    <s v="21SDSCE01144"/>
    <s v="RUPARELIYA PRANAV NILESHBHAI"/>
    <s v="SDS"/>
    <x v="0"/>
    <n v="6"/>
    <s v="9016764024 9979008614"/>
    <s v="9016764024 9979008614"/>
    <s v="DCE_2021-24"/>
    <s v="MYSY"/>
    <n v="25000"/>
    <n v="0"/>
    <n v="0"/>
    <n v="0"/>
    <n v="25000"/>
    <n v="3750"/>
    <n v="3750"/>
    <n v="0"/>
    <n v="0"/>
    <n v="0"/>
    <n v="0"/>
    <n v="0"/>
    <n v="0"/>
    <n v="0"/>
    <n v="0"/>
    <n v="0"/>
    <n v="0"/>
    <n v="0"/>
    <n v="0"/>
    <n v="0"/>
    <s v="MYSY(50%) + KSPS(50%)"/>
  </r>
  <r>
    <s v="21SDSCE01149"/>
    <s v="SIDAPARA YASHVI SANJAYBHAI"/>
    <s v="SDS"/>
    <x v="0"/>
    <n v="6"/>
    <s v="9825242291_x000a_9825242291"/>
    <s v="9825242291_x000a_9825242291"/>
    <s v="DCE_2021-24"/>
    <s v="MYSY"/>
    <n v="25000"/>
    <n v="0"/>
    <n v="0"/>
    <n v="0"/>
    <n v="25000"/>
    <n v="3750"/>
    <n v="3750"/>
    <n v="0"/>
    <n v="0"/>
    <n v="0"/>
    <n v="0"/>
    <n v="0"/>
    <n v="0"/>
    <n v="0"/>
    <n v="0"/>
    <n v="0"/>
    <n v="0"/>
    <n v="0"/>
    <n v="0"/>
    <n v="0"/>
    <s v="MYSY(50%) + KSPS(25%)"/>
  </r>
  <r>
    <s v="21SDSCE01153"/>
    <s v="TADHANI JAY JAGADISHBHAI"/>
    <s v="SDS"/>
    <x v="0"/>
    <n v="6"/>
    <s v="9510625883 9904718503"/>
    <s v="9510625883 9904718503"/>
    <s v="DCE_2021-24"/>
    <m/>
    <n v="25000"/>
    <n v="0"/>
    <n v="0"/>
    <n v="0"/>
    <n v="25000"/>
    <n v="3750"/>
    <n v="0"/>
    <n v="0"/>
    <n v="0"/>
    <n v="3750"/>
    <n v="0"/>
    <n v="0"/>
    <n v="0"/>
    <n v="0"/>
    <n v="0"/>
    <n v="0"/>
    <n v="0"/>
    <n v="0"/>
    <n v="0"/>
    <n v="0"/>
    <m/>
  </r>
  <r>
    <s v="21SDSCE01155"/>
    <s v="TIMBADIYA KHUSH PRAVINBHAI"/>
    <s v="SDS"/>
    <x v="0"/>
    <n v="6"/>
    <s v="8780661099 9913872716"/>
    <s v="8780661099 9913872716"/>
    <s v="DCE_2021-24"/>
    <s v="MYSY"/>
    <n v="25000"/>
    <n v="25000"/>
    <n v="0"/>
    <n v="0"/>
    <n v="0"/>
    <n v="3750"/>
    <n v="3750"/>
    <n v="0"/>
    <n v="0"/>
    <n v="0"/>
    <n v="0"/>
    <n v="0"/>
    <n v="0"/>
    <n v="0"/>
    <n v="0"/>
    <n v="0"/>
    <n v="0"/>
    <n v="0"/>
    <n v="0"/>
    <n v="0"/>
    <s v="MYSY(50%) + KSPS(25%)"/>
  </r>
  <r>
    <s v="21SDSCE01157"/>
    <s v="VAGHASIYA OM GHANSHYAMBHAI"/>
    <s v="SDS"/>
    <x v="0"/>
    <n v="6"/>
    <s v="9924270840_x000a_9924270840"/>
    <s v="9924270840_x000a_9924270840"/>
    <s v="DCE_2021-24"/>
    <s v="TFW"/>
    <n v="25000"/>
    <n v="0"/>
    <n v="0"/>
    <n v="25000"/>
    <n v="0"/>
    <n v="3750"/>
    <n v="3750"/>
    <n v="0"/>
    <n v="0"/>
    <n v="0"/>
    <n v="0"/>
    <n v="0"/>
    <n v="0"/>
    <n v="0"/>
    <n v="0"/>
    <n v="0"/>
    <n v="0"/>
    <n v="0"/>
    <n v="0"/>
    <n v="0"/>
    <m/>
  </r>
  <r>
    <s v="21SDSCE01158"/>
    <s v="VAISHNAV DENIS MANSUKHBHAI"/>
    <s v="SDS"/>
    <x v="0"/>
    <n v="6"/>
    <s v="7861056615 9825512714"/>
    <s v="7861056615 9825512714"/>
    <s v="DCE_2021-24"/>
    <s v="MYSY"/>
    <n v="25000"/>
    <n v="0"/>
    <n v="25000"/>
    <n v="0"/>
    <n v="25000"/>
    <n v="3750"/>
    <n v="3750"/>
    <n v="0"/>
    <n v="0"/>
    <n v="0"/>
    <n v="0"/>
    <n v="0"/>
    <n v="0"/>
    <n v="0"/>
    <n v="0"/>
    <n v="0"/>
    <n v="0"/>
    <n v="0"/>
    <n v="0"/>
    <n v="0"/>
    <s v="KSPS(25%) + MYSY(50%)"/>
  </r>
  <r>
    <s v="21SDSCE01014"/>
    <s v="DEVHITKA VIVEK SHAILESHBHAI"/>
    <s v="SDS"/>
    <x v="0"/>
    <n v="6"/>
    <s v="8320550857_x000a_9537976996"/>
    <s v="8320550857_x000a_9537976996"/>
    <s v="DCE_2021-24"/>
    <s v="KSP"/>
    <n v="25000"/>
    <n v="18750"/>
    <n v="0"/>
    <n v="6250"/>
    <n v="0"/>
    <n v="3750"/>
    <n v="3750"/>
    <n v="0"/>
    <n v="0"/>
    <n v="0"/>
    <n v="0"/>
    <n v="0"/>
    <n v="0"/>
    <n v="0"/>
    <n v="0"/>
    <n v="0"/>
    <n v="0"/>
    <n v="0"/>
    <n v="0"/>
    <n v="0"/>
    <s v=" KSPS(25%)_x000a_NOT ELIGIBLE TO MYSY SCHOLARSHIP_x000a_RS 6250 PER SEM SCHOLARSHIP"/>
  </r>
  <r>
    <s v="20SDSCE01001"/>
    <s v="ADESHARA UMANG MUKESHBHAI"/>
    <s v="SDS"/>
    <x v="0"/>
    <n v="6"/>
    <s v="9898372232_x000a_8460774596"/>
    <s v="9898372232_x000a_8460774596"/>
    <s v="DCE_2020-23"/>
    <m/>
    <n v="25000"/>
    <n v="25000"/>
    <n v="0"/>
    <n v="0"/>
    <n v="0"/>
    <n v="3750"/>
    <n v="3750"/>
    <n v="0"/>
    <n v="0"/>
    <n v="0"/>
    <n v="0"/>
    <n v="0"/>
    <n v="0"/>
    <n v="0"/>
    <n v="0"/>
    <n v="0"/>
    <n v="0"/>
    <n v="0"/>
    <n v="0"/>
    <n v="0"/>
    <m/>
  </r>
  <r>
    <s v="20SDSCE01051"/>
    <s v="KARDANI DAKSHKUMAR RAJESHBHAI"/>
    <s v="SDS"/>
    <x v="0"/>
    <n v="6"/>
    <s v="9104716745_x000a_9601999250"/>
    <s v="9104716745_x000a_9601999250"/>
    <s v="DCE_2020-23"/>
    <m/>
    <n v="25000"/>
    <n v="0"/>
    <n v="0"/>
    <n v="0"/>
    <n v="25000"/>
    <n v="3750"/>
    <n v="0"/>
    <n v="0"/>
    <n v="0"/>
    <n v="3750"/>
    <n v="0"/>
    <n v="0"/>
    <n v="0"/>
    <n v="0"/>
    <n v="0"/>
    <n v="0"/>
    <n v="0"/>
    <n v="0"/>
    <n v="0"/>
    <n v="0"/>
    <m/>
  </r>
  <r>
    <s v="21SDSCE01087"/>
    <s v="PANCHANI TIRTH PARESHBHAI"/>
    <s v="SDS"/>
    <x v="0"/>
    <n v="6"/>
    <s v="9925739443_x000a_9898166309"/>
    <s v="9925739443_x000a_9898166309"/>
    <s v="DCE_2021-24"/>
    <m/>
    <n v="25000"/>
    <n v="25000"/>
    <n v="0"/>
    <n v="0"/>
    <n v="0"/>
    <n v="3750"/>
    <n v="3750"/>
    <n v="0"/>
    <n v="0"/>
    <n v="0"/>
    <n v="0"/>
    <n v="0"/>
    <n v="0"/>
    <n v="0"/>
    <n v="0"/>
    <n v="0"/>
    <n v="0"/>
    <n v="0"/>
    <n v="0"/>
    <n v="0"/>
    <m/>
  </r>
  <r>
    <s v="21SDSCE01074"/>
    <s v="HERANJA SIBTEN KAYUMBHAI"/>
    <s v="SDS"/>
    <x v="0"/>
    <n v="6"/>
    <s v="8849171546 9824093660"/>
    <s v="8849171546 9824093660"/>
    <s v="DCE_2021-24"/>
    <s v="KSP"/>
    <n v="25000"/>
    <n v="12500"/>
    <n v="0"/>
    <n v="12500"/>
    <n v="0"/>
    <n v="3750"/>
    <n v="3750"/>
    <n v="0"/>
    <n v="0"/>
    <n v="0"/>
    <m/>
    <m/>
    <m/>
    <m/>
    <m/>
    <m/>
    <m/>
    <m/>
    <m/>
    <m/>
    <m/>
  </r>
  <r>
    <s v="21SDSCE01139"/>
    <s v="PARMAR RIYA MUKESHBHAI"/>
    <s v="SDS"/>
    <x v="0"/>
    <n v="6"/>
    <s v="6354545688 9427221961"/>
    <s v="6354545688 9427221961"/>
    <s v="DCE_2021-24"/>
    <s v="KSP"/>
    <n v="25000"/>
    <n v="12500"/>
    <n v="0"/>
    <n v="12500"/>
    <n v="0"/>
    <n v="3750"/>
    <n v="3750"/>
    <n v="0"/>
    <n v="0"/>
    <n v="0"/>
    <m/>
    <m/>
    <m/>
    <m/>
    <m/>
    <m/>
    <m/>
    <m/>
    <m/>
    <m/>
    <m/>
  </r>
  <r>
    <s v="21SDSCE01607"/>
    <s v="SUJAY KUMAR MAHATO"/>
    <s v="SDS"/>
    <x v="0"/>
    <n v="6"/>
    <s v="INTERNATIONAL"/>
    <s v="INR FEE STUDENT"/>
    <s v="DCE_2021-24"/>
    <m/>
    <n v="35000"/>
    <n v="35000"/>
    <n v="0"/>
    <n v="0"/>
    <n v="0"/>
    <n v="1250"/>
    <n v="1250"/>
    <n v="0"/>
    <n v="0"/>
    <n v="0"/>
    <m/>
    <m/>
    <m/>
    <m/>
    <m/>
    <m/>
    <m/>
    <m/>
    <m/>
    <m/>
    <m/>
  </r>
  <r>
    <s v="20SDSCE01064"/>
    <s v="MEHTA NISHIT BHAVESH"/>
    <s v="SDS"/>
    <x v="0"/>
    <n v="6"/>
    <s v="9426670411 _x000a_9879570411"/>
    <s v="9426670411 _x000a_9879570411"/>
    <s v="DCE_2020-23"/>
    <s v="KSP"/>
    <n v="25000"/>
    <n v="0"/>
    <n v="0"/>
    <n v="1250"/>
    <n v="23750"/>
    <n v="3750"/>
    <n v="0"/>
    <n v="0"/>
    <n v="0"/>
    <n v="3750"/>
    <m/>
    <m/>
    <m/>
    <m/>
    <m/>
    <m/>
    <m/>
    <m/>
    <m/>
    <m/>
    <m/>
  </r>
  <r>
    <s v="20SDSCE01143"/>
    <s v="ZINZUVADIYA RAJ MANOJBHAI"/>
    <s v="SDS"/>
    <x v="0"/>
    <n v="6"/>
    <s v="9428058928"/>
    <s v="9428058928"/>
    <s v="DCE_2021-24"/>
    <s v="KSP"/>
    <n v="25000"/>
    <n v="0"/>
    <n v="0"/>
    <n v="12500"/>
    <n v="12500"/>
    <n v="3750"/>
    <n v="0"/>
    <n v="0"/>
    <m/>
    <n v="3750"/>
    <m/>
    <m/>
    <m/>
    <m/>
    <m/>
    <m/>
    <m/>
    <m/>
    <m/>
    <m/>
    <m/>
  </r>
  <r>
    <s v="23SDSCV01001"/>
    <s v="BHESANIYA PRANAV PRAMTHESHBHAI"/>
    <s v="SDS"/>
    <x v="1"/>
    <n v="2"/>
    <s v="9638824103 9512640663"/>
    <s v="9638824103 9512640663"/>
    <s v="DCV_2023-26"/>
    <m/>
    <n v="27500"/>
    <n v="12500"/>
    <n v="0"/>
    <n v="0"/>
    <n v="15000"/>
    <n v="3000"/>
    <n v="3000"/>
    <n v="0"/>
    <n v="0"/>
    <n v="0"/>
    <n v="0"/>
    <n v="0"/>
    <n v="0"/>
    <n v="0"/>
    <n v="0"/>
    <n v="0"/>
    <n v="0"/>
    <n v="0"/>
    <n v="0"/>
    <n v="0"/>
    <m/>
  </r>
  <r>
    <s v="23SDSCV01002"/>
    <s v="DEDA PRUTHVIRAJSINH MAHENDRASINH"/>
    <s v="SDS"/>
    <x v="1"/>
    <n v="2"/>
    <s v="7016986771 9979256735"/>
    <s v="7016986771 9979256735"/>
    <s v="DCV_2023-26"/>
    <m/>
    <n v="27500"/>
    <n v="27500"/>
    <n v="0"/>
    <n v="0"/>
    <n v="0"/>
    <n v="3000"/>
    <n v="3000"/>
    <n v="0"/>
    <n v="0"/>
    <n v="0"/>
    <n v="0"/>
    <n v="0"/>
    <n v="0"/>
    <n v="0"/>
    <n v="0"/>
    <n v="0"/>
    <n v="0"/>
    <n v="0"/>
    <n v="0"/>
    <n v="0"/>
    <m/>
  </r>
  <r>
    <s v="23SDSCV01003"/>
    <s v="GHONIYA ANSH SANJAYBHAI"/>
    <s v="SDS"/>
    <x v="1"/>
    <n v="2"/>
    <s v="9081620280 9913923743"/>
    <s v="9081620280 9913923743"/>
    <s v="DCV_2023-26"/>
    <m/>
    <n v="27500"/>
    <n v="27500"/>
    <n v="0"/>
    <n v="0"/>
    <n v="0"/>
    <n v="3000"/>
    <n v="3000"/>
    <n v="0"/>
    <n v="0"/>
    <n v="0"/>
    <n v="0"/>
    <n v="0"/>
    <n v="0"/>
    <n v="0"/>
    <n v="0"/>
    <n v="0"/>
    <n v="0"/>
    <n v="0"/>
    <n v="0"/>
    <n v="0"/>
    <m/>
  </r>
  <r>
    <s v="23SDSCV01004"/>
    <s v="KAMANI FENIL SHITALBHAI"/>
    <s v="SDS"/>
    <x v="1"/>
    <n v="2"/>
    <s v="9265244144 9408635407"/>
    <s v="9265244144 9408635407"/>
    <s v="DCV_2023-26"/>
    <s v="MYSY"/>
    <n v="27500"/>
    <n v="25000"/>
    <n v="0"/>
    <n v="0"/>
    <n v="2500"/>
    <n v="3000"/>
    <n v="3000"/>
    <n v="0"/>
    <n v="0"/>
    <n v="0"/>
    <n v="0"/>
    <n v="0"/>
    <n v="0"/>
    <n v="0"/>
    <n v="0"/>
    <n v="0"/>
    <n v="0"/>
    <n v="0"/>
    <n v="0"/>
    <n v="0"/>
    <m/>
  </r>
  <r>
    <s v="23SDSCV01005"/>
    <s v="MEGHANI GAUTAM"/>
    <s v="SDS"/>
    <x v="1"/>
    <n v="2"/>
    <s v="8849901506 9925064119"/>
    <s v="8849901506 9925064119"/>
    <s v="DCE_2023-26"/>
    <m/>
    <n v="27500"/>
    <n v="27500"/>
    <n v="0"/>
    <n v="0"/>
    <n v="0"/>
    <n v="3000"/>
    <n v="3000"/>
    <n v="0"/>
    <n v="0"/>
    <n v="0"/>
    <n v="0"/>
    <n v="0"/>
    <n v="0"/>
    <n v="0"/>
    <n v="0"/>
    <n v="0"/>
    <n v="0"/>
    <n v="0"/>
    <n v="0"/>
    <n v="0"/>
    <m/>
  </r>
  <r>
    <s v="23SDSCV01006"/>
    <s v="PAMBHAR AAYUSH"/>
    <s v="SDS"/>
    <x v="1"/>
    <n v="2"/>
    <s v="9327823085 6354877916"/>
    <s v="9327823085 6354877916"/>
    <s v="DCV_2023-26"/>
    <m/>
    <n v="27500"/>
    <n v="27500"/>
    <n v="0"/>
    <n v="0"/>
    <n v="0"/>
    <n v="3000"/>
    <n v="3000"/>
    <n v="0"/>
    <n v="0"/>
    <n v="0"/>
    <n v="0"/>
    <n v="0"/>
    <n v="0"/>
    <n v="0"/>
    <n v="0"/>
    <n v="0"/>
    <n v="0"/>
    <n v="0"/>
    <n v="0"/>
    <n v="0"/>
    <m/>
  </r>
  <r>
    <s v="23SDSCV01007"/>
    <s v="PARMAR AKASH GOVINDBHAI"/>
    <s v="SDS"/>
    <x v="1"/>
    <n v="2"/>
    <s v="8780083783 9825619875"/>
    <s v="8780083783 9825619875"/>
    <s v="DCV_2023-26"/>
    <s v="FREESHIP CARD"/>
    <n v="27500"/>
    <n v="0"/>
    <n v="0"/>
    <n v="0"/>
    <n v="27500"/>
    <n v="3000"/>
    <n v="3000"/>
    <n v="0"/>
    <n v="0"/>
    <n v="0"/>
    <n v="0"/>
    <n v="0"/>
    <n v="0"/>
    <n v="0"/>
    <n v="0"/>
    <n v="0"/>
    <n v="0"/>
    <n v="0"/>
    <n v="0"/>
    <n v="0"/>
    <m/>
  </r>
  <r>
    <s v="23SDSCV01008"/>
    <s v="SAKARIYA PARTH MANDEEPBHAI"/>
    <s v="SDS"/>
    <x v="1"/>
    <n v="2"/>
    <s v="9316303919 9099084252"/>
    <s v="9316303919 9099084252"/>
    <s v="DCV_2023-26"/>
    <s v="KSP"/>
    <n v="27500"/>
    <n v="15000"/>
    <n v="0"/>
    <n v="12500"/>
    <n v="0"/>
    <n v="3000"/>
    <n v="3000"/>
    <n v="0"/>
    <n v="0"/>
    <n v="0"/>
    <n v="0"/>
    <n v="0"/>
    <n v="0"/>
    <n v="0"/>
    <n v="0"/>
    <n v="0"/>
    <n v="0"/>
    <n v="0"/>
    <n v="0"/>
    <n v="0"/>
    <s v="KSPS ( 12500/- )"/>
  </r>
  <r>
    <s v="23SDSCV01009"/>
    <s v="SHELADIYA HEMANSHU PRAVINBHAI"/>
    <s v="SDS"/>
    <x v="1"/>
    <n v="2"/>
    <s v="9427277012 9687352002 9824549768"/>
    <s v="9427277012 9687352002 9824549768"/>
    <s v="DCV_2023-26"/>
    <m/>
    <n v="27500"/>
    <n v="27500"/>
    <n v="0"/>
    <n v="0"/>
    <n v="0"/>
    <n v="3000"/>
    <n v="3000"/>
    <n v="0"/>
    <n v="0"/>
    <n v="0"/>
    <n v="0"/>
    <n v="0"/>
    <n v="0"/>
    <n v="0"/>
    <n v="0"/>
    <n v="0"/>
    <n v="0"/>
    <n v="0"/>
    <n v="0"/>
    <n v="0"/>
    <m/>
  </r>
  <r>
    <s v="23SDSCV01010"/>
    <s v="VALA JAYDEEP DHIRUBHAI"/>
    <s v="SDS"/>
    <x v="1"/>
    <n v="2"/>
    <s v="8849993464 9638493901"/>
    <s v="8849993464 9638493901"/>
    <s v="DCV_2023-26"/>
    <m/>
    <n v="27500"/>
    <n v="27500"/>
    <n v="0"/>
    <n v="0"/>
    <n v="0"/>
    <n v="3000"/>
    <n v="3000"/>
    <n v="0"/>
    <n v="0"/>
    <n v="0"/>
    <n v="0"/>
    <n v="0"/>
    <n v="0"/>
    <n v="0"/>
    <n v="0"/>
    <n v="0"/>
    <n v="0"/>
    <n v="0"/>
    <n v="0"/>
    <n v="0"/>
    <m/>
  </r>
  <r>
    <s v="23SDSCV01011"/>
    <s v="MARU DARSHAN DHARMSHIBHAI"/>
    <s v="SDS"/>
    <x v="1"/>
    <n v="2"/>
    <s v="9978467015 9925564402"/>
    <s v="9978467015 9925564402"/>
    <s v="DCV_2023-26"/>
    <m/>
    <n v="27500"/>
    <n v="0"/>
    <n v="0"/>
    <m/>
    <n v="27500"/>
    <n v="3000"/>
    <n v="3000"/>
    <n v="0"/>
    <n v="0"/>
    <n v="0"/>
    <n v="0"/>
    <n v="0"/>
    <n v="0"/>
    <n v="0"/>
    <n v="0"/>
    <n v="0"/>
    <n v="0"/>
    <n v="0"/>
    <n v="0"/>
    <n v="0"/>
    <m/>
  </r>
  <r>
    <s v="23SDSCV01012"/>
    <s v="SAMA AKSHA IKBALBHAI"/>
    <s v="SDS"/>
    <x v="1"/>
    <n v="2"/>
    <s v="9825564911 9925237811 9824299078"/>
    <s v="9825564911 9925237811 9824299078"/>
    <s v="DCV_2023-26"/>
    <s v="MYSY"/>
    <n v="27500"/>
    <n v="12000"/>
    <n v="15500"/>
    <n v="0"/>
    <n v="15500"/>
    <n v="3000"/>
    <n v="3000"/>
    <n v="0"/>
    <n v="0"/>
    <n v="0"/>
    <n v="0"/>
    <n v="0"/>
    <n v="0"/>
    <n v="0"/>
    <n v="0"/>
    <n v="0"/>
    <n v="0"/>
    <n v="0"/>
    <n v="0"/>
    <n v="0"/>
    <s v="MYSY (25000/-)_x0009_KSPS ( 12500/- )"/>
  </r>
  <r>
    <s v="23SDSCV01013"/>
    <s v="ANSHU KUMARI"/>
    <s v="SDS"/>
    <x v="1"/>
    <n v="2"/>
    <s v="BIHAR STUDENT"/>
    <s v="BIHAR STUDENT"/>
    <s v="DCV_2023-26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23SDSCV01602"/>
    <s v="RAM NATH RAY"/>
    <s v="SDS"/>
    <x v="1"/>
    <n v="2"/>
    <s v="INTERNATIONAL"/>
    <s v="INR FEE STUDENT"/>
    <s v="DCV_2023-26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23SDSCV01601"/>
    <s v="CHANDAN KUMAR YADAV"/>
    <s v="SDS"/>
    <x v="1"/>
    <n v="2"/>
    <s v="INTERNATIONAL"/>
    <s v="INR FEE STUDENT"/>
    <s v="DCV_2023-26"/>
    <m/>
    <n v="0"/>
    <n v="0"/>
    <n v="0"/>
    <n v="0"/>
    <n v="0"/>
    <n v="0"/>
    <n v="0"/>
    <n v="0"/>
    <n v="0"/>
    <n v="0"/>
    <m/>
    <m/>
    <m/>
    <m/>
    <m/>
    <m/>
    <m/>
    <m/>
    <m/>
    <m/>
    <m/>
  </r>
  <r>
    <s v="21SDSCV01022"/>
    <s v="VALA MIHIRKUMAR RAMESHBHAI"/>
    <s v="SDS"/>
    <x v="1"/>
    <n v="4"/>
    <s v="9824499413_x000a_8866576374"/>
    <s v="9824499413_x000a_8866576374"/>
    <s v="DCV_2022-25"/>
    <s v="FREESHIP CARD"/>
    <n v="25000"/>
    <n v="0"/>
    <n v="0"/>
    <n v="0"/>
    <n v="25000"/>
    <n v="3000"/>
    <n v="3000"/>
    <n v="0"/>
    <n v="0"/>
    <n v="0"/>
    <n v="0"/>
    <n v="0"/>
    <n v="0"/>
    <n v="0"/>
    <n v="0"/>
    <n v="0"/>
    <n v="0"/>
    <n v="0"/>
    <n v="0"/>
    <n v="0"/>
    <m/>
  </r>
  <r>
    <s v="22SDSCV01001"/>
    <s v="CHABHADIYA MILAN DHARMENDRABHAI"/>
    <s v="SDS"/>
    <x v="1"/>
    <n v="4"/>
    <s v="9601618904 9998623709"/>
    <s v="9601618904 9998623709"/>
    <s v="DCV_2022-25"/>
    <s v="KSP"/>
    <n v="25000"/>
    <n v="12500"/>
    <n v="0"/>
    <n v="0"/>
    <n v="12500"/>
    <n v="3000"/>
    <n v="3000"/>
    <n v="0"/>
    <n v="0"/>
    <n v="0"/>
    <n v="0"/>
    <n v="0"/>
    <n v="0"/>
    <n v="0"/>
    <n v="0"/>
    <n v="0"/>
    <n v="0"/>
    <n v="0"/>
    <n v="0"/>
    <n v="0"/>
    <s v="RS 12500 PER SEM SCHOLARSHIP"/>
  </r>
  <r>
    <s v="22SDSCV01002"/>
    <s v="CHAVDA RAJNANDNI MAHENDRASINH"/>
    <s v="SDS"/>
    <x v="1"/>
    <n v="4"/>
    <s v="8469483686 9638757473"/>
    <s v="8469483686 9638757473"/>
    <s v="DCV_2022-25"/>
    <m/>
    <n v="25000"/>
    <n v="25000"/>
    <n v="0"/>
    <n v="0"/>
    <n v="0"/>
    <n v="3000"/>
    <n v="3000"/>
    <n v="0"/>
    <n v="0"/>
    <n v="0"/>
    <n v="0"/>
    <n v="0"/>
    <n v="0"/>
    <n v="0"/>
    <n v="0"/>
    <n v="0"/>
    <n v="0"/>
    <n v="0"/>
    <n v="0"/>
    <n v="0"/>
    <m/>
  </r>
  <r>
    <s v="22SDSCV01003"/>
    <s v="DOBARIYA AYUSH RASIKBHAI"/>
    <s v="SDS"/>
    <x v="1"/>
    <n v="4"/>
    <s v="9726245996 9624434117"/>
    <s v="9726245996 9624434117"/>
    <s v="DCV_2022-25"/>
    <s v="KSP"/>
    <n v="25000"/>
    <n v="12500"/>
    <n v="0"/>
    <n v="12500"/>
    <n v="0"/>
    <n v="3000"/>
    <n v="3000"/>
    <n v="0"/>
    <n v="0"/>
    <n v="0"/>
    <n v="0"/>
    <n v="0"/>
    <n v="0"/>
    <n v="0"/>
    <n v="0"/>
    <n v="0"/>
    <n v="0"/>
    <n v="0"/>
    <n v="0"/>
    <n v="0"/>
    <s v="RS 12500 PER SEM SCHOLARSHIP"/>
  </r>
  <r>
    <s v="22SDSCV01004"/>
    <s v="DOD JAYDRATH SANJAYBHAI"/>
    <s v="SDS"/>
    <x v="1"/>
    <n v="4"/>
    <s v="7211115929 9879915929"/>
    <s v="7211115929 9879915929"/>
    <s v="DCV_2022-25"/>
    <s v="KSP"/>
    <n v="25000"/>
    <n v="0"/>
    <n v="0"/>
    <n v="6250"/>
    <n v="18750"/>
    <n v="3000"/>
    <n v="0"/>
    <n v="0"/>
    <n v="0"/>
    <n v="3000"/>
    <n v="0"/>
    <n v="0"/>
    <n v="0"/>
    <n v="0"/>
    <n v="0"/>
    <n v="0"/>
    <n v="0"/>
    <n v="0"/>
    <n v="0"/>
    <n v="0"/>
    <s v="RS 6250 PER SEM SCHOLARSHIP"/>
  </r>
  <r>
    <s v="22SDSCV01005"/>
    <s v="DODIYA KEVIN ASHWINBHAI"/>
    <s v="SDS"/>
    <x v="1"/>
    <n v="4"/>
    <s v="8160312810 9714906250"/>
    <s v="8160312810 9714906250"/>
    <s v="DCV_2022-25"/>
    <s v="MYSY"/>
    <n v="25000"/>
    <n v="0"/>
    <n v="0"/>
    <n v="0"/>
    <n v="25000"/>
    <n v="3000"/>
    <n v="0"/>
    <n v="0"/>
    <n v="0"/>
    <n v="3000"/>
    <n v="0"/>
    <n v="0"/>
    <n v="0"/>
    <n v="0"/>
    <n v="0"/>
    <n v="0"/>
    <n v="0"/>
    <n v="0"/>
    <n v="0"/>
    <n v="0"/>
    <s v="KSPS(25%) + MYSY(50%) "/>
  </r>
  <r>
    <s v="22SDSCV01006"/>
    <s v="GAJERA BHAVIN KANTIBHAI"/>
    <s v="SDS"/>
    <x v="1"/>
    <n v="4"/>
    <s v="9574499388 7698236276"/>
    <s v="9574499388 7698236276"/>
    <s v="DCV_2022-25"/>
    <s v="MYSY"/>
    <n v="25000"/>
    <n v="0"/>
    <n v="0"/>
    <n v="0"/>
    <n v="25000"/>
    <n v="3000"/>
    <n v="3000"/>
    <n v="0"/>
    <n v="0"/>
    <n v="0"/>
    <n v="0"/>
    <n v="0"/>
    <n v="0"/>
    <n v="0"/>
    <n v="0"/>
    <n v="0"/>
    <n v="0"/>
    <n v="0"/>
    <n v="0"/>
    <n v="0"/>
    <s v="KSPS(50%) + MYSY(50%) "/>
  </r>
  <r>
    <s v="22SDSCV01007"/>
    <s v="AHMAD IBRAR"/>
    <s v="SDS"/>
    <x v="1"/>
    <n v="4"/>
    <s v="BIHAR STUDENT"/>
    <s v="BIHAR STUDENT"/>
    <s v="DCV_2022-25"/>
    <m/>
    <n v="42500"/>
    <n v="0"/>
    <n v="0"/>
    <n v="0"/>
    <n v="42500"/>
    <n v="3000"/>
    <n v="0"/>
    <n v="0"/>
    <n v="0"/>
    <n v="3000"/>
    <n v="0"/>
    <n v="0"/>
    <n v="0"/>
    <n v="0"/>
    <n v="0"/>
    <n v="0"/>
    <n v="0"/>
    <n v="0"/>
    <n v="0"/>
    <n v="0"/>
    <m/>
  </r>
  <r>
    <s v="22SDSCV01008"/>
    <s v="JADWANI JANVI SUBHASHBHAI"/>
    <s v="SDS"/>
    <x v="1"/>
    <n v="4"/>
    <s v="7990037575 9737128277 7567048123"/>
    <s v="7990037575 9737128277 7567048123"/>
    <s v="DCV_2022-25"/>
    <s v="MYSY"/>
    <n v="25000"/>
    <n v="25000"/>
    <n v="0"/>
    <n v="0"/>
    <n v="0"/>
    <n v="3000"/>
    <n v="3000"/>
    <n v="0"/>
    <n v="0"/>
    <n v="0"/>
    <n v="0"/>
    <n v="0"/>
    <n v="0"/>
    <n v="0"/>
    <n v="0"/>
    <n v="0"/>
    <n v="0"/>
    <n v="0"/>
    <n v="0"/>
    <n v="0"/>
    <s v="KSPS(25%) + MYSY(50%) "/>
  </r>
  <r>
    <s v="22SDSCV01009"/>
    <s v="KAKKAD HET GOPALDAS"/>
    <s v="SDS"/>
    <x v="1"/>
    <n v="4"/>
    <s v="6351375815 9925992966"/>
    <s v="6351375815 9925992966"/>
    <s v="DCV_2022-25"/>
    <s v="KSP"/>
    <n v="25000"/>
    <n v="18750"/>
    <n v="0"/>
    <n v="6250"/>
    <n v="0"/>
    <n v="3000"/>
    <n v="3000"/>
    <n v="0"/>
    <n v="0"/>
    <n v="0"/>
    <n v="0"/>
    <n v="0"/>
    <n v="0"/>
    <n v="0"/>
    <n v="0"/>
    <n v="0"/>
    <n v="0"/>
    <n v="0"/>
    <n v="0"/>
    <n v="0"/>
    <s v="RS 6250 PER SEM SCHOLARSHIP"/>
  </r>
  <r>
    <s v="22SDSCV01011"/>
    <s v="RONAK SENGHANI"/>
    <s v="SDS"/>
    <x v="1"/>
    <n v="4"/>
    <s v="9825899767 9978254666"/>
    <s v="9825899767 9978254666"/>
    <s v="DCV_2022-25"/>
    <m/>
    <n v="25000"/>
    <n v="25000"/>
    <n v="0"/>
    <n v="0"/>
    <n v="0"/>
    <n v="3000"/>
    <n v="3000"/>
    <n v="0"/>
    <n v="0"/>
    <n v="0"/>
    <n v="0"/>
    <n v="0"/>
    <n v="0"/>
    <n v="0"/>
    <n v="0"/>
    <n v="0"/>
    <n v="0"/>
    <n v="0"/>
    <n v="0"/>
    <n v="0"/>
    <m/>
  </r>
  <r>
    <s v="22SDSCV01012"/>
    <s v="THORIYA BHUMIBEN DHARMENDRABHAI"/>
    <s v="SDS"/>
    <x v="1"/>
    <n v="4"/>
    <s v="7490006165 9909281497"/>
    <s v="7490006165 9909281497"/>
    <s v="DCV_2022-25"/>
    <s v="MYSY"/>
    <n v="25000"/>
    <n v="0"/>
    <n v="0"/>
    <n v="0"/>
    <n v="25000"/>
    <n v="3000"/>
    <n v="3000"/>
    <n v="0"/>
    <n v="0"/>
    <n v="0"/>
    <n v="0"/>
    <n v="0"/>
    <n v="0"/>
    <n v="0"/>
    <n v="0"/>
    <n v="0"/>
    <n v="0"/>
    <n v="0"/>
    <n v="0"/>
    <n v="0"/>
    <s v="KSPS(25%) + MYSY(50%) "/>
  </r>
  <r>
    <s v="22SDSCV01013"/>
    <s v="VADAVIYA AEHMADRAJA GULAMRASUL"/>
    <s v="SDS"/>
    <x v="1"/>
    <n v="4"/>
    <s v="9054863486 8140409745"/>
    <s v="9054863486 8140409745"/>
    <s v="DCV_2022-25"/>
    <s v="MYSY"/>
    <n v="25000"/>
    <n v="0"/>
    <n v="0"/>
    <n v="0"/>
    <n v="25000"/>
    <n v="3000"/>
    <n v="3000"/>
    <n v="0"/>
    <n v="0"/>
    <n v="0"/>
    <n v="0"/>
    <n v="0"/>
    <n v="0"/>
    <n v="0"/>
    <n v="0"/>
    <n v="0"/>
    <n v="0"/>
    <n v="0"/>
    <n v="0"/>
    <n v="0"/>
    <s v="KSPS(50%) + MYSY(50%) "/>
  </r>
  <r>
    <s v="22SDSCV01014"/>
    <s v="VAGHELA HIREN MOHAN"/>
    <s v="SDS"/>
    <x v="1"/>
    <n v="4"/>
    <s v="9081789733 9737130524"/>
    <s v="9081789733 9737130524"/>
    <s v="DCV_2022-25"/>
    <s v="FREESHIP CARD"/>
    <n v="25000"/>
    <n v="0"/>
    <n v="0"/>
    <n v="0"/>
    <n v="25000"/>
    <n v="3000"/>
    <n v="0"/>
    <n v="0"/>
    <n v="0"/>
    <n v="3000"/>
    <n v="0"/>
    <n v="0"/>
    <n v="0"/>
    <n v="0"/>
    <n v="0"/>
    <n v="0"/>
    <n v="0"/>
    <n v="0"/>
    <n v="0"/>
    <n v="0"/>
    <s v="FREESHIPCARD STUDENT"/>
  </r>
  <r>
    <s v="22SDSCV01015"/>
    <s v="VALA KRISHRAJSINH SHAKTISINH"/>
    <s v="SDS"/>
    <x v="1"/>
    <n v="4"/>
    <s v="9913448817 7990934615"/>
    <s v="9913448817 7990934615"/>
    <s v="DCV_2022-25"/>
    <m/>
    <n v="25000"/>
    <n v="25000"/>
    <n v="0"/>
    <n v="0"/>
    <n v="0"/>
    <n v="3000"/>
    <n v="3000"/>
    <n v="0"/>
    <n v="0"/>
    <n v="0"/>
    <n v="0"/>
    <n v="0"/>
    <n v="0"/>
    <n v="0"/>
    <n v="0"/>
    <n v="0"/>
    <n v="0"/>
    <n v="0"/>
    <n v="0"/>
    <n v="0"/>
    <m/>
  </r>
  <r>
    <s v="22SDSCV01016"/>
    <s v="VANIYA NAYNA ARVINDBHAI"/>
    <s v="SDS"/>
    <x v="1"/>
    <n v="4"/>
    <s v="8154086985_x000a_7096924910"/>
    <s v="8154086985_x000a_7096924910"/>
    <s v="DCV_2022-25"/>
    <s v="FREESHIP CARD"/>
    <n v="25000"/>
    <n v="0"/>
    <n v="0"/>
    <n v="0"/>
    <n v="25000"/>
    <n v="3000"/>
    <n v="0"/>
    <n v="0"/>
    <n v="0"/>
    <n v="3000"/>
    <n v="0"/>
    <n v="0"/>
    <n v="0"/>
    <n v="0"/>
    <n v="0"/>
    <n v="0"/>
    <n v="0"/>
    <n v="0"/>
    <n v="0"/>
    <n v="0"/>
    <s v="FREESHIPCARD STUDENT"/>
  </r>
  <r>
    <s v="22SDSCV01017"/>
    <s v="VISHNUSWAMI RUDRA ASHISHBHAI"/>
    <s v="SDS"/>
    <x v="1"/>
    <n v="4"/>
    <s v="9313100568 _x000a_9737545100"/>
    <s v="9313100568 _x000a_9737545100"/>
    <s v="DCV_2022-25"/>
    <s v="KSP"/>
    <n v="25000"/>
    <n v="18750"/>
    <n v="0"/>
    <n v="6250"/>
    <n v="0"/>
    <n v="3000"/>
    <n v="3000"/>
    <n v="0"/>
    <n v="0"/>
    <n v="0"/>
    <n v="0"/>
    <n v="0"/>
    <n v="0"/>
    <n v="0"/>
    <n v="0"/>
    <n v="0"/>
    <n v="0"/>
    <n v="0"/>
    <n v="0"/>
    <n v="0"/>
    <s v="RS 6250 PER SEM SCHOLARSHIP"/>
  </r>
  <r>
    <s v="22SDSCV01018"/>
    <s v="ZANKAT PRUTHVI DIPSINHBHAI"/>
    <s v="SDS"/>
    <x v="1"/>
    <n v="4"/>
    <s v="9228107016 9551434444"/>
    <s v="9228107016 9551434444"/>
    <s v="DCV_2022-25"/>
    <m/>
    <n v="25000"/>
    <n v="25000"/>
    <n v="0"/>
    <n v="0"/>
    <n v="0"/>
    <n v="3000"/>
    <n v="3000"/>
    <n v="0"/>
    <n v="0"/>
    <n v="0"/>
    <n v="0"/>
    <n v="0"/>
    <n v="0"/>
    <n v="0"/>
    <n v="0"/>
    <n v="0"/>
    <n v="0"/>
    <n v="0"/>
    <n v="0"/>
    <n v="0"/>
    <m/>
  </r>
  <r>
    <s v="22SDSCV01019"/>
    <s v="SAQUIB MALIK"/>
    <s v="SDS"/>
    <x v="1"/>
    <n v="4"/>
    <s v="BIHAR STUDENT"/>
    <s v="BIHAR STUDENT"/>
    <s v="DCV_2022-25"/>
    <m/>
    <n v="42500"/>
    <n v="0"/>
    <n v="0"/>
    <n v="0"/>
    <n v="42500"/>
    <n v="0"/>
    <n v="0"/>
    <n v="0"/>
    <n v="0"/>
    <n v="0"/>
    <n v="0"/>
    <n v="0"/>
    <n v="0"/>
    <n v="0"/>
    <n v="0"/>
    <n v="0"/>
    <n v="0"/>
    <n v="0"/>
    <n v="0"/>
    <n v="0"/>
    <m/>
  </r>
  <r>
    <s v="22SDSCV01023"/>
    <s v="DODIYA ADITYA BIPINBHAI"/>
    <s v="SDS"/>
    <x v="1"/>
    <n v="4"/>
    <s v="7265973600 7984938832"/>
    <s v="7265973600 7984938832"/>
    <s v="DCV_2022-25"/>
    <m/>
    <n v="25000"/>
    <n v="1250"/>
    <n v="0"/>
    <n v="0"/>
    <n v="23750"/>
    <n v="3000"/>
    <n v="0"/>
    <n v="0"/>
    <n v="0"/>
    <n v="3000"/>
    <n v="0"/>
    <n v="0"/>
    <n v="0"/>
    <n v="0"/>
    <n v="0"/>
    <n v="0"/>
    <n v="0"/>
    <n v="0"/>
    <n v="0"/>
    <n v="0"/>
    <m/>
  </r>
  <r>
    <s v="22SDSCV01024"/>
    <s v="TANK JENISH CHANDRESHBHAI"/>
    <s v="SDS"/>
    <x v="1"/>
    <n v="4"/>
    <s v="7046048123 9824860036"/>
    <s v="7046048123 9824860036"/>
    <s v="DCV_2022-25"/>
    <m/>
    <n v="25000"/>
    <n v="0"/>
    <n v="0"/>
    <n v="0"/>
    <n v="25000"/>
    <n v="3000"/>
    <n v="0"/>
    <n v="0"/>
    <n v="0"/>
    <n v="3000"/>
    <n v="0"/>
    <n v="0"/>
    <n v="0"/>
    <n v="0"/>
    <n v="0"/>
    <n v="0"/>
    <n v="0"/>
    <n v="0"/>
    <n v="0"/>
    <n v="0"/>
    <m/>
  </r>
  <r>
    <s v="22SDSCV01026"/>
    <s v="ABHIMANYU KUMAR"/>
    <s v="SDS"/>
    <x v="1"/>
    <n v="4"/>
    <s v="BIHAR STUDENT"/>
    <s v="BIHAR STUDENT"/>
    <s v="DCV_2022-25"/>
    <m/>
    <n v="42500"/>
    <n v="0"/>
    <n v="0"/>
    <n v="0"/>
    <n v="42500"/>
    <n v="0"/>
    <n v="0"/>
    <n v="0"/>
    <n v="0"/>
    <n v="0"/>
    <n v="0"/>
    <n v="0"/>
    <n v="0"/>
    <n v="0"/>
    <n v="0"/>
    <n v="0"/>
    <n v="0"/>
    <n v="0"/>
    <n v="0"/>
    <n v="0"/>
    <m/>
  </r>
  <r>
    <s v="22SDSCV01028"/>
    <s v="AKASH KUMAR"/>
    <s v="SDS"/>
    <x v="1"/>
    <n v="4"/>
    <s v="BIHAR STUDENT"/>
    <s v="BIHAR STUDENT"/>
    <s v="DCV_2022-25"/>
    <m/>
    <n v="42500"/>
    <n v="425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22SDSCV01029"/>
    <s v="KUNDAN KUMAR"/>
    <s v="SDS"/>
    <x v="1"/>
    <n v="4"/>
    <s v="BIHAR STUDENT"/>
    <s v="BIHAR STUDENT"/>
    <s v="DCV_2022-25"/>
    <m/>
    <n v="42500"/>
    <n v="0"/>
    <n v="0"/>
    <n v="0"/>
    <n v="42500"/>
    <n v="0"/>
    <n v="0"/>
    <n v="0"/>
    <n v="0"/>
    <n v="0"/>
    <n v="0"/>
    <n v="0"/>
    <n v="0"/>
    <n v="0"/>
    <n v="0"/>
    <n v="0"/>
    <n v="0"/>
    <n v="0"/>
    <n v="0"/>
    <n v="0"/>
    <m/>
  </r>
  <r>
    <s v="22SDSCV01030"/>
    <s v="NITESH KUMAR"/>
    <s v="SDS"/>
    <x v="1"/>
    <n v="4"/>
    <s v="BIHAR STUDENT"/>
    <s v="BIHAR STUDENT"/>
    <s v="DCV_2022-25"/>
    <m/>
    <n v="42500"/>
    <n v="0"/>
    <n v="0"/>
    <n v="0"/>
    <n v="42500"/>
    <n v="0"/>
    <n v="0"/>
    <n v="0"/>
    <n v="0"/>
    <n v="0"/>
    <n v="0"/>
    <n v="0"/>
    <n v="0"/>
    <n v="0"/>
    <n v="0"/>
    <n v="0"/>
    <n v="0"/>
    <n v="0"/>
    <n v="0"/>
    <n v="0"/>
    <m/>
  </r>
  <r>
    <s v="22SDSCV01031"/>
    <s v="PRABHAT KUMAR"/>
    <s v="SDS"/>
    <x v="1"/>
    <n v="4"/>
    <s v="BIHAR STUDENT"/>
    <s v="BIHAR STUDENT"/>
    <s v="DCV_2022-25"/>
    <m/>
    <n v="42500"/>
    <n v="0"/>
    <n v="0"/>
    <n v="0"/>
    <n v="42500"/>
    <n v="0"/>
    <n v="0"/>
    <n v="0"/>
    <n v="0"/>
    <n v="0"/>
    <n v="0"/>
    <n v="0"/>
    <n v="0"/>
    <n v="0"/>
    <n v="0"/>
    <n v="0"/>
    <n v="0"/>
    <n v="0"/>
    <n v="0"/>
    <n v="0"/>
    <m/>
  </r>
  <r>
    <s v="22SDSCV01032"/>
    <s v="PRASHANT KUMAR"/>
    <s v="SDS"/>
    <x v="1"/>
    <n v="4"/>
    <s v="BIHAR STUDENT"/>
    <s v="BIHAR STUDENT"/>
    <s v="DCV_2022-25"/>
    <m/>
    <n v="42500"/>
    <n v="0"/>
    <n v="0"/>
    <n v="0"/>
    <n v="42500"/>
    <n v="0"/>
    <n v="0"/>
    <n v="0"/>
    <n v="0"/>
    <n v="0"/>
    <n v="0"/>
    <n v="0"/>
    <n v="0"/>
    <n v="0"/>
    <n v="0"/>
    <n v="0"/>
    <n v="0"/>
    <n v="0"/>
    <n v="0"/>
    <n v="0"/>
    <m/>
  </r>
  <r>
    <s v="22SDSCV01033"/>
    <s v="AMARJEET RAJ"/>
    <s v="SDS"/>
    <x v="1"/>
    <n v="4"/>
    <s v="BIHAR STUDENT"/>
    <s v="BIHAR STUDENT"/>
    <s v="DCV_2022-25"/>
    <m/>
    <n v="42500"/>
    <n v="0"/>
    <n v="0"/>
    <n v="0"/>
    <n v="42500"/>
    <n v="0"/>
    <n v="0"/>
    <n v="0"/>
    <n v="0"/>
    <n v="0"/>
    <n v="0"/>
    <n v="0"/>
    <n v="0"/>
    <n v="0"/>
    <n v="0"/>
    <n v="0"/>
    <n v="0"/>
    <n v="0"/>
    <n v="0"/>
    <n v="0"/>
    <m/>
  </r>
  <r>
    <s v="22SDSCV01035"/>
    <s v="MANTU KUMAR SHARMA"/>
    <s v="SDS"/>
    <x v="1"/>
    <n v="4"/>
    <s v="BIHAR STUDENT"/>
    <s v="BIHAR STUDENT"/>
    <s v="DCV_2022-25"/>
    <m/>
    <n v="42500"/>
    <n v="0"/>
    <n v="0"/>
    <n v="0"/>
    <n v="42500"/>
    <n v="0"/>
    <n v="0"/>
    <n v="0"/>
    <n v="0"/>
    <n v="0"/>
    <n v="0"/>
    <n v="0"/>
    <n v="0"/>
    <n v="0"/>
    <n v="0"/>
    <n v="0"/>
    <n v="0"/>
    <n v="0"/>
    <n v="0"/>
    <n v="0"/>
    <m/>
  </r>
  <r>
    <s v="22SDSCV01036"/>
    <s v="SHIBU KUMAR"/>
    <s v="SDS"/>
    <x v="1"/>
    <n v="4"/>
    <s v="BIHAR STUDENT"/>
    <s v="BIHAR STUDENT"/>
    <s v="DCV_2022-25"/>
    <m/>
    <n v="42500"/>
    <n v="0"/>
    <n v="0"/>
    <n v="0"/>
    <n v="42500"/>
    <n v="0"/>
    <n v="0"/>
    <n v="0"/>
    <n v="0"/>
    <n v="0"/>
    <n v="0"/>
    <n v="0"/>
    <n v="0"/>
    <n v="0"/>
    <n v="0"/>
    <n v="0"/>
    <n v="0"/>
    <n v="0"/>
    <n v="0"/>
    <n v="0"/>
    <m/>
  </r>
  <r>
    <s v="22SDSCV01037"/>
    <s v="UDIT KUMAR SINGH"/>
    <s v="SDS"/>
    <x v="1"/>
    <n v="4"/>
    <s v="BIHAR STUDENT"/>
    <s v="BIHAR STUDENT"/>
    <s v="DCV_2022-25"/>
    <m/>
    <n v="42500"/>
    <n v="0"/>
    <n v="0"/>
    <n v="0"/>
    <n v="42500"/>
    <n v="0"/>
    <n v="0"/>
    <n v="0"/>
    <n v="0"/>
    <n v="0"/>
    <n v="0"/>
    <n v="0"/>
    <n v="0"/>
    <n v="0"/>
    <n v="0"/>
    <n v="0"/>
    <n v="0"/>
    <n v="0"/>
    <n v="0"/>
    <n v="0"/>
    <m/>
  </r>
  <r>
    <s v="22SDSCV01038"/>
    <s v="DILKHUSH KUMAR"/>
    <s v="SDS"/>
    <x v="1"/>
    <n v="4"/>
    <s v="BIHAR STUDENT"/>
    <s v="BIHAR STUDENT"/>
    <s v="DCV_2022-25"/>
    <m/>
    <n v="42500"/>
    <n v="0"/>
    <n v="0"/>
    <n v="0"/>
    <n v="42500"/>
    <n v="0"/>
    <n v="0"/>
    <n v="0"/>
    <n v="0"/>
    <n v="0"/>
    <n v="0"/>
    <n v="0"/>
    <n v="0"/>
    <n v="0"/>
    <n v="0"/>
    <n v="0"/>
    <n v="0"/>
    <n v="0"/>
    <n v="0"/>
    <n v="0"/>
    <m/>
  </r>
  <r>
    <s v="22SDSCV01040"/>
    <s v="MD SAIF"/>
    <s v="SDS"/>
    <x v="1"/>
    <n v="4"/>
    <s v="BIHAR STUDENT"/>
    <s v="BIHAR STUDENT"/>
    <s v="DCV_2022-25"/>
    <m/>
    <n v="42500"/>
    <n v="0"/>
    <n v="0"/>
    <n v="0"/>
    <n v="42500"/>
    <n v="0"/>
    <n v="0"/>
    <n v="0"/>
    <n v="0"/>
    <n v="0"/>
    <n v="0"/>
    <n v="0"/>
    <n v="0"/>
    <n v="0"/>
    <n v="0"/>
    <n v="0"/>
    <n v="0"/>
    <n v="0"/>
    <n v="0"/>
    <n v="0"/>
    <m/>
  </r>
  <r>
    <s v="22SDSCV01601"/>
    <s v="MAHA NARAYAN MANDAL"/>
    <s v="SDS"/>
    <x v="1"/>
    <n v="4"/>
    <s v="INTERNATIONAL"/>
    <s v="INR FEE STUDENT"/>
    <s v="DCV_2022-25"/>
    <m/>
    <n v="37500"/>
    <n v="375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22SDSCV01602"/>
    <s v="MITHLESH KUMAR YADAV"/>
    <s v="SDS"/>
    <x v="1"/>
    <n v="4"/>
    <s v="INTERNATIONAL"/>
    <s v="INR FEE STUDENT"/>
    <s v="DCV_2022-25"/>
    <m/>
    <n v="37500"/>
    <n v="375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22SDSCV01603"/>
    <s v="AKASH KUMAR CHAI"/>
    <s v="SDS"/>
    <x v="1"/>
    <n v="4"/>
    <s v="INTERNATIONAL"/>
    <s v="INR FEE STUDENT"/>
    <s v="DCV_2022-25"/>
    <m/>
    <n v="37500"/>
    <n v="0"/>
    <n v="0"/>
    <n v="0"/>
    <n v="37500"/>
    <n v="0"/>
    <n v="0"/>
    <n v="0"/>
    <n v="0"/>
    <n v="0"/>
    <n v="0"/>
    <n v="0"/>
    <n v="0"/>
    <n v="0"/>
    <n v="0"/>
    <n v="0"/>
    <n v="0"/>
    <n v="0"/>
    <n v="0"/>
    <n v="0"/>
    <m/>
  </r>
  <r>
    <s v="22SDSCV01604"/>
    <s v="SANJAY THAKUR"/>
    <s v="SDS"/>
    <x v="1"/>
    <n v="4"/>
    <s v="INTERNATIONAL"/>
    <s v="INR FEE STUDENT"/>
    <s v="DCV_2022-25"/>
    <m/>
    <n v="37500"/>
    <n v="375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22SDSCV01605"/>
    <s v="GAJENDRA PANDIT"/>
    <s v="SDS"/>
    <x v="1"/>
    <n v="4"/>
    <s v="INTERNATIONAL"/>
    <s v="INR FEE STUDENT"/>
    <s v="DCV_2022-25"/>
    <m/>
    <n v="37500"/>
    <n v="375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22SDSCV01606"/>
    <s v="RAJESH KUMAR MANDAL"/>
    <s v="SDS"/>
    <x v="1"/>
    <n v="4"/>
    <s v="INTERNATIONAL"/>
    <s v="INR FEE STUDENT"/>
    <s v="DCV_2022-25"/>
    <m/>
    <n v="37500"/>
    <n v="375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22SDSCV01607"/>
    <s v="DIPESH PRASAD PATEL"/>
    <s v="SDS"/>
    <x v="1"/>
    <n v="4"/>
    <s v="INTERNATIONAL"/>
    <s v="INR FEE STUDENT"/>
    <s v="DCV_2022-25"/>
    <m/>
    <n v="37500"/>
    <n v="0"/>
    <n v="0"/>
    <n v="0"/>
    <n v="37500"/>
    <n v="0"/>
    <n v="0"/>
    <n v="0"/>
    <n v="0"/>
    <n v="0"/>
    <n v="0"/>
    <n v="0"/>
    <n v="0"/>
    <n v="0"/>
    <n v="0"/>
    <n v="0"/>
    <n v="0"/>
    <n v="0"/>
    <n v="0"/>
    <n v="0"/>
    <m/>
  </r>
  <r>
    <s v="22SDSCV01608"/>
    <s v="AJAY SAHANI"/>
    <s v="SDS"/>
    <x v="1"/>
    <n v="4"/>
    <s v="INTERNATIONAL"/>
    <s v="INR FEE STUDENT"/>
    <s v="DCV_2022-25"/>
    <m/>
    <n v="37500"/>
    <n v="0"/>
    <n v="0"/>
    <n v="0"/>
    <n v="37500"/>
    <n v="0"/>
    <n v="0"/>
    <n v="0"/>
    <n v="0"/>
    <n v="0"/>
    <n v="0"/>
    <n v="0"/>
    <n v="0"/>
    <n v="0"/>
    <n v="0"/>
    <n v="0"/>
    <n v="0"/>
    <n v="0"/>
    <n v="0"/>
    <n v="0"/>
    <m/>
  </r>
  <r>
    <s v="23SDSCV03801"/>
    <s v="PRAKASH KUMAR"/>
    <s v="SDS"/>
    <x v="1"/>
    <n v="4"/>
    <s v="BIHAR STUDENT"/>
    <s v="BIHAR STUDENT"/>
    <s v="DCV_2022-25"/>
    <m/>
    <n v="42500"/>
    <n v="0"/>
    <n v="0"/>
    <n v="0"/>
    <n v="42500"/>
    <n v="0"/>
    <n v="0"/>
    <n v="0"/>
    <n v="0"/>
    <n v="0"/>
    <n v="0"/>
    <n v="0"/>
    <n v="0"/>
    <n v="0"/>
    <n v="0"/>
    <n v="0"/>
    <n v="0"/>
    <n v="0"/>
    <n v="0"/>
    <n v="0"/>
    <m/>
  </r>
  <r>
    <s v="21SDSCV01005"/>
    <s v="BHUVA SUJAL RANCHODBHAI"/>
    <s v="SDS"/>
    <x v="1"/>
    <n v="6"/>
    <s v="9687892109 8849315303"/>
    <s v="9687892109 8849315303"/>
    <s v="DCV_2021-24"/>
    <m/>
    <n v="25000"/>
    <n v="25000"/>
    <n v="0"/>
    <n v="0"/>
    <n v="0"/>
    <n v="3750"/>
    <n v="3750"/>
    <n v="0"/>
    <n v="0"/>
    <n v="0"/>
    <n v="0"/>
    <n v="0"/>
    <n v="0"/>
    <n v="0"/>
    <n v="0"/>
    <n v="0"/>
    <n v="0"/>
    <n v="0"/>
    <n v="0"/>
    <n v="0"/>
    <m/>
  </r>
  <r>
    <s v="21SDSCV01006"/>
    <s v="BHUVA YASHVI PARESHBHAI"/>
    <s v="SDS"/>
    <x v="1"/>
    <n v="6"/>
    <s v="9824019096_x000a_9925846964"/>
    <s v="9824019096_x000a_9925846964"/>
    <s v="DCV_2021-24"/>
    <s v="MYSY"/>
    <n v="25000"/>
    <n v="0"/>
    <n v="0"/>
    <n v="0"/>
    <n v="25000"/>
    <n v="3750"/>
    <n v="3750"/>
    <n v="0"/>
    <n v="0"/>
    <n v="0"/>
    <n v="0"/>
    <n v="0"/>
    <n v="0"/>
    <n v="0"/>
    <n v="0"/>
    <n v="0"/>
    <n v="0"/>
    <n v="0"/>
    <n v="0"/>
    <n v="0"/>
    <s v="MYSY(50%) + KSPS(50%)"/>
  </r>
  <r>
    <s v="21SDSCV01008"/>
    <s v="HARSODA TUSHAR GHANSHYAMBHAI"/>
    <s v="SDS"/>
    <x v="1"/>
    <n v="6"/>
    <s v="9510305431_x000a_9825630567"/>
    <s v="9510305431_x000a_9825630567"/>
    <s v="DCV_2021-24"/>
    <m/>
    <n v="25000"/>
    <n v="0"/>
    <n v="25000"/>
    <n v="0"/>
    <n v="25000"/>
    <n v="3750"/>
    <n v="0"/>
    <n v="3750"/>
    <n v="0"/>
    <n v="3750"/>
    <n v="0"/>
    <n v="0"/>
    <n v="0"/>
    <n v="0"/>
    <n v="0"/>
    <n v="0"/>
    <n v="0"/>
    <n v="0"/>
    <n v="0"/>
    <n v="0"/>
    <m/>
  </r>
  <r>
    <s v="21SDSCV01009"/>
    <s v="JANI DOLLYBEN KIRANBHAI"/>
    <s v="SDS"/>
    <x v="1"/>
    <n v="6"/>
    <s v="6355966599 _x000a_6354999162"/>
    <s v="6355966599 _x000a_6354999162"/>
    <s v="DCV_2021-24"/>
    <m/>
    <n v="25000"/>
    <n v="25000"/>
    <n v="0"/>
    <n v="0"/>
    <n v="0"/>
    <n v="3750"/>
    <n v="3750"/>
    <n v="0"/>
    <n v="0"/>
    <n v="0"/>
    <n v="0"/>
    <n v="0"/>
    <n v="0"/>
    <n v="0"/>
    <n v="0"/>
    <n v="0"/>
    <n v="0"/>
    <n v="0"/>
    <n v="0"/>
    <n v="0"/>
    <m/>
  </r>
  <r>
    <s v="21SDSCV01011"/>
    <s v="KANABAR UDDHAV PRAFULBHAI"/>
    <s v="SDS"/>
    <x v="1"/>
    <n v="6"/>
    <s v=" 9428891800 _x000a_7700027000"/>
    <s v=" 9428891800 _x000a_7700027000"/>
    <s v="DCV_2021-24"/>
    <m/>
    <n v="25000"/>
    <n v="25000"/>
    <n v="0"/>
    <n v="0"/>
    <n v="0"/>
    <n v="3750"/>
    <n v="3750"/>
    <n v="0"/>
    <n v="0"/>
    <n v="0"/>
    <n v="0"/>
    <n v="0"/>
    <n v="0"/>
    <n v="0"/>
    <n v="0"/>
    <n v="0"/>
    <n v="0"/>
    <n v="0"/>
    <n v="0"/>
    <n v="0"/>
    <s v="KSPS(50%)+MYSY(50%)"/>
  </r>
  <r>
    <s v="21SDSCV01012"/>
    <s v="MORJARIYA MEET VALLABHBHAI"/>
    <s v="SDS"/>
    <x v="1"/>
    <n v="6"/>
    <s v="8469030201 9265241493"/>
    <s v="8469030201 9265241493"/>
    <s v="DCV_2021-24"/>
    <s v="MYSY"/>
    <n v="25000"/>
    <n v="0"/>
    <n v="0"/>
    <n v="0"/>
    <n v="25000"/>
    <n v="3750"/>
    <n v="3750"/>
    <n v="0"/>
    <n v="0"/>
    <n v="0"/>
    <n v="0"/>
    <n v="0"/>
    <n v="0"/>
    <n v="0"/>
    <n v="0"/>
    <n v="0"/>
    <n v="0"/>
    <n v="0"/>
    <n v="0"/>
    <n v="0"/>
    <s v="KSPS(50%)+MYSY(50%)"/>
  </r>
  <r>
    <s v="21SDSCV01014"/>
    <s v="PATEL KRISHNABEN JAGUBHAI"/>
    <s v="SDS"/>
    <x v="1"/>
    <n v="6"/>
    <s v="9327175935_x000a_7433039073"/>
    <s v="9327175935_x000a_7433039073"/>
    <s v="DCV_2021-24"/>
    <m/>
    <n v="25000"/>
    <n v="25000"/>
    <n v="0"/>
    <n v="0"/>
    <n v="0"/>
    <n v="3750"/>
    <n v="3750"/>
    <n v="0"/>
    <n v="0"/>
    <n v="0"/>
    <n v="0"/>
    <n v="0"/>
    <n v="0"/>
    <n v="0"/>
    <n v="0"/>
    <n v="0"/>
    <n v="0"/>
    <n v="0"/>
    <n v="0"/>
    <n v="0"/>
    <m/>
  </r>
  <r>
    <s v="21SDSCV01020"/>
    <s v="TALA PREET KETANBHAI"/>
    <s v="SDS"/>
    <x v="1"/>
    <n v="6"/>
    <s v="7284045918 _x000a_9724651910"/>
    <s v="7284045918 _x000a_9724651910"/>
    <s v="DCV_2021-24"/>
    <s v="MYSY"/>
    <n v="25000"/>
    <n v="25000"/>
    <n v="0"/>
    <n v="0"/>
    <n v="0"/>
    <n v="3750"/>
    <n v="3750"/>
    <n v="0"/>
    <n v="0"/>
    <n v="0"/>
    <n v="0"/>
    <n v="0"/>
    <n v="0"/>
    <n v="0"/>
    <n v="0"/>
    <n v="0"/>
    <n v="0"/>
    <n v="0"/>
    <n v="0"/>
    <n v="0"/>
    <s v="KSPS(50%)+MYSY(50%)"/>
  </r>
  <r>
    <s v="21SDSCV01023"/>
    <s v="VASANI DHRUVIK YOGESHBHAI"/>
    <s v="SDS"/>
    <x v="1"/>
    <n v="6"/>
    <s v="9824295359_x000a_9824295359"/>
    <s v="9824295359_x000a_9824295359"/>
    <s v="DCV_2021-24"/>
    <s v="MYSY"/>
    <n v="25000"/>
    <n v="0"/>
    <n v="0"/>
    <n v="0"/>
    <n v="25000"/>
    <n v="3750"/>
    <n v="3750"/>
    <n v="0"/>
    <n v="0"/>
    <n v="0"/>
    <n v="0"/>
    <n v="0"/>
    <n v="0"/>
    <n v="0"/>
    <n v="0"/>
    <n v="0"/>
    <n v="0"/>
    <n v="0"/>
    <n v="0"/>
    <n v="0"/>
    <s v="KSPS(50%)+MYSY(50%)"/>
  </r>
  <r>
    <s v="21SDSCV01601"/>
    <s v="AMIT KUMAR PANDAY"/>
    <s v="SDS"/>
    <x v="1"/>
    <n v="6"/>
    <s v="INTERNATIONAL"/>
    <s v="INR FEE STUDENT"/>
    <s v="DCV_2021-24"/>
    <m/>
    <n v="35000"/>
    <n v="35000"/>
    <n v="0"/>
    <n v="0"/>
    <n v="0"/>
    <n v="1250"/>
    <n v="1250"/>
    <n v="0"/>
    <n v="0"/>
    <n v="0"/>
    <n v="0"/>
    <n v="0"/>
    <n v="0"/>
    <n v="0"/>
    <n v="0"/>
    <n v="0"/>
    <n v="0"/>
    <n v="0"/>
    <n v="0"/>
    <n v="0"/>
    <m/>
  </r>
  <r>
    <s v="21SDSCV01602"/>
    <s v="ROSHAN PATEL"/>
    <s v="SDS"/>
    <x v="1"/>
    <n v="6"/>
    <s v="INTERNATIONAL"/>
    <s v="INR FEE STUDENT"/>
    <s v="DCV_2021-24"/>
    <m/>
    <n v="35000"/>
    <n v="0"/>
    <n v="0"/>
    <n v="0"/>
    <n v="35000"/>
    <n v="1250"/>
    <n v="0"/>
    <n v="0"/>
    <n v="0"/>
    <n v="1250"/>
    <n v="0"/>
    <n v="0"/>
    <n v="0"/>
    <n v="0"/>
    <n v="0"/>
    <n v="0"/>
    <n v="0"/>
    <n v="0"/>
    <n v="0"/>
    <n v="0"/>
    <m/>
  </r>
  <r>
    <s v="21SDSCV01603"/>
    <s v="TILAKRAM RAJAK DHOBI"/>
    <s v="SDS"/>
    <x v="1"/>
    <n v="6"/>
    <s v="INTERNATIONAL"/>
    <s v="INR FEE STUDENT"/>
    <s v="DCV_2021-24"/>
    <m/>
    <n v="35000"/>
    <n v="0"/>
    <n v="0"/>
    <n v="0"/>
    <n v="35000"/>
    <n v="1250"/>
    <n v="0"/>
    <n v="0"/>
    <n v="0"/>
    <n v="1250"/>
    <n v="0"/>
    <n v="0"/>
    <n v="0"/>
    <n v="0"/>
    <n v="0"/>
    <n v="0"/>
    <n v="0"/>
    <n v="0"/>
    <n v="0"/>
    <n v="0"/>
    <m/>
  </r>
  <r>
    <s v="21SDSCV01604"/>
    <s v="PRADEEP KUMAR URANW"/>
    <s v="SDS"/>
    <x v="1"/>
    <n v="6"/>
    <s v="INTERNATIONAL"/>
    <s v="INR FEE STUDENT"/>
    <s v="DCV_2021-24"/>
    <m/>
    <n v="35000"/>
    <n v="0"/>
    <n v="0"/>
    <n v="0"/>
    <n v="35000"/>
    <n v="1250"/>
    <n v="0"/>
    <n v="0"/>
    <n v="0"/>
    <n v="1250"/>
    <n v="0"/>
    <n v="0"/>
    <n v="0"/>
    <n v="0"/>
    <n v="0"/>
    <n v="0"/>
    <n v="0"/>
    <n v="0"/>
    <n v="0"/>
    <n v="0"/>
    <m/>
  </r>
  <r>
    <s v="21SDSCV01605"/>
    <s v="CHANDAN YADAV"/>
    <s v="SDS"/>
    <x v="1"/>
    <n v="6"/>
    <s v="INTERNATIONAL"/>
    <s v="INR FEE STUDENT"/>
    <s v="DCV_2021-24"/>
    <m/>
    <n v="35000"/>
    <n v="35000"/>
    <n v="0"/>
    <n v="0"/>
    <n v="0"/>
    <n v="1250"/>
    <n v="1250"/>
    <n v="0"/>
    <n v="0"/>
    <n v="0"/>
    <n v="0"/>
    <n v="0"/>
    <n v="0"/>
    <n v="0"/>
    <n v="0"/>
    <n v="0"/>
    <n v="0"/>
    <n v="0"/>
    <n v="0"/>
    <n v="0"/>
    <m/>
  </r>
  <r>
    <s v="20SDSCV01012"/>
    <s v="VADALIYA BRIJ PRAKASHBHAI"/>
    <s v="SDS"/>
    <x v="1"/>
    <n v="6"/>
    <s v="7203089400_x000a_ 9898600656"/>
    <s v="7203089400_x000a_ 9898600656"/>
    <s v="DCV_2020-23"/>
    <m/>
    <n v="25000"/>
    <n v="0"/>
    <n v="0"/>
    <n v="0"/>
    <n v="25000"/>
    <n v="3750"/>
    <n v="0"/>
    <n v="0"/>
    <n v="0"/>
    <n v="3750"/>
    <m/>
    <m/>
    <m/>
    <m/>
    <m/>
    <m/>
    <m/>
    <m/>
    <m/>
    <m/>
    <m/>
  </r>
  <r>
    <s v="23SDSEE01001"/>
    <s v="ASHODARIYA AKSHAY SANJAYBHAI"/>
    <s v="SDS"/>
    <x v="2"/>
    <n v="2"/>
    <s v="9712533715 9978383898"/>
    <s v="9712533715 9978383898"/>
    <s v="DEE_2023-26"/>
    <s v="KSP"/>
    <n v="27500"/>
    <n v="0"/>
    <n v="0"/>
    <n v="6250"/>
    <n v="21250"/>
    <n v="3000"/>
    <n v="0"/>
    <n v="0"/>
    <n v="0"/>
    <n v="3000"/>
    <n v="0"/>
    <n v="0"/>
    <n v="0"/>
    <n v="0"/>
    <n v="0"/>
    <n v="0"/>
    <n v="0"/>
    <n v="0"/>
    <n v="0"/>
    <n v="0"/>
    <s v="KSPS ( 6250/- )"/>
  </r>
  <r>
    <s v="23SDSEE01003"/>
    <s v="DOBARIYA HEMANSHU JAYSUKHBHAI"/>
    <s v="SDS"/>
    <x v="2"/>
    <n v="2"/>
    <s v="9313680656 9978766401"/>
    <s v="9313680656 9978766401"/>
    <s v="DEE_2023-26"/>
    <m/>
    <n v="27500"/>
    <n v="27500"/>
    <n v="0"/>
    <n v="0"/>
    <n v="0"/>
    <n v="3000"/>
    <n v="3000"/>
    <n v="0"/>
    <n v="0"/>
    <n v="0"/>
    <n v="0"/>
    <n v="0"/>
    <n v="0"/>
    <n v="0"/>
    <n v="0"/>
    <n v="0"/>
    <n v="0"/>
    <n v="0"/>
    <n v="0"/>
    <n v="0"/>
    <m/>
  </r>
  <r>
    <s v="23SDSEE01004"/>
    <s v="GHAGHRETIYA HIREN ASHOKBHAI"/>
    <s v="SDS"/>
    <x v="2"/>
    <n v="2"/>
    <s v="8758785123 9724079929"/>
    <s v="8758785123 9724079929"/>
    <s v="DEE_2023-26"/>
    <m/>
    <n v="25000"/>
    <n v="25000"/>
    <n v="0"/>
    <n v="0"/>
    <n v="0"/>
    <n v="3000"/>
    <n v="3000"/>
    <n v="0"/>
    <n v="0"/>
    <n v="0"/>
    <n v="0"/>
    <n v="0"/>
    <n v="0"/>
    <n v="0"/>
    <n v="0"/>
    <n v="0"/>
    <n v="0"/>
    <n v="0"/>
    <n v="0"/>
    <n v="0"/>
    <m/>
  </r>
  <r>
    <s v="23SDSEE01005"/>
    <s v="JADAV NAYAN MANSUKHBHAI"/>
    <s v="SDS"/>
    <x v="2"/>
    <n v="2"/>
    <s v="9316610896 9924329770"/>
    <s v="9316610896 9924329770"/>
    <s v="DEE_2023-26"/>
    <s v="KSP"/>
    <n v="27500"/>
    <n v="21250"/>
    <n v="0"/>
    <n v="6250"/>
    <n v="0"/>
    <n v="3000"/>
    <n v="3000"/>
    <n v="0"/>
    <n v="0"/>
    <n v="0"/>
    <n v="0"/>
    <n v="0"/>
    <n v="0"/>
    <n v="0"/>
    <n v="0"/>
    <n v="0"/>
    <n v="0"/>
    <n v="0"/>
    <n v="0"/>
    <n v="0"/>
    <s v="KSPS ( 6250/- )"/>
  </r>
  <r>
    <s v="23SDSEE01006"/>
    <s v="KANSAGARA RONAK RASIKBHAI"/>
    <s v="SDS"/>
    <x v="2"/>
    <n v="2"/>
    <s v="8320477061 9978200172"/>
    <s v="8320477061 9978200172"/>
    <s v="DEE_2023-26"/>
    <m/>
    <n v="27500"/>
    <n v="27500"/>
    <n v="0"/>
    <n v="0"/>
    <n v="0"/>
    <n v="3000"/>
    <n v="3000"/>
    <n v="0"/>
    <n v="0"/>
    <n v="0"/>
    <n v="0"/>
    <n v="0"/>
    <n v="0"/>
    <n v="0"/>
    <n v="0"/>
    <n v="0"/>
    <n v="0"/>
    <n v="0"/>
    <n v="0"/>
    <n v="0"/>
    <m/>
  </r>
  <r>
    <s v="23SDSEE01007"/>
    <s v="KERALIYA VIRAJ SHAILESHBHAI"/>
    <s v="SDS"/>
    <x v="2"/>
    <n v="2"/>
    <s v="8511881027_x000a_9925907557"/>
    <s v="8511881027_x000a_9925907557"/>
    <s v="DEE_2023-26"/>
    <m/>
    <n v="27500"/>
    <n v="27500"/>
    <n v="0"/>
    <n v="0"/>
    <n v="0"/>
    <n v="3000"/>
    <n v="3000"/>
    <n v="0"/>
    <n v="0"/>
    <n v="0"/>
    <n v="0"/>
    <n v="0"/>
    <n v="0"/>
    <n v="0"/>
    <n v="0"/>
    <n v="0"/>
    <n v="0"/>
    <n v="0"/>
    <n v="0"/>
    <n v="0"/>
    <m/>
  </r>
  <r>
    <s v="23SDSEE01008"/>
    <s v="LIMBASIYA HENIL KIRITBHAI"/>
    <s v="SDS"/>
    <x v="2"/>
    <n v="2"/>
    <s v="9265671948 9913324352"/>
    <s v="9265671948 9913324352"/>
    <s v="DEE_2023-26"/>
    <s v="KSP"/>
    <n v="27500"/>
    <n v="15000"/>
    <n v="0"/>
    <n v="12500"/>
    <n v="0"/>
    <n v="3000"/>
    <n v="3000"/>
    <n v="0"/>
    <n v="0"/>
    <n v="0"/>
    <n v="0"/>
    <n v="0"/>
    <n v="0"/>
    <n v="0"/>
    <n v="0"/>
    <n v="0"/>
    <n v="0"/>
    <n v="0"/>
    <n v="0"/>
    <n v="0"/>
    <s v="KSPS ( 12500/- )"/>
  </r>
  <r>
    <s v="23SDSEE01009"/>
    <s v="LIMBASIYA PRINCE SHAILESHBHAI"/>
    <s v="SDS"/>
    <x v="2"/>
    <n v="2"/>
    <s v="9316141091_x000a_8469996577"/>
    <s v="9316141091_x000a_8469996577"/>
    <s v="DEE_2023-26"/>
    <m/>
    <n v="27500"/>
    <n v="0"/>
    <n v="0"/>
    <n v="0"/>
    <n v="27500"/>
    <n v="3000"/>
    <n v="0"/>
    <n v="0"/>
    <n v="0"/>
    <n v="3000"/>
    <n v="0"/>
    <n v="0"/>
    <n v="0"/>
    <n v="0"/>
    <n v="0"/>
    <n v="0"/>
    <n v="0"/>
    <n v="0"/>
    <n v="0"/>
    <n v="0"/>
    <m/>
  </r>
  <r>
    <s v="23SDSEE01010"/>
    <s v="LIMBASIYA AARAV DILIPBHAI"/>
    <s v="SDS"/>
    <x v="2"/>
    <n v="2"/>
    <s v="9909440348_x000a_8866242643"/>
    <s v="9909440348_x000a_8866242643"/>
    <s v="DEE_2023-26"/>
    <m/>
    <n v="27500"/>
    <n v="27500"/>
    <n v="0"/>
    <n v="0"/>
    <n v="0"/>
    <n v="3000"/>
    <n v="3000"/>
    <n v="0"/>
    <n v="0"/>
    <n v="0"/>
    <n v="0"/>
    <n v="0"/>
    <n v="0"/>
    <n v="0"/>
    <n v="0"/>
    <n v="0"/>
    <n v="0"/>
    <n v="0"/>
    <n v="0"/>
    <n v="0"/>
    <m/>
  </r>
  <r>
    <s v="23SDSEE01011"/>
    <s v="RADADIYA RAJKUMAR TIKAMBHAI"/>
    <s v="SDS"/>
    <x v="2"/>
    <n v="2"/>
    <s v="9773277311 6352968039"/>
    <s v="9773277311 6352968039"/>
    <s v="DEE_2023-26"/>
    <s v="KSP"/>
    <n v="27500"/>
    <n v="15000"/>
    <n v="0"/>
    <n v="12500"/>
    <n v="0"/>
    <n v="3000"/>
    <n v="3000"/>
    <n v="0"/>
    <n v="0"/>
    <n v="0"/>
    <n v="0"/>
    <n v="0"/>
    <n v="0"/>
    <n v="0"/>
    <n v="0"/>
    <n v="0"/>
    <n v="0"/>
    <n v="0"/>
    <n v="0"/>
    <n v="0"/>
    <s v="KSPS ( 12500/- )"/>
  </r>
  <r>
    <s v="23SDSEE01012"/>
    <s v="SHUBHAM BARASIYA"/>
    <s v="SDS"/>
    <x v="2"/>
    <n v="2"/>
    <s v="9624887468 9925442852"/>
    <s v="9624887468 9925442852"/>
    <s v="DEE_2023-26"/>
    <s v="KSP"/>
    <n v="27500"/>
    <n v="21250"/>
    <n v="0"/>
    <n v="6250"/>
    <n v="0"/>
    <n v="3000"/>
    <n v="3000"/>
    <n v="0"/>
    <n v="0"/>
    <n v="0"/>
    <n v="0"/>
    <n v="0"/>
    <n v="0"/>
    <n v="0"/>
    <n v="0"/>
    <n v="0"/>
    <n v="0"/>
    <n v="0"/>
    <n v="0"/>
    <n v="0"/>
    <s v="KSPS ( 6250/- )"/>
  </r>
  <r>
    <s v="23SDSEE01013"/>
    <s v="VADODARIYA DEEP LALAJIBHAI"/>
    <s v="SDS"/>
    <x v="2"/>
    <n v="2"/>
    <s v="9510417006 9879304154"/>
    <s v="9510417006 9879304154"/>
    <s v="DCE_2023-26"/>
    <s v="KSP"/>
    <n v="27500"/>
    <n v="15000"/>
    <n v="0"/>
    <n v="12500"/>
    <n v="0"/>
    <n v="3000"/>
    <n v="3000"/>
    <n v="0"/>
    <n v="0"/>
    <n v="0"/>
    <n v="0"/>
    <n v="0"/>
    <n v="0"/>
    <n v="0"/>
    <n v="0"/>
    <n v="0"/>
    <n v="0"/>
    <n v="0"/>
    <n v="0"/>
    <n v="0"/>
    <s v="KSPS ( 12500/- )"/>
  </r>
  <r>
    <s v="23SDSEE01014"/>
    <s v="PRASHANT KUMAR"/>
    <s v="SDS"/>
    <x v="2"/>
    <n v="2"/>
    <s v="BIHAR STUDENT"/>
    <s v="BIHAR STUDENT"/>
    <s v="DCE_2023-26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23SDSEE01015"/>
    <s v="VALA RUDRADEEP"/>
    <s v="SDS"/>
    <x v="2"/>
    <n v="2"/>
    <s v="9998154199 9106906808"/>
    <s v="9998154199 9106906808"/>
    <s v="DEE_2023-26"/>
    <m/>
    <n v="27500"/>
    <n v="0"/>
    <n v="0"/>
    <n v="0"/>
    <n v="27500"/>
    <n v="3000"/>
    <n v="0"/>
    <n v="0"/>
    <n v="0"/>
    <n v="3000"/>
    <n v="0"/>
    <n v="0"/>
    <n v="0"/>
    <n v="0"/>
    <n v="0"/>
    <n v="0"/>
    <n v="0"/>
    <n v="0"/>
    <n v="0"/>
    <n v="0"/>
    <m/>
  </r>
  <r>
    <s v="23SDSEE01601"/>
    <s v="KATSANDE TADIWANASHE"/>
    <s v="SDS"/>
    <x v="2"/>
    <n v="2"/>
    <s v="INTERNATIONAL"/>
    <s v="USD FEE STUDENT"/>
    <s v="DEE_2023-26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22SDSEE01001"/>
    <s v="ANJALI ANAND"/>
    <s v="SDS"/>
    <x v="2"/>
    <n v="4"/>
    <s v="BIHAR STUDENT"/>
    <s v="BIHAR STUDENT"/>
    <s v="DEE_2022-25"/>
    <m/>
    <n v="42500"/>
    <n v="0"/>
    <n v="0"/>
    <n v="0"/>
    <n v="42500"/>
    <n v="0"/>
    <n v="0"/>
    <n v="0"/>
    <n v="0"/>
    <n v="0"/>
    <n v="0"/>
    <n v="0"/>
    <n v="0"/>
    <n v="0"/>
    <n v="0"/>
    <n v="0"/>
    <n v="0"/>
    <n v="0"/>
    <n v="0"/>
    <n v="0"/>
    <m/>
  </r>
  <r>
    <s v="22SDSEE01003"/>
    <s v="CHAVDA JAYSUKH PRAVINBHAI"/>
    <s v="SDS"/>
    <x v="2"/>
    <n v="4"/>
    <s v="9662693845 8511934929"/>
    <s v="9662693845 8511934929"/>
    <s v="DEE_2022-25"/>
    <s v="FREESHIP CARD"/>
    <n v="25000"/>
    <n v="0"/>
    <n v="0"/>
    <n v="0"/>
    <n v="25000"/>
    <n v="3000"/>
    <n v="0"/>
    <n v="0"/>
    <n v="0"/>
    <n v="3000"/>
    <n v="0"/>
    <n v="0"/>
    <n v="0"/>
    <n v="0"/>
    <n v="0"/>
    <n v="0"/>
    <n v="0"/>
    <n v="0"/>
    <n v="0"/>
    <n v="0"/>
    <s v="FREESHIPCARD STUDENT"/>
  </r>
  <r>
    <s v="22SDSEE01004"/>
    <s v="CHAVDA MAHENDRA PRAVINBHAI"/>
    <s v="SDS"/>
    <x v="2"/>
    <n v="4"/>
    <s v="9662693845 8511934925"/>
    <s v="9662693845 8511934925"/>
    <s v="DEE_2022-25"/>
    <s v="FREESHIP CARD"/>
    <n v="25000"/>
    <n v="0"/>
    <n v="0"/>
    <n v="0"/>
    <n v="25000"/>
    <n v="3000"/>
    <n v="3000"/>
    <n v="0"/>
    <n v="0"/>
    <n v="0"/>
    <n v="0"/>
    <n v="0"/>
    <n v="0"/>
    <n v="0"/>
    <n v="0"/>
    <n v="0"/>
    <n v="0"/>
    <n v="0"/>
    <n v="0"/>
    <n v="0"/>
    <s v="FREESHIPCARD STUDENT"/>
  </r>
  <r>
    <s v="22SDSEE01005"/>
    <s v="CHAVDA SAHIL VINODBHAI"/>
    <s v="SDS"/>
    <x v="2"/>
    <n v="4"/>
    <s v="8511570391 9724197562"/>
    <s v="8511570391 9724197562"/>
    <s v="DEE_2022-25"/>
    <s v="FREESHIP CARD"/>
    <n v="25000"/>
    <n v="0"/>
    <n v="0"/>
    <n v="0"/>
    <n v="25000"/>
    <n v="3000"/>
    <n v="0"/>
    <n v="0"/>
    <n v="0"/>
    <n v="3000"/>
    <n v="0"/>
    <n v="0"/>
    <n v="0"/>
    <n v="0"/>
    <n v="0"/>
    <n v="0"/>
    <n v="0"/>
    <n v="0"/>
    <n v="0"/>
    <n v="0"/>
    <s v="FREESHIPCARD STUDENT"/>
  </r>
  <r>
    <s v="22SDSEE01007"/>
    <s v="GOHEL AMIT KISHORBHAI"/>
    <s v="SDS"/>
    <x v="2"/>
    <n v="4"/>
    <s v="9054406844 9274333844"/>
    <s v="9054406844 9274333844"/>
    <s v="DEE_2022-25"/>
    <m/>
    <n v="25000"/>
    <n v="25000"/>
    <n v="0"/>
    <n v="0"/>
    <n v="0"/>
    <n v="3000"/>
    <n v="3000"/>
    <n v="0"/>
    <n v="0"/>
    <n v="0"/>
    <n v="0"/>
    <n v="0"/>
    <n v="0"/>
    <n v="0"/>
    <n v="0"/>
    <n v="0"/>
    <n v="0"/>
    <n v="0"/>
    <n v="0"/>
    <n v="0"/>
    <m/>
  </r>
  <r>
    <s v="22SDSEE01008"/>
    <s v="GONDALIYA DHRUV TULSIDAS"/>
    <s v="SDS"/>
    <x v="2"/>
    <n v="4"/>
    <s v="9327985411 9724132962"/>
    <s v="9327985411 9724132962"/>
    <s v="DEE_2022-25"/>
    <m/>
    <n v="25000"/>
    <n v="0"/>
    <n v="0"/>
    <n v="0"/>
    <n v="25000"/>
    <n v="3000"/>
    <n v="3000"/>
    <n v="0"/>
    <n v="0"/>
    <n v="0"/>
    <n v="0"/>
    <n v="0"/>
    <n v="0"/>
    <n v="0"/>
    <n v="0"/>
    <n v="0"/>
    <n v="0"/>
    <n v="0"/>
    <n v="0"/>
    <n v="0"/>
    <m/>
  </r>
  <r>
    <s v="22SDSEE01009"/>
    <s v="KADRI AFTABMIYA YASINMIYA"/>
    <s v="SDS"/>
    <x v="2"/>
    <n v="4"/>
    <s v="7863099645 9316243507"/>
    <s v="7863099645 9316243507"/>
    <s v="DEE_2022-25"/>
    <s v="KSP"/>
    <n v="25000"/>
    <n v="12500"/>
    <n v="0"/>
    <n v="12500"/>
    <n v="0"/>
    <n v="3000"/>
    <n v="3000"/>
    <n v="0"/>
    <n v="0"/>
    <n v="0"/>
    <n v="0"/>
    <n v="0"/>
    <n v="0"/>
    <n v="0"/>
    <n v="0"/>
    <n v="0"/>
    <n v="0"/>
    <n v="0"/>
    <n v="0"/>
    <n v="0"/>
    <s v="RS 12500 PER SEM SCHOLARSHIP_x000a_KSPS(50%)"/>
  </r>
  <r>
    <s v="22SDSEE01010"/>
    <s v="ABHIMANYU KUMAR"/>
    <s v="SDS"/>
    <x v="2"/>
    <n v="4"/>
    <s v="BIHAR STUDENT"/>
    <s v="BIHAR STUDENT"/>
    <s v="DEE_2022-25"/>
    <m/>
    <n v="42500"/>
    <n v="0"/>
    <n v="0"/>
    <n v="0"/>
    <n v="42500"/>
    <n v="0"/>
    <n v="0"/>
    <n v="0"/>
    <n v="0"/>
    <n v="0"/>
    <n v="0"/>
    <n v="0"/>
    <n v="0"/>
    <n v="0"/>
    <n v="0"/>
    <n v="0"/>
    <n v="0"/>
    <n v="0"/>
    <n v="0"/>
    <n v="0"/>
    <m/>
  </r>
  <r>
    <s v="22SDSEE01012"/>
    <s v="VIKASH KUMAR"/>
    <s v="SDS"/>
    <x v="2"/>
    <n v="4"/>
    <s v="BIHAR STUDENT"/>
    <s v="BIHAR STUDENT"/>
    <s v="DEE_2022-25"/>
    <m/>
    <n v="42500"/>
    <n v="425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22SDSEE01013"/>
    <s v="KOMAL KUMARI"/>
    <s v="SDS"/>
    <x v="2"/>
    <n v="4"/>
    <s v="BIHAR STUDENT"/>
    <s v="BIHAR STUDENT"/>
    <s v="DEE_2022-25"/>
    <m/>
    <n v="42500"/>
    <n v="425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22SDSEE01014"/>
    <s v="LADANI ZEEL MUKESHBHAI"/>
    <s v="SDS"/>
    <x v="2"/>
    <n v="4"/>
    <s v="9824864965 _x000a_9879252878"/>
    <s v="9824864965 _x000a_9879252878"/>
    <s v="DEE_2022-25"/>
    <s v="MYSY"/>
    <n v="25000"/>
    <n v="0"/>
    <n v="25000"/>
    <n v="0"/>
    <n v="25000"/>
    <n v="3000"/>
    <n v="0"/>
    <n v="3000"/>
    <n v="0"/>
    <n v="3000"/>
    <n v="0"/>
    <n v="0"/>
    <n v="0"/>
    <n v="0"/>
    <n v="0"/>
    <n v="0"/>
    <n v="0"/>
    <n v="0"/>
    <n v="0"/>
    <n v="0"/>
    <s v="KSPS(50%) + MYSY(50%)"/>
  </r>
  <r>
    <s v="22SDSEE01015"/>
    <s v="PANDAV RUTIKA VIRENDRABHAI"/>
    <s v="SDS"/>
    <x v="2"/>
    <n v="4"/>
    <s v="9428201858 9824906752"/>
    <s v="9428201858 9824906752"/>
    <s v="DEE_2022-25"/>
    <m/>
    <n v="25000"/>
    <n v="25000"/>
    <n v="0"/>
    <n v="0"/>
    <n v="0"/>
    <n v="3000"/>
    <n v="3000"/>
    <n v="0"/>
    <n v="0"/>
    <n v="0"/>
    <n v="0"/>
    <n v="0"/>
    <n v="0"/>
    <n v="0"/>
    <n v="0"/>
    <n v="0"/>
    <n v="0"/>
    <n v="0"/>
    <n v="0"/>
    <n v="0"/>
    <m/>
  </r>
  <r>
    <s v="22SDSEE01017"/>
    <s v="PARMAR SAVAN PRAVINBHAI"/>
    <s v="SDS"/>
    <x v="2"/>
    <n v="4"/>
    <s v="7226831626 9898693110"/>
    <s v="7226831626 9898693110"/>
    <s v="DEE_2022-25"/>
    <s v="FREESHIP CARD"/>
    <n v="25000"/>
    <n v="0"/>
    <n v="0"/>
    <n v="0"/>
    <n v="25000"/>
    <n v="3000"/>
    <n v="0"/>
    <n v="0"/>
    <n v="0"/>
    <n v="3000"/>
    <n v="0"/>
    <n v="0"/>
    <n v="0"/>
    <n v="0"/>
    <n v="0"/>
    <n v="0"/>
    <n v="0"/>
    <n v="0"/>
    <n v="0"/>
    <n v="0"/>
    <s v="FREESHIPCARD STUDENT"/>
  </r>
  <r>
    <s v="22SDSEE01019"/>
    <s v="AMAN KUMAR"/>
    <s v="SDS"/>
    <x v="2"/>
    <n v="4"/>
    <s v="BIHAR STUDENT"/>
    <s v="BIHAR STUDENT"/>
    <s v="DEE_2022-25"/>
    <m/>
    <n v="42500"/>
    <n v="0"/>
    <n v="0"/>
    <n v="0"/>
    <n v="42500"/>
    <n v="0"/>
    <n v="0"/>
    <n v="0"/>
    <n v="0"/>
    <n v="0"/>
    <n v="0"/>
    <n v="0"/>
    <n v="0"/>
    <n v="0"/>
    <n v="0"/>
    <n v="0"/>
    <n v="0"/>
    <n v="0"/>
    <n v="0"/>
    <n v="0"/>
    <m/>
  </r>
  <r>
    <s v="22SDSEE01021"/>
    <s v="SUNNY KUMAR"/>
    <s v="SDS"/>
    <x v="2"/>
    <n v="4"/>
    <s v="BIHAR STUDENT"/>
    <s v="BIHAR STUDENT"/>
    <s v="DEE_2022-25"/>
    <m/>
    <n v="42500"/>
    <n v="425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22SDSEE01022"/>
    <s v="MAYANK PANDEY"/>
    <s v="SDS"/>
    <x v="2"/>
    <n v="4"/>
    <s v="BIHAR STUDENT"/>
    <s v="BIHAR STUDENT"/>
    <s v="DEE_2022-25"/>
    <m/>
    <n v="42500"/>
    <n v="0"/>
    <n v="0"/>
    <n v="0"/>
    <n v="42500"/>
    <n v="0"/>
    <n v="0"/>
    <n v="0"/>
    <n v="0"/>
    <n v="0"/>
    <n v="0"/>
    <n v="0"/>
    <n v="0"/>
    <n v="0"/>
    <n v="0"/>
    <n v="0"/>
    <n v="0"/>
    <n v="0"/>
    <n v="0"/>
    <n v="0"/>
    <m/>
  </r>
  <r>
    <s v="22SDSEE01023"/>
    <s v="ANIKET KUMAR"/>
    <s v="SDS"/>
    <x v="2"/>
    <n v="4"/>
    <s v="BIHAR STUDENT"/>
    <s v="BIHAR STUDENT"/>
    <s v="DEE_2022-25"/>
    <m/>
    <n v="42500"/>
    <n v="0"/>
    <n v="0"/>
    <n v="0"/>
    <n v="42500"/>
    <n v="0"/>
    <n v="0"/>
    <n v="0"/>
    <n v="0"/>
    <n v="0"/>
    <n v="0"/>
    <n v="0"/>
    <n v="0"/>
    <n v="0"/>
    <n v="0"/>
    <n v="0"/>
    <n v="0"/>
    <n v="0"/>
    <n v="0"/>
    <n v="0"/>
    <m/>
  </r>
  <r>
    <s v="22SDSEE01024"/>
    <s v="MD KAISH"/>
    <s v="SDS"/>
    <x v="2"/>
    <n v="4"/>
    <s v="BIHAR STUDENT"/>
    <s v="BIHAR STUDENT"/>
    <s v="DEE_2022-25"/>
    <m/>
    <n v="42500"/>
    <n v="0"/>
    <n v="0"/>
    <n v="0"/>
    <n v="42500"/>
    <n v="0"/>
    <n v="0"/>
    <n v="0"/>
    <n v="0"/>
    <n v="0"/>
    <n v="0"/>
    <n v="0"/>
    <n v="0"/>
    <n v="0"/>
    <n v="0"/>
    <n v="0"/>
    <n v="0"/>
    <n v="0"/>
    <n v="0"/>
    <n v="0"/>
    <m/>
  </r>
  <r>
    <s v="22SDSEE01025"/>
    <s v="SOLANKI KISHOR VINUBHAI"/>
    <s v="SDS"/>
    <x v="2"/>
    <n v="4"/>
    <s v="BIHAR STUDENT"/>
    <s v="BIHAR STUDENT"/>
    <s v="DEE_2022-25"/>
    <m/>
    <n v="42500"/>
    <n v="0"/>
    <n v="0"/>
    <n v="0"/>
    <n v="42500"/>
    <n v="0"/>
    <n v="0"/>
    <n v="0"/>
    <n v="0"/>
    <n v="0"/>
    <n v="0"/>
    <n v="0"/>
    <n v="0"/>
    <n v="0"/>
    <n v="0"/>
    <n v="0"/>
    <n v="0"/>
    <n v="0"/>
    <n v="0"/>
    <n v="0"/>
    <m/>
  </r>
  <r>
    <s v="22SDSEE01026"/>
    <s v="MAHTAB ALAM"/>
    <s v="SDS"/>
    <x v="2"/>
    <n v="4"/>
    <s v="BIHAR STUDENT"/>
    <s v="BIHAR STUDENT"/>
    <s v="DEE_2022-25"/>
    <m/>
    <n v="42500"/>
    <n v="0"/>
    <n v="0"/>
    <n v="0"/>
    <n v="42500"/>
    <n v="0"/>
    <n v="0"/>
    <n v="0"/>
    <n v="0"/>
    <n v="0"/>
    <n v="0"/>
    <n v="0"/>
    <n v="0"/>
    <n v="0"/>
    <n v="0"/>
    <n v="0"/>
    <n v="0"/>
    <n v="0"/>
    <n v="0"/>
    <n v="0"/>
    <m/>
  </r>
  <r>
    <s v="22SDSEE01027"/>
    <s v="ISTIYAK ALI"/>
    <s v="SDS"/>
    <x v="2"/>
    <n v="4"/>
    <s v="BIHAR STUDENT"/>
    <s v="BIHAR STUDENT"/>
    <s v="DEE_2022-25"/>
    <m/>
    <n v="42500"/>
    <n v="425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22SDSEE01028"/>
    <s v="VISHAL KUMAR DUBEY"/>
    <s v="SDS"/>
    <x v="2"/>
    <n v="4"/>
    <s v="BIHAR STUDENT"/>
    <s v="BIHAR STUDENT"/>
    <s v="DEE_2022-25"/>
    <m/>
    <n v="42500"/>
    <n v="425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22SDSEE01029"/>
    <s v="NAVIN KUMAR GUPTA"/>
    <s v="SDS"/>
    <x v="2"/>
    <n v="4"/>
    <s v="BIHAR STUDENT"/>
    <s v="BIHAR STUDENT"/>
    <s v="DEE_2022-25"/>
    <m/>
    <n v="42500"/>
    <n v="425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22SDSEE01030"/>
    <s v="SHAHID IMAM"/>
    <s v="SDS"/>
    <x v="2"/>
    <n v="4"/>
    <s v="BIHAR STUDENT"/>
    <s v="BIHAR STUDENT"/>
    <s v="DEE_2022-25"/>
    <m/>
    <n v="42500"/>
    <n v="0"/>
    <n v="0"/>
    <n v="0"/>
    <n v="42500"/>
    <n v="0"/>
    <n v="0"/>
    <n v="0"/>
    <n v="0"/>
    <n v="0"/>
    <n v="0"/>
    <n v="0"/>
    <n v="0"/>
    <n v="0"/>
    <n v="0"/>
    <n v="0"/>
    <n v="0"/>
    <n v="0"/>
    <n v="0"/>
    <n v="0"/>
    <m/>
  </r>
  <r>
    <s v="22SDSEE01031"/>
    <s v="AMAN KUMAR RAM"/>
    <s v="SDS"/>
    <x v="2"/>
    <n v="4"/>
    <s v="BIHAR STUDENT"/>
    <s v="BIHAR STUDENT"/>
    <s v="DEE_2022-25"/>
    <m/>
    <n v="42500"/>
    <n v="425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22SDSEE01032"/>
    <s v="CHANCHAL KUMAR"/>
    <s v="SDS"/>
    <x v="2"/>
    <n v="4"/>
    <s v="BIHAR STUDENT"/>
    <s v="BIHAR STUDENT"/>
    <s v="DEE_2022-25"/>
    <m/>
    <n v="42500"/>
    <n v="0"/>
    <n v="0"/>
    <n v="0"/>
    <n v="42500"/>
    <n v="0"/>
    <n v="0"/>
    <n v="0"/>
    <n v="0"/>
    <n v="0"/>
    <n v="0"/>
    <n v="0"/>
    <n v="0"/>
    <n v="0"/>
    <n v="0"/>
    <n v="0"/>
    <n v="0"/>
    <n v="0"/>
    <n v="0"/>
    <n v="0"/>
    <m/>
  </r>
  <r>
    <s v="22SDSEE01033"/>
    <s v="CHETAN KUMAR"/>
    <s v="SDS"/>
    <x v="2"/>
    <n v="4"/>
    <s v="BIHAR STUDENT"/>
    <s v="BIHAR STUDENT"/>
    <s v="DEE_2022-25"/>
    <m/>
    <n v="42500"/>
    <n v="0"/>
    <n v="0"/>
    <n v="0"/>
    <n v="42500"/>
    <n v="0"/>
    <n v="0"/>
    <n v="0"/>
    <n v="0"/>
    <n v="0"/>
    <n v="0"/>
    <n v="0"/>
    <n v="0"/>
    <n v="0"/>
    <n v="0"/>
    <n v="0"/>
    <n v="0"/>
    <n v="0"/>
    <n v="0"/>
    <n v="0"/>
    <m/>
  </r>
  <r>
    <s v="22SDSEE01034"/>
    <s v="DINESH KUMAR"/>
    <s v="SDS"/>
    <x v="2"/>
    <n v="4"/>
    <s v="BIHAR STUDENT"/>
    <s v="BIHAR STUDENT"/>
    <s v="DEE_2022-25"/>
    <m/>
    <n v="42500"/>
    <n v="0"/>
    <n v="0"/>
    <n v="0"/>
    <n v="42500"/>
    <n v="0"/>
    <n v="0"/>
    <n v="0"/>
    <n v="0"/>
    <n v="0"/>
    <n v="0"/>
    <n v="0"/>
    <n v="0"/>
    <n v="0"/>
    <n v="0"/>
    <n v="0"/>
    <n v="0"/>
    <n v="0"/>
    <n v="0"/>
    <n v="0"/>
    <m/>
  </r>
  <r>
    <s v="22SDSEE01036"/>
    <s v="KARAN KUMAR"/>
    <s v="SDS"/>
    <x v="2"/>
    <n v="4"/>
    <s v="BIHAR STUDENT"/>
    <s v="BIHAR STUDENT"/>
    <s v="DEE_2022-25"/>
    <m/>
    <n v="42500"/>
    <n v="0"/>
    <n v="0"/>
    <n v="0"/>
    <n v="42500"/>
    <n v="0"/>
    <n v="0"/>
    <n v="0"/>
    <n v="0"/>
    <n v="0"/>
    <n v="0"/>
    <n v="0"/>
    <n v="0"/>
    <n v="0"/>
    <n v="0"/>
    <n v="0"/>
    <n v="0"/>
    <n v="0"/>
    <n v="0"/>
    <n v="0"/>
    <m/>
  </r>
  <r>
    <s v="22SDSEE01038"/>
    <s v="NITISH KUMAR"/>
    <s v="SDS"/>
    <x v="2"/>
    <n v="4"/>
    <s v="BIHAR STUDENT"/>
    <s v="BIHAR STUDENT"/>
    <s v="DEE_2022-25"/>
    <m/>
    <n v="42500"/>
    <n v="425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22SDSEE01041"/>
    <s v="PRASHANT KUMAR"/>
    <s v="SDS"/>
    <x v="2"/>
    <n v="4"/>
    <s v="BIHAR STUDENT"/>
    <s v="BIHAR STUDENT"/>
    <s v="DEE_2022-25"/>
    <m/>
    <n v="42500"/>
    <n v="425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22SDSEE01042"/>
    <s v="RAKESH KUMAR"/>
    <s v="SDS"/>
    <x v="2"/>
    <n v="4"/>
    <s v="BIHAR STUDENT"/>
    <s v="BIHAR STUDENT"/>
    <s v="DEE_2022-25"/>
    <m/>
    <n v="42500"/>
    <n v="425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22SDSEE01043"/>
    <s v="SHUBHAM KUMAR"/>
    <s v="SDS"/>
    <x v="2"/>
    <n v="4"/>
    <s v="BIHAR STUDENT"/>
    <s v="BIHAR STUDENT"/>
    <s v="DEE_2022-25"/>
    <m/>
    <n v="42500"/>
    <n v="0"/>
    <n v="0"/>
    <n v="0"/>
    <n v="42500"/>
    <n v="0"/>
    <n v="0"/>
    <n v="0"/>
    <n v="0"/>
    <n v="0"/>
    <n v="0"/>
    <n v="0"/>
    <n v="0"/>
    <n v="0"/>
    <n v="0"/>
    <n v="0"/>
    <n v="0"/>
    <n v="0"/>
    <n v="0"/>
    <n v="0"/>
    <m/>
  </r>
  <r>
    <s v="22SDSEE01045"/>
    <s v="UJJWAL KUMAR"/>
    <s v="SDS"/>
    <x v="2"/>
    <n v="4"/>
    <s v="BIHAR STUDENT"/>
    <s v="BIHAR STUDENT"/>
    <s v="DEE_2022-25"/>
    <m/>
    <n v="42500"/>
    <n v="425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22SDSEE01048"/>
    <s v="PRITY KUMARI"/>
    <s v="SDS"/>
    <x v="2"/>
    <n v="4"/>
    <s v="BIHAR STUDENT"/>
    <s v="BIHAR STUDENT"/>
    <s v="DEE_2022-25"/>
    <m/>
    <n v="42500"/>
    <n v="0"/>
    <n v="0"/>
    <n v="0"/>
    <n v="42500"/>
    <n v="0"/>
    <n v="0"/>
    <n v="0"/>
    <n v="0"/>
    <n v="0"/>
    <n v="0"/>
    <n v="0"/>
    <n v="0"/>
    <n v="0"/>
    <n v="0"/>
    <n v="0"/>
    <n v="0"/>
    <n v="0"/>
    <n v="0"/>
    <n v="0"/>
    <m/>
  </r>
  <r>
    <s v="22SDSEE01049"/>
    <s v="MD SAHIL"/>
    <s v="SDS"/>
    <x v="2"/>
    <n v="4"/>
    <s v="BIHAR STUDENT"/>
    <s v="BIHAR STUDENT"/>
    <s v="DEE_2022-25"/>
    <m/>
    <n v="42500"/>
    <n v="0"/>
    <n v="0"/>
    <n v="0"/>
    <n v="42500"/>
    <n v="0"/>
    <n v="0"/>
    <n v="0"/>
    <n v="0"/>
    <n v="0"/>
    <n v="0"/>
    <n v="0"/>
    <n v="0"/>
    <n v="0"/>
    <n v="0"/>
    <n v="0"/>
    <n v="0"/>
    <n v="0"/>
    <n v="0"/>
    <n v="0"/>
    <m/>
  </r>
  <r>
    <s v="22SDSEE01050"/>
    <s v="SHASHIKANT SHARMA"/>
    <s v="SDS"/>
    <x v="2"/>
    <n v="4"/>
    <s v="BIHAR STUDENT"/>
    <s v="BIHAR STUDENT"/>
    <s v="DEE_2022-25"/>
    <m/>
    <n v="42500"/>
    <n v="0"/>
    <n v="0"/>
    <n v="0"/>
    <n v="42500"/>
    <n v="0"/>
    <n v="0"/>
    <n v="0"/>
    <n v="0"/>
    <n v="0"/>
    <n v="0"/>
    <n v="0"/>
    <n v="0"/>
    <n v="0"/>
    <n v="0"/>
    <n v="0"/>
    <n v="0"/>
    <n v="0"/>
    <n v="0"/>
    <n v="0"/>
    <m/>
  </r>
  <r>
    <s v="22SDSEE01051"/>
    <s v="MD ASIM ASGHAR"/>
    <s v="SDS"/>
    <x v="2"/>
    <n v="4"/>
    <s v="BIHAR STUDENT"/>
    <s v="BIHAR STUDENT"/>
    <s v="DEE_2022-25"/>
    <m/>
    <n v="42500"/>
    <n v="0"/>
    <n v="0"/>
    <n v="0"/>
    <n v="42500"/>
    <n v="0"/>
    <n v="0"/>
    <n v="0"/>
    <n v="0"/>
    <n v="0"/>
    <n v="0"/>
    <n v="0"/>
    <n v="0"/>
    <n v="0"/>
    <n v="0"/>
    <n v="0"/>
    <n v="0"/>
    <n v="0"/>
    <n v="0"/>
    <n v="0"/>
    <m/>
  </r>
  <r>
    <s v="22SDSEE01601"/>
    <s v="PRAKASH GURUNG"/>
    <s v="SDS"/>
    <x v="2"/>
    <n v="4"/>
    <s v="INTERNATIONAL"/>
    <s v="INR FEE STUDENT"/>
    <s v="DEE_2022-25"/>
    <m/>
    <n v="37500"/>
    <n v="375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22SDSEE01603"/>
    <s v="UMESH KUMAR YADAV"/>
    <s v="SDS"/>
    <x v="2"/>
    <n v="4"/>
    <s v="INTERNATIONAL"/>
    <s v="INR FEE STUDENT"/>
    <s v="DEE_2022-25"/>
    <m/>
    <n v="37500"/>
    <n v="375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23SDSEE03901"/>
    <s v="MAKWANA HIMANSHI ANILBHAI"/>
    <s v="SDS"/>
    <x v="2"/>
    <n v="4"/>
    <s v="9328214491_x000a_7574968702"/>
    <s v="9328214491_x000a_7574968702"/>
    <s v="DEE_2022-25"/>
    <m/>
    <n v="25000"/>
    <n v="0"/>
    <n v="0"/>
    <n v="0"/>
    <n v="25000"/>
    <n v="3000"/>
    <n v="0"/>
    <n v="0"/>
    <n v="0"/>
    <n v="3000"/>
    <n v="0"/>
    <n v="0"/>
    <n v="0"/>
    <n v="0"/>
    <n v="0"/>
    <n v="0"/>
    <n v="0"/>
    <n v="0"/>
    <n v="0"/>
    <n v="0"/>
    <m/>
  </r>
  <r>
    <s v="21SDSEE01002"/>
    <s v="BANDHIYA VIVEK BALUBHAI"/>
    <s v="SDS"/>
    <x v="2"/>
    <n v="6"/>
    <s v="8530554858 9974820063"/>
    <s v="8530554858 9974820063"/>
    <s v="DEE_2021-24"/>
    <s v="KSP"/>
    <n v="25000"/>
    <n v="18750"/>
    <n v="0"/>
    <n v="6250"/>
    <n v="0"/>
    <n v="3750"/>
    <n v="3750"/>
    <n v="0"/>
    <n v="0"/>
    <n v="0"/>
    <n v="0"/>
    <n v="0"/>
    <n v="0"/>
    <n v="0"/>
    <n v="0"/>
    <n v="0"/>
    <n v="0"/>
    <n v="0"/>
    <n v="0"/>
    <n v="0"/>
    <m/>
  </r>
  <r>
    <s v="21SDSEE01003"/>
    <s v="DAFDA ANURAG JITESHBHAI"/>
    <s v="SDS"/>
    <x v="2"/>
    <n v="6"/>
    <s v="9824570056_x000a_9824570056"/>
    <s v="9824570056_x000a_9824570056"/>
    <s v="DEE_2021-24"/>
    <s v="FREESHIP CARD"/>
    <n v="25000"/>
    <n v="0"/>
    <n v="0"/>
    <n v="0"/>
    <n v="25000"/>
    <n v="3750"/>
    <n v="0"/>
    <n v="0"/>
    <n v="0"/>
    <n v="3750"/>
    <n v="0"/>
    <n v="0"/>
    <n v="0"/>
    <n v="0"/>
    <n v="0"/>
    <n v="0"/>
    <n v="0"/>
    <n v="0"/>
    <n v="0"/>
    <n v="0"/>
    <s v="FREESHIP CARD"/>
  </r>
  <r>
    <s v="21SDSEE01006"/>
    <s v="JOSHI SIDDHARTH RAJNIKANT"/>
    <s v="SDS"/>
    <x v="2"/>
    <n v="6"/>
    <s v="9428319547 9428319547"/>
    <s v="9428319547 9428319547"/>
    <s v="DEE_2021-24"/>
    <m/>
    <n v="25000"/>
    <n v="25000"/>
    <n v="0"/>
    <n v="0"/>
    <n v="0"/>
    <n v="3750"/>
    <n v="3750"/>
    <n v="0"/>
    <n v="0"/>
    <n v="0"/>
    <n v="0"/>
    <n v="0"/>
    <n v="0"/>
    <n v="0"/>
    <n v="0"/>
    <n v="0"/>
    <n v="0"/>
    <n v="0"/>
    <n v="0"/>
    <n v="0"/>
    <m/>
  </r>
  <r>
    <s v="21SDSEE01007"/>
    <s v="TRAPASIYA DEEP SANJAYBHAI"/>
    <s v="SDS"/>
    <x v="2"/>
    <n v="6"/>
    <s v="9727792244 _x000a_9824842788"/>
    <s v="9727792244 _x000a_9824842788"/>
    <s v="DEE_2021-24"/>
    <s v="MYSY"/>
    <n v="25000"/>
    <n v="0"/>
    <n v="0"/>
    <n v="0"/>
    <n v="25000"/>
    <n v="3750"/>
    <n v="3750"/>
    <n v="0"/>
    <n v="0"/>
    <n v="0"/>
    <n v="0"/>
    <n v="0"/>
    <n v="0"/>
    <n v="0"/>
    <n v="0"/>
    <n v="0"/>
    <n v="0"/>
    <n v="0"/>
    <n v="0"/>
    <n v="0"/>
    <s v="KSPS(50%)+MYSY(50%)"/>
  </r>
  <r>
    <s v="21SDSEE01601"/>
    <s v="NCUBE ROBIN N"/>
    <s v="SDS"/>
    <x v="2"/>
    <n v="6"/>
    <s v="INTERNATIONAL"/>
    <s v="USD FEE STUDENT"/>
    <s v="DEE_2021-24"/>
    <m/>
    <n v="60000"/>
    <n v="0"/>
    <n v="0"/>
    <n v="0"/>
    <n v="60000"/>
    <n v="1250"/>
    <n v="0"/>
    <n v="0"/>
    <n v="0"/>
    <n v="1250"/>
    <n v="0"/>
    <n v="0"/>
    <n v="0"/>
    <n v="0"/>
    <n v="0"/>
    <n v="0"/>
    <n v="0"/>
    <n v="0"/>
    <n v="0"/>
    <n v="0"/>
    <m/>
  </r>
  <r>
    <s v="22SDSEE03001"/>
    <s v="KUMAR BHASKAR"/>
    <s v="SDS"/>
    <x v="2"/>
    <n v="6"/>
    <s v="INTERNATIONAL"/>
    <s v="INR FEE STUDENT"/>
    <s v="DEE_2022-23"/>
    <m/>
    <n v="42500"/>
    <n v="42500"/>
    <n v="0"/>
    <n v="0"/>
    <n v="0"/>
    <n v="1250"/>
    <n v="0"/>
    <n v="0"/>
    <n v="0"/>
    <n v="1250"/>
    <n v="0"/>
    <n v="0"/>
    <n v="0"/>
    <n v="0"/>
    <n v="0"/>
    <n v="0"/>
    <n v="0"/>
    <n v="0"/>
    <n v="0"/>
    <n v="0"/>
    <m/>
  </r>
  <r>
    <s v="20SDSEE01009"/>
    <s v="DUDHAREJIYA VIJAY DHIRAJBHAI"/>
    <s v="SDS"/>
    <x v="2"/>
    <n v="6"/>
    <s v="9033353331_x000a_ 9687996127"/>
    <s v="9033353331_x000a_ 9687996127"/>
    <s v="DEE_2020-23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last time 6th sem fees paid"/>
  </r>
  <r>
    <s v="21SDSEE01008"/>
    <s v="VARIA NIKHIL KRISHNAVADAN"/>
    <s v="SDS"/>
    <x v="2"/>
    <n v="6"/>
    <s v="9974065607 8200506310"/>
    <s v="9974065607 8200506310"/>
    <s v="DEE_2021-24"/>
    <s v="KSP"/>
    <n v="25000"/>
    <n v="12500"/>
    <n v="0"/>
    <n v="12500"/>
    <n v="0"/>
    <n v="3750"/>
    <n v="3750"/>
    <n v="0"/>
    <n v="0"/>
    <n v="0"/>
    <n v="0"/>
    <n v="0"/>
    <n v="0"/>
    <n v="0"/>
    <n v="0"/>
    <n v="0"/>
    <n v="0"/>
    <n v="0"/>
    <n v="0"/>
    <n v="0"/>
    <m/>
  </r>
  <r>
    <s v="23SDSME01002"/>
    <s v="BHESANIYA ARYAN MUKESHBHAI"/>
    <s v="SDS"/>
    <x v="3"/>
    <n v="2"/>
    <s v="9313952462 9924165459"/>
    <s v="9313952462 9924165459"/>
    <s v="DME_2023-26"/>
    <s v="KSP"/>
    <n v="27500"/>
    <n v="25000"/>
    <n v="0"/>
    <n v="2500"/>
    <n v="0"/>
    <n v="3000"/>
    <n v="3000"/>
    <n v="0"/>
    <n v="0"/>
    <n v="0"/>
    <n v="0"/>
    <n v="0"/>
    <n v="0"/>
    <n v="0"/>
    <n v="0"/>
    <n v="0"/>
    <n v="0"/>
    <n v="0"/>
    <n v="0"/>
    <n v="0"/>
    <s v="KSPS ( 2500/- )"/>
  </r>
  <r>
    <s v="23SDSME01003"/>
    <s v="BUHA NISHANT RAMESHBHAI"/>
    <s v="SDS"/>
    <x v="3"/>
    <n v="2"/>
    <s v="9328233498 9624317041"/>
    <s v="9328233498 9624317041"/>
    <s v="DCE_2023-26"/>
    <s v="KSP"/>
    <n v="27500"/>
    <n v="15000"/>
    <n v="0"/>
    <n v="12500"/>
    <n v="0"/>
    <n v="3000"/>
    <n v="3000"/>
    <n v="0"/>
    <n v="0"/>
    <n v="0"/>
    <n v="0"/>
    <n v="0"/>
    <n v="0"/>
    <n v="0"/>
    <n v="0"/>
    <n v="0"/>
    <n v="0"/>
    <n v="0"/>
    <n v="0"/>
    <n v="0"/>
    <m/>
  </r>
  <r>
    <s v="23SDSME01004"/>
    <s v="CHAUHAN BHAUTIK HARIBHAI"/>
    <s v="SDS"/>
    <x v="3"/>
    <n v="2"/>
    <s v="9106779053 9978668541"/>
    <s v="9106779053 9978668541"/>
    <s v="DME_2023-26"/>
    <s v="MYSY"/>
    <n v="27500"/>
    <n v="27500"/>
    <n v="0"/>
    <n v="0"/>
    <n v="0"/>
    <n v="3000"/>
    <n v="3000"/>
    <n v="0"/>
    <n v="0"/>
    <n v="0"/>
    <n v="0"/>
    <n v="0"/>
    <n v="0"/>
    <n v="0"/>
    <n v="0"/>
    <n v="0"/>
    <n v="0"/>
    <n v="0"/>
    <n v="0"/>
    <n v="0"/>
    <s v="MYSY (25000/-)_x0009_KSPS ( 12500/- )"/>
  </r>
  <r>
    <s v="23SDSME01005"/>
    <s v="DHADUK DHRUVIN CHETANBHAI"/>
    <s v="SDS"/>
    <x v="3"/>
    <n v="2"/>
    <s v="9510555151 9974582449"/>
    <s v="9510555151 9974582449"/>
    <s v="DME_2023-26"/>
    <s v="KSP"/>
    <n v="27500"/>
    <n v="2500"/>
    <n v="0"/>
    <n v="25000"/>
    <n v="0"/>
    <n v="3000"/>
    <n v="3000"/>
    <n v="0"/>
    <n v="0"/>
    <n v="0"/>
    <n v="0"/>
    <n v="0"/>
    <n v="0"/>
    <n v="0"/>
    <n v="0"/>
    <n v="0"/>
    <n v="0"/>
    <n v="0"/>
    <n v="0"/>
    <n v="0"/>
    <s v="NO DUE IN 1ST SEM, APPROVED 12500/- ONE TIME IN 2ND SEM AND 12500/- EVERYSEM FROM 2ND SEM 19.12.23"/>
  </r>
  <r>
    <s v="23SDSME01006"/>
    <s v="SHIVAM DHOLARIYA"/>
    <s v="SDS"/>
    <x v="3"/>
    <n v="2"/>
    <s v="8160408088_x000a_9427727742"/>
    <s v="8160408088_x000a_9427727742"/>
    <s v="DME_2023-26"/>
    <m/>
    <n v="27500"/>
    <n v="27500"/>
    <n v="0"/>
    <n v="0"/>
    <n v="0"/>
    <n v="3000"/>
    <n v="3000"/>
    <n v="0"/>
    <n v="0"/>
    <n v="0"/>
    <n v="0"/>
    <n v="0"/>
    <n v="0"/>
    <n v="0"/>
    <n v="0"/>
    <n v="0"/>
    <n v="0"/>
    <n v="0"/>
    <n v="0"/>
    <n v="0"/>
    <m/>
  </r>
  <r>
    <s v="23SDSME01009"/>
    <s v="PARTH HAPANI"/>
    <s v="SDS"/>
    <x v="3"/>
    <n v="2"/>
    <s v="9586166298 9879752606"/>
    <s v="9586166298 9879752606"/>
    <s v="DME_2023-26"/>
    <s v="KSP"/>
    <n v="27500"/>
    <n v="21250"/>
    <n v="0"/>
    <n v="6250"/>
    <n v="0"/>
    <n v="3000"/>
    <n v="3000"/>
    <n v="0"/>
    <n v="0"/>
    <n v="0"/>
    <n v="0"/>
    <n v="0"/>
    <n v="0"/>
    <n v="0"/>
    <n v="0"/>
    <n v="0"/>
    <n v="0"/>
    <n v="0"/>
    <n v="0"/>
    <n v="0"/>
    <s v="KSPS ( 6250/- )"/>
  </r>
  <r>
    <s v="23SDSME01010"/>
    <s v="KAKADIYA JAYDEEP KISHORBHAI"/>
    <s v="SDS"/>
    <x v="3"/>
    <n v="2"/>
    <s v="9737480693 9898028838"/>
    <s v="9737480693 9898028838"/>
    <s v="DCE_2023-26"/>
    <s v="KSP"/>
    <n v="27500"/>
    <n v="21250"/>
    <n v="0"/>
    <n v="6250"/>
    <n v="0"/>
    <n v="3000"/>
    <n v="3000"/>
    <n v="0"/>
    <n v="0"/>
    <n v="0"/>
    <n v="0"/>
    <n v="0"/>
    <n v="0"/>
    <n v="0"/>
    <n v="0"/>
    <n v="0"/>
    <n v="0"/>
    <n v="0"/>
    <n v="0"/>
    <n v="0"/>
    <s v="KSPS ( 6250/- )"/>
  </r>
  <r>
    <s v="23SDSME01012"/>
    <s v="KYADA VARUN KIRITBHAI"/>
    <s v="SDS"/>
    <x v="3"/>
    <n v="2"/>
    <s v="9714910460 9879238981"/>
    <s v="9714910460 9879238981"/>
    <s v="DME_2023-26"/>
    <s v="MYSY"/>
    <n v="27500"/>
    <n v="2500"/>
    <n v="0"/>
    <n v="0"/>
    <n v="25000"/>
    <n v="3000"/>
    <n v="3000"/>
    <n v="0"/>
    <n v="0"/>
    <n v="0"/>
    <n v="0"/>
    <n v="0"/>
    <n v="0"/>
    <n v="0"/>
    <n v="0"/>
    <n v="0"/>
    <n v="0"/>
    <n v="0"/>
    <n v="0"/>
    <n v="0"/>
    <s v="MYSY (25000/-)_x0009_KSPS ( 12500/- )"/>
  </r>
  <r>
    <s v="23SDSME01013"/>
    <s v="LUNAGARIYA NIKIT ASHVIN"/>
    <s v="SDS"/>
    <x v="3"/>
    <n v="2"/>
    <s v="9016282952 9309900321"/>
    <s v="9016282952 9309900321"/>
    <s v="DCE_2023-26"/>
    <s v="MYSY"/>
    <n v="27500"/>
    <n v="0"/>
    <n v="0"/>
    <n v="0"/>
    <n v="27500"/>
    <n v="3000"/>
    <n v="3000"/>
    <n v="0"/>
    <n v="0"/>
    <n v="0"/>
    <n v="0"/>
    <n v="0"/>
    <n v="0"/>
    <n v="0"/>
    <n v="0"/>
    <n v="0"/>
    <n v="0"/>
    <n v="0"/>
    <n v="0"/>
    <n v="0"/>
    <m/>
  </r>
  <r>
    <s v="23SDSME01014"/>
    <s v="KARAN KUMAR"/>
    <s v="SDS"/>
    <x v="3"/>
    <n v="2"/>
    <s v="7482063545 8320599412"/>
    <s v="7482063545 8320599412"/>
    <s v="DME_2023-26"/>
    <m/>
    <n v="27500"/>
    <n v="55000"/>
    <n v="0"/>
    <n v="0"/>
    <n v="-27500"/>
    <n v="3000"/>
    <n v="6000"/>
    <n v="0"/>
    <n v="0"/>
    <n v="-3000"/>
    <n v="0"/>
    <n v="0"/>
    <n v="0"/>
    <n v="0"/>
    <n v="0"/>
    <n v="0"/>
    <n v="0"/>
    <n v="0"/>
    <n v="0"/>
    <n v="0"/>
    <m/>
  </r>
  <r>
    <s v="23SDSME01015"/>
    <s v="MAKWANA RONAK BHUPATBHAI"/>
    <s v="SDS"/>
    <x v="3"/>
    <n v="2"/>
    <s v="9978467015 9925564402"/>
    <s v="9978467015 9925564402"/>
    <s v="DME_2023-26"/>
    <s v="MYSY"/>
    <n v="27500"/>
    <n v="0"/>
    <n v="0"/>
    <n v="0"/>
    <n v="27500"/>
    <n v="3000"/>
    <n v="3000"/>
    <n v="0"/>
    <n v="0"/>
    <n v="0"/>
    <n v="0"/>
    <n v="0"/>
    <n v="0"/>
    <n v="0"/>
    <n v="0"/>
    <n v="0"/>
    <n v="0"/>
    <n v="0"/>
    <n v="0"/>
    <n v="0"/>
    <s v="MYSY (25000/-)_x0009_KSPS ( 30000/- )"/>
  </r>
  <r>
    <s v="23SDSME01016"/>
    <s v="NIMBARK DARSHIL VIPULBHAI"/>
    <s v="SDS"/>
    <x v="3"/>
    <n v="2"/>
    <s v="9157005256 9328677746"/>
    <s v="9157005256 9328677746"/>
    <s v="DME_2023-26"/>
    <s v="KSP"/>
    <n v="27500"/>
    <n v="15000"/>
    <n v="0"/>
    <n v="12500"/>
    <n v="0"/>
    <n v="3000"/>
    <n v="3000"/>
    <n v="0"/>
    <n v="0"/>
    <n v="0"/>
    <n v="0"/>
    <n v="0"/>
    <n v="0"/>
    <n v="0"/>
    <n v="0"/>
    <n v="0"/>
    <n v="0"/>
    <n v="0"/>
    <n v="0"/>
    <n v="0"/>
    <s v="KSPS ( 12500/- )"/>
  </r>
  <r>
    <s v="23SDSME01019"/>
    <s v="PADALIYA UTTAM RASHIKBHAI"/>
    <s v="SDS"/>
    <x v="3"/>
    <n v="2"/>
    <s v="7990112075 9904957318"/>
    <s v="7990112075 9904957318"/>
    <s v="DME_2023-26"/>
    <s v="KSP"/>
    <n v="27500"/>
    <n v="15000"/>
    <n v="0"/>
    <n v="12500"/>
    <n v="0"/>
    <n v="3000"/>
    <n v="3000"/>
    <n v="0"/>
    <n v="0"/>
    <n v="0"/>
    <n v="0"/>
    <n v="0"/>
    <n v="0"/>
    <n v="0"/>
    <n v="0"/>
    <n v="0"/>
    <n v="0"/>
    <n v="0"/>
    <n v="0"/>
    <n v="0"/>
    <s v="KSPS ( 12500/- )"/>
  </r>
  <r>
    <s v="23SDSME01020"/>
    <s v="PARMAR HITANSH VIPULBHAI"/>
    <s v="SDS"/>
    <x v="3"/>
    <n v="2"/>
    <s v="9427179658 _x000a_9724473736 _x000a_9664568165"/>
    <s v="9427179658 _x000a_9724473736 _x000a_9664568165"/>
    <s v="DME_2023-26"/>
    <m/>
    <n v="27500"/>
    <n v="27500"/>
    <n v="0"/>
    <n v="0"/>
    <n v="0"/>
    <n v="3000"/>
    <n v="3000"/>
    <n v="0"/>
    <n v="0"/>
    <n v="0"/>
    <n v="0"/>
    <n v="0"/>
    <n v="0"/>
    <n v="0"/>
    <n v="0"/>
    <n v="0"/>
    <n v="0"/>
    <n v="0"/>
    <n v="0"/>
    <n v="0"/>
    <m/>
  </r>
  <r>
    <s v="23SDSME01021"/>
    <s v="PIPROTAR JAYESH ASHOKBHAI"/>
    <s v="SDS"/>
    <x v="3"/>
    <n v="2"/>
    <s v="9925267207 9016894889"/>
    <s v="9925267207 9016894889"/>
    <s v="DME_2023-26"/>
    <s v="KSP"/>
    <n v="27500"/>
    <n v="21250"/>
    <n v="0"/>
    <n v="6250"/>
    <n v="0"/>
    <n v="3000"/>
    <n v="3000"/>
    <n v="0"/>
    <n v="0"/>
    <n v="0"/>
    <n v="0"/>
    <n v="0"/>
    <n v="0"/>
    <n v="0"/>
    <n v="0"/>
    <n v="0"/>
    <n v="0"/>
    <n v="0"/>
    <n v="0"/>
    <n v="0"/>
    <s v="KSPS ( 6250/- )"/>
  </r>
  <r>
    <s v="23SDSME01023"/>
    <s v="SATODIYA RAJ HITESHBHAI"/>
    <s v="SDS"/>
    <x v="3"/>
    <n v="2"/>
    <s v="9510555151 9429431915"/>
    <s v="9510555151 9429431915"/>
    <s v="DME_2023-26"/>
    <s v="KSP"/>
    <n v="27500"/>
    <n v="21250"/>
    <n v="0"/>
    <n v="6250"/>
    <n v="0"/>
    <n v="3000"/>
    <n v="3000"/>
    <n v="0"/>
    <n v="0"/>
    <n v="0"/>
    <n v="0"/>
    <n v="0"/>
    <n v="0"/>
    <n v="0"/>
    <n v="0"/>
    <n v="0"/>
    <n v="0"/>
    <n v="0"/>
    <n v="0"/>
    <n v="0"/>
    <s v="KSPS ( 6250/- )"/>
  </r>
  <r>
    <s v="23SDSME01024"/>
    <s v="TADHANI ANSH HARSUKHBHAI"/>
    <s v="SDS"/>
    <x v="3"/>
    <n v="2"/>
    <s v="7777949004 9879074852"/>
    <s v="7777949004 9879074852"/>
    <s v="DME_2023-26"/>
    <s v="MYSY"/>
    <n v="27500"/>
    <n v="0"/>
    <n v="0"/>
    <n v="0"/>
    <n v="27500"/>
    <n v="3000"/>
    <n v="3000"/>
    <n v="0"/>
    <n v="0"/>
    <n v="0"/>
    <n v="0"/>
    <n v="0"/>
    <n v="0"/>
    <n v="0"/>
    <n v="0"/>
    <n v="0"/>
    <n v="0"/>
    <n v="0"/>
    <n v="0"/>
    <n v="0"/>
    <s v="MYSY (25000/-)_x0009_KSPS ( 12500/- )"/>
  </r>
  <r>
    <s v="23SDSME01025"/>
    <s v="UMARANIYA AKSHAY MAHESHBHAI"/>
    <s v="SDS"/>
    <x v="3"/>
    <n v="2"/>
    <s v="9904044844 9825261367"/>
    <s v="9904044844 9825261367"/>
    <s v="DCE_2023-26"/>
    <m/>
    <n v="27500"/>
    <n v="27500"/>
    <n v="0"/>
    <n v="0"/>
    <n v="0"/>
    <n v="3000"/>
    <n v="3000"/>
    <n v="0"/>
    <n v="0"/>
    <n v="0"/>
    <n v="0"/>
    <n v="0"/>
    <n v="0"/>
    <n v="0"/>
    <n v="0"/>
    <n v="0"/>
    <n v="0"/>
    <n v="0"/>
    <n v="0"/>
    <n v="0"/>
    <m/>
  </r>
  <r>
    <s v="23SDSME01026"/>
    <s v="AMIT RAJ"/>
    <s v="SDS"/>
    <x v="3"/>
    <n v="2"/>
    <s v="BIHAR STUDENT"/>
    <s v="BIHAR STUDENT"/>
    <s v="DME_2023-26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23SDSME01027"/>
    <s v="PARMAR SHYAM ASHOKBHAI"/>
    <s v="SDS"/>
    <x v="3"/>
    <n v="2"/>
    <s v="9825828304_x000a_9510030367"/>
    <s v="9825828304_x000a_9510030367"/>
    <s v="DCE_2023-26"/>
    <m/>
    <n v="27500"/>
    <n v="0"/>
    <n v="0"/>
    <n v="0"/>
    <n v="27500"/>
    <n v="3000"/>
    <n v="0"/>
    <n v="0"/>
    <n v="0"/>
    <n v="3000"/>
    <n v="0"/>
    <n v="0"/>
    <n v="0"/>
    <n v="0"/>
    <n v="0"/>
    <n v="0"/>
    <n v="0"/>
    <n v="0"/>
    <n v="0"/>
    <n v="0"/>
    <m/>
  </r>
  <r>
    <s v="23SDSME01001"/>
    <s v="AJANA DRAVID RAJESHBHAI"/>
    <s v="SDS"/>
    <x v="3"/>
    <n v="2"/>
    <s v="9316048654 8320656274"/>
    <s v="9316048654 8320656274"/>
    <s v="DME_2023-26"/>
    <m/>
    <n v="27500"/>
    <n v="27500"/>
    <n v="0"/>
    <n v="0"/>
    <n v="0"/>
    <n v="3000"/>
    <n v="3000"/>
    <n v="0"/>
    <n v="0"/>
    <n v="0"/>
    <m/>
    <m/>
    <m/>
    <m/>
    <m/>
    <m/>
    <m/>
    <m/>
    <m/>
    <m/>
    <m/>
  </r>
  <r>
    <s v="23SDSME01007"/>
    <s v="FOG ADIB ALAUDINBHAI"/>
    <s v="SDS"/>
    <x v="3"/>
    <n v="2"/>
    <s v="9313067721 9427253388"/>
    <s v="9313067721 9427253388"/>
    <s v="DME_2023-26"/>
    <m/>
    <n v="27500"/>
    <n v="27500"/>
    <n v="0"/>
    <n v="0"/>
    <n v="0"/>
    <n v="3000"/>
    <n v="3000"/>
    <n v="0"/>
    <n v="0"/>
    <n v="0"/>
    <m/>
    <m/>
    <m/>
    <m/>
    <m/>
    <m/>
    <m/>
    <m/>
    <m/>
    <m/>
    <m/>
  </r>
  <r>
    <s v="23SDSME01008"/>
    <s v="GADHIYA MAYANK NARESHBHAI"/>
    <s v="SDS"/>
    <x v="3"/>
    <n v="2"/>
    <s v="9773179102 7698762203"/>
    <s v="9773179102 7698762203"/>
    <s v="DME_2023-26"/>
    <m/>
    <n v="27500"/>
    <n v="27500"/>
    <n v="0"/>
    <n v="0"/>
    <n v="0"/>
    <n v="3000"/>
    <n v="3000"/>
    <n v="0"/>
    <n v="0"/>
    <n v="0"/>
    <m/>
    <m/>
    <m/>
    <m/>
    <m/>
    <m/>
    <m/>
    <m/>
    <m/>
    <m/>
    <m/>
  </r>
  <r>
    <s v="23SDSME01017"/>
    <s v="PADALIYA DHRUV DHARMENDRABHAI"/>
    <s v="SDS"/>
    <x v="3"/>
    <n v="2"/>
    <s v="9978809545 9724177353"/>
    <s v="9978809545 9724177353"/>
    <s v="DME_2023-26"/>
    <s v="KSP"/>
    <n v="27500"/>
    <n v="15000"/>
    <n v="0"/>
    <n v="12500"/>
    <n v="0"/>
    <n v="3000"/>
    <n v="3000"/>
    <n v="0"/>
    <n v="0"/>
    <n v="0"/>
    <m/>
    <m/>
    <m/>
    <m/>
    <m/>
    <m/>
    <m/>
    <m/>
    <m/>
    <m/>
    <s v="KSPS ( 12500/- )"/>
  </r>
  <r>
    <s v="23SDSME01018"/>
    <s v="PADALIYA KAMAL BHAVESHBHAI"/>
    <s v="SDS"/>
    <x v="3"/>
    <n v="2"/>
    <s v="8799466639 8780682309"/>
    <s v="8799466639 8780682309"/>
    <s v="DME_2023-26"/>
    <m/>
    <n v="27500"/>
    <n v="27500"/>
    <n v="0"/>
    <n v="0"/>
    <n v="0"/>
    <n v="3000"/>
    <n v="3000"/>
    <n v="0"/>
    <n v="0"/>
    <n v="0"/>
    <m/>
    <m/>
    <m/>
    <m/>
    <m/>
    <m/>
    <m/>
    <m/>
    <m/>
    <m/>
    <m/>
  </r>
  <r>
    <s v="23SDSME01022"/>
    <s v="RATHOD RAJ BIPINBHAI"/>
    <s v="SDS"/>
    <x v="3"/>
    <n v="2"/>
    <s v="9313446351 6351081595"/>
    <s v="9313446351 6351081595"/>
    <s v="DME_2023-26"/>
    <s v="KSP"/>
    <n v="27500"/>
    <n v="0"/>
    <n v="0"/>
    <n v="12500"/>
    <n v="15000"/>
    <n v="3000"/>
    <n v="0"/>
    <n v="0"/>
    <n v="0"/>
    <n v="3000"/>
    <m/>
    <m/>
    <m/>
    <m/>
    <m/>
    <m/>
    <m/>
    <m/>
    <m/>
    <m/>
    <s v="KSPS ( 12500/- )"/>
  </r>
  <r>
    <s v="22SDSME01002"/>
    <s v="BARASIYA SMIT VIJAYBHAI"/>
    <s v="SDS"/>
    <x v="3"/>
    <n v="4"/>
    <s v="7434052706 9727527302"/>
    <s v="7434052706 9727527302"/>
    <s v="DME_2022-25"/>
    <s v="KSP"/>
    <n v="25000"/>
    <n v="12500"/>
    <n v="0"/>
    <n v="12500"/>
    <n v="0"/>
    <n v="3000"/>
    <n v="3000"/>
    <n v="0"/>
    <n v="0"/>
    <n v="0"/>
    <n v="0"/>
    <n v="0"/>
    <n v="0"/>
    <n v="0"/>
    <n v="0"/>
    <n v="0"/>
    <n v="0"/>
    <n v="0"/>
    <n v="0"/>
    <n v="0"/>
    <m/>
  </r>
  <r>
    <s v="22SDSME01004"/>
    <s v="GONDALIYA MANTHAN ASHWINBHAI"/>
    <s v="SDS"/>
    <x v="3"/>
    <n v="4"/>
    <s v="8735875205 9879173531"/>
    <s v="8735875205 9879173531"/>
    <s v="DME_2022-25"/>
    <m/>
    <n v="25000"/>
    <n v="25000"/>
    <n v="0"/>
    <n v="0"/>
    <n v="0"/>
    <n v="3000"/>
    <n v="3000"/>
    <n v="0"/>
    <n v="0"/>
    <n v="0"/>
    <n v="0"/>
    <n v="0"/>
    <n v="0"/>
    <n v="0"/>
    <n v="0"/>
    <n v="0"/>
    <n v="0"/>
    <n v="0"/>
    <n v="0"/>
    <n v="0"/>
    <m/>
  </r>
  <r>
    <s v="22SDSME01005"/>
    <s v="GONDALIYA PURVAJ SANJAYBHAI"/>
    <s v="SDS"/>
    <x v="3"/>
    <n v="4"/>
    <s v="7567358087_x000a_9426787319"/>
    <s v="7567358087_x000a_9426787319"/>
    <s v="DME_2022-25"/>
    <s v="KSP"/>
    <n v="25000"/>
    <n v="18750"/>
    <n v="0"/>
    <n v="6250"/>
    <n v="0"/>
    <n v="3000"/>
    <n v="3000"/>
    <n v="0"/>
    <n v="0"/>
    <n v="0"/>
    <n v="0"/>
    <n v="0"/>
    <n v="0"/>
    <n v="0"/>
    <n v="0"/>
    <n v="0"/>
    <n v="0"/>
    <n v="0"/>
    <n v="0"/>
    <n v="0"/>
    <s v="RS 6250 SCHOLARSHIP PER SEMESTER"/>
  </r>
  <r>
    <s v="22SDSME01007"/>
    <s v="KALARIYA PARTH JAYESHBHAI"/>
    <s v="SDS"/>
    <x v="3"/>
    <n v="4"/>
    <s v="8469577567  7046912942"/>
    <s v="8469577567  7046912942"/>
    <s v="DME_2022-25"/>
    <m/>
    <n v="25000"/>
    <n v="25000"/>
    <n v="0"/>
    <n v="0"/>
    <n v="0"/>
    <n v="3000"/>
    <n v="3000"/>
    <n v="0"/>
    <n v="0"/>
    <n v="0"/>
    <n v="0"/>
    <n v="0"/>
    <n v="0"/>
    <n v="0"/>
    <n v="0"/>
    <n v="0"/>
    <n v="0"/>
    <n v="0"/>
    <n v="0"/>
    <n v="0"/>
    <m/>
  </r>
  <r>
    <s v="22SDSME01010"/>
    <s v="MISTRY JENISH VIJAYBHAI"/>
    <s v="SDS"/>
    <x v="3"/>
    <n v="4"/>
    <s v="9313188724 9879623914"/>
    <s v="9313188724 9879623914"/>
    <s v="DME_2022-25"/>
    <m/>
    <n v="25000"/>
    <n v="25000"/>
    <n v="0"/>
    <n v="0"/>
    <n v="0"/>
    <n v="3000"/>
    <n v="3000"/>
    <n v="0"/>
    <n v="0"/>
    <n v="0"/>
    <n v="0"/>
    <n v="0"/>
    <n v="0"/>
    <n v="0"/>
    <n v="0"/>
    <n v="0"/>
    <n v="0"/>
    <n v="0"/>
    <n v="0"/>
    <n v="0"/>
    <m/>
  </r>
  <r>
    <s v="22SDSME01011"/>
    <s v="MOHAMMAD SHADAB"/>
    <s v="SDS"/>
    <x v="3"/>
    <n v="4"/>
    <s v="BIHAR STUDENT"/>
    <s v="BIHAR STUDENT"/>
    <s v="DME_2022-25"/>
    <m/>
    <n v="42500"/>
    <n v="0"/>
    <n v="0"/>
    <n v="0"/>
    <n v="42500"/>
    <n v="0"/>
    <n v="0"/>
    <n v="0"/>
    <n v="0"/>
    <n v="0"/>
    <n v="0"/>
    <n v="0"/>
    <n v="0"/>
    <n v="0"/>
    <n v="0"/>
    <n v="0"/>
    <n v="0"/>
    <n v="0"/>
    <n v="0"/>
    <n v="0"/>
    <m/>
  </r>
  <r>
    <s v="22SDSME01012"/>
    <s v="RAMANI ABHI JAYSUKHBHAI"/>
    <s v="SDS"/>
    <x v="3"/>
    <n v="4"/>
    <s v="7201810703_x000a_8347733761"/>
    <s v="7201810703_x000a_8347733761"/>
    <s v="DME_2022-25"/>
    <m/>
    <n v="25000"/>
    <n v="25000"/>
    <n v="0"/>
    <n v="0"/>
    <n v="0"/>
    <n v="3000"/>
    <n v="3000"/>
    <n v="0"/>
    <n v="0"/>
    <n v="0"/>
    <n v="0"/>
    <n v="0"/>
    <n v="0"/>
    <n v="0"/>
    <n v="0"/>
    <n v="0"/>
    <n v="0"/>
    <n v="0"/>
    <n v="0"/>
    <n v="0"/>
    <m/>
  </r>
  <r>
    <s v="22SDSME01015"/>
    <s v="JITENDRA KUMAR"/>
    <s v="SDS"/>
    <x v="3"/>
    <n v="4"/>
    <s v="BIHAR STUDENT"/>
    <s v="BIHAR STUDENT"/>
    <s v="DME_2022-25"/>
    <m/>
    <n v="42500"/>
    <n v="425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22SDSME01016"/>
    <s v="TRIVEDI SHIVAM SACHINBHAI"/>
    <s v="SDS"/>
    <x v="3"/>
    <n v="4"/>
    <s v="9106490312 9687322503"/>
    <s v="9106490312 9687322503"/>
    <s v="DME_2022-25"/>
    <s v="MYSY"/>
    <n v="25000"/>
    <n v="0"/>
    <n v="0"/>
    <n v="0"/>
    <n v="25000"/>
    <n v="3000"/>
    <n v="3000"/>
    <n v="0"/>
    <n v="0"/>
    <n v="0"/>
    <n v="0"/>
    <n v="0"/>
    <n v="0"/>
    <n v="0"/>
    <n v="0"/>
    <n v="0"/>
    <n v="0"/>
    <n v="0"/>
    <n v="0"/>
    <n v="0"/>
    <s v="KSPS(25%) + MYSY(50%) "/>
  </r>
  <r>
    <s v="22SDSME01018"/>
    <s v="VALANI VIVEK VINODBHAI"/>
    <s v="SDS"/>
    <x v="3"/>
    <n v="4"/>
    <s v="7984636678 9979238385"/>
    <s v="7984636678 9979238385"/>
    <s v="DME_2022-25"/>
    <s v="MYSY"/>
    <n v="25000"/>
    <n v="25000"/>
    <n v="0"/>
    <n v="0"/>
    <n v="0"/>
    <n v="3000"/>
    <n v="3000"/>
    <n v="0"/>
    <n v="0"/>
    <n v="0"/>
    <n v="0"/>
    <n v="0"/>
    <n v="0"/>
    <n v="0"/>
    <n v="0"/>
    <n v="0"/>
    <n v="0"/>
    <n v="0"/>
    <n v="0"/>
    <n v="0"/>
    <s v="KSPS(25%) + MYSY(50%) "/>
  </r>
  <r>
    <s v="22SDSME01019"/>
    <s v="VISHAL KUMAR"/>
    <s v="SDS"/>
    <x v="3"/>
    <n v="4"/>
    <s v="BIHAR STUDENT"/>
    <s v="BIHAR STUDENT"/>
    <s v="DME_2022-25"/>
    <m/>
    <n v="42500"/>
    <n v="425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22SDSME01020"/>
    <s v="MOHAMMAD HAMMAD"/>
    <s v="SDS"/>
    <x v="3"/>
    <n v="4"/>
    <s v="BIHAR STUDENT"/>
    <s v="BIHAR STUDENT"/>
    <s v="DME_2022-25"/>
    <m/>
    <n v="42500"/>
    <n v="0"/>
    <n v="0"/>
    <n v="0"/>
    <n v="42500"/>
    <n v="0"/>
    <n v="0"/>
    <n v="0"/>
    <n v="0"/>
    <n v="0"/>
    <n v="0"/>
    <n v="0"/>
    <n v="0"/>
    <n v="0"/>
    <n v="0"/>
    <n v="0"/>
    <n v="0"/>
    <n v="0"/>
    <n v="0"/>
    <n v="0"/>
    <m/>
  </r>
  <r>
    <s v="22SDSME01022"/>
    <s v="GUJARATI RAVIKUMAR MOHANBHAI"/>
    <s v="SDS"/>
    <x v="3"/>
    <n v="4"/>
    <s v="6351625284"/>
    <s v="6351625284"/>
    <s v="DME_2022-25"/>
    <s v="MYSY"/>
    <n v="25000"/>
    <n v="0"/>
    <n v="0"/>
    <n v="0"/>
    <n v="25000"/>
    <n v="3000"/>
    <n v="3000"/>
    <n v="0"/>
    <n v="0"/>
    <n v="0"/>
    <n v="0"/>
    <n v="0"/>
    <n v="0"/>
    <n v="0"/>
    <n v="0"/>
    <n v="0"/>
    <n v="0"/>
    <n v="0"/>
    <n v="0"/>
    <n v="0"/>
    <s v="KSPS(25%) + MYSY(50%) "/>
  </r>
  <r>
    <s v="22SDSME01023"/>
    <s v="GUJARATI PRITESH RAJESHBHAI"/>
    <s v="SDS"/>
    <x v="3"/>
    <n v="4"/>
    <s v="9727699328 9727699328"/>
    <s v="9727699328 9727699328"/>
    <s v="DME_2022-25"/>
    <s v="MYSY"/>
    <n v="25000"/>
    <n v="0"/>
    <n v="0"/>
    <n v="0"/>
    <n v="25000"/>
    <n v="3000"/>
    <n v="3000"/>
    <n v="0"/>
    <n v="0"/>
    <n v="0"/>
    <n v="0"/>
    <n v="0"/>
    <n v="0"/>
    <n v="0"/>
    <n v="0"/>
    <n v="0"/>
    <n v="0"/>
    <n v="0"/>
    <n v="0"/>
    <n v="0"/>
    <s v="KSPS(50%) + MYSY(50%)"/>
  </r>
  <r>
    <s v="22SDSME01024"/>
    <s v="KACHHADIYA KRISH HITESHBHAI"/>
    <s v="SDS"/>
    <x v="3"/>
    <n v="4"/>
    <s v="6354045981 9099708050"/>
    <s v="6354045981 9099708050"/>
    <s v="DME_2022-25"/>
    <m/>
    <n v="25000"/>
    <n v="25000"/>
    <n v="0"/>
    <n v="0"/>
    <n v="0"/>
    <n v="3000"/>
    <n v="3000"/>
    <n v="0"/>
    <n v="0"/>
    <n v="0"/>
    <n v="0"/>
    <n v="0"/>
    <n v="0"/>
    <n v="0"/>
    <n v="0"/>
    <n v="0"/>
    <n v="0"/>
    <n v="0"/>
    <n v="0"/>
    <n v="0"/>
    <m/>
  </r>
  <r>
    <s v="22SDSME01025"/>
    <s v="ABHISHEK KUMAR"/>
    <s v="SDS"/>
    <x v="3"/>
    <n v="4"/>
    <s v="BIHAR STUDENT"/>
    <s v="BIHAR STUDENT"/>
    <s v="DME_2022-25"/>
    <m/>
    <n v="42500"/>
    <n v="0"/>
    <n v="0"/>
    <n v="0"/>
    <n v="42500"/>
    <n v="0"/>
    <n v="0"/>
    <n v="0"/>
    <n v="0"/>
    <n v="0"/>
    <n v="0"/>
    <n v="0"/>
    <n v="0"/>
    <n v="0"/>
    <n v="0"/>
    <n v="0"/>
    <n v="0"/>
    <n v="0"/>
    <n v="0"/>
    <n v="0"/>
    <m/>
  </r>
  <r>
    <s v="22SDSME01026"/>
    <s v="RAM RATAN KUMAR"/>
    <s v="SDS"/>
    <x v="3"/>
    <n v="4"/>
    <s v="7808508073 7069020788"/>
    <s v="7808508073 7069020788"/>
    <s v="DME_2022-25"/>
    <m/>
    <n v="25000"/>
    <n v="25000"/>
    <n v="0"/>
    <n v="0"/>
    <n v="0"/>
    <n v="3000"/>
    <n v="3000"/>
    <n v="0"/>
    <n v="0"/>
    <n v="0"/>
    <n v="0"/>
    <n v="0"/>
    <n v="0"/>
    <n v="0"/>
    <n v="0"/>
    <n v="0"/>
    <n v="0"/>
    <n v="0"/>
    <n v="0"/>
    <n v="0"/>
    <m/>
  </r>
  <r>
    <s v="22SDSME01027"/>
    <s v="RAUNAK KUMAR"/>
    <s v="SDS"/>
    <x v="3"/>
    <n v="4"/>
    <s v="BIHAR STUDENT"/>
    <s v="BIHAR STUDENT"/>
    <s v="DME_2022-25"/>
    <m/>
    <n v="42500"/>
    <n v="425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22SDSME01028"/>
    <s v="PARMAR VISHAL DINESHBHAI"/>
    <s v="SDS"/>
    <x v="3"/>
    <n v="4"/>
    <s v="9687869962 9737874564"/>
    <s v="9687869962 9737874564"/>
    <s v="DME_2022-25"/>
    <s v="FREESHIP CARD"/>
    <n v="25000"/>
    <n v="0"/>
    <n v="0"/>
    <n v="0"/>
    <n v="25000"/>
    <n v="3000"/>
    <n v="0"/>
    <n v="0"/>
    <n v="0"/>
    <n v="3000"/>
    <n v="0"/>
    <n v="0"/>
    <n v="0"/>
    <n v="0"/>
    <n v="0"/>
    <n v="0"/>
    <n v="0"/>
    <n v="0"/>
    <n v="0"/>
    <n v="0"/>
    <s v="FREESHIP CARD"/>
  </r>
  <r>
    <s v="22SDSME01029"/>
    <s v="PARVADIYA JAYDEEP KALUBHAI"/>
    <s v="SDS"/>
    <x v="3"/>
    <n v="4"/>
    <s v="9727847234 9909065204"/>
    <s v="9727847234 9909065204"/>
    <s v="DME_2022-25"/>
    <s v="MYSY"/>
    <n v="25000"/>
    <n v="0"/>
    <n v="0"/>
    <n v="0"/>
    <n v="25000"/>
    <n v="3000"/>
    <n v="3000"/>
    <n v="0"/>
    <n v="0"/>
    <n v="0"/>
    <n v="0"/>
    <n v="0"/>
    <n v="0"/>
    <n v="0"/>
    <n v="0"/>
    <n v="0"/>
    <n v="0"/>
    <n v="0"/>
    <n v="0"/>
    <n v="0"/>
    <s v="KSPS(25%) + MYSY(50%) "/>
  </r>
  <r>
    <s v="22SDSME01030"/>
    <s v="SANIYA GOPALBHAI HARJIBHAI"/>
    <s v="SDS"/>
    <x v="3"/>
    <n v="4"/>
    <s v="7863042248 9510854542"/>
    <s v="7863042248 9510854542"/>
    <s v="DME_2022-25"/>
    <s v="MYSY"/>
    <n v="25000"/>
    <n v="0"/>
    <n v="0"/>
    <n v="0"/>
    <n v="25000"/>
    <n v="3000"/>
    <n v="3000"/>
    <n v="0"/>
    <n v="0"/>
    <n v="0"/>
    <n v="0"/>
    <n v="0"/>
    <n v="0"/>
    <n v="0"/>
    <n v="0"/>
    <n v="0"/>
    <n v="0"/>
    <n v="0"/>
    <n v="0"/>
    <n v="0"/>
    <s v="KSPS(25%) + MYSY(50%)"/>
  </r>
  <r>
    <s v="22SDSME01031"/>
    <s v="SHINGALA YASH PRAVINBHAI"/>
    <s v="SDS"/>
    <x v="3"/>
    <n v="4"/>
    <s v="6355361156 9726147099"/>
    <s v="6355361156 9726147099"/>
    <s v="DME_2022-25"/>
    <s v="KSP"/>
    <n v="25000"/>
    <n v="12500"/>
    <n v="0"/>
    <n v="12500"/>
    <n v="0"/>
    <n v="3000"/>
    <n v="3000"/>
    <n v="0"/>
    <n v="0"/>
    <n v="0"/>
    <n v="0"/>
    <n v="0"/>
    <n v="0"/>
    <n v="0"/>
    <n v="0"/>
    <n v="0"/>
    <n v="0"/>
    <n v="0"/>
    <n v="0"/>
    <n v="0"/>
    <s v="KSPS(50%)_x000a_12500 PER SEM "/>
  </r>
  <r>
    <s v="22SDSME01032"/>
    <s v="ZALAVADIYA PRIYANK SANJAYBHAI"/>
    <s v="SDS"/>
    <x v="3"/>
    <n v="4"/>
    <s v="9016908802 6352167990"/>
    <s v="9016908802 6352167990"/>
    <s v="DME_2022-25"/>
    <s v="MYSY"/>
    <n v="25000"/>
    <n v="0"/>
    <n v="0"/>
    <n v="0"/>
    <n v="25000"/>
    <n v="3000"/>
    <n v="3000"/>
    <n v="0"/>
    <n v="0"/>
    <n v="0"/>
    <n v="0"/>
    <n v="0"/>
    <n v="0"/>
    <n v="0"/>
    <n v="0"/>
    <n v="0"/>
    <n v="0"/>
    <n v="0"/>
    <n v="0"/>
    <n v="0"/>
    <s v="KSPS(50%) + MYSY(50%)"/>
  </r>
  <r>
    <s v="22SDSME01034"/>
    <s v="ASAR ALI"/>
    <s v="SDS"/>
    <x v="3"/>
    <n v="4"/>
    <s v="BIHAR STUDENT"/>
    <s v="BIHAR STUDENT"/>
    <s v="DME_2022-25"/>
    <m/>
    <n v="42500"/>
    <n v="0"/>
    <n v="0"/>
    <n v="0"/>
    <n v="42500"/>
    <n v="0"/>
    <n v="0"/>
    <n v="0"/>
    <n v="0"/>
    <n v="0"/>
    <n v="0"/>
    <n v="0"/>
    <n v="0"/>
    <n v="0"/>
    <n v="0"/>
    <n v="0"/>
    <n v="0"/>
    <n v="0"/>
    <n v="0"/>
    <n v="0"/>
    <m/>
  </r>
  <r>
    <s v="22SDSME01035"/>
    <s v="ADITYA KUMAR"/>
    <s v="SDS"/>
    <x v="3"/>
    <n v="4"/>
    <s v="BIHAR STUDENT"/>
    <s v="BIHAR STUDENT"/>
    <s v="DME_2022-25"/>
    <m/>
    <n v="42500"/>
    <n v="0"/>
    <n v="0"/>
    <n v="0"/>
    <n v="42500"/>
    <n v="0"/>
    <n v="0"/>
    <n v="0"/>
    <n v="0"/>
    <n v="0"/>
    <n v="0"/>
    <n v="0"/>
    <n v="0"/>
    <n v="0"/>
    <n v="0"/>
    <n v="0"/>
    <n v="0"/>
    <n v="0"/>
    <n v="0"/>
    <n v="0"/>
    <m/>
  </r>
  <r>
    <s v="22SDSME01036"/>
    <s v="BRAJESH KUMAR"/>
    <s v="SDS"/>
    <x v="3"/>
    <n v="4"/>
    <s v="BIHAR STUDENT"/>
    <s v="BIHAR STUDENT"/>
    <s v="DME_2022-25"/>
    <m/>
    <n v="42500"/>
    <n v="0"/>
    <n v="0"/>
    <n v="0"/>
    <n v="42500"/>
    <n v="0"/>
    <n v="0"/>
    <n v="0"/>
    <n v="0"/>
    <n v="0"/>
    <n v="0"/>
    <n v="0"/>
    <n v="0"/>
    <n v="0"/>
    <n v="0"/>
    <n v="0"/>
    <n v="0"/>
    <n v="0"/>
    <n v="0"/>
    <n v="0"/>
    <m/>
  </r>
  <r>
    <s v="22SDSME01037"/>
    <s v="GOLU KUMAR"/>
    <s v="SDS"/>
    <x v="3"/>
    <n v="4"/>
    <s v="BIHAR STUDENT"/>
    <s v="BIHAR STUDENT"/>
    <s v="DME_2022-25"/>
    <m/>
    <n v="42500"/>
    <n v="0"/>
    <n v="0"/>
    <n v="0"/>
    <n v="42500"/>
    <n v="0"/>
    <n v="0"/>
    <n v="0"/>
    <n v="0"/>
    <n v="0"/>
    <n v="0"/>
    <n v="0"/>
    <n v="0"/>
    <n v="0"/>
    <n v="0"/>
    <n v="0"/>
    <n v="0"/>
    <n v="0"/>
    <n v="0"/>
    <n v="0"/>
    <m/>
  </r>
  <r>
    <s v="22SDSME01039"/>
    <s v="MUKESH KUMAR"/>
    <s v="SDS"/>
    <x v="3"/>
    <n v="4"/>
    <s v="BIHAR STUDENT"/>
    <s v="BIHAR STUDENT"/>
    <s v="DME_2022-25"/>
    <m/>
    <n v="42500"/>
    <n v="0"/>
    <n v="0"/>
    <n v="0"/>
    <n v="42500"/>
    <n v="0"/>
    <n v="0"/>
    <n v="0"/>
    <n v="0"/>
    <n v="0"/>
    <n v="0"/>
    <n v="0"/>
    <n v="0"/>
    <n v="0"/>
    <n v="0"/>
    <n v="0"/>
    <n v="0"/>
    <n v="0"/>
    <n v="0"/>
    <n v="0"/>
    <m/>
  </r>
  <r>
    <s v="22SDSME01040"/>
    <s v="NAVIN KUMAR"/>
    <s v="SDS"/>
    <x v="3"/>
    <n v="4"/>
    <s v="BIHAR STUDENT"/>
    <s v="BIHAR STUDENT"/>
    <s v="DME_2022-25"/>
    <m/>
    <n v="42500"/>
    <n v="0"/>
    <n v="0"/>
    <n v="0"/>
    <n v="42500"/>
    <n v="0"/>
    <n v="0"/>
    <n v="0"/>
    <n v="0"/>
    <n v="0"/>
    <n v="0"/>
    <n v="0"/>
    <n v="0"/>
    <n v="0"/>
    <n v="0"/>
    <n v="0"/>
    <n v="0"/>
    <n v="0"/>
    <n v="0"/>
    <n v="0"/>
    <m/>
  </r>
  <r>
    <s v="22SDSME01041"/>
    <s v="PRASHANT KUMAR"/>
    <s v="SDS"/>
    <x v="3"/>
    <n v="4"/>
    <s v="BIHAR STUDENT"/>
    <s v="BIHAR STUDENT"/>
    <s v="DME_2022-25"/>
    <m/>
    <n v="42500"/>
    <n v="0"/>
    <n v="0"/>
    <n v="0"/>
    <n v="42500"/>
    <n v="0"/>
    <n v="0"/>
    <n v="0"/>
    <n v="0"/>
    <n v="0"/>
    <n v="0"/>
    <n v="0"/>
    <n v="0"/>
    <n v="0"/>
    <n v="0"/>
    <n v="0"/>
    <n v="0"/>
    <n v="0"/>
    <n v="0"/>
    <n v="0"/>
    <m/>
  </r>
  <r>
    <s v="22SDSME01043"/>
    <s v="SAURABH KUMAR"/>
    <s v="SDS"/>
    <x v="3"/>
    <n v="4"/>
    <s v="BIHAR STUDENT"/>
    <s v="BIHAR STUDENT"/>
    <s v="DME_2022-25"/>
    <m/>
    <n v="42500"/>
    <n v="0"/>
    <n v="0"/>
    <n v="0"/>
    <n v="42500"/>
    <n v="0"/>
    <n v="0"/>
    <n v="0"/>
    <n v="0"/>
    <n v="0"/>
    <n v="0"/>
    <n v="0"/>
    <n v="0"/>
    <n v="0"/>
    <n v="0"/>
    <n v="0"/>
    <n v="0"/>
    <n v="0"/>
    <n v="0"/>
    <n v="0"/>
    <m/>
  </r>
  <r>
    <s v="22SDSME01044"/>
    <s v="SHRIOM KUMAR"/>
    <s v="SDS"/>
    <x v="3"/>
    <n v="4"/>
    <s v="BIHAR STUDENT"/>
    <s v="BIHAR STUDENT"/>
    <s v="DME_2022-25"/>
    <m/>
    <n v="42500"/>
    <n v="425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22SDSME01045"/>
    <s v="SHUBHAM KUMAR"/>
    <s v="SDS"/>
    <x v="3"/>
    <n v="4"/>
    <s v="BIHAR STUDENT"/>
    <s v="BIHAR STUDENT"/>
    <s v="DME_2022-25"/>
    <m/>
    <n v="42500"/>
    <n v="425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22SDSME01046"/>
    <s v="SATYAJEET NIDHI"/>
    <s v="SDS"/>
    <x v="3"/>
    <n v="4"/>
    <s v="BIHAR STUDENT"/>
    <s v="BIHAR STUDENT"/>
    <s v="DME_2022-25"/>
    <m/>
    <n v="42500"/>
    <n v="425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22SDSME01048"/>
    <s v="SHIVESH SATYAM"/>
    <s v="SDS"/>
    <x v="3"/>
    <n v="4"/>
    <s v="BIHAR STUDENT"/>
    <s v="BIHAR STUDENT"/>
    <s v="DME_2022-25"/>
    <m/>
    <n v="42500"/>
    <n v="425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22SDSME01049"/>
    <s v="BITTU KUMAR SINGH"/>
    <s v="SDS"/>
    <x v="3"/>
    <n v="4"/>
    <s v="BIHAR STUDENT"/>
    <s v="BIHAR STUDENT"/>
    <s v="DME_2022-25"/>
    <m/>
    <n v="42500"/>
    <n v="0"/>
    <n v="0"/>
    <n v="0"/>
    <n v="42500"/>
    <n v="0"/>
    <n v="0"/>
    <n v="0"/>
    <n v="0"/>
    <n v="0"/>
    <n v="0"/>
    <n v="0"/>
    <n v="0"/>
    <n v="0"/>
    <n v="0"/>
    <n v="0"/>
    <n v="0"/>
    <n v="0"/>
    <n v="0"/>
    <n v="0"/>
    <m/>
  </r>
  <r>
    <s v="22SDSME01050"/>
    <s v="PRASHANT KUMAR SINGH"/>
    <s v="SDS"/>
    <x v="3"/>
    <n v="4"/>
    <s v="BIHAR STUDENT"/>
    <s v="BIHAR STUDENT"/>
    <s v="DME_2022-25"/>
    <m/>
    <n v="42500"/>
    <n v="0"/>
    <n v="0"/>
    <n v="0"/>
    <n v="42500"/>
    <n v="0"/>
    <n v="0"/>
    <n v="0"/>
    <n v="0"/>
    <n v="0"/>
    <n v="0"/>
    <n v="0"/>
    <n v="0"/>
    <n v="0"/>
    <n v="0"/>
    <n v="0"/>
    <n v="0"/>
    <n v="0"/>
    <n v="0"/>
    <n v="0"/>
    <m/>
  </r>
  <r>
    <s v="22SDSME01052"/>
    <s v="RISHAB KUMAR SRIVASTAV"/>
    <s v="SDS"/>
    <x v="3"/>
    <n v="4"/>
    <s v="BIHAR STUDENT"/>
    <s v="BIHAR STUDENT"/>
    <s v="DME_2022-25"/>
    <m/>
    <n v="42500"/>
    <n v="425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22SDSME01054"/>
    <s v="ZAFAR IMAM"/>
    <s v="SDS"/>
    <x v="3"/>
    <n v="4"/>
    <s v="BIHAR STUDENT"/>
    <s v="BIHAR STUDENT"/>
    <s v="DME_2022-25"/>
    <m/>
    <n v="42500"/>
    <n v="0"/>
    <n v="0"/>
    <n v="0"/>
    <n v="42500"/>
    <n v="0"/>
    <n v="0"/>
    <n v="0"/>
    <n v="0"/>
    <n v="0"/>
    <n v="0"/>
    <n v="0"/>
    <n v="0"/>
    <n v="0"/>
    <n v="0"/>
    <n v="0"/>
    <n v="0"/>
    <n v="0"/>
    <n v="0"/>
    <n v="0"/>
    <m/>
  </r>
  <r>
    <s v="22SDSME01055"/>
    <s v="SUSHANT KUMAR"/>
    <s v="SDS"/>
    <x v="3"/>
    <n v="4"/>
    <s v="BIHAR STUDENT"/>
    <s v="BIHAR STUDENT"/>
    <s v="DME_2022-25"/>
    <m/>
    <n v="42500"/>
    <n v="0"/>
    <n v="0"/>
    <n v="0"/>
    <n v="42500"/>
    <n v="0"/>
    <n v="0"/>
    <n v="0"/>
    <n v="0"/>
    <n v="0"/>
    <n v="0"/>
    <n v="0"/>
    <n v="0"/>
    <n v="0"/>
    <n v="0"/>
    <n v="0"/>
    <n v="0"/>
    <n v="0"/>
    <n v="0"/>
    <n v="0"/>
    <m/>
  </r>
  <r>
    <s v="22SDSME01056"/>
    <s v="RAVI KUMAR RAM"/>
    <s v="SDS"/>
    <x v="3"/>
    <n v="4"/>
    <s v="BIHAR STUDENT"/>
    <s v="BIHAR STUDENT"/>
    <s v="DME_2022-25"/>
    <m/>
    <n v="42500"/>
    <n v="425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22SDSME01058"/>
    <s v="SURAJ KUMAR"/>
    <s v="SDS"/>
    <x v="3"/>
    <n v="4"/>
    <s v="BIHAR STUDENT"/>
    <s v="BIHAR STUDENT"/>
    <s v="DME_2022-25"/>
    <m/>
    <n v="42500"/>
    <n v="0"/>
    <n v="0"/>
    <n v="0"/>
    <n v="42500"/>
    <n v="0"/>
    <n v="0"/>
    <n v="0"/>
    <n v="0"/>
    <n v="0"/>
    <n v="0"/>
    <n v="0"/>
    <n v="0"/>
    <n v="0"/>
    <n v="0"/>
    <n v="0"/>
    <n v="0"/>
    <n v="0"/>
    <n v="0"/>
    <n v="0"/>
    <m/>
  </r>
  <r>
    <s v="22SDSME01059"/>
    <s v="RISHU RAJ SINGH"/>
    <s v="SDS"/>
    <x v="3"/>
    <n v="4"/>
    <s v="BIHAR STUDENT"/>
    <s v="BIHAR STUDENT"/>
    <s v="DME_2022-25"/>
    <m/>
    <n v="42500"/>
    <n v="0"/>
    <n v="0"/>
    <n v="0"/>
    <n v="42500"/>
    <n v="0"/>
    <n v="0"/>
    <n v="0"/>
    <n v="0"/>
    <n v="0"/>
    <n v="0"/>
    <n v="0"/>
    <n v="0"/>
    <n v="0"/>
    <n v="0"/>
    <n v="0"/>
    <n v="0"/>
    <n v="0"/>
    <n v="0"/>
    <n v="0"/>
    <m/>
  </r>
  <r>
    <s v="22SDSME01060"/>
    <s v="VISHAL KUMAR"/>
    <s v="SDS"/>
    <x v="3"/>
    <n v="4"/>
    <s v="BIHAR STUDENT"/>
    <s v="BIHAR STUDENT"/>
    <s v="DME_2022-25"/>
    <m/>
    <n v="42500"/>
    <n v="425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23SDSME03901"/>
    <s v="SAVALIYA JAINIL UPENDRABHAI"/>
    <s v="SDS"/>
    <x v="3"/>
    <n v="4"/>
    <s v="9426604269_x000a_8200148419"/>
    <s v="9426604269_x000a_8200148419"/>
    <s v="DME_2022-25"/>
    <m/>
    <n v="25000"/>
    <n v="25000"/>
    <n v="0"/>
    <n v="0"/>
    <n v="0"/>
    <n v="3000"/>
    <n v="3000"/>
    <n v="0"/>
    <n v="0"/>
    <n v="0"/>
    <n v="0"/>
    <n v="0"/>
    <n v="0"/>
    <n v="0"/>
    <n v="0"/>
    <n v="0"/>
    <n v="0"/>
    <n v="0"/>
    <n v="0"/>
    <n v="0"/>
    <m/>
  </r>
  <r>
    <s v="21SDSME01002"/>
    <s v="AGRAVAT DIPKUMAR DINESHBHAI"/>
    <s v="SDS"/>
    <x v="3"/>
    <n v="6"/>
    <s v="7984618772 9979079752"/>
    <s v="7984618772 9979079752"/>
    <s v="DME_2021-24"/>
    <s v="MYSY"/>
    <n v="25000"/>
    <n v="0"/>
    <n v="0"/>
    <n v="0"/>
    <n v="25000"/>
    <n v="3750"/>
    <n v="3750"/>
    <n v="0"/>
    <n v="0"/>
    <n v="0"/>
    <n v="0"/>
    <n v="0"/>
    <n v="0"/>
    <n v="0"/>
    <n v="0"/>
    <n v="0"/>
    <n v="0"/>
    <n v="0"/>
    <n v="0"/>
    <n v="0"/>
    <s v="MYSY(50%) + KSPS(50%)"/>
  </r>
  <r>
    <s v="21SDSME01003"/>
    <s v="ASODARIYA VISHU NILESHBHAI"/>
    <s v="SDS"/>
    <x v="3"/>
    <n v="6"/>
    <s v="9725187359 9727317749"/>
    <s v="9725187359 9727317749"/>
    <s v="DME_2021-24"/>
    <s v="MYSY"/>
    <n v="25000"/>
    <n v="0"/>
    <n v="0"/>
    <n v="0"/>
    <n v="25000"/>
    <n v="3750"/>
    <n v="3750"/>
    <n v="0"/>
    <n v="0"/>
    <n v="0"/>
    <n v="0"/>
    <n v="0"/>
    <n v="0"/>
    <n v="0"/>
    <n v="0"/>
    <n v="0"/>
    <n v="0"/>
    <n v="0"/>
    <n v="0"/>
    <n v="0"/>
    <s v="KSPS(25%) + MYSY(50%)"/>
  </r>
  <r>
    <s v="21SDSME01004"/>
    <s v="BHAMBHI RUDRA PRATAPBHAI"/>
    <s v="SDS"/>
    <x v="3"/>
    <n v="6"/>
    <s v="9409258323 9879359123"/>
    <s v="9409258323 9879359123"/>
    <s v="DME_2021-24"/>
    <m/>
    <n v="25000"/>
    <n v="25000"/>
    <n v="0"/>
    <n v="0"/>
    <n v="0"/>
    <n v="3750"/>
    <n v="3750"/>
    <n v="0"/>
    <n v="0"/>
    <n v="0"/>
    <n v="0"/>
    <n v="0"/>
    <n v="0"/>
    <n v="0"/>
    <n v="0"/>
    <n v="0"/>
    <n v="0"/>
    <n v="0"/>
    <n v="0"/>
    <n v="0"/>
    <m/>
  </r>
  <r>
    <s v="21SDSME01006"/>
    <s v="CHANDAVANIYA SAVANKUMAR SURESHBHAI"/>
    <s v="SDS"/>
    <x v="3"/>
    <n v="6"/>
    <s v="8140755401 9904938009"/>
    <s v="8140755401 9904938009"/>
    <s v="DME_2021-24"/>
    <s v="MYSY"/>
    <n v="25000"/>
    <n v="0"/>
    <n v="0"/>
    <n v="0"/>
    <n v="25000"/>
    <n v="3750"/>
    <n v="3750"/>
    <n v="0"/>
    <n v="0"/>
    <n v="0"/>
    <n v="0"/>
    <n v="0"/>
    <n v="0"/>
    <n v="0"/>
    <n v="0"/>
    <n v="0"/>
    <n v="0"/>
    <n v="0"/>
    <n v="0"/>
    <n v="0"/>
    <s v="MYSY(50%) + KSPS(50%)"/>
  </r>
  <r>
    <s v="21SDSME01007"/>
    <s v="CHAUHAN CHIRAG ASHOKBHAI"/>
    <s v="SDS"/>
    <x v="3"/>
    <n v="6"/>
    <s v="9104862254 7096237552 9228889314"/>
    <s v="9104862254 7096237552 9228889314"/>
    <s v="DME_2021-24"/>
    <s v="KSP"/>
    <n v="25000"/>
    <n v="12500"/>
    <n v="0"/>
    <n v="12500"/>
    <n v="0"/>
    <n v="3750"/>
    <n v="3750"/>
    <n v="0"/>
    <n v="0"/>
    <n v="0"/>
    <n v="0"/>
    <n v="0"/>
    <n v="0"/>
    <n v="0"/>
    <n v="0"/>
    <n v="0"/>
    <n v="0"/>
    <n v="0"/>
    <n v="0"/>
    <n v="0"/>
    <s v="RS 12500 PER SEM SCHPLARSHIP"/>
  </r>
  <r>
    <s v="21SDSME01008"/>
    <s v="CHAUHAN NIKHIL CHETANBHAI"/>
    <s v="SDS"/>
    <x v="3"/>
    <n v="6"/>
    <s v="9979164669 9727060322 9033500077"/>
    <s v="9979164669 9727060322 9033500077"/>
    <s v="DME_2021-24"/>
    <s v="MYSY"/>
    <n v="25000"/>
    <n v="0"/>
    <n v="0"/>
    <n v="0"/>
    <n v="25000"/>
    <n v="3750"/>
    <n v="3750"/>
    <n v="0"/>
    <n v="0"/>
    <n v="0"/>
    <n v="0"/>
    <n v="0"/>
    <n v="0"/>
    <n v="0"/>
    <n v="0"/>
    <n v="0"/>
    <n v="0"/>
    <n v="0"/>
    <n v="0"/>
    <n v="0"/>
    <s v="KSPS(25%) + MYSY(50%)"/>
  </r>
  <r>
    <s v="21SDSME01009"/>
    <s v="CHOVATIYA PARTH UMESHBHAI"/>
    <s v="SDS"/>
    <x v="3"/>
    <n v="6"/>
    <s v="9016491391_x000a_9016491391"/>
    <s v="9016491391_x000a_9016491391"/>
    <s v="DME_2021-24"/>
    <s v="KSP"/>
    <n v="25000"/>
    <n v="12500"/>
    <n v="0"/>
    <n v="12500"/>
    <n v="0"/>
    <n v="3750"/>
    <n v="3750"/>
    <n v="0"/>
    <n v="0"/>
    <n v="0"/>
    <n v="0"/>
    <n v="0"/>
    <n v="0"/>
    <n v="0"/>
    <n v="0"/>
    <n v="0"/>
    <n v="0"/>
    <n v="0"/>
    <n v="0"/>
    <n v="0"/>
    <s v="KSPS(50%)"/>
  </r>
  <r>
    <s v="21SDSME01012"/>
    <s v="DONGA DEV RAJESHBHAI"/>
    <s v="SDS"/>
    <x v="3"/>
    <n v="6"/>
    <s v="9106168444 9924567937"/>
    <s v="9106168444 9924567937"/>
    <s v="DME_2021-24"/>
    <m/>
    <n v="25000"/>
    <n v="25000"/>
    <n v="0"/>
    <n v="0"/>
    <n v="0"/>
    <n v="3750"/>
    <n v="3750"/>
    <n v="0"/>
    <n v="0"/>
    <n v="0"/>
    <n v="0"/>
    <n v="0"/>
    <n v="0"/>
    <n v="0"/>
    <n v="0"/>
    <n v="0"/>
    <n v="0"/>
    <n v="0"/>
    <n v="0"/>
    <n v="0"/>
    <m/>
  </r>
  <r>
    <s v="21SDSME01024"/>
    <s v="MUNGAPARA PRINCE MAHENDRABHAI"/>
    <s v="SDS"/>
    <x v="3"/>
    <n v="6"/>
    <s v="9067418958 9925609680"/>
    <s v="9067418958 9925609680"/>
    <s v="DME_2021-24"/>
    <s v="MYSY"/>
    <n v="25000"/>
    <n v="0"/>
    <n v="0"/>
    <n v="0"/>
    <n v="25000"/>
    <n v="3750"/>
    <n v="3750"/>
    <n v="0"/>
    <n v="0"/>
    <n v="0"/>
    <n v="0"/>
    <n v="0"/>
    <n v="0"/>
    <n v="0"/>
    <n v="0"/>
    <n v="0"/>
    <n v="0"/>
    <n v="0"/>
    <n v="0"/>
    <n v="0"/>
    <s v="MYSY(50%) + KSPS(50%)"/>
  </r>
  <r>
    <s v="21SDSME01025"/>
    <s v="PAMBHAR BRIJ RAJESHBHAI"/>
    <s v="SDS"/>
    <x v="3"/>
    <n v="6"/>
    <s v="9328381409 9909093941"/>
    <s v="9328381409 9909093941"/>
    <s v="DME_2021-24"/>
    <s v="MYSY"/>
    <n v="25000"/>
    <n v="0"/>
    <n v="0"/>
    <n v="0"/>
    <n v="25000"/>
    <n v="3750"/>
    <n v="3750"/>
    <n v="0"/>
    <n v="0"/>
    <n v="0"/>
    <n v="0"/>
    <n v="0"/>
    <n v="0"/>
    <n v="0"/>
    <n v="0"/>
    <n v="0"/>
    <n v="0"/>
    <n v="0"/>
    <n v="0"/>
    <n v="0"/>
    <s v="MYSY(50%) + KSPS(50%)"/>
  </r>
  <r>
    <s v="21SDSME01027"/>
    <s v="RADADIYA VIVEK MANSHUKHBHAI"/>
    <s v="SDS"/>
    <x v="3"/>
    <n v="6"/>
    <s v="9664681724 9106685880"/>
    <s v="9664681724 9106685880"/>
    <s v="DME_2021-24"/>
    <s v="MYSY"/>
    <n v="25000"/>
    <n v="25000"/>
    <n v="0"/>
    <n v="0"/>
    <n v="0"/>
    <n v="3750"/>
    <n v="3750"/>
    <n v="0"/>
    <n v="0"/>
    <n v="0"/>
    <n v="0"/>
    <n v="0"/>
    <n v="0"/>
    <n v="0"/>
    <n v="0"/>
    <n v="0"/>
    <n v="0"/>
    <n v="0"/>
    <n v="0"/>
    <n v="0"/>
    <s v="MYSY(50%) + KSPS(50%)"/>
  </r>
  <r>
    <s v="21SDSME01029"/>
    <s v="RATHOD AMAN ASHWINBHAI"/>
    <s v="SDS"/>
    <x v="3"/>
    <n v="6"/>
    <s v="9904021717 9924411717"/>
    <s v="9904021717 9924411717"/>
    <s v="DME_2021-24"/>
    <s v="KSP"/>
    <n v="25000"/>
    <n v="12500"/>
    <n v="0"/>
    <n v="12500"/>
    <n v="0"/>
    <n v="3750"/>
    <n v="3750"/>
    <n v="0"/>
    <n v="0"/>
    <n v="0"/>
    <n v="0"/>
    <n v="0"/>
    <n v="0"/>
    <n v="0"/>
    <n v="0"/>
    <n v="0"/>
    <n v="0"/>
    <n v="0"/>
    <n v="0"/>
    <n v="0"/>
    <s v="RS 12500 PER SEM SCHOLARSHIP"/>
  </r>
  <r>
    <s v="22SDSME03601"/>
    <s v="HEM BHADHUR MONGAR"/>
    <s v="SDS"/>
    <x v="3"/>
    <n v="6"/>
    <s v="INTERNATIONAL"/>
    <s v="INR FEE STUDENT"/>
    <s v="DCE_2022-23"/>
    <m/>
    <n v="37500"/>
    <n v="37500"/>
    <n v="0"/>
    <n v="0"/>
    <n v="0"/>
    <n v="1250"/>
    <n v="0"/>
    <n v="0"/>
    <n v="0"/>
    <n v="1250"/>
    <n v="0"/>
    <n v="0"/>
    <n v="0"/>
    <n v="0"/>
    <n v="0"/>
    <n v="0"/>
    <n v="0"/>
    <n v="0"/>
    <n v="0"/>
    <n v="0"/>
    <m/>
  </r>
  <r>
    <s v="21SDSME01019"/>
    <s v="KAPURIYA KEVIN"/>
    <s v="SDS"/>
    <x v="3"/>
    <n v="6"/>
    <s v="9016629904_x000a_9824457054"/>
    <s v="9016629904_x000a_9824457054"/>
    <s v="DME_2021-24"/>
    <m/>
    <n v="25000"/>
    <n v="25000"/>
    <n v="0"/>
    <n v="0"/>
    <n v="0"/>
    <n v="3750"/>
    <n v="3750"/>
    <n v="0"/>
    <n v="0"/>
    <n v="0"/>
    <n v="0"/>
    <n v="0"/>
    <n v="0"/>
    <n v="0"/>
    <n v="0"/>
    <n v="0"/>
    <n v="0"/>
    <n v="0"/>
    <n v="0"/>
    <n v="0"/>
    <s v="10000 PER SEM SCHOLARSHIP"/>
  </r>
  <r>
    <m/>
    <m/>
    <m/>
    <x v="4"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x v="4"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x v="4"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x v="4"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x v="4"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x v="4"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x v="4"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x v="4"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x v="4"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x v="4"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x v="4"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x v="4"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x v="4"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x v="4"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x v="4"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x v="4"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x v="4"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x v="4"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x v="4"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x v="4"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x v="4"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x v="4"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x v="4"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x v="4"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x v="4"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x v="4"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x v="4"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x v="4"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x v="4"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x v="4"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x v="4"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x v="4"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x v="4"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x v="4"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x v="4"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x v="4"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x v="4"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x v="4"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x v="4"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x v="4"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x v="4"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x v="4"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x v="4"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x v="4"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x v="4"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x v="4"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x v="4"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x v="4"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x v="4"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x v="4"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x v="4"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x v="4"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x v="4"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x v="4"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x v="4"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x v="4"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x v="4"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x v="4"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x v="4"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x v="4"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x v="4"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x v="4"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x v="4"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x v="4"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x v="4"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x v="4"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x v="4"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x v="4"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x v="4"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x v="4"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x v="4"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x v="4"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x v="4"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x v="4"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x v="4"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x v="4"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x v="4"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x v="4"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x v="4"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x v="4"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x v="4"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x v="4"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x v="4"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x v="4"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x v="4"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x v="4"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x v="4"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x v="4"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x v="4"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x v="4"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Dashboard" cacheId="4" applyNumberFormats="0" applyBorderFormats="0" applyFontFormats="0" applyPatternFormats="0" applyAlignmentFormats="0" applyWidthHeightFormats="0" dataCaption="" updatedVersion="8" compact="0" compactData="0">
  <location ref="A2:K8" firstHeaderRow="1" firstDataRow="2" firstDataCol="1"/>
  <pivotFields count="30">
    <pivotField name="ENo" compact="0" outline="0" multipleItemSelectionAllowed="1" showAll="0"/>
    <pivotField name="Name" compact="0" outline="0" multipleItemSelectionAllowed="1" showAll="0"/>
    <pivotField name="School" compact="0" outline="0" multipleItemSelectionAllowed="1" showAll="0"/>
    <pivotField name="Branch" axis="axisRow" compact="0" outline="0" multipleItemSelectionAllowed="1" showAll="0" sortType="ascending">
      <items count="6">
        <item x="0"/>
        <item x="1"/>
        <item x="2"/>
        <item x="3"/>
        <item h="1" x="4"/>
        <item t="default"/>
      </items>
    </pivotField>
    <pivotField name="Sem" compact="0" outline="0" multipleItemSelectionAllowed="1" showAll="0"/>
    <pivotField name="SMobile" compact="0" outline="0" multipleItemSelectionAllowed="1" showAll="0"/>
    <pivotField name="FMobile" compact="0" outline="0" multipleItemSelectionAllowed="1" showAll="0"/>
    <pivotField name="Batch" compact="0" outline="0" multipleItemSelectionAllowed="1" showAll="0"/>
    <pivotField name="Scholarship Type" compact="0" outline="0" multipleItemSelectionAllowed="1" showAll="0"/>
    <pivotField name="C_Total" dataField="1" compact="0" numFmtId="1" outline="0" multipleItemSelectionAllowed="1" showAll="0"/>
    <pivotField name="C_Paid" dataField="1" compact="0" numFmtId="1" outline="0" multipleItemSelectionAllowed="1" showAll="0"/>
    <pivotField name="C_Cheque Received" dataField="1" compact="0" numFmtId="1" outline="0" multipleItemSelectionAllowed="1" showAll="0"/>
    <pivotField name="C_Scholarship" dataField="1" compact="0" numFmtId="1" outline="0" multipleItemSelectionAllowed="1" showAll="0"/>
    <pivotField name="C_Due" dataField="1" compact="0" numFmtId="1" outline="0" multipleItemSelectionAllowed="1" showAll="0"/>
    <pivotField name="U_Total" dataField="1" compact="0" numFmtId="1" outline="0" multipleItemSelectionAllowed="1" showAll="0"/>
    <pivotField name="U_Paid" dataField="1" compact="0" numFmtId="1" outline="0" multipleItemSelectionAllowed="1" showAll="0"/>
    <pivotField name="U_Cheque Received" dataField="1" compact="0" numFmtId="1" outline="0" multipleItemSelectionAllowed="1" showAll="0"/>
    <pivotField name="U_Scholarship" dataField="1" compact="0" numFmtId="1" outline="0" multipleItemSelectionAllowed="1" showAll="0"/>
    <pivotField name="U_Due" dataField="1" compact="0" numFmtId="1" outline="0" multipleItemSelectionAllowed="1" showAll="0"/>
    <pivotField name="H_Total" compact="0" numFmtId="1" outline="0" multipleItemSelectionAllowed="1" showAll="0"/>
    <pivotField name="H_Paid" compact="0" numFmtId="1" outline="0" multipleItemSelectionAllowed="1" showAll="0"/>
    <pivotField name="H_Cheque Received" compact="0" numFmtId="1" outline="0" multipleItemSelectionAllowed="1" showAll="0"/>
    <pivotField name="H_Scholarship" compact="0" numFmtId="1" outline="0" multipleItemSelectionAllowed="1" showAll="0"/>
    <pivotField name="H_Due" compact="0" numFmtId="1" outline="0" multipleItemSelectionAllowed="1" showAll="0"/>
    <pivotField name="TR_Total" compact="0" outline="0" multipleItemSelectionAllowed="1" showAll="0"/>
    <pivotField name="TR_Paid" compact="0" outline="0" multipleItemSelectionAllowed="1" showAll="0"/>
    <pivotField name="TR_Cheque Received" compact="0" outline="0" multipleItemSelectionAllowed="1" showAll="0"/>
    <pivotField name="TR_Scholarship" compact="0" outline="0" multipleItemSelectionAllowed="1" showAll="0"/>
    <pivotField name="TR_Due" compact="0" numFmtId="1" outline="0" multipleItemSelectionAllowed="1" showAll="0"/>
    <pivotField name="Remarks" compact="0" outline="0" multipleItemSelectionAllowed="1" showAll="0"/>
  </pivotFields>
  <rowFields count="1">
    <field x="3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10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</colItems>
  <dataFields count="10">
    <dataField name="Total Due" fld="9" baseField="0"/>
    <dataField name="Paid" fld="10" baseField="0"/>
    <dataField name="Cheque Received" fld="11" baseField="0"/>
    <dataField name="Scholarship" fld="12" baseField="0"/>
    <dataField name="Pending" fld="13" baseField="0"/>
    <dataField name="Total Due" fld="14" baseField="0"/>
    <dataField name="Paid" fld="15" baseField="0"/>
    <dataField name="Cheque Received" fld="16" baseField="0"/>
    <dataField name="Scholarship" fld="17" baseField="0"/>
    <dataField name="Pending" fld="18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3:A17" headerRowCount="0">
  <tableColumns count="1">
    <tableColumn id="1" xr3:uid="{00000000-0010-0000-0000-000001000000}" name="Column1"/>
  </tableColumns>
  <tableStyleInfo name="Student Fee Data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3:B17" headerRowCount="0">
  <tableColumns count="1">
    <tableColumn id="1" xr3:uid="{00000000-0010-0000-0100-000001000000}" name="Column1"/>
  </tableColumns>
  <tableStyleInfo name="Student Fee Data-style 2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3" displayName="Table_3" ref="C13:C17" headerRowCount="0">
  <tableColumns count="1">
    <tableColumn id="7" xr3:uid="{00000000-0010-0000-0200-000007000000}" name="Column7"/>
  </tableColumns>
  <tableStyleInfo name="Student Fee Data-style 3" showFirstColumn="1" showLastColumn="1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28B6062-2568-429B-A7E9-9F623705A722}" name="Table_15" displayName="Table_15" ref="A22:A26" headerRowCount="0">
  <tableColumns count="1">
    <tableColumn id="1" xr3:uid="{BEEEF03E-839A-4026-BD07-4753CBDE955B}" name="Column1"/>
  </tableColumns>
  <tableStyleInfo name="Student Fee Data-style" showFirstColumn="1" showLastColumn="1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2451917-6F3B-4735-B3BB-71CEFEFAB960}" name="Table_26" displayName="Table_26" ref="B22:B26" headerRowCount="0">
  <tableColumns count="1">
    <tableColumn id="1" xr3:uid="{F578CB8F-DAD4-47B1-A422-F3425DB649C4}" name="Column1"/>
  </tableColumns>
  <tableStyleInfo name="Student Fee Data-style 2" showFirstColumn="1" showLastColumn="1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EC296B8-5ABB-47E3-8B71-9FA0349A157E}" name="Table_37" displayName="Table_37" ref="C22:I26" headerRowCount="0">
  <tableColumns count="7">
    <tableColumn id="1" xr3:uid="{539DF69C-6A8C-470A-A278-79A09D2A9EEF}" name="Column1">
      <calculatedColumnFormula>IFERROR(__xludf.DUMMYFUNCTION("""COMPUTED_VALUE"""),"SDS")</calculatedColumnFormula>
    </tableColumn>
    <tableColumn id="2" xr3:uid="{734CB7B1-85A8-4C41-B0BE-2C9C20B90C26}" name="Column2">
      <calculatedColumnFormula>IFERROR(__xludf.DUMMYFUNCTION("""COMPUTED_VALUE"""),"DCE")</calculatedColumnFormula>
    </tableColumn>
    <tableColumn id="3" xr3:uid="{DC82AE82-B949-43E1-BD3A-3139450DCAFA}" name="Column3">
      <calculatedColumnFormula>IFERROR(__xludf.DUMMYFUNCTION("""COMPUTED_VALUE"""),2)</calculatedColumnFormula>
    </tableColumn>
    <tableColumn id="4" xr3:uid="{49BD9FEF-3881-4F5A-945C-825CCECCB621}" name="Column4"/>
    <tableColumn id="5" xr3:uid="{8B8A5237-FD15-41B6-A91F-08FCDD456B20}" name="Column5"/>
    <tableColumn id="6" xr3:uid="{4812699E-5C9B-46B9-B585-AE7DAA57CB67}" name="Column6">
      <calculatedColumnFormula>IFERROR(__xludf.DUMMYFUNCTION("""COMPUTED_VALUE"""),"DCE_2023-26")</calculatedColumnFormula>
    </tableColumn>
    <tableColumn id="7" xr3:uid="{4469B49F-3C03-4A4A-B1C7-39F01831F01C}" name="Column7"/>
  </tableColumns>
  <tableStyleInfo name="Student Fee Data-style 3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522" Type="http://schemas.openxmlformats.org/officeDocument/2006/relationships/hyperlink" Target="https://drive.google.com/open?id=1Y0bE4DpD8CP81fDhzXqy1RFz5VI3v6bo" TargetMode="External"/><Relationship Id="rId1827" Type="http://schemas.openxmlformats.org/officeDocument/2006/relationships/hyperlink" Target="https://drive.google.com/open?id=1aM_WuYNQ2TPVNGnBsrw-U9Xjeyor7FY6" TargetMode="External"/><Relationship Id="rId21" Type="http://schemas.openxmlformats.org/officeDocument/2006/relationships/hyperlink" Target="https://drive.google.com/open?id=1Z2e4l0a8g1Ww3jM0m55JX_VtAYUlIV3-" TargetMode="External"/><Relationship Id="rId170" Type="http://schemas.openxmlformats.org/officeDocument/2006/relationships/hyperlink" Target="https://drive.google.com/open?id=1ocbp8e47boS0dKz6r-fDHmD0cXabX-gw" TargetMode="External"/><Relationship Id="rId268" Type="http://schemas.openxmlformats.org/officeDocument/2006/relationships/hyperlink" Target="https://drive.google.com/open?id=12PGqoOf-MdGvuOvVFelw8TkTglQwygJ-" TargetMode="External"/><Relationship Id="rId475" Type="http://schemas.openxmlformats.org/officeDocument/2006/relationships/hyperlink" Target="https://drive.google.com/open?id=1-rMSaD5gh1qh5Y-yS04chKDCDIg1THpx" TargetMode="External"/><Relationship Id="rId682" Type="http://schemas.openxmlformats.org/officeDocument/2006/relationships/hyperlink" Target="https://drive.google.com/open?id=1hiBIfcgSFEcVq3dcuoiQzUynZr-5TWj5" TargetMode="External"/><Relationship Id="rId128" Type="http://schemas.openxmlformats.org/officeDocument/2006/relationships/hyperlink" Target="https://drive.google.com/open?id=1VTgKxrsFrS0GzgicmDDi-WWntRhsXBTO" TargetMode="External"/><Relationship Id="rId335" Type="http://schemas.openxmlformats.org/officeDocument/2006/relationships/hyperlink" Target="https://drive.google.com/open?id=1-N49FJP7uydEMa9iAx08BJJK6CsS8WQH" TargetMode="External"/><Relationship Id="rId542" Type="http://schemas.openxmlformats.org/officeDocument/2006/relationships/hyperlink" Target="https://drive.google.com/open?id=1BCotA_aWCCXR6XCPgxRnDIsE3SmcOHT1" TargetMode="External"/><Relationship Id="rId987" Type="http://schemas.openxmlformats.org/officeDocument/2006/relationships/hyperlink" Target="https://drive.google.com/open?id=17Jc6PgrAVkUs0piPwSd4gHbu2W-9QAGB" TargetMode="External"/><Relationship Id="rId1172" Type="http://schemas.openxmlformats.org/officeDocument/2006/relationships/hyperlink" Target="https://drive.google.com/open?id=11-XY7NmF-jnOaylJ2zEbmOC6QHhtzzhL" TargetMode="External"/><Relationship Id="rId2016" Type="http://schemas.openxmlformats.org/officeDocument/2006/relationships/hyperlink" Target="https://drive.google.com/open?id=1KLqjLq5v9CGAs2KmXqqsNLgWMCiYORA2" TargetMode="External"/><Relationship Id="rId402" Type="http://schemas.openxmlformats.org/officeDocument/2006/relationships/hyperlink" Target="https://drive.google.com/open?id=1kI37FSInRqgI1rb8XH7bYnFnXJyGgD5J" TargetMode="External"/><Relationship Id="rId847" Type="http://schemas.openxmlformats.org/officeDocument/2006/relationships/hyperlink" Target="https://drive.google.com/open?id=1izL7hYE0oeSZ7muWPEhq3rsfClUvWr7o" TargetMode="External"/><Relationship Id="rId1032" Type="http://schemas.openxmlformats.org/officeDocument/2006/relationships/hyperlink" Target="https://drive.google.com/open?id=1oQf5D91cXqoxkW7sjgw6vmjxM0BiOnKI" TargetMode="External"/><Relationship Id="rId1477" Type="http://schemas.openxmlformats.org/officeDocument/2006/relationships/hyperlink" Target="https://drive.google.com/open?id=12F8RVWXICbFqZOOyYj0J_qjXEPXRi6Sy" TargetMode="External"/><Relationship Id="rId1684" Type="http://schemas.openxmlformats.org/officeDocument/2006/relationships/hyperlink" Target="https://drive.google.com/open?id=1JSCcBQkQaQhgrAUkZmzfW3jz7jvdHGJE" TargetMode="External"/><Relationship Id="rId1891" Type="http://schemas.openxmlformats.org/officeDocument/2006/relationships/hyperlink" Target="https://drive.google.com/open?id=1RKgIx2lUsfAWMKZ01__g6JDGwEkDHUQW" TargetMode="External"/><Relationship Id="rId707" Type="http://schemas.openxmlformats.org/officeDocument/2006/relationships/hyperlink" Target="https://drive.google.com/open?id=1azzRAgiYSrK_oCOlLS6j5EoRIM7QCcEQ" TargetMode="External"/><Relationship Id="rId914" Type="http://schemas.openxmlformats.org/officeDocument/2006/relationships/hyperlink" Target="https://drive.google.com/open?id=1scvie1-lBTffwGENrfPxWEm_j6dfj-Qe" TargetMode="External"/><Relationship Id="rId1337" Type="http://schemas.openxmlformats.org/officeDocument/2006/relationships/hyperlink" Target="https://drive.google.com/open?id=14VhHVBFFH9lwnz44HfBo4HQ65d8CiFXj" TargetMode="External"/><Relationship Id="rId1544" Type="http://schemas.openxmlformats.org/officeDocument/2006/relationships/hyperlink" Target="https://drive.google.com/open?id=1L3yM0iK2ha3kinO43b1POMeFwP6dMDs-" TargetMode="External"/><Relationship Id="rId1751" Type="http://schemas.openxmlformats.org/officeDocument/2006/relationships/hyperlink" Target="https://drive.google.com/open?id=1dK85OXSA1SpzmsajoUVYLoVPLSJoH12P" TargetMode="External"/><Relationship Id="rId1989" Type="http://schemas.openxmlformats.org/officeDocument/2006/relationships/hyperlink" Target="https://drive.google.com/open?id=1cK_llKIuJtKdeALelw5AvpE3mf-z6QAx" TargetMode="External"/><Relationship Id="rId43" Type="http://schemas.openxmlformats.org/officeDocument/2006/relationships/hyperlink" Target="https://drive.google.com/open?id=1Nd384EA4DA1R8OPsDshgj_S7l2V9ni44" TargetMode="External"/><Relationship Id="rId1404" Type="http://schemas.openxmlformats.org/officeDocument/2006/relationships/hyperlink" Target="https://drive.google.com/open?id=11xIh6SdZrnzfHa4hn66LjsAHKe70ATsp" TargetMode="External"/><Relationship Id="rId1611" Type="http://schemas.openxmlformats.org/officeDocument/2006/relationships/hyperlink" Target="https://drive.google.com/open?id=1DX2IplclM1VNzwecjIqfGYo5Ta1wa-HH" TargetMode="External"/><Relationship Id="rId1849" Type="http://schemas.openxmlformats.org/officeDocument/2006/relationships/hyperlink" Target="https://drive.google.com/open?id=1dtfNeAR0SMKMtyPsvO9_V1LNUYB-u0TG" TargetMode="External"/><Relationship Id="rId192" Type="http://schemas.openxmlformats.org/officeDocument/2006/relationships/hyperlink" Target="https://drive.google.com/open?id=1UQYhyUybKkM7QOEHkr8P7Ud0WDFN3Y85" TargetMode="External"/><Relationship Id="rId1709" Type="http://schemas.openxmlformats.org/officeDocument/2006/relationships/hyperlink" Target="https://drive.google.com/open?id=182xtZ8M_TxQWCucqW6lYEHdjYzo1Z3dK" TargetMode="External"/><Relationship Id="rId1916" Type="http://schemas.openxmlformats.org/officeDocument/2006/relationships/hyperlink" Target="https://drive.google.com/open?id=1IZ8bNJxHQ4DoOd7n60QWcCXFamdtASjZ" TargetMode="External"/><Relationship Id="rId497" Type="http://schemas.openxmlformats.org/officeDocument/2006/relationships/hyperlink" Target="https://drive.google.com/open?id=1azOxZDcQW2eEadoB42l63I_trrp92irb" TargetMode="External"/><Relationship Id="rId357" Type="http://schemas.openxmlformats.org/officeDocument/2006/relationships/hyperlink" Target="https://drive.google.com/open?id=1GYkk3Hrg626E9XRz1B01VpcZxfKwGPYG" TargetMode="External"/><Relationship Id="rId1194" Type="http://schemas.openxmlformats.org/officeDocument/2006/relationships/hyperlink" Target="https://drive.google.com/open?id=1rIlSmOM4-tkc5wSeZi2ttKbwqbgxn7O5" TargetMode="External"/><Relationship Id="rId217" Type="http://schemas.openxmlformats.org/officeDocument/2006/relationships/hyperlink" Target="https://drive.google.com/open?id=1PUyoL842dGd32nnyYVR7mtuVS_1BX3J3" TargetMode="External"/><Relationship Id="rId564" Type="http://schemas.openxmlformats.org/officeDocument/2006/relationships/hyperlink" Target="https://drive.google.com/open?id=18GiJHZeZa5AgJW413uR1PdjzvZebpNtc" TargetMode="External"/><Relationship Id="rId771" Type="http://schemas.openxmlformats.org/officeDocument/2006/relationships/hyperlink" Target="https://drive.google.com/open?id=1WW86h-J1Q0lEqUeQuzf8TLgUeunR5t8N" TargetMode="External"/><Relationship Id="rId869" Type="http://schemas.openxmlformats.org/officeDocument/2006/relationships/hyperlink" Target="https://drive.google.com/open?id=1oXRGgT5WenMJL2PqkycqU0lr9EKX7rGE" TargetMode="External"/><Relationship Id="rId1499" Type="http://schemas.openxmlformats.org/officeDocument/2006/relationships/hyperlink" Target="https://drive.google.com/open?id=1SqniS9-QRz9tIY6SfcwO8MmKuwYs6dmr" TargetMode="External"/><Relationship Id="rId424" Type="http://schemas.openxmlformats.org/officeDocument/2006/relationships/hyperlink" Target="https://drive.google.com/open?id=1k92QjqyqH_6fd8v_LanipC1NDJ-A0swD" TargetMode="External"/><Relationship Id="rId631" Type="http://schemas.openxmlformats.org/officeDocument/2006/relationships/hyperlink" Target="https://drive.google.com/open?id=1mhbFxnN6FIgkL51l17NMf2GO5COsAfiW" TargetMode="External"/><Relationship Id="rId729" Type="http://schemas.openxmlformats.org/officeDocument/2006/relationships/hyperlink" Target="https://drive.google.com/open?id=1H3QpJwmlWcy6BcBHUKhMdur4_TVpJaNz" TargetMode="External"/><Relationship Id="rId1054" Type="http://schemas.openxmlformats.org/officeDocument/2006/relationships/hyperlink" Target="https://drive.google.com/open?id=1VaKUFD3b5Ale8ILRcBxRZes-VrMsWFC2" TargetMode="External"/><Relationship Id="rId1261" Type="http://schemas.openxmlformats.org/officeDocument/2006/relationships/hyperlink" Target="https://drive.google.com/open?id=1zmhCK2YKOaJFJ1CQ5cZGT7UrZ6muDZ6o" TargetMode="External"/><Relationship Id="rId1359" Type="http://schemas.openxmlformats.org/officeDocument/2006/relationships/hyperlink" Target="https://drive.google.com/open?id=1fbrnfOtSzdYRKS1zl89AxScAQ-daB0LR" TargetMode="External"/><Relationship Id="rId936" Type="http://schemas.openxmlformats.org/officeDocument/2006/relationships/hyperlink" Target="https://drive.google.com/open?id=1CP6PxHdyF6ZQqLUBALbU6uvLbWDVg0Xf" TargetMode="External"/><Relationship Id="rId1121" Type="http://schemas.openxmlformats.org/officeDocument/2006/relationships/hyperlink" Target="https://drive.google.com/open?id=1-Tds2dneP06fAEX11ni733m2R-Qdm5uf" TargetMode="External"/><Relationship Id="rId1219" Type="http://schemas.openxmlformats.org/officeDocument/2006/relationships/hyperlink" Target="https://drive.google.com/open?id=1onIL5no9pNtXwHVQchscuEnei6qjLTGR" TargetMode="External"/><Relationship Id="rId1566" Type="http://schemas.openxmlformats.org/officeDocument/2006/relationships/hyperlink" Target="https://drive.google.com/open?id=1Qruc9en9_Sp1Xc1qPlkgIrwp_w05G5xO" TargetMode="External"/><Relationship Id="rId1773" Type="http://schemas.openxmlformats.org/officeDocument/2006/relationships/hyperlink" Target="https://drive.google.com/open?id=1h0JYzAfK9F1FAGgSL2rGgaS5OimHRdiV" TargetMode="External"/><Relationship Id="rId1980" Type="http://schemas.openxmlformats.org/officeDocument/2006/relationships/hyperlink" Target="https://drive.google.com/open?id=1sSqagI_w-2D1uSO_qyH3jcuWuFf10kx_" TargetMode="External"/><Relationship Id="rId65" Type="http://schemas.openxmlformats.org/officeDocument/2006/relationships/hyperlink" Target="https://drive.google.com/open?id=1Li8TUcO3lMno8ZOf916Wr7_yQRsiXQSx" TargetMode="External"/><Relationship Id="rId1426" Type="http://schemas.openxmlformats.org/officeDocument/2006/relationships/hyperlink" Target="https://drive.google.com/open?id=1HsxF84IMNp-nHbuXNpUz3hAcdSmYXpRe" TargetMode="External"/><Relationship Id="rId1633" Type="http://schemas.openxmlformats.org/officeDocument/2006/relationships/hyperlink" Target="https://drive.google.com/open?id=1WgYBKTrkAsANT1Y_jrN2cNS-nw1lq3xk" TargetMode="External"/><Relationship Id="rId1840" Type="http://schemas.openxmlformats.org/officeDocument/2006/relationships/hyperlink" Target="https://drive.google.com/open?id=13r1EDUVILRFVhPp0uByxu8NoT7-YYPvB" TargetMode="External"/><Relationship Id="rId1700" Type="http://schemas.openxmlformats.org/officeDocument/2006/relationships/hyperlink" Target="https://drive.google.com/open?id=1Nh7Hol1vV_oCRSlBkih2U3FIWzKTXWTT" TargetMode="External"/><Relationship Id="rId1938" Type="http://schemas.openxmlformats.org/officeDocument/2006/relationships/hyperlink" Target="https://drive.google.com/open?id=10mSWrj-NGpo8k4Ex3dL4ZW2AWIuzZ3Ue" TargetMode="External"/><Relationship Id="rId281" Type="http://schemas.openxmlformats.org/officeDocument/2006/relationships/hyperlink" Target="https://drive.google.com/open?id=1RCVs7dZW1l-jTV5pslcJulMBEEkgMddE" TargetMode="External"/><Relationship Id="rId141" Type="http://schemas.openxmlformats.org/officeDocument/2006/relationships/hyperlink" Target="https://drive.google.com/open?id=1XxS2ByZGiAGa6J4t4LxOFFCKB19PntMO" TargetMode="External"/><Relationship Id="rId379" Type="http://schemas.openxmlformats.org/officeDocument/2006/relationships/hyperlink" Target="https://drive.google.com/open?id=1qSfY7POBgenYaRE_gXpYo7ZIPDXAx7Ny" TargetMode="External"/><Relationship Id="rId586" Type="http://schemas.openxmlformats.org/officeDocument/2006/relationships/hyperlink" Target="https://drive.google.com/open?id=16IBVcSJUL0vC6GSG-rWC06XtaVzv2ote" TargetMode="External"/><Relationship Id="rId793" Type="http://schemas.openxmlformats.org/officeDocument/2006/relationships/hyperlink" Target="https://drive.google.com/open?id=1uAOSHidYveHE4_CZjVvXzxBA4W0BrtCv" TargetMode="External"/><Relationship Id="rId7" Type="http://schemas.openxmlformats.org/officeDocument/2006/relationships/hyperlink" Target="https://drive.google.com/open?id=1PxLu_UQUKRUVmRnKY0bfYrII17V1BFWN" TargetMode="External"/><Relationship Id="rId239" Type="http://schemas.openxmlformats.org/officeDocument/2006/relationships/hyperlink" Target="https://drive.google.com/open?id=1qHX9egru64tkhC0WHGZbYfw4MFbhqeGF" TargetMode="External"/><Relationship Id="rId446" Type="http://schemas.openxmlformats.org/officeDocument/2006/relationships/hyperlink" Target="https://drive.google.com/open?id=1bHCrpOCTluyYfLaYOrV8fRL85u_6fGKF" TargetMode="External"/><Relationship Id="rId653" Type="http://schemas.openxmlformats.org/officeDocument/2006/relationships/hyperlink" Target="https://drive.google.com/open?id=1ihxpEmhjAzBoA3eXzElyEU1GbmWZ4UC2" TargetMode="External"/><Relationship Id="rId1076" Type="http://schemas.openxmlformats.org/officeDocument/2006/relationships/hyperlink" Target="https://drive.google.com/open?id=1GGxbrhDmgiKzJUWMLNGiocaFaUm-LJMf" TargetMode="External"/><Relationship Id="rId1283" Type="http://schemas.openxmlformats.org/officeDocument/2006/relationships/hyperlink" Target="https://drive.google.com/open?id=1kXHfolWMzHclN2Q1MkjrJM1Klsd73c8l" TargetMode="External"/><Relationship Id="rId1490" Type="http://schemas.openxmlformats.org/officeDocument/2006/relationships/hyperlink" Target="https://drive.google.com/open?id=1L4IT4enUQfhIK_zYDBGXQRjtBbDY_9ij" TargetMode="External"/><Relationship Id="rId306" Type="http://schemas.openxmlformats.org/officeDocument/2006/relationships/hyperlink" Target="https://drive.google.com/open?id=1GfonU7M4_Rd0Hp2mvnHNJVuIoIsGikiO" TargetMode="External"/><Relationship Id="rId860" Type="http://schemas.openxmlformats.org/officeDocument/2006/relationships/hyperlink" Target="https://drive.google.com/open?id=1tUmcK9HfmC9svpoSxf4iIMj4CCSCXgBa" TargetMode="External"/><Relationship Id="rId958" Type="http://schemas.openxmlformats.org/officeDocument/2006/relationships/hyperlink" Target="https://drive.google.com/open?id=1IMrcUnAmLDkwPDEUhEdsZDdKokg8Oyza" TargetMode="External"/><Relationship Id="rId1143" Type="http://schemas.openxmlformats.org/officeDocument/2006/relationships/hyperlink" Target="https://drive.google.com/open?id=1OUfthL2ZZk05POYY6owZHpg_rlPLLQiX" TargetMode="External"/><Relationship Id="rId1588" Type="http://schemas.openxmlformats.org/officeDocument/2006/relationships/hyperlink" Target="https://drive.google.com/open?id=1QY_sGHjAXmAXzCirqA3pes4qDX9qGqqA" TargetMode="External"/><Relationship Id="rId1795" Type="http://schemas.openxmlformats.org/officeDocument/2006/relationships/hyperlink" Target="https://drive.google.com/open?id=1kJU8SSJwo3KbrkpVQi1V-R6_UhI2Y-hP" TargetMode="External"/><Relationship Id="rId87" Type="http://schemas.openxmlformats.org/officeDocument/2006/relationships/hyperlink" Target="https://drive.google.com/open?id=1h9zNZ6Db4sQoDCzurMpuCtuzndJLyuII" TargetMode="External"/><Relationship Id="rId513" Type="http://schemas.openxmlformats.org/officeDocument/2006/relationships/hyperlink" Target="https://drive.google.com/open?id=1Gnv6Ceq4fiRKGGRmeP1t2eug2dQEUnjv" TargetMode="External"/><Relationship Id="rId720" Type="http://schemas.openxmlformats.org/officeDocument/2006/relationships/hyperlink" Target="https://drive.google.com/open?id=1iRl7QtD6MnyYqfavyM5PoA40TqoiKSsX" TargetMode="External"/><Relationship Id="rId818" Type="http://schemas.openxmlformats.org/officeDocument/2006/relationships/hyperlink" Target="https://drive.google.com/open?id=1wVIIPUYSRyFsLBvJHlPzQrrDt8fRm2MK" TargetMode="External"/><Relationship Id="rId1350" Type="http://schemas.openxmlformats.org/officeDocument/2006/relationships/hyperlink" Target="https://drive.google.com/open?id=1tErTEYcZnLrM4IF-Y3s8iPUxLq0TrNXp" TargetMode="External"/><Relationship Id="rId1448" Type="http://schemas.openxmlformats.org/officeDocument/2006/relationships/hyperlink" Target="https://drive.google.com/open?id=1JyFGXfodFNBVdHK1oPImBzDgpMectgiY" TargetMode="External"/><Relationship Id="rId1655" Type="http://schemas.openxmlformats.org/officeDocument/2006/relationships/hyperlink" Target="https://drive.google.com/open?id=1jfS5_7gzf0DpOLP9UcLGJOOccrq88SKZ" TargetMode="External"/><Relationship Id="rId1003" Type="http://schemas.openxmlformats.org/officeDocument/2006/relationships/hyperlink" Target="https://drive.google.com/open?id=1RLpmEVWYGWn8DAzYsIWpUDYrTHbwSGM3" TargetMode="External"/><Relationship Id="rId1210" Type="http://schemas.openxmlformats.org/officeDocument/2006/relationships/hyperlink" Target="https://drive.google.com/open?id=1RarPNUtovo-fEUxr_JLwEe5wr6ijJREh" TargetMode="External"/><Relationship Id="rId1308" Type="http://schemas.openxmlformats.org/officeDocument/2006/relationships/hyperlink" Target="https://drive.google.com/open?id=1PW12dB3xQL0cj8jBe_QTCGfznP76ABJN" TargetMode="External"/><Relationship Id="rId1862" Type="http://schemas.openxmlformats.org/officeDocument/2006/relationships/hyperlink" Target="https://drive.google.com/open?id=1bxVbnioXvpyYvJVjlnFf9u3lOSacgMUf" TargetMode="External"/><Relationship Id="rId1515" Type="http://schemas.openxmlformats.org/officeDocument/2006/relationships/hyperlink" Target="https://drive.google.com/open?id=10I3ona_Nwr4b-eP4hDXSH2qV9ZVrgxJf" TargetMode="External"/><Relationship Id="rId1722" Type="http://schemas.openxmlformats.org/officeDocument/2006/relationships/hyperlink" Target="https://drive.google.com/open?id=1NqMA_puUIfk21m0dhj65T5DFlSIa2I7_" TargetMode="External"/><Relationship Id="rId14" Type="http://schemas.openxmlformats.org/officeDocument/2006/relationships/hyperlink" Target="https://drive.google.com/open?id=1jhUmZ30mMICs0htPucc_spK4ptv0W3FY" TargetMode="External"/><Relationship Id="rId163" Type="http://schemas.openxmlformats.org/officeDocument/2006/relationships/hyperlink" Target="https://drive.google.com/open?id=1Ai_PP1ohsFcl0F_DBgEwzk1zngLpQjgd" TargetMode="External"/><Relationship Id="rId370" Type="http://schemas.openxmlformats.org/officeDocument/2006/relationships/hyperlink" Target="https://drive.google.com/open?id=1YoIdbmjCtVrrpasQUzj4wNVY92m4kB1M" TargetMode="External"/><Relationship Id="rId230" Type="http://schemas.openxmlformats.org/officeDocument/2006/relationships/hyperlink" Target="https://drive.google.com/open?id=1DW_qFCkvbxI_rD_tLby3R4VlZ6dBZT3K" TargetMode="External"/><Relationship Id="rId468" Type="http://schemas.openxmlformats.org/officeDocument/2006/relationships/hyperlink" Target="https://drive.google.com/open?id=1IyK1mGpbNwaiQPbzytKxybQp-oHObVFj" TargetMode="External"/><Relationship Id="rId675" Type="http://schemas.openxmlformats.org/officeDocument/2006/relationships/hyperlink" Target="https://drive.google.com/open?id=1rETRzjl1XHF6YSBAAlr7--EtFkEouB08" TargetMode="External"/><Relationship Id="rId882" Type="http://schemas.openxmlformats.org/officeDocument/2006/relationships/hyperlink" Target="https://drive.google.com/open?id=17JEncWp49B37sB4zVb1RWhu1Zvh2HiCU" TargetMode="External"/><Relationship Id="rId1098" Type="http://schemas.openxmlformats.org/officeDocument/2006/relationships/hyperlink" Target="https://drive.google.com/open?id=1STIyqf83cVDYKorKliOUeqpP7Bm3E_s1" TargetMode="External"/><Relationship Id="rId328" Type="http://schemas.openxmlformats.org/officeDocument/2006/relationships/hyperlink" Target="https://drive.google.com/open?id=1ylJz9bihFYyw8AzGLfkeNtUXZLyNnoBE" TargetMode="External"/><Relationship Id="rId535" Type="http://schemas.openxmlformats.org/officeDocument/2006/relationships/hyperlink" Target="https://drive.google.com/open?id=1qt2fPQB9LHEtB5AlgkKNEuEF9GXXmeG4" TargetMode="External"/><Relationship Id="rId742" Type="http://schemas.openxmlformats.org/officeDocument/2006/relationships/hyperlink" Target="https://drive.google.com/open?id=1MLyHD-jGwZwE9HxoH9VntAXoiPCDl9B8" TargetMode="External"/><Relationship Id="rId1165" Type="http://schemas.openxmlformats.org/officeDocument/2006/relationships/hyperlink" Target="https://drive.google.com/open?id=1nh4I-S9jMygxYtrdFIWpv4tvpL5nG_DT" TargetMode="External"/><Relationship Id="rId1372" Type="http://schemas.openxmlformats.org/officeDocument/2006/relationships/hyperlink" Target="https://drive.google.com/open?id=11HBN--DKCCnkTl2o_abEIT89wAz3Llt4" TargetMode="External"/><Relationship Id="rId2009" Type="http://schemas.openxmlformats.org/officeDocument/2006/relationships/hyperlink" Target="https://drive.google.com/open?id=1UnmsjNAuptzDHVuiy62zDnXUCOrQNLe5" TargetMode="External"/><Relationship Id="rId602" Type="http://schemas.openxmlformats.org/officeDocument/2006/relationships/hyperlink" Target="https://drive.google.com/open?id=1EKd2YC_-d79h2B9KcEzIAW6noF2rI1EW" TargetMode="External"/><Relationship Id="rId1025" Type="http://schemas.openxmlformats.org/officeDocument/2006/relationships/hyperlink" Target="https://drive.google.com/open?id=1dZeMawyuPmEkri5DOARONikbEjAMJ-Q8" TargetMode="External"/><Relationship Id="rId1232" Type="http://schemas.openxmlformats.org/officeDocument/2006/relationships/hyperlink" Target="https://drive.google.com/open?id=1DRoFV3SMPbShvLJYsUDXRyRMC6OYNWgQ" TargetMode="External"/><Relationship Id="rId1677" Type="http://schemas.openxmlformats.org/officeDocument/2006/relationships/hyperlink" Target="https://drive.google.com/open?id=1lbPlNXL9ZvINPrymsmeUeEsSM4Oy9kl5" TargetMode="External"/><Relationship Id="rId1884" Type="http://schemas.openxmlformats.org/officeDocument/2006/relationships/hyperlink" Target="https://drive.google.com/open?id=116wLemU3fmx7RMPZyaE4ZIWHi0DCYL0q" TargetMode="External"/><Relationship Id="rId907" Type="http://schemas.openxmlformats.org/officeDocument/2006/relationships/hyperlink" Target="https://drive.google.com/open?id=1e6pGr0XtrFm25zxW8FMfotP7io5aqCcG" TargetMode="External"/><Relationship Id="rId1537" Type="http://schemas.openxmlformats.org/officeDocument/2006/relationships/hyperlink" Target="https://drive.google.com/open?id=1cuHazDX5dwLsX1wqSde1zIptKxf0W-bA" TargetMode="External"/><Relationship Id="rId1744" Type="http://schemas.openxmlformats.org/officeDocument/2006/relationships/hyperlink" Target="https://drive.google.com/open?id=1X67W8IR3PEkBBjup_QN1vWWeA8HC-mb9" TargetMode="External"/><Relationship Id="rId1951" Type="http://schemas.openxmlformats.org/officeDocument/2006/relationships/hyperlink" Target="https://drive.google.com/open?id=11WpVmQDLwgHMrTebA8GG-1U0axjLNT0k" TargetMode="External"/><Relationship Id="rId36" Type="http://schemas.openxmlformats.org/officeDocument/2006/relationships/hyperlink" Target="https://drive.google.com/open?id=1UfyvmWMUSegujIbhWP7gCUqbAoLHHhMB" TargetMode="External"/><Relationship Id="rId1604" Type="http://schemas.openxmlformats.org/officeDocument/2006/relationships/hyperlink" Target="https://drive.google.com/open?id=1AmImyz-6SQr_uA-V0gB511LnrvQToBmF" TargetMode="External"/><Relationship Id="rId185" Type="http://schemas.openxmlformats.org/officeDocument/2006/relationships/hyperlink" Target="https://drive.google.com/open?id=15WQ0-UmB64IW8ZXWlwUl8XcDHxm1vIz4" TargetMode="External"/><Relationship Id="rId1811" Type="http://schemas.openxmlformats.org/officeDocument/2006/relationships/hyperlink" Target="https://drive.google.com/open?id=10gNm--WlCh4QOxTroyUs_F_xPS1EQU43" TargetMode="External"/><Relationship Id="rId1909" Type="http://schemas.openxmlformats.org/officeDocument/2006/relationships/hyperlink" Target="https://drive.google.com/open?id=1Wi7vqk2J0LSqZY4WNYXDTE599aayKAhK" TargetMode="External"/><Relationship Id="rId392" Type="http://schemas.openxmlformats.org/officeDocument/2006/relationships/hyperlink" Target="https://drive.google.com/open?id=1i-smkjwS978p14b8esceLI_nXm-Qp9Ug" TargetMode="External"/><Relationship Id="rId697" Type="http://schemas.openxmlformats.org/officeDocument/2006/relationships/hyperlink" Target="https://drive.google.com/open?id=1gQwuxU69U2qOeUhx9OsCVKUi0WYwfEay" TargetMode="External"/><Relationship Id="rId252" Type="http://schemas.openxmlformats.org/officeDocument/2006/relationships/hyperlink" Target="https://drive.google.com/open?id=1a3YB0HYTCd1lPshGkcUPkSQd3IIGgyPM" TargetMode="External"/><Relationship Id="rId1187" Type="http://schemas.openxmlformats.org/officeDocument/2006/relationships/hyperlink" Target="https://drive.google.com/open?id=179z93TaXvAgsOFMB7HQP5eX5yFrNlIJM" TargetMode="External"/><Relationship Id="rId112" Type="http://schemas.openxmlformats.org/officeDocument/2006/relationships/hyperlink" Target="https://drive.google.com/open?id=157D9n5r2bFqtq4C6H3Mz8N1io5bFPErn" TargetMode="External"/><Relationship Id="rId557" Type="http://schemas.openxmlformats.org/officeDocument/2006/relationships/hyperlink" Target="https://drive.google.com/open?id=1uqrtaY9aEmyh-b_xyfOPzc-3yJR7PJ4u" TargetMode="External"/><Relationship Id="rId764" Type="http://schemas.openxmlformats.org/officeDocument/2006/relationships/hyperlink" Target="https://drive.google.com/open?id=1XEEt6K3eIkupLzjyNaYP0XNV9Z67Bd7s" TargetMode="External"/><Relationship Id="rId971" Type="http://schemas.openxmlformats.org/officeDocument/2006/relationships/hyperlink" Target="https://drive.google.com/open?id=1x0ztX_WnRy9t9by7j1KnsBptNjmwhQ6-" TargetMode="External"/><Relationship Id="rId1394" Type="http://schemas.openxmlformats.org/officeDocument/2006/relationships/hyperlink" Target="https://drive.google.com/open?id=1176e1S1ZGoq9reNXIaLj3AkdsM4zWaQH" TargetMode="External"/><Relationship Id="rId1699" Type="http://schemas.openxmlformats.org/officeDocument/2006/relationships/hyperlink" Target="https://drive.google.com/open?id=1MSIejLzWEp8sRh0q518W0IDWBNF4qyNk" TargetMode="External"/><Relationship Id="rId2000" Type="http://schemas.openxmlformats.org/officeDocument/2006/relationships/hyperlink" Target="https://drive.google.com/open?id=1S8SBYwExvRivT8YWbX4cQruUljh0zdGD" TargetMode="External"/><Relationship Id="rId417" Type="http://schemas.openxmlformats.org/officeDocument/2006/relationships/hyperlink" Target="https://drive.google.com/open?id=1oGyxENZk7UlfY-N_oprfF4M2Ix0uk2If" TargetMode="External"/><Relationship Id="rId624" Type="http://schemas.openxmlformats.org/officeDocument/2006/relationships/hyperlink" Target="https://drive.google.com/open?id=1-jPJi_ezwbtEAOh8OAKLzkfXDQgOQHg1" TargetMode="External"/><Relationship Id="rId831" Type="http://schemas.openxmlformats.org/officeDocument/2006/relationships/hyperlink" Target="https://drive.google.com/open?id=15c_nRdcdddDzQbg8ImK-26kknAZIfjwB" TargetMode="External"/><Relationship Id="rId1047" Type="http://schemas.openxmlformats.org/officeDocument/2006/relationships/hyperlink" Target="https://drive.google.com/open?id=1U-jNkpy0Aqs6fZ5rDgueMvEMJX_6SjgJ" TargetMode="External"/><Relationship Id="rId1254" Type="http://schemas.openxmlformats.org/officeDocument/2006/relationships/hyperlink" Target="https://drive.google.com/open?id=1WTpak7jWm-FhfXkfIFTLUuQbwA0dUTR0" TargetMode="External"/><Relationship Id="rId1461" Type="http://schemas.openxmlformats.org/officeDocument/2006/relationships/hyperlink" Target="https://drive.google.com/open?id=1DUdcvTQuq7uAxParfI0B_9Y3OwQ-jtHz" TargetMode="External"/><Relationship Id="rId929" Type="http://schemas.openxmlformats.org/officeDocument/2006/relationships/hyperlink" Target="https://drive.google.com/open?id=1-LA0VixUliClGt-TfuZoDDyjFyoV12rV" TargetMode="External"/><Relationship Id="rId1114" Type="http://schemas.openxmlformats.org/officeDocument/2006/relationships/hyperlink" Target="https://drive.google.com/open?id=1JB57E6GR8Y6vCezbXgYJ1cX-Qp3efhTe" TargetMode="External"/><Relationship Id="rId1321" Type="http://schemas.openxmlformats.org/officeDocument/2006/relationships/hyperlink" Target="https://drive.google.com/open?id=1Omix8tIzezBnhnSQ0eaxchFM8GoDGuJj" TargetMode="External"/><Relationship Id="rId1559" Type="http://schemas.openxmlformats.org/officeDocument/2006/relationships/hyperlink" Target="https://drive.google.com/open?id=1xr3FT0YAtYkyakMdSle6cLFyqib1xt8n" TargetMode="External"/><Relationship Id="rId1766" Type="http://schemas.openxmlformats.org/officeDocument/2006/relationships/hyperlink" Target="https://drive.google.com/open?id=1WKlrkKon54YddeOlWP8L3-rBFfxbdvfz" TargetMode="External"/><Relationship Id="rId1973" Type="http://schemas.openxmlformats.org/officeDocument/2006/relationships/hyperlink" Target="https://drive.google.com/open?id=1DhWkaAiRYJHCHC4t0OK-0XVW0zVWPBot" TargetMode="External"/><Relationship Id="rId58" Type="http://schemas.openxmlformats.org/officeDocument/2006/relationships/hyperlink" Target="https://drive.google.com/open?id=121Vyvf5qUrcRZULYaZwjXR132oxQoBeE" TargetMode="External"/><Relationship Id="rId1419" Type="http://schemas.openxmlformats.org/officeDocument/2006/relationships/hyperlink" Target="https://drive.google.com/open?id=1ByzZx4hnvzDCfEuuJ8B6rGx_iIA097g8" TargetMode="External"/><Relationship Id="rId1626" Type="http://schemas.openxmlformats.org/officeDocument/2006/relationships/hyperlink" Target="https://drive.google.com/open?id=1VYIKk7nc7D-9Jqm_fDTE-iPMbnc0V4pU" TargetMode="External"/><Relationship Id="rId1833" Type="http://schemas.openxmlformats.org/officeDocument/2006/relationships/hyperlink" Target="https://drive.google.com/open?id=1gRiJRskskVjNwEyrtJwW5wawAuCZw6bM" TargetMode="External"/><Relationship Id="rId1900" Type="http://schemas.openxmlformats.org/officeDocument/2006/relationships/hyperlink" Target="https://drive.google.com/open?id=1fvkoginXqj26J71lFsVkqV1Z-psJnmDV" TargetMode="External"/><Relationship Id="rId274" Type="http://schemas.openxmlformats.org/officeDocument/2006/relationships/hyperlink" Target="https://drive.google.com/open?id=1RbCSq7jwxt9xB4Tj1TX8zhDxuxLkA0sm" TargetMode="External"/><Relationship Id="rId481" Type="http://schemas.openxmlformats.org/officeDocument/2006/relationships/hyperlink" Target="https://drive.google.com/open?id=1cSB4IPkaagx-hCI_ygrPCxWl5lFhFVo3" TargetMode="External"/><Relationship Id="rId134" Type="http://schemas.openxmlformats.org/officeDocument/2006/relationships/hyperlink" Target="https://drive.google.com/open?id=1dQF0A8xhghJW3nOiXtA2SNCKb3r2VU7Y" TargetMode="External"/><Relationship Id="rId579" Type="http://schemas.openxmlformats.org/officeDocument/2006/relationships/hyperlink" Target="https://drive.google.com/open?id=1sUKZbf15Q783jikf6QGHg9O5JRe0cruI" TargetMode="External"/><Relationship Id="rId786" Type="http://schemas.openxmlformats.org/officeDocument/2006/relationships/hyperlink" Target="https://drive.google.com/open?id=1FAySdBG6Bdjqj51N6XFRlTuil5WXg1I8" TargetMode="External"/><Relationship Id="rId993" Type="http://schemas.openxmlformats.org/officeDocument/2006/relationships/hyperlink" Target="https://drive.google.com/open?id=1g3xTWw32XzbHTKiXq6-nLsKR1slF2UWh" TargetMode="External"/><Relationship Id="rId341" Type="http://schemas.openxmlformats.org/officeDocument/2006/relationships/hyperlink" Target="https://drive.google.com/open?id=1VkaoUkgJYym-qVJLiSZG3D6or94phT4Y" TargetMode="External"/><Relationship Id="rId439" Type="http://schemas.openxmlformats.org/officeDocument/2006/relationships/hyperlink" Target="https://drive.google.com/open?id=1fMUZTB_X3j1BNyVw_-8SXc9h052oIARe" TargetMode="External"/><Relationship Id="rId646" Type="http://schemas.openxmlformats.org/officeDocument/2006/relationships/hyperlink" Target="https://drive.google.com/open?id=1ZzybX9FDBF_8baGNuHE3B5_K_5b7zp-8" TargetMode="External"/><Relationship Id="rId1069" Type="http://schemas.openxmlformats.org/officeDocument/2006/relationships/hyperlink" Target="https://drive.google.com/open?id=1t_L0IjkRw-t8UdB8_FupdBqP1nyVR5hU" TargetMode="External"/><Relationship Id="rId1276" Type="http://schemas.openxmlformats.org/officeDocument/2006/relationships/hyperlink" Target="https://drive.google.com/open?id=1Cu7K0p8rY6fSXeepVx8-td9XxvbFOZFj" TargetMode="External"/><Relationship Id="rId1483" Type="http://schemas.openxmlformats.org/officeDocument/2006/relationships/hyperlink" Target="https://drive.google.com/open?id=1JrB6krMZ73YABM-zyeGMZgAqVbH8TNAM" TargetMode="External"/><Relationship Id="rId2022" Type="http://schemas.openxmlformats.org/officeDocument/2006/relationships/hyperlink" Target="https://drive.google.com/open?id=1xQRfCvFyW6DRG6t6EOaaJrYzy47kWxgb" TargetMode="External"/><Relationship Id="rId201" Type="http://schemas.openxmlformats.org/officeDocument/2006/relationships/hyperlink" Target="https://drive.google.com/open?id=1qmXrEGYNyWRrWbu8CcuAAtOdFpOBUj3i" TargetMode="External"/><Relationship Id="rId506" Type="http://schemas.openxmlformats.org/officeDocument/2006/relationships/hyperlink" Target="https://drive.google.com/open?id=1pUH0GZ24fKl-WqyXxJ1CgJrAYqUw722v" TargetMode="External"/><Relationship Id="rId853" Type="http://schemas.openxmlformats.org/officeDocument/2006/relationships/hyperlink" Target="https://drive.google.com/open?id=1hlqxJ6f-DgGBiRpTTOzRVyrkqhC6CIJv" TargetMode="External"/><Relationship Id="rId1136" Type="http://schemas.openxmlformats.org/officeDocument/2006/relationships/hyperlink" Target="https://drive.google.com/open?id=1BWkWZW-Oj43XxcbKumVDtdXwYe-40PHP" TargetMode="External"/><Relationship Id="rId1690" Type="http://schemas.openxmlformats.org/officeDocument/2006/relationships/hyperlink" Target="https://drive.google.com/open?id=1aHPO4GJRYtXsKmiD6Rj6a9JaU4gqtZVC" TargetMode="External"/><Relationship Id="rId1788" Type="http://schemas.openxmlformats.org/officeDocument/2006/relationships/hyperlink" Target="https://drive.google.com/open?id=1CVGq9UD1-iItWGp3jf7_FipK_vqWs7v2" TargetMode="External"/><Relationship Id="rId1995" Type="http://schemas.openxmlformats.org/officeDocument/2006/relationships/hyperlink" Target="https://drive.google.com/open?id=1uEy7aSQ095YqbzV_qgIBpTDm1H8GJoZi" TargetMode="External"/><Relationship Id="rId713" Type="http://schemas.openxmlformats.org/officeDocument/2006/relationships/hyperlink" Target="https://drive.google.com/open?id=1vMQhh8wIHsbTkB0bCTf6YzSNptVKR51b" TargetMode="External"/><Relationship Id="rId920" Type="http://schemas.openxmlformats.org/officeDocument/2006/relationships/hyperlink" Target="https://drive.google.com/open?id=1i5PAe8Tw2MNwYAOlZY1L0nVLdxmHm3Aq" TargetMode="External"/><Relationship Id="rId1343" Type="http://schemas.openxmlformats.org/officeDocument/2006/relationships/hyperlink" Target="https://drive.google.com/open?id=1ehdc-mdWQ-p9OZmXwXNjmp6YBKCtI8ud" TargetMode="External"/><Relationship Id="rId1550" Type="http://schemas.openxmlformats.org/officeDocument/2006/relationships/hyperlink" Target="https://drive.google.com/open?id=1G_GJANqE1Vb8kLMHQnbAtqkF9KCuRavm" TargetMode="External"/><Relationship Id="rId1648" Type="http://schemas.openxmlformats.org/officeDocument/2006/relationships/hyperlink" Target="https://drive.google.com/open?id=1cy3O5J0q0qEUPh-IYWpK93EfTb3MTvav" TargetMode="External"/><Relationship Id="rId1203" Type="http://schemas.openxmlformats.org/officeDocument/2006/relationships/hyperlink" Target="https://drive.google.com/open?id=1iPWHWPTbsam2rrp53EO2MICCGwgwwKw1" TargetMode="External"/><Relationship Id="rId1410" Type="http://schemas.openxmlformats.org/officeDocument/2006/relationships/hyperlink" Target="https://drive.google.com/open?id=1pU7LQWEVV92D9EaluOAJSHQ6M3tb5w8u" TargetMode="External"/><Relationship Id="rId1508" Type="http://schemas.openxmlformats.org/officeDocument/2006/relationships/hyperlink" Target="https://drive.google.com/open?id=17Wo15VNGID8OKJqyXy6aKfyhPvchQ7DX" TargetMode="External"/><Relationship Id="rId1855" Type="http://schemas.openxmlformats.org/officeDocument/2006/relationships/hyperlink" Target="https://drive.google.com/open?id=1GuNJtR-5jf4Sb21Bgq4WiQK1p6u39I0_" TargetMode="External"/><Relationship Id="rId1715" Type="http://schemas.openxmlformats.org/officeDocument/2006/relationships/hyperlink" Target="https://drive.google.com/open?id=1Ccoxb1go3LhlJ6dRNtnUpanboGNZqdGr" TargetMode="External"/><Relationship Id="rId1922" Type="http://schemas.openxmlformats.org/officeDocument/2006/relationships/hyperlink" Target="https://drive.google.com/open?id=1tMJgLr_l53IfcNlax-L6UncWcJvaNGoP" TargetMode="External"/><Relationship Id="rId296" Type="http://schemas.openxmlformats.org/officeDocument/2006/relationships/hyperlink" Target="https://drive.google.com/open?id=13ciRRxECr92Cz00WXVa2fitULejwdA6M" TargetMode="External"/><Relationship Id="rId156" Type="http://schemas.openxmlformats.org/officeDocument/2006/relationships/hyperlink" Target="https://drive.google.com/open?id=1NbWAUMsFxHAY-qXRx_y27Cjkm8R4CK8T" TargetMode="External"/><Relationship Id="rId363" Type="http://schemas.openxmlformats.org/officeDocument/2006/relationships/hyperlink" Target="https://drive.google.com/open?id=1gfUlKK-l6vbWWIBecIK8SWhI4ZtbYO3b" TargetMode="External"/><Relationship Id="rId570" Type="http://schemas.openxmlformats.org/officeDocument/2006/relationships/hyperlink" Target="https://drive.google.com/open?id=1ulNKcvXDhNNw13GTDi5Hk5pyC1ZzyQQQ" TargetMode="External"/><Relationship Id="rId223" Type="http://schemas.openxmlformats.org/officeDocument/2006/relationships/hyperlink" Target="https://drive.google.com/open?id=1-jjWmlCqjDfI8FiNCD5FE88GXfLXABnO" TargetMode="External"/><Relationship Id="rId430" Type="http://schemas.openxmlformats.org/officeDocument/2006/relationships/hyperlink" Target="https://drive.google.com/open?id=12KubV6607baYzgZpaSHGsCPLXtM7BVKf" TargetMode="External"/><Relationship Id="rId668" Type="http://schemas.openxmlformats.org/officeDocument/2006/relationships/hyperlink" Target="https://drive.google.com/open?id=1bIZFG6UIf4j7jnAb092h3bbIlMxI_i9g" TargetMode="External"/><Relationship Id="rId875" Type="http://schemas.openxmlformats.org/officeDocument/2006/relationships/hyperlink" Target="https://drive.google.com/open?id=1geJ9L2pcVY8oCJIh8REwZlScCuixMtQ6" TargetMode="External"/><Relationship Id="rId1060" Type="http://schemas.openxmlformats.org/officeDocument/2006/relationships/hyperlink" Target="https://drive.google.com/open?id=1W33XtJ9VqYDjCZglKSdmaOZvSXg2yzP2" TargetMode="External"/><Relationship Id="rId1298" Type="http://schemas.openxmlformats.org/officeDocument/2006/relationships/hyperlink" Target="https://drive.google.com/open?id=1gJIa92ohXGMK0bPQDH9LwTY5Le2UbzrI" TargetMode="External"/><Relationship Id="rId528" Type="http://schemas.openxmlformats.org/officeDocument/2006/relationships/hyperlink" Target="https://drive.google.com/open?id=1UEDouzVfUvj7nLQ1gCNefZYEeMcFbCz3" TargetMode="External"/><Relationship Id="rId735" Type="http://schemas.openxmlformats.org/officeDocument/2006/relationships/hyperlink" Target="https://drive.google.com/open?id=1Bg6KLBpaT-ldxX4bQAzWgMiDSA5e5Hsw" TargetMode="External"/><Relationship Id="rId942" Type="http://schemas.openxmlformats.org/officeDocument/2006/relationships/hyperlink" Target="https://drive.google.com/open?id=1tlnuSynZQL7ko0M1m6Xro2jmXrKLczVI" TargetMode="External"/><Relationship Id="rId1158" Type="http://schemas.openxmlformats.org/officeDocument/2006/relationships/hyperlink" Target="https://drive.google.com/open?id=1eQfNLoEgRk10uolfzV280v50F1FqwurW" TargetMode="External"/><Relationship Id="rId1365" Type="http://schemas.openxmlformats.org/officeDocument/2006/relationships/hyperlink" Target="https://drive.google.com/open?id=1M-7dQWRIh15zyAO2fv-W4GOJgWL-WenK" TargetMode="External"/><Relationship Id="rId1572" Type="http://schemas.openxmlformats.org/officeDocument/2006/relationships/hyperlink" Target="https://drive.google.com/open?id=1JVDgYWd-7n6qLnBHCqBRn48Okt-mxXdj" TargetMode="External"/><Relationship Id="rId1018" Type="http://schemas.openxmlformats.org/officeDocument/2006/relationships/hyperlink" Target="https://drive.google.com/open?id=1nca1zirXZm346AnSdbGsI4L7VDQA8d2_" TargetMode="External"/><Relationship Id="rId1225" Type="http://schemas.openxmlformats.org/officeDocument/2006/relationships/hyperlink" Target="https://drive.google.com/open?id=12bukROniYRW2XO4SsUo-Gy3y9c5Couir" TargetMode="External"/><Relationship Id="rId1432" Type="http://schemas.openxmlformats.org/officeDocument/2006/relationships/hyperlink" Target="https://drive.google.com/open?id=1JOVEEwFi63_wlWtUJTJZZX6kGQaima5H" TargetMode="External"/><Relationship Id="rId1877" Type="http://schemas.openxmlformats.org/officeDocument/2006/relationships/hyperlink" Target="https://drive.google.com/open?id=11dWoq7IZIXELnJw40yJ1euu4AleV9Fdi" TargetMode="External"/><Relationship Id="rId71" Type="http://schemas.openxmlformats.org/officeDocument/2006/relationships/hyperlink" Target="https://drive.google.com/open?id=1aQwiteMm4EXKie1XfdpNawvgBkyeKnKH" TargetMode="External"/><Relationship Id="rId802" Type="http://schemas.openxmlformats.org/officeDocument/2006/relationships/hyperlink" Target="https://drive.google.com/open?id=1c7A6hOItd5uqmiEw4PiKJVKe2T2Vlgza" TargetMode="External"/><Relationship Id="rId1737" Type="http://schemas.openxmlformats.org/officeDocument/2006/relationships/hyperlink" Target="https://drive.google.com/open?id=1sGAZNVz27qjmit86hDW_FbcwuusFmMtB" TargetMode="External"/><Relationship Id="rId1944" Type="http://schemas.openxmlformats.org/officeDocument/2006/relationships/hyperlink" Target="https://drive.google.com/open?id=1b7XRukgOvqNaF7MRez5a8ywBSexzXrVx" TargetMode="External"/><Relationship Id="rId29" Type="http://schemas.openxmlformats.org/officeDocument/2006/relationships/hyperlink" Target="https://drive.google.com/open?id=1xp0zZXbsTmrOH7G7bKqnwiWByK_17499" TargetMode="External"/><Relationship Id="rId178" Type="http://schemas.openxmlformats.org/officeDocument/2006/relationships/hyperlink" Target="https://drive.google.com/open?id=1yDO7-Jb5imhMtZVQyQei6fBcGuXyVEvx" TargetMode="External"/><Relationship Id="rId1804" Type="http://schemas.openxmlformats.org/officeDocument/2006/relationships/hyperlink" Target="https://drive.google.com/open?id=1eH4TCAS_h8U0WWwYxLQIdf385dFWOUtH" TargetMode="External"/><Relationship Id="rId385" Type="http://schemas.openxmlformats.org/officeDocument/2006/relationships/hyperlink" Target="https://drive.google.com/open?id=1ZixkiPq_aqSkbHthrUVnswIuOZMIXGDY" TargetMode="External"/><Relationship Id="rId592" Type="http://schemas.openxmlformats.org/officeDocument/2006/relationships/hyperlink" Target="https://drive.google.com/open?id=1vMNl2ayK_GrzayiRYHxsjNd8pGs0IjYv" TargetMode="External"/><Relationship Id="rId245" Type="http://schemas.openxmlformats.org/officeDocument/2006/relationships/hyperlink" Target="https://drive.google.com/open?id=1OkvJaczDNgKvXCaYbOzk4T0HD_gLqeu-" TargetMode="External"/><Relationship Id="rId452" Type="http://schemas.openxmlformats.org/officeDocument/2006/relationships/hyperlink" Target="https://drive.google.com/open?id=19kgPWtrqFZixDFpeqsCNVT6pMSciTehW" TargetMode="External"/><Relationship Id="rId897" Type="http://schemas.openxmlformats.org/officeDocument/2006/relationships/hyperlink" Target="https://drive.google.com/open?id=1yfx5YKgABu7v_WRB2kZ2TtUy1iX9DezR" TargetMode="External"/><Relationship Id="rId1082" Type="http://schemas.openxmlformats.org/officeDocument/2006/relationships/hyperlink" Target="https://drive.google.com/open?id=1VrKCtzjPIVP67m8t_sFNSLaYJswAMYqV" TargetMode="External"/><Relationship Id="rId105" Type="http://schemas.openxmlformats.org/officeDocument/2006/relationships/hyperlink" Target="https://drive.google.com/open?id=1sekmtYAsnmKVaQXDiko_6hIN6W5nCqf_" TargetMode="External"/><Relationship Id="rId312" Type="http://schemas.openxmlformats.org/officeDocument/2006/relationships/hyperlink" Target="https://drive.google.com/open?id=1-r74F6NrNNQDU5zNMJiefMfdYE1lW5PI" TargetMode="External"/><Relationship Id="rId757" Type="http://schemas.openxmlformats.org/officeDocument/2006/relationships/hyperlink" Target="https://drive.google.com/open?id=1HOv2F1CdaRbVVkr37ZiBJNL2Qthz7ZjB" TargetMode="External"/><Relationship Id="rId964" Type="http://schemas.openxmlformats.org/officeDocument/2006/relationships/hyperlink" Target="https://drive.google.com/open?id=1BXyVEsgl1SVLnZ_b_Ni2GnfUYjwvQiZF" TargetMode="External"/><Relationship Id="rId1387" Type="http://schemas.openxmlformats.org/officeDocument/2006/relationships/hyperlink" Target="https://drive.google.com/open?id=1F29l4bqCp0u7O0g8tGHrtOag_0Cr9ajW" TargetMode="External"/><Relationship Id="rId1594" Type="http://schemas.openxmlformats.org/officeDocument/2006/relationships/hyperlink" Target="https://drive.google.com/open?id=1wHAd6x6N_Aean1lhJzXR-aoUed5Cs9Sg" TargetMode="External"/><Relationship Id="rId93" Type="http://schemas.openxmlformats.org/officeDocument/2006/relationships/hyperlink" Target="https://drive.google.com/open?id=12bexvZxDUFjyy9j5mYUJIuTMM-jweBDL" TargetMode="External"/><Relationship Id="rId617" Type="http://schemas.openxmlformats.org/officeDocument/2006/relationships/hyperlink" Target="https://drive.google.com/open?id=1GTTD_kNiOjQXvVR6GIXBoqtCgo66AiHu" TargetMode="External"/><Relationship Id="rId824" Type="http://schemas.openxmlformats.org/officeDocument/2006/relationships/hyperlink" Target="https://drive.google.com/open?id=1Yy-F2a6snPG0m0P2G6zRdkvAH4O88URr" TargetMode="External"/><Relationship Id="rId1247" Type="http://schemas.openxmlformats.org/officeDocument/2006/relationships/hyperlink" Target="https://drive.google.com/open?id=1LxSHBH6p1QvX7cyKneK8wtC9JpPUSuCM" TargetMode="External"/><Relationship Id="rId1454" Type="http://schemas.openxmlformats.org/officeDocument/2006/relationships/hyperlink" Target="https://drive.google.com/open?id=12KzNRU67pPCbiuUXrC1vai9ngFZWmvJL" TargetMode="External"/><Relationship Id="rId1661" Type="http://schemas.openxmlformats.org/officeDocument/2006/relationships/hyperlink" Target="https://drive.google.com/open?id=11p80kqq4f1zLz_2vYCJB0b3NTMHFdqnk" TargetMode="External"/><Relationship Id="rId1899" Type="http://schemas.openxmlformats.org/officeDocument/2006/relationships/hyperlink" Target="https://drive.google.com/open?id=1F9QajAXzfWf-RzH6y49ZCzGOuiBFbGNX" TargetMode="External"/><Relationship Id="rId1107" Type="http://schemas.openxmlformats.org/officeDocument/2006/relationships/hyperlink" Target="https://drive.google.com/open?id=1YYEuzCrSN5gHKz1KvZmPy-B3ZmGVhgBK" TargetMode="External"/><Relationship Id="rId1314" Type="http://schemas.openxmlformats.org/officeDocument/2006/relationships/hyperlink" Target="https://drive.google.com/open?id=1BtHMJ7DRjvRLtKY0EbB_qO7FEid1uBt4" TargetMode="External"/><Relationship Id="rId1521" Type="http://schemas.openxmlformats.org/officeDocument/2006/relationships/hyperlink" Target="https://drive.google.com/open?id=1tQWv-FW-fU-wCQarrN-4l12WSWc39chn" TargetMode="External"/><Relationship Id="rId1759" Type="http://schemas.openxmlformats.org/officeDocument/2006/relationships/hyperlink" Target="https://drive.google.com/open?id=1wxxXNqACryVkTVfGfs_pxYRAeBWe7L90" TargetMode="External"/><Relationship Id="rId1966" Type="http://schemas.openxmlformats.org/officeDocument/2006/relationships/hyperlink" Target="https://drive.google.com/open?id=1EK0av8bOb1qw22LovrFEdmqF-JIin-Rf" TargetMode="External"/><Relationship Id="rId1619" Type="http://schemas.openxmlformats.org/officeDocument/2006/relationships/hyperlink" Target="https://drive.google.com/open?id=1upmKoW14ngvZ1WaqRicvBcOaK4bi-XwT" TargetMode="External"/><Relationship Id="rId1826" Type="http://schemas.openxmlformats.org/officeDocument/2006/relationships/hyperlink" Target="https://drive.google.com/open?id=1tizQbbmlcTyj85L8_Duu3QDD4eCLz7LZ" TargetMode="External"/><Relationship Id="rId20" Type="http://schemas.openxmlformats.org/officeDocument/2006/relationships/hyperlink" Target="https://drive.google.com/open?id=1N6S6qsEbohzG-sxINuplfD03hZEVYhEl" TargetMode="External"/><Relationship Id="rId267" Type="http://schemas.openxmlformats.org/officeDocument/2006/relationships/hyperlink" Target="https://drive.google.com/open?id=1JKbnnhmNB7PZJ6lwbiMMD-cdTIMWzo7A" TargetMode="External"/><Relationship Id="rId474" Type="http://schemas.openxmlformats.org/officeDocument/2006/relationships/hyperlink" Target="https://drive.google.com/open?id=17Wy79j4vgt79REVovv8bM9Ay__txkeYR" TargetMode="External"/><Relationship Id="rId127" Type="http://schemas.openxmlformats.org/officeDocument/2006/relationships/hyperlink" Target="https://drive.google.com/open?id=1_1muZDqLKID8-C9x-W3bVvZTl0zkz2Ae" TargetMode="External"/><Relationship Id="rId681" Type="http://schemas.openxmlformats.org/officeDocument/2006/relationships/hyperlink" Target="https://drive.google.com/open?id=1HvDjCJtBKhjrW-v1KQogO9Yng_LjH6_o" TargetMode="External"/><Relationship Id="rId779" Type="http://schemas.openxmlformats.org/officeDocument/2006/relationships/hyperlink" Target="https://drive.google.com/open?id=1s-2k96JSO5uXzNtpAdyBxqrSBBqe4Syp" TargetMode="External"/><Relationship Id="rId986" Type="http://schemas.openxmlformats.org/officeDocument/2006/relationships/hyperlink" Target="https://drive.google.com/open?id=1igZ-JRB3ZtV4__pOBHhPcFbWjJHJ_yfO" TargetMode="External"/><Relationship Id="rId334" Type="http://schemas.openxmlformats.org/officeDocument/2006/relationships/hyperlink" Target="https://drive.google.com/open?id=17HAS26zW80VvuTzYREG_S7Tvh_0Nx3DZ" TargetMode="External"/><Relationship Id="rId541" Type="http://schemas.openxmlformats.org/officeDocument/2006/relationships/hyperlink" Target="https://drive.google.com/open?id=1f_P6B4yx5jmxPUiDP_lcjJUyRYih6L4_" TargetMode="External"/><Relationship Id="rId639" Type="http://schemas.openxmlformats.org/officeDocument/2006/relationships/hyperlink" Target="https://drive.google.com/open?id=1Ud8191G7oNQDAUhZaSz4gaaMyEp_U1Rp" TargetMode="External"/><Relationship Id="rId1171" Type="http://schemas.openxmlformats.org/officeDocument/2006/relationships/hyperlink" Target="https://drive.google.com/open?id=1gYxRzJ_f43wSG7sfDDWF_XbkoPArV-b6" TargetMode="External"/><Relationship Id="rId1269" Type="http://schemas.openxmlformats.org/officeDocument/2006/relationships/hyperlink" Target="https://drive.google.com/open?id=1Tj7GaFR-gKVDXsZvoJeBmRFmBpEB34in" TargetMode="External"/><Relationship Id="rId1476" Type="http://schemas.openxmlformats.org/officeDocument/2006/relationships/hyperlink" Target="https://drive.google.com/open?id=1Y2cWi6BVA_VcwK8LvqenG18mYF09t_VL" TargetMode="External"/><Relationship Id="rId2015" Type="http://schemas.openxmlformats.org/officeDocument/2006/relationships/hyperlink" Target="https://drive.google.com/open?id=18EFi9xk2E48f3EHRzmTqGuNoyB2ZpQSj" TargetMode="External"/><Relationship Id="rId401" Type="http://schemas.openxmlformats.org/officeDocument/2006/relationships/hyperlink" Target="https://drive.google.com/open?id=1rbZtJoZeYSw3aSCOWta3Mm6oB-ew5BDB" TargetMode="External"/><Relationship Id="rId846" Type="http://schemas.openxmlformats.org/officeDocument/2006/relationships/hyperlink" Target="https://drive.google.com/open?id=195VpoqtSIveJeafh1k12Ayvea8R6rQ1S2ZzgBVIBYMo" TargetMode="External"/><Relationship Id="rId1031" Type="http://schemas.openxmlformats.org/officeDocument/2006/relationships/hyperlink" Target="https://drive.google.com/open?id=1CZQqKd3wsfP4_tGEdcW24c3yp8x4Av8D" TargetMode="External"/><Relationship Id="rId1129" Type="http://schemas.openxmlformats.org/officeDocument/2006/relationships/hyperlink" Target="https://drive.google.com/open?id=1YPfIC4Wz3CsS9_KKdjliS2wFlwLsLP_Z" TargetMode="External"/><Relationship Id="rId1683" Type="http://schemas.openxmlformats.org/officeDocument/2006/relationships/hyperlink" Target="https://drive.google.com/open?id=1bTE68ms56UiU0paFE6F-zZz6ZywkOXqI" TargetMode="External"/><Relationship Id="rId1890" Type="http://schemas.openxmlformats.org/officeDocument/2006/relationships/hyperlink" Target="https://drive.google.com/open?id=1Eng21kAyJGcH7YLkWFxPi6p0w2KlKFD7" TargetMode="External"/><Relationship Id="rId1988" Type="http://schemas.openxmlformats.org/officeDocument/2006/relationships/hyperlink" Target="https://drive.google.com/open?id=1V0auh876WgKHMBryFlMOCEaQyxf2l21n" TargetMode="External"/><Relationship Id="rId706" Type="http://schemas.openxmlformats.org/officeDocument/2006/relationships/hyperlink" Target="https://drive.google.com/open?id=1-Bsik6_B67XB6KbHoa2JsgNV_rI6gw3G" TargetMode="External"/><Relationship Id="rId913" Type="http://schemas.openxmlformats.org/officeDocument/2006/relationships/hyperlink" Target="https://drive.google.com/open?id=1cDS5A_QRPk_Q5hEt1GT3wso_GAddVP7v" TargetMode="External"/><Relationship Id="rId1336" Type="http://schemas.openxmlformats.org/officeDocument/2006/relationships/hyperlink" Target="https://drive.google.com/open?id=1CdH8dTroOUg2Zddmz20UzsuJQNH8jLSP" TargetMode="External"/><Relationship Id="rId1543" Type="http://schemas.openxmlformats.org/officeDocument/2006/relationships/hyperlink" Target="https://drive.google.com/open?id=1gLtrqFHPu0t36BMsAB5OLKWqWPjShQ6o" TargetMode="External"/><Relationship Id="rId1750" Type="http://schemas.openxmlformats.org/officeDocument/2006/relationships/hyperlink" Target="https://drive.google.com/open?id=1UgsAB5PXAZZeNUyEJe5OsDLj3KHk98tl" TargetMode="External"/><Relationship Id="rId42" Type="http://schemas.openxmlformats.org/officeDocument/2006/relationships/hyperlink" Target="https://drive.google.com/open?id=1fWtTDnykqmUBjh97DBGirTGeJaZnayeL" TargetMode="External"/><Relationship Id="rId1403" Type="http://schemas.openxmlformats.org/officeDocument/2006/relationships/hyperlink" Target="https://drive.google.com/open?id=1YcZEsnJXB38sxnnJGltD5a_cEDO8oRnh" TargetMode="External"/><Relationship Id="rId1610" Type="http://schemas.openxmlformats.org/officeDocument/2006/relationships/hyperlink" Target="https://drive.google.com/open?id=1KUEMw2ku6cwgFQpVI7wsHuuEq623o_j3" TargetMode="External"/><Relationship Id="rId1848" Type="http://schemas.openxmlformats.org/officeDocument/2006/relationships/hyperlink" Target="https://drive.google.com/open?id=17wLH5h3CRybRsviWuIsD5QXcuUU0a77A" TargetMode="External"/><Relationship Id="rId191" Type="http://schemas.openxmlformats.org/officeDocument/2006/relationships/hyperlink" Target="https://drive.google.com/open?id=1sCTDJNmDSjUghBPcKRgTsSWkibKbqy5I" TargetMode="External"/><Relationship Id="rId1708" Type="http://schemas.openxmlformats.org/officeDocument/2006/relationships/hyperlink" Target="https://drive.google.com/open?id=1js_eFV7g8yrdlT3bjDGAj8vnED-6GN15" TargetMode="External"/><Relationship Id="rId1915" Type="http://schemas.openxmlformats.org/officeDocument/2006/relationships/hyperlink" Target="https://drive.google.com/open?id=1R2wxsCTOzN0TZrM3CiVNB7kfsKTo6J5i" TargetMode="External"/><Relationship Id="rId289" Type="http://schemas.openxmlformats.org/officeDocument/2006/relationships/hyperlink" Target="https://drive.google.com/open?id=1aq8dfRfl3UTSZuQdQi_D5GI6bMNcxpgD" TargetMode="External"/><Relationship Id="rId496" Type="http://schemas.openxmlformats.org/officeDocument/2006/relationships/hyperlink" Target="https://drive.google.com/open?id=1_9ppBh-sOaMuLsf08y0SR09qMZTOOq1D" TargetMode="External"/><Relationship Id="rId149" Type="http://schemas.openxmlformats.org/officeDocument/2006/relationships/hyperlink" Target="https://drive.google.com/open?id=1_zPfJbmRqbaC2u3C8_aaV3lOva7fxSaW" TargetMode="External"/><Relationship Id="rId356" Type="http://schemas.openxmlformats.org/officeDocument/2006/relationships/hyperlink" Target="https://drive.google.com/open?id=18ZDgdD7cleTeErkctgVlP5OBhaqKrPMY" TargetMode="External"/><Relationship Id="rId563" Type="http://schemas.openxmlformats.org/officeDocument/2006/relationships/hyperlink" Target="https://drive.google.com/open?id=1H0mV41ZQv9wURAq449nKzb8AzeFbf92c" TargetMode="External"/><Relationship Id="rId770" Type="http://schemas.openxmlformats.org/officeDocument/2006/relationships/hyperlink" Target="https://drive.google.com/open?id=1ACk2KD59Zfh6-ORjorUwFL_ce8e1k3JL" TargetMode="External"/><Relationship Id="rId1193" Type="http://schemas.openxmlformats.org/officeDocument/2006/relationships/hyperlink" Target="https://drive.google.com/open?id=1LdPd__IfVOwI0R9ZhUouvE3afz1c1ogl" TargetMode="External"/><Relationship Id="rId216" Type="http://schemas.openxmlformats.org/officeDocument/2006/relationships/hyperlink" Target="https://drive.google.com/open?id=1wJehkEQK8h4JLXE7Q2cBouXU_NhLxV9s" TargetMode="External"/><Relationship Id="rId423" Type="http://schemas.openxmlformats.org/officeDocument/2006/relationships/hyperlink" Target="https://drive.google.com/open?id=1Y_NJ2kGUYO-6I2ZvHdb1cnKY94XAJufA" TargetMode="External"/><Relationship Id="rId868" Type="http://schemas.openxmlformats.org/officeDocument/2006/relationships/hyperlink" Target="https://drive.google.com/open?id=1YNNg6VJ4nskMXEW2QCe3gnLC3WH8q-4l" TargetMode="External"/><Relationship Id="rId1053" Type="http://schemas.openxmlformats.org/officeDocument/2006/relationships/hyperlink" Target="https://drive.google.com/open?id=1cmG1-sGsyuxslsJ1oxWnJMwC7uMMOxIr" TargetMode="External"/><Relationship Id="rId1260" Type="http://schemas.openxmlformats.org/officeDocument/2006/relationships/hyperlink" Target="https://drive.google.com/open?id=1uEzf5biny3UxP36ZJU7jfBQt0LuE0717" TargetMode="External"/><Relationship Id="rId1498" Type="http://schemas.openxmlformats.org/officeDocument/2006/relationships/hyperlink" Target="https://drive.google.com/open?id=18P_kzVR0cBlHdFT0zv0CGLw8frCXg2iW" TargetMode="External"/><Relationship Id="rId630" Type="http://schemas.openxmlformats.org/officeDocument/2006/relationships/hyperlink" Target="https://drive.google.com/open?id=1XISARuQB_4PBYVLLb5n1vVzs0QGGDut1" TargetMode="External"/><Relationship Id="rId728" Type="http://schemas.openxmlformats.org/officeDocument/2006/relationships/hyperlink" Target="https://drive.google.com/open?id=1cX8BXiFA-jLX1uFHWFf-h7slTojGAqSS" TargetMode="External"/><Relationship Id="rId935" Type="http://schemas.openxmlformats.org/officeDocument/2006/relationships/hyperlink" Target="https://drive.google.com/open?id=16DkBvRL2elGDKM5iw5tQzj2LSsdOvzkK" TargetMode="External"/><Relationship Id="rId1358" Type="http://schemas.openxmlformats.org/officeDocument/2006/relationships/hyperlink" Target="https://drive.google.com/open?id=1nsUbOiHTEowV3uMXlTey-hIAwp2Ndbzf" TargetMode="External"/><Relationship Id="rId1565" Type="http://schemas.openxmlformats.org/officeDocument/2006/relationships/hyperlink" Target="https://drive.google.com/open?id=1BQSVfBDG6G2qc1xYYnWGoF6zPBw8v8sP" TargetMode="External"/><Relationship Id="rId1772" Type="http://schemas.openxmlformats.org/officeDocument/2006/relationships/hyperlink" Target="https://drive.google.com/open?id=1pviS52g0IkQIeGE6PXr9vlzDSxCVbiqv" TargetMode="External"/><Relationship Id="rId64" Type="http://schemas.openxmlformats.org/officeDocument/2006/relationships/hyperlink" Target="https://drive.google.com/open?id=1qvvvq75c8qY3pLzXP2122dvf3sMhNl8n" TargetMode="External"/><Relationship Id="rId1120" Type="http://schemas.openxmlformats.org/officeDocument/2006/relationships/hyperlink" Target="https://drive.google.com/open?id=1Qf0Wt5DvgoXofZ4PEniV4f5bMM0IPQyv" TargetMode="External"/><Relationship Id="rId1218" Type="http://schemas.openxmlformats.org/officeDocument/2006/relationships/hyperlink" Target="https://drive.google.com/open?id=1cS9As3L40XshVCmOBFAPGBA4kQNjFVJ-" TargetMode="External"/><Relationship Id="rId1425" Type="http://schemas.openxmlformats.org/officeDocument/2006/relationships/hyperlink" Target="https://drive.google.com/open?id=1MUaC6lmQZI2VuGanCjNbgCW2jtW7hzik" TargetMode="External"/><Relationship Id="rId1632" Type="http://schemas.openxmlformats.org/officeDocument/2006/relationships/hyperlink" Target="https://drive.google.com/open?id=17jVMrPBGCtwp9bIFUCBnX6KRHgljh9Nm" TargetMode="External"/><Relationship Id="rId1937" Type="http://schemas.openxmlformats.org/officeDocument/2006/relationships/hyperlink" Target="https://drive.google.com/open?id=1lIZUBTRxqW_Rtz6qCdEj4iow77TShgZ4" TargetMode="External"/><Relationship Id="rId280" Type="http://schemas.openxmlformats.org/officeDocument/2006/relationships/hyperlink" Target="https://drive.google.com/open?id=1TghO4Y9lFcDZRO5DwyuG8UC-ha4FYUIH" TargetMode="External"/><Relationship Id="rId140" Type="http://schemas.openxmlformats.org/officeDocument/2006/relationships/hyperlink" Target="https://drive.google.com/open?id=1GhCw0Lq3z0uYzBXhoU_OaI3pqNNMmeDB" TargetMode="External"/><Relationship Id="rId378" Type="http://schemas.openxmlformats.org/officeDocument/2006/relationships/hyperlink" Target="https://drive.google.com/open?id=1hyWtN26oOAKFGtYw1jXGLZQvNL7tpzAi" TargetMode="External"/><Relationship Id="rId585" Type="http://schemas.openxmlformats.org/officeDocument/2006/relationships/hyperlink" Target="https://drive.google.com/open?id=1K8eaCC8UqCl1tJ7z-z1xq39p6UDZOdCx" TargetMode="External"/><Relationship Id="rId792" Type="http://schemas.openxmlformats.org/officeDocument/2006/relationships/hyperlink" Target="https://drive.google.com/open?id=1kgfqTY3PsbJk9pmbMdf8GupulOA7m6fY" TargetMode="External"/><Relationship Id="rId6" Type="http://schemas.openxmlformats.org/officeDocument/2006/relationships/hyperlink" Target="https://drive.google.com/open?id=1K95GuDyzBtdEGRkpHxZ9cHV2Rjrv1ib8" TargetMode="External"/><Relationship Id="rId238" Type="http://schemas.openxmlformats.org/officeDocument/2006/relationships/hyperlink" Target="https://drive.google.com/open?id=1qbUAsvvEW_Kqf5ArX57n4-oElGLcCHUv" TargetMode="External"/><Relationship Id="rId445" Type="http://schemas.openxmlformats.org/officeDocument/2006/relationships/hyperlink" Target="https://drive.google.com/open?id=1YnH6nEaKaUrUnkxUI9XfjWAnWZDa5tUM" TargetMode="External"/><Relationship Id="rId652" Type="http://schemas.openxmlformats.org/officeDocument/2006/relationships/hyperlink" Target="https://drive.google.com/open?id=1Yag304aCWqjVs973A5IL0kb2r3-M6dTq" TargetMode="External"/><Relationship Id="rId1075" Type="http://schemas.openxmlformats.org/officeDocument/2006/relationships/hyperlink" Target="https://drive.google.com/open?id=1i7EeXw40l6B8lO2OmgrJCU5YQGynf3Ia" TargetMode="External"/><Relationship Id="rId1282" Type="http://schemas.openxmlformats.org/officeDocument/2006/relationships/hyperlink" Target="https://drive.google.com/open?id=1bFPByjXQmIVuSTdsb32pw1xikR3ASphR" TargetMode="External"/><Relationship Id="rId305" Type="http://schemas.openxmlformats.org/officeDocument/2006/relationships/hyperlink" Target="https://drive.google.com/open?id=1Ssp1i50mSMmiDMF-A3LoOKkZXrq5ugs2" TargetMode="External"/><Relationship Id="rId512" Type="http://schemas.openxmlformats.org/officeDocument/2006/relationships/hyperlink" Target="https://drive.google.com/open?id=1I84_O89J05vE7S_ykjIRm6ZEayeacUR7" TargetMode="External"/><Relationship Id="rId957" Type="http://schemas.openxmlformats.org/officeDocument/2006/relationships/hyperlink" Target="https://drive.google.com/open?id=1Q5RFqE9Nj_ndw2cGYY-ZEJD1AHMphWZy" TargetMode="External"/><Relationship Id="rId1142" Type="http://schemas.openxmlformats.org/officeDocument/2006/relationships/hyperlink" Target="https://drive.google.com/open?id=1kAhIUzMyNlj9a29HzaBIhSX-c3d4ytP1" TargetMode="External"/><Relationship Id="rId1587" Type="http://schemas.openxmlformats.org/officeDocument/2006/relationships/hyperlink" Target="https://drive.google.com/open?id=1JwcGf1CI7GVoW-N9eF3-szY0VehrIBJ1" TargetMode="External"/><Relationship Id="rId1794" Type="http://schemas.openxmlformats.org/officeDocument/2006/relationships/hyperlink" Target="https://drive.google.com/open?id=1RLfdxj4wJ5-dwg6VAdl9i_WcTT4PIpKE" TargetMode="External"/><Relationship Id="rId86" Type="http://schemas.openxmlformats.org/officeDocument/2006/relationships/hyperlink" Target="https://drive.google.com/open?id=1zgLp740Cz_3YILWXutPn6InL6pRJFU2d" TargetMode="External"/><Relationship Id="rId817" Type="http://schemas.openxmlformats.org/officeDocument/2006/relationships/hyperlink" Target="https://drive.google.com/open?id=1LGIRYsT1PpNXcFWcZ3yd0OCw1RBs-piR" TargetMode="External"/><Relationship Id="rId1002" Type="http://schemas.openxmlformats.org/officeDocument/2006/relationships/hyperlink" Target="https://drive.google.com/open?id=1nIms1JCfLZR85-nmL3SURS-mLumPmqCj" TargetMode="External"/><Relationship Id="rId1447" Type="http://schemas.openxmlformats.org/officeDocument/2006/relationships/hyperlink" Target="https://drive.google.com/open?id=1vDctc_OCxnbmE_QbJuDLSzf6z-Ol5Qse" TargetMode="External"/><Relationship Id="rId1654" Type="http://schemas.openxmlformats.org/officeDocument/2006/relationships/hyperlink" Target="https://drive.google.com/open?id=1NwP5EZWUp-_CJoBPBn3NyIFe8lNapHkn" TargetMode="External"/><Relationship Id="rId1861" Type="http://schemas.openxmlformats.org/officeDocument/2006/relationships/hyperlink" Target="https://drive.google.com/open?id=10syV7bm0_i5tpbUo2a1gZOlpKqbV40to" TargetMode="External"/><Relationship Id="rId1307" Type="http://schemas.openxmlformats.org/officeDocument/2006/relationships/hyperlink" Target="https://drive.google.com/open?id=19SiQKhw2ew54n1DBqAUsZEJ81_Hzs40B" TargetMode="External"/><Relationship Id="rId1514" Type="http://schemas.openxmlformats.org/officeDocument/2006/relationships/hyperlink" Target="https://drive.google.com/open?id=1umQFevzy9ONq7oJfP6xeCHWmwlAj79Yb" TargetMode="External"/><Relationship Id="rId1721" Type="http://schemas.openxmlformats.org/officeDocument/2006/relationships/hyperlink" Target="https://drive.google.com/open?id=1xvC2pTwpqeJfGfN3LN5a-w0tWjtJpmR5" TargetMode="External"/><Relationship Id="rId1959" Type="http://schemas.openxmlformats.org/officeDocument/2006/relationships/hyperlink" Target="https://drive.google.com/open?id=1MPRhszi6akEw0BCHyNrf7s0KkRqgCvvG" TargetMode="External"/><Relationship Id="rId13" Type="http://schemas.openxmlformats.org/officeDocument/2006/relationships/hyperlink" Target="https://drive.google.com/open?id=1iPA3RU0OaRl2vm7AbipqvrduJ28Dypuj" TargetMode="External"/><Relationship Id="rId1819" Type="http://schemas.openxmlformats.org/officeDocument/2006/relationships/hyperlink" Target="https://drive.google.com/open?id=13ChLR7GIsUTCuDIhrV6BmeACy2D50nty" TargetMode="External"/><Relationship Id="rId162" Type="http://schemas.openxmlformats.org/officeDocument/2006/relationships/hyperlink" Target="https://drive.google.com/open?id=1UeynmuYmiAYBJz2dkD1FeZXGc9xELr7S" TargetMode="External"/><Relationship Id="rId467" Type="http://schemas.openxmlformats.org/officeDocument/2006/relationships/hyperlink" Target="https://drive.google.com/open?id=1EL5RMDJxYjdXGboEFST5q8qOY0uab470" TargetMode="External"/><Relationship Id="rId1097" Type="http://schemas.openxmlformats.org/officeDocument/2006/relationships/hyperlink" Target="https://drive.google.com/open?id=12HjtV31NNI1B7DzfgmWKDgaVbMvz9KAN" TargetMode="External"/><Relationship Id="rId674" Type="http://schemas.openxmlformats.org/officeDocument/2006/relationships/hyperlink" Target="https://drive.google.com/open?id=1Ba0XzfumqZbaTjqQ2JrZugS_GQRhX4q-" TargetMode="External"/><Relationship Id="rId881" Type="http://schemas.openxmlformats.org/officeDocument/2006/relationships/hyperlink" Target="https://drive.google.com/open?id=10w0Im5xm7xpcOTQyQ-U9sxG5dQzvwUj7" TargetMode="External"/><Relationship Id="rId979" Type="http://schemas.openxmlformats.org/officeDocument/2006/relationships/hyperlink" Target="https://drive.google.com/open?id=1NsFiLO3pjxgncHUS_MAezZIExrBfQqzt" TargetMode="External"/><Relationship Id="rId327" Type="http://schemas.openxmlformats.org/officeDocument/2006/relationships/hyperlink" Target="https://drive.google.com/open?id=1nlcu4AhLSjCYcMb0bNztu5E_btX9fXa9" TargetMode="External"/><Relationship Id="rId534" Type="http://schemas.openxmlformats.org/officeDocument/2006/relationships/hyperlink" Target="https://drive.google.com/open?id=1wHlL2jTpWAn0TUPdx8vVRR6GLcmKz6Tb" TargetMode="External"/><Relationship Id="rId741" Type="http://schemas.openxmlformats.org/officeDocument/2006/relationships/hyperlink" Target="https://drive.google.com/open?id=13HIdiB7OFliNIFSNoT4SlrH2W-TdoAp4" TargetMode="External"/><Relationship Id="rId839" Type="http://schemas.openxmlformats.org/officeDocument/2006/relationships/hyperlink" Target="https://drive.google.com/open?id=1ErQOajdgkgvu-Ljq6F33q2tVwxsyhZwg" TargetMode="External"/><Relationship Id="rId1164" Type="http://schemas.openxmlformats.org/officeDocument/2006/relationships/hyperlink" Target="https://drive.google.com/open?id=1swNFT1oepcZ5t_4iwadxoC6im4l_-bGr" TargetMode="External"/><Relationship Id="rId1371" Type="http://schemas.openxmlformats.org/officeDocument/2006/relationships/hyperlink" Target="https://drive.google.com/open?id=1uHpQ_JjfIPiNGp-vVmN0_I-XoL7Gc2Jk" TargetMode="External"/><Relationship Id="rId1469" Type="http://schemas.openxmlformats.org/officeDocument/2006/relationships/hyperlink" Target="https://drive.google.com/open?id=1vYwf00ZD9XT-ZQ04tEtBTiM5fpw4A1tc" TargetMode="External"/><Relationship Id="rId2008" Type="http://schemas.openxmlformats.org/officeDocument/2006/relationships/hyperlink" Target="https://drive.google.com/open?id=1HNPJtcyVbLSsyePKV69DhLHzD8KYB7av" TargetMode="External"/><Relationship Id="rId601" Type="http://schemas.openxmlformats.org/officeDocument/2006/relationships/hyperlink" Target="https://drive.google.com/open?id=1NMbkpW4bcy-u7H0sW2h4Rh-oaX1nru5W" TargetMode="External"/><Relationship Id="rId1024" Type="http://schemas.openxmlformats.org/officeDocument/2006/relationships/hyperlink" Target="https://drive.google.com/open?id=1PjN5oNmhVII0xxMqeIJBjriamVdB2Fp_" TargetMode="External"/><Relationship Id="rId1231" Type="http://schemas.openxmlformats.org/officeDocument/2006/relationships/hyperlink" Target="https://drive.google.com/open?id=1js-TCuTHkf_HDdV7BW7gTUMCS74BY7pe" TargetMode="External"/><Relationship Id="rId1676" Type="http://schemas.openxmlformats.org/officeDocument/2006/relationships/hyperlink" Target="https://drive.google.com/open?id=189Vi0DIbxBkqqIqLxHfzAOAdWFdtAhMT" TargetMode="External"/><Relationship Id="rId1883" Type="http://schemas.openxmlformats.org/officeDocument/2006/relationships/hyperlink" Target="https://drive.google.com/open?id=1CalTY4U5HPdJolefA05SIR5ZZnqtrlTf" TargetMode="External"/><Relationship Id="rId906" Type="http://schemas.openxmlformats.org/officeDocument/2006/relationships/hyperlink" Target="https://drive.google.com/open?id=1Esy87tNyXshoh1qDG2pSP2Nic8t5r_20" TargetMode="External"/><Relationship Id="rId1329" Type="http://schemas.openxmlformats.org/officeDocument/2006/relationships/hyperlink" Target="https://drive.google.com/open?id=1bYUcvktNVRX4ysTG-GYGV8Hnkek4A01t" TargetMode="External"/><Relationship Id="rId1536" Type="http://schemas.openxmlformats.org/officeDocument/2006/relationships/hyperlink" Target="https://drive.google.com/open?id=1VeRwXnmYEievfEy9BDwnSP5E4ftTIBra" TargetMode="External"/><Relationship Id="rId1743" Type="http://schemas.openxmlformats.org/officeDocument/2006/relationships/hyperlink" Target="https://drive.google.com/open?id=1yg5vWTSQRO-tJRJ_CO-qoI2jpHcDbNFo" TargetMode="External"/><Relationship Id="rId1950" Type="http://schemas.openxmlformats.org/officeDocument/2006/relationships/hyperlink" Target="https://drive.google.com/open?id=1NL1oBgnK-SR_YNMCbNzZzQt0T34pH5Sp" TargetMode="External"/><Relationship Id="rId35" Type="http://schemas.openxmlformats.org/officeDocument/2006/relationships/hyperlink" Target="https://drive.google.com/open?id=1I9mew95_jnqYhW4pvGXEDvQNpjUeDj0r" TargetMode="External"/><Relationship Id="rId1603" Type="http://schemas.openxmlformats.org/officeDocument/2006/relationships/hyperlink" Target="https://drive.google.com/open?id=1KnmgGCBJOJzSYQWBat6-vYuGVAqFuTQr" TargetMode="External"/><Relationship Id="rId1810" Type="http://schemas.openxmlformats.org/officeDocument/2006/relationships/hyperlink" Target="https://drive.google.com/open?id=1Y6cCjUAGuFfYnbb1kGPMkA_BTPA8ZuIY" TargetMode="External"/><Relationship Id="rId184" Type="http://schemas.openxmlformats.org/officeDocument/2006/relationships/hyperlink" Target="https://drive.google.com/open?id=15wOqXI2K3oUfpHJo4eq5DYFNwSm2CwsC" TargetMode="External"/><Relationship Id="rId391" Type="http://schemas.openxmlformats.org/officeDocument/2006/relationships/hyperlink" Target="https://drive.google.com/open?id=1e0vB6gbC96TFY28u3VmSKifs6Y4hC2A9" TargetMode="External"/><Relationship Id="rId1908" Type="http://schemas.openxmlformats.org/officeDocument/2006/relationships/hyperlink" Target="https://drive.google.com/open?id=11dtnuhGR8af7rcnBfI_U-M3hkRTXhomB" TargetMode="External"/><Relationship Id="rId251" Type="http://schemas.openxmlformats.org/officeDocument/2006/relationships/hyperlink" Target="https://drive.google.com/open?id=1xpoZ6redUuXPp_Zh_WNzON6_hSapGAln" TargetMode="External"/><Relationship Id="rId489" Type="http://schemas.openxmlformats.org/officeDocument/2006/relationships/hyperlink" Target="https://drive.google.com/open?id=17gt6iqY9Uw5o2wq_odka3YXjMHEtml0I" TargetMode="External"/><Relationship Id="rId696" Type="http://schemas.openxmlformats.org/officeDocument/2006/relationships/hyperlink" Target="https://drive.google.com/open?id=1miDQEn_V4REfcCefkUBn-Sot1ZNPUvri" TargetMode="External"/><Relationship Id="rId349" Type="http://schemas.openxmlformats.org/officeDocument/2006/relationships/hyperlink" Target="https://drive.google.com/open?id=1H8YzokYPfhTj3jWRuwCIfIDsUHtZ_0hO" TargetMode="External"/><Relationship Id="rId556" Type="http://schemas.openxmlformats.org/officeDocument/2006/relationships/hyperlink" Target="https://drive.google.com/open?id=16-78hVfVG2uiOxUwr25wqFnYXd3EgOn-" TargetMode="External"/><Relationship Id="rId763" Type="http://schemas.openxmlformats.org/officeDocument/2006/relationships/hyperlink" Target="https://drive.google.com/open?id=1rFrJQ3Z_g4drnY6jDUpRSgX_99zlSSGH" TargetMode="External"/><Relationship Id="rId1186" Type="http://schemas.openxmlformats.org/officeDocument/2006/relationships/hyperlink" Target="https://drive.google.com/open?id=19NtrgqHNRLRwdmFKhwGm7kQpmCKO2o-7" TargetMode="External"/><Relationship Id="rId1393" Type="http://schemas.openxmlformats.org/officeDocument/2006/relationships/hyperlink" Target="https://drive.google.com/open?id=1pZu2IC-6uAYjobE_bvVITKE22myWC38Z" TargetMode="External"/><Relationship Id="rId111" Type="http://schemas.openxmlformats.org/officeDocument/2006/relationships/hyperlink" Target="https://drive.google.com/open?id=1H5fiM4cstT7NMyHqCFh68ESKKvhH-dy5" TargetMode="External"/><Relationship Id="rId209" Type="http://schemas.openxmlformats.org/officeDocument/2006/relationships/hyperlink" Target="https://drive.google.com/open?id=18w9FblZIeC20erzctAFJONuWdzuPfFTm" TargetMode="External"/><Relationship Id="rId416" Type="http://schemas.openxmlformats.org/officeDocument/2006/relationships/hyperlink" Target="https://drive.google.com/open?id=1L6d5perCPh5177E55B1UgyvveE6cxEdY" TargetMode="External"/><Relationship Id="rId970" Type="http://schemas.openxmlformats.org/officeDocument/2006/relationships/hyperlink" Target="https://drive.google.com/open?id=1dPwv0012nVYlmeXDYuaHi2WEe__5bGA3" TargetMode="External"/><Relationship Id="rId1046" Type="http://schemas.openxmlformats.org/officeDocument/2006/relationships/hyperlink" Target="https://drive.google.com/open?id=1vUXHQk3CY4IrBHKCDaZFN9KGL-rpgBip" TargetMode="External"/><Relationship Id="rId1253" Type="http://schemas.openxmlformats.org/officeDocument/2006/relationships/hyperlink" Target="https://drive.google.com/open?id=1zSpk3KE7pVX2B5xO-h_tpmVycWZv5D2s" TargetMode="External"/><Relationship Id="rId1698" Type="http://schemas.openxmlformats.org/officeDocument/2006/relationships/hyperlink" Target="https://drive.google.com/open?id=1roplqQn5t3Rh53q4CBT5Odzq_rBtdSIe" TargetMode="External"/><Relationship Id="rId623" Type="http://schemas.openxmlformats.org/officeDocument/2006/relationships/hyperlink" Target="https://drive.google.com/open?id=13ANxxiNbAIx-sFmkKbXugHh5874c5hWG" TargetMode="External"/><Relationship Id="rId830" Type="http://schemas.openxmlformats.org/officeDocument/2006/relationships/hyperlink" Target="https://drive.google.com/open?id=1y4LYBti7sknMN2Oo0epyGLEji2lY41lS" TargetMode="External"/><Relationship Id="rId928" Type="http://schemas.openxmlformats.org/officeDocument/2006/relationships/hyperlink" Target="https://drive.google.com/open?id=1EIWiNTbNMLNZpoxCWAHPljJXInd9VCc8" TargetMode="External"/><Relationship Id="rId1460" Type="http://schemas.openxmlformats.org/officeDocument/2006/relationships/hyperlink" Target="https://drive.google.com/open?id=1KlCvP1c6leWDDlrb_sjVD4QdDphAKjJw" TargetMode="External"/><Relationship Id="rId1558" Type="http://schemas.openxmlformats.org/officeDocument/2006/relationships/hyperlink" Target="https://drive.google.com/open?id=1oS-oyMA8vL_4ecxV77ZZS_vMurhJ9Iy4" TargetMode="External"/><Relationship Id="rId1765" Type="http://schemas.openxmlformats.org/officeDocument/2006/relationships/hyperlink" Target="https://drive.google.com/open?id=13dT0tIQb8bWP6kPNKis63IcNj3hIJM2s" TargetMode="External"/><Relationship Id="rId57" Type="http://schemas.openxmlformats.org/officeDocument/2006/relationships/hyperlink" Target="https://drive.google.com/open?id=1ibbtppjubJOpFduOe5sj7IQPPfM00CJx" TargetMode="External"/><Relationship Id="rId1113" Type="http://schemas.openxmlformats.org/officeDocument/2006/relationships/hyperlink" Target="https://drive.google.com/open?id=1IvwBwrZSoBtjxD9TN9OqlJc3hnTb-U5x" TargetMode="External"/><Relationship Id="rId1320" Type="http://schemas.openxmlformats.org/officeDocument/2006/relationships/hyperlink" Target="https://drive.google.com/open?id=1tZEINgB0bDYWoAa03AgvjFr7pFKLTf-1" TargetMode="External"/><Relationship Id="rId1418" Type="http://schemas.openxmlformats.org/officeDocument/2006/relationships/hyperlink" Target="https://drive.google.com/open?id=1uRyILcOhj_JYVhTOL7ExLNDX0qbRXvxy" TargetMode="External"/><Relationship Id="rId1972" Type="http://schemas.openxmlformats.org/officeDocument/2006/relationships/hyperlink" Target="https://drive.google.com/open?id=1iRkDpKtLkbeQSoIj-i5Cvu8tDtHGhHBz" TargetMode="External"/><Relationship Id="rId1625" Type="http://schemas.openxmlformats.org/officeDocument/2006/relationships/hyperlink" Target="https://drive.google.com/open?id=1WTTZT6_uAJuh211zMKEck3yJHGNKfId1" TargetMode="External"/><Relationship Id="rId1832" Type="http://schemas.openxmlformats.org/officeDocument/2006/relationships/hyperlink" Target="https://drive.google.com/open?id=1i6f38zPX9hQiY2tNuMRc6P9Y5ZbsquYX" TargetMode="External"/><Relationship Id="rId273" Type="http://schemas.openxmlformats.org/officeDocument/2006/relationships/hyperlink" Target="https://drive.google.com/open?id=1R4alFM21R8bRxD8cNdSq6doLnsYsZk77" TargetMode="External"/><Relationship Id="rId480" Type="http://schemas.openxmlformats.org/officeDocument/2006/relationships/hyperlink" Target="https://drive.google.com/open?id=1qebqrFMIfhbJcRC6Y-AfaxzzQj2NBjY4" TargetMode="External"/><Relationship Id="rId133" Type="http://schemas.openxmlformats.org/officeDocument/2006/relationships/hyperlink" Target="https://drive.google.com/open?id=1WkNzNGSelJjF7korD72Ywh0VcdhWIGmz" TargetMode="External"/><Relationship Id="rId340" Type="http://schemas.openxmlformats.org/officeDocument/2006/relationships/hyperlink" Target="https://drive.google.com/open?id=1DDcRcQ2o6I58pJUfHJ0Ycu66vZ9_oeMH" TargetMode="External"/><Relationship Id="rId578" Type="http://schemas.openxmlformats.org/officeDocument/2006/relationships/hyperlink" Target="https://drive.google.com/open?id=1znmndjPX6GdwbE2zcwSxSOo2b_8vOuYt" TargetMode="External"/><Relationship Id="rId785" Type="http://schemas.openxmlformats.org/officeDocument/2006/relationships/hyperlink" Target="https://drive.google.com/open?id=1KwYVIL40W6sL4yLwswRt5753YZFsDExK" TargetMode="External"/><Relationship Id="rId992" Type="http://schemas.openxmlformats.org/officeDocument/2006/relationships/hyperlink" Target="https://drive.google.com/open?id=1UmDGWj_NRRFxXbxfb1LI4CYDSJjUM-hq" TargetMode="External"/><Relationship Id="rId2021" Type="http://schemas.openxmlformats.org/officeDocument/2006/relationships/hyperlink" Target="https://drive.google.com/open?id=1bt4GukeATd1gwwZKCtaFBjLJDhFsIkep" TargetMode="External"/><Relationship Id="rId200" Type="http://schemas.openxmlformats.org/officeDocument/2006/relationships/hyperlink" Target="https://drive.google.com/open?id=1Fko0OkBf7-m8ceX5kZCXkfg29IWt1gwT" TargetMode="External"/><Relationship Id="rId438" Type="http://schemas.openxmlformats.org/officeDocument/2006/relationships/hyperlink" Target="https://drive.google.com/open?id=1X7W4_qXvJKu9m8yRf4NpX2gnneXkUBAr" TargetMode="External"/><Relationship Id="rId645" Type="http://schemas.openxmlformats.org/officeDocument/2006/relationships/hyperlink" Target="https://drive.google.com/open?id=1yxlqnJyj8DTidSwUdImPFsWugZmxcxaZ" TargetMode="External"/><Relationship Id="rId852" Type="http://schemas.openxmlformats.org/officeDocument/2006/relationships/hyperlink" Target="https://drive.google.com/open?id=1Wx5_Y5bFIpaY_K9S2KJ71yqJQquwZpP1" TargetMode="External"/><Relationship Id="rId1068" Type="http://schemas.openxmlformats.org/officeDocument/2006/relationships/hyperlink" Target="https://drive.google.com/open?id=1sw6ZYCg7d9UE8_D3kbZ7lIOIi_9poMy6" TargetMode="External"/><Relationship Id="rId1275" Type="http://schemas.openxmlformats.org/officeDocument/2006/relationships/hyperlink" Target="https://drive.google.com/open?id=1vXKk0CTmV9RWOKJd-C5zqVsxj7y2ADyr" TargetMode="External"/><Relationship Id="rId1482" Type="http://schemas.openxmlformats.org/officeDocument/2006/relationships/hyperlink" Target="https://drive.google.com/open?id=1iLippEScmTOD52duHQVq9N6u5kn8XhWM" TargetMode="External"/><Relationship Id="rId505" Type="http://schemas.openxmlformats.org/officeDocument/2006/relationships/hyperlink" Target="https://drive.google.com/open?id=1oQLpNeTJe7frZ9fF7j3D4iFz4GnwRnEJ" TargetMode="External"/><Relationship Id="rId712" Type="http://schemas.openxmlformats.org/officeDocument/2006/relationships/hyperlink" Target="https://drive.google.com/open?id=1W_wqTINyy0Ml6sKP7ojsUMNH0-Xo6wL0" TargetMode="External"/><Relationship Id="rId1135" Type="http://schemas.openxmlformats.org/officeDocument/2006/relationships/hyperlink" Target="https://drive.google.com/open?id=1w-PSYkhLeNjqAPgs-QfquhcFC7aNw6xV" TargetMode="External"/><Relationship Id="rId1342" Type="http://schemas.openxmlformats.org/officeDocument/2006/relationships/hyperlink" Target="https://drive.google.com/open?id=1OHVRvnOMhC1p1HzLQD8m9RosvMIVKPhX" TargetMode="External"/><Relationship Id="rId1787" Type="http://schemas.openxmlformats.org/officeDocument/2006/relationships/hyperlink" Target="https://drive.google.com/open?id=1BZT3fFAIskU0HviZMnnc79BoMh0smCnC" TargetMode="External"/><Relationship Id="rId1994" Type="http://schemas.openxmlformats.org/officeDocument/2006/relationships/hyperlink" Target="https://drive.google.com/open?id=1c5y6kFN2c8JQj6nMmTjCQG57i5DzrKQc" TargetMode="External"/><Relationship Id="rId79" Type="http://schemas.openxmlformats.org/officeDocument/2006/relationships/hyperlink" Target="https://drive.google.com/open?id=1hUR2ayTA_zK8G9ySwqh87C7FbJ0x5C5G" TargetMode="External"/><Relationship Id="rId1202" Type="http://schemas.openxmlformats.org/officeDocument/2006/relationships/hyperlink" Target="https://drive.google.com/open?id=1fDfyPV7ug50gWb_IuKenwiKeLIQw-R9H" TargetMode="External"/><Relationship Id="rId1647" Type="http://schemas.openxmlformats.org/officeDocument/2006/relationships/hyperlink" Target="https://drive.google.com/open?id=1jPAHtWeL6aV24ky7uH8dCgYNKRVkJgHF" TargetMode="External"/><Relationship Id="rId1854" Type="http://schemas.openxmlformats.org/officeDocument/2006/relationships/hyperlink" Target="https://drive.google.com/open?id=1RBgctZwvxY3WZrvZJ19sc-x6_FbcbOM5" TargetMode="External"/><Relationship Id="rId1507" Type="http://schemas.openxmlformats.org/officeDocument/2006/relationships/hyperlink" Target="https://drive.google.com/open?id=18oHDtaM_qpDFyyEt9sYqjbVxHbi3xlz-" TargetMode="External"/><Relationship Id="rId1714" Type="http://schemas.openxmlformats.org/officeDocument/2006/relationships/hyperlink" Target="https://drive.google.com/open?id=1diE5Uphir8_Vgt9mAg7no2eOMQYPsmMH" TargetMode="External"/><Relationship Id="rId295" Type="http://schemas.openxmlformats.org/officeDocument/2006/relationships/hyperlink" Target="https://drive.google.com/open?id=1oRm_eBuhm5DSU6t03DXRUbsWXCDWuAxP" TargetMode="External"/><Relationship Id="rId1921" Type="http://schemas.openxmlformats.org/officeDocument/2006/relationships/hyperlink" Target="https://drive.google.com/open?id=1xvECAODZMvmqD-hIQlqccEDu5OPXg4Rx" TargetMode="External"/><Relationship Id="rId155" Type="http://schemas.openxmlformats.org/officeDocument/2006/relationships/hyperlink" Target="https://drive.google.com/open?id=1X7Ukgbstf_JkIxhHadtJ1ezLaycP6M05" TargetMode="External"/><Relationship Id="rId362" Type="http://schemas.openxmlformats.org/officeDocument/2006/relationships/hyperlink" Target="https://drive.google.com/open?id=1lYnKEHQDPJfBOa8Z7QsXVsQsA6rVEAgW" TargetMode="External"/><Relationship Id="rId1297" Type="http://schemas.openxmlformats.org/officeDocument/2006/relationships/hyperlink" Target="https://drive.google.com/open?id=1cdIKzIVkrzqJBDRjwmjpv5yqssW-Ohhu" TargetMode="External"/><Relationship Id="rId222" Type="http://schemas.openxmlformats.org/officeDocument/2006/relationships/hyperlink" Target="https://drive.google.com/open?id=11U1gwttqKcRxKSN6wmBM8GJDkdx1ZdKh" TargetMode="External"/><Relationship Id="rId667" Type="http://schemas.openxmlformats.org/officeDocument/2006/relationships/hyperlink" Target="https://drive.google.com/open?id=1PeomHRav0V4iG4jlb45B6-BOsYEanx72" TargetMode="External"/><Relationship Id="rId874" Type="http://schemas.openxmlformats.org/officeDocument/2006/relationships/hyperlink" Target="https://drive.google.com/open?id=1bxB4uo0h8nphI3HCbzKK_hZRSFUUnBW9" TargetMode="External"/><Relationship Id="rId527" Type="http://schemas.openxmlformats.org/officeDocument/2006/relationships/hyperlink" Target="https://drive.google.com/open?id=1gh5KAcA0CCC2v4YBSK8dq8Hs5IH6mWw1" TargetMode="External"/><Relationship Id="rId734" Type="http://schemas.openxmlformats.org/officeDocument/2006/relationships/hyperlink" Target="https://drive.google.com/open?id=1qeHO-Pz3WQjiaaQsWg_FS4IaD-fsBduD" TargetMode="External"/><Relationship Id="rId941" Type="http://schemas.openxmlformats.org/officeDocument/2006/relationships/hyperlink" Target="https://drive.google.com/open?id=1bWhU1wha5bc2-24nO8ygMfHPbbBBiqvi" TargetMode="External"/><Relationship Id="rId1157" Type="http://schemas.openxmlformats.org/officeDocument/2006/relationships/hyperlink" Target="https://drive.google.com/open?id=1Mn3VDdWy7yPJe1lfJG07n5PkMCbnt-mq" TargetMode="External"/><Relationship Id="rId1364" Type="http://schemas.openxmlformats.org/officeDocument/2006/relationships/hyperlink" Target="https://drive.google.com/open?id=1t5gFApRg0QqUVZObGVgfi2VwU4C0dlzE" TargetMode="External"/><Relationship Id="rId1571" Type="http://schemas.openxmlformats.org/officeDocument/2006/relationships/hyperlink" Target="https://drive.google.com/open?id=12fg86hZGJ0WQiOYc9VG1i_FBbifVtB4J" TargetMode="External"/><Relationship Id="rId70" Type="http://schemas.openxmlformats.org/officeDocument/2006/relationships/hyperlink" Target="https://drive.google.com/open?id=124Pzavi9aZZ9A6YbAGuZ02TPg3K072tv" TargetMode="External"/><Relationship Id="rId801" Type="http://schemas.openxmlformats.org/officeDocument/2006/relationships/hyperlink" Target="https://drive.google.com/open?id=1ioGJa27Q8WxBpXQu8rFkHN-mmW00B5wd" TargetMode="External"/><Relationship Id="rId1017" Type="http://schemas.openxmlformats.org/officeDocument/2006/relationships/hyperlink" Target="https://drive.google.com/open?id=1zHVOu0Tmp5yJxdBOoyiddh-2zntassRF" TargetMode="External"/><Relationship Id="rId1224" Type="http://schemas.openxmlformats.org/officeDocument/2006/relationships/hyperlink" Target="https://drive.google.com/open?id=18Ow1FeH3lNrQe6oPXRyxJUXqnMPHxqeC" TargetMode="External"/><Relationship Id="rId1431" Type="http://schemas.openxmlformats.org/officeDocument/2006/relationships/hyperlink" Target="https://drive.google.com/open?id=1CXRO8xVEc5vEjMsPEMPu6DiW7iZgWApu" TargetMode="External"/><Relationship Id="rId1669" Type="http://schemas.openxmlformats.org/officeDocument/2006/relationships/hyperlink" Target="https://drive.google.com/open?id=1g4aH0shZD7aECmV1AUNVA32bHSJ3aQQ-" TargetMode="External"/><Relationship Id="rId1876" Type="http://schemas.openxmlformats.org/officeDocument/2006/relationships/hyperlink" Target="https://drive.google.com/open?id=1eJf00wNIv3tCAoeaZv0A53X036jtPlTI" TargetMode="External"/><Relationship Id="rId1529" Type="http://schemas.openxmlformats.org/officeDocument/2006/relationships/hyperlink" Target="https://drive.google.com/open?id=1gz4Fnpko_WGM6PdYfKk3NpkJkpjOs9Tx" TargetMode="External"/><Relationship Id="rId1736" Type="http://schemas.openxmlformats.org/officeDocument/2006/relationships/hyperlink" Target="https://drive.google.com/open?id=1MXaBXBCWwoax4KURZj7VBYjxYpAAE0Ja" TargetMode="External"/><Relationship Id="rId1943" Type="http://schemas.openxmlformats.org/officeDocument/2006/relationships/hyperlink" Target="https://drive.google.com/open?id=1c88MRly9Rp6i3LMcQmQRJnMAnxMlbwHH" TargetMode="External"/><Relationship Id="rId28" Type="http://schemas.openxmlformats.org/officeDocument/2006/relationships/hyperlink" Target="https://drive.google.com/open?id=18hnqtA7WCZ3GHL9pk4jgpB8Pvm7RTidI" TargetMode="External"/><Relationship Id="rId1803" Type="http://schemas.openxmlformats.org/officeDocument/2006/relationships/hyperlink" Target="https://drive.google.com/open?id=1VF5ku-1V1sj5HGeXxX6b59c-XBY3xj3M" TargetMode="External"/><Relationship Id="rId177" Type="http://schemas.openxmlformats.org/officeDocument/2006/relationships/hyperlink" Target="https://drive.google.com/open?id=1uYrxXOHNzkzdphk7ykNTM2vF4DItUSm7" TargetMode="External"/><Relationship Id="rId384" Type="http://schemas.openxmlformats.org/officeDocument/2006/relationships/hyperlink" Target="https://drive.google.com/open?id=105WsOFSmGHy7S8EvwYWa5zDYsBdjwFo3" TargetMode="External"/><Relationship Id="rId591" Type="http://schemas.openxmlformats.org/officeDocument/2006/relationships/hyperlink" Target="https://drive.google.com/open?id=1DYv18bk3Y4tSag-MPG7JHJQYCnCeW6_0" TargetMode="External"/><Relationship Id="rId244" Type="http://schemas.openxmlformats.org/officeDocument/2006/relationships/hyperlink" Target="https://drive.google.com/open?id=1z6FHwSHcmRL-WlariyT1B2pRxa_CpAMq" TargetMode="External"/><Relationship Id="rId689" Type="http://schemas.openxmlformats.org/officeDocument/2006/relationships/hyperlink" Target="https://drive.google.com/open?id=17VAYKptt6hDZO7kW3bgWTgdbjh-h1Rvf" TargetMode="External"/><Relationship Id="rId896" Type="http://schemas.openxmlformats.org/officeDocument/2006/relationships/hyperlink" Target="https://drive.google.com/open?id=1Om6GjHQiKilVjJNQQNzA_U0u9i5FygFy" TargetMode="External"/><Relationship Id="rId1081" Type="http://schemas.openxmlformats.org/officeDocument/2006/relationships/hyperlink" Target="https://drive.google.com/open?id=1MBw2Km9eFeP9TSKO-lyIGt3GA65nbpXg" TargetMode="External"/><Relationship Id="rId451" Type="http://schemas.openxmlformats.org/officeDocument/2006/relationships/hyperlink" Target="https://drive.google.com/open?id=1eKexesxeFl5c2eu_rbQ7biqxj3S_jqtb" TargetMode="External"/><Relationship Id="rId549" Type="http://schemas.openxmlformats.org/officeDocument/2006/relationships/hyperlink" Target="https://drive.google.com/open?id=1oHEcAebWMgYkCIyRGhP5ZLXSJRzELw01" TargetMode="External"/><Relationship Id="rId756" Type="http://schemas.openxmlformats.org/officeDocument/2006/relationships/hyperlink" Target="https://drive.google.com/open?id=1bxu7Q_LGxbnndKDrgwBYxaISp6mcw5RU" TargetMode="External"/><Relationship Id="rId1179" Type="http://schemas.openxmlformats.org/officeDocument/2006/relationships/hyperlink" Target="https://drive.google.com/open?id=1oUjixGRhp6FhkmXSRhaK0YC-gtbFdGDQ" TargetMode="External"/><Relationship Id="rId1386" Type="http://schemas.openxmlformats.org/officeDocument/2006/relationships/hyperlink" Target="https://drive.google.com/open?id=1mga5p8nWVDHKcQho6ci8dnhQ_t6QHIZx" TargetMode="External"/><Relationship Id="rId1593" Type="http://schemas.openxmlformats.org/officeDocument/2006/relationships/hyperlink" Target="https://drive.google.com/open?id=1fvbmxPc_Z9eonNfqx_ZmFtJtpUm-Ygew" TargetMode="External"/><Relationship Id="rId104" Type="http://schemas.openxmlformats.org/officeDocument/2006/relationships/hyperlink" Target="https://drive.google.com/open?id=16iJ4fsvAEvGkmuklSxwcUW6-kvnu3Otw" TargetMode="External"/><Relationship Id="rId311" Type="http://schemas.openxmlformats.org/officeDocument/2006/relationships/hyperlink" Target="https://drive.google.com/open?id=1DU3Hrh_qTvvYEiKXAV8H6921InbfZRAu" TargetMode="External"/><Relationship Id="rId409" Type="http://schemas.openxmlformats.org/officeDocument/2006/relationships/hyperlink" Target="https://drive.google.com/open?id=1c2oQLnrn-M_ELcC_1pIFeDQ-P-VCBh8r" TargetMode="External"/><Relationship Id="rId963" Type="http://schemas.openxmlformats.org/officeDocument/2006/relationships/hyperlink" Target="https://drive.google.com/open?id=1Y7FElSgMtH8RoCTkgLufBEHXD29HMTOP" TargetMode="External"/><Relationship Id="rId1039" Type="http://schemas.openxmlformats.org/officeDocument/2006/relationships/hyperlink" Target="https://drive.google.com/open?id=13HTIWhHBo1dMiyMqy5djFXrPbb83QEq1" TargetMode="External"/><Relationship Id="rId1246" Type="http://schemas.openxmlformats.org/officeDocument/2006/relationships/hyperlink" Target="https://drive.google.com/open?id=1wB9sDPDVxvPhlDHFO3cq42kscTe112MQ" TargetMode="External"/><Relationship Id="rId1898" Type="http://schemas.openxmlformats.org/officeDocument/2006/relationships/hyperlink" Target="https://drive.google.com/open?id=1cIn9kq7Cu6aC0BHl1Bmd0LlYat1dHfkS" TargetMode="External"/><Relationship Id="rId92" Type="http://schemas.openxmlformats.org/officeDocument/2006/relationships/hyperlink" Target="https://drive.google.com/open?id=1m6z5iwDbasjnRn6PhuMP6pxvuqT8NFBX" TargetMode="External"/><Relationship Id="rId616" Type="http://schemas.openxmlformats.org/officeDocument/2006/relationships/hyperlink" Target="https://drive.google.com/open?id=1ab4luXkHVXEYFo3dEff3E_EWlTKiltvP" TargetMode="External"/><Relationship Id="rId823" Type="http://schemas.openxmlformats.org/officeDocument/2006/relationships/hyperlink" Target="https://drive.google.com/open?id=1NCseDJVdQ-DHANB2JlN_Z7BUXoiMjhtf" TargetMode="External"/><Relationship Id="rId1453" Type="http://schemas.openxmlformats.org/officeDocument/2006/relationships/hyperlink" Target="https://drive.google.com/open?id=1BsuFAqjyUKWO56zht7La7qBZDkupWv7W" TargetMode="External"/><Relationship Id="rId1660" Type="http://schemas.openxmlformats.org/officeDocument/2006/relationships/hyperlink" Target="https://drive.google.com/open?id=1NsXD0EqwN5q68Ip5J-SUZIW1P3qREZIW" TargetMode="External"/><Relationship Id="rId1758" Type="http://schemas.openxmlformats.org/officeDocument/2006/relationships/hyperlink" Target="https://drive.google.com/open?id=1q5ds82nhhqIvPiD06mRlI84MuIV6eONQ" TargetMode="External"/><Relationship Id="rId1106" Type="http://schemas.openxmlformats.org/officeDocument/2006/relationships/hyperlink" Target="https://drive.google.com/open?id=15Q5mCWbymAYjZitjXJfyRf_yhH2rFU5z" TargetMode="External"/><Relationship Id="rId1313" Type="http://schemas.openxmlformats.org/officeDocument/2006/relationships/hyperlink" Target="https://drive.google.com/open?id=17NJvLhYvsC7QaP4wgc7SzK8UAl2NpcG4" TargetMode="External"/><Relationship Id="rId1520" Type="http://schemas.openxmlformats.org/officeDocument/2006/relationships/hyperlink" Target="https://drive.google.com/open?id=1e8UNYLdGJclDVSwfu78N6hUtasPxha-q" TargetMode="External"/><Relationship Id="rId1965" Type="http://schemas.openxmlformats.org/officeDocument/2006/relationships/hyperlink" Target="https://drive.google.com/open?id=1vvh9CiZZE7FxBeZabp_mEg_5rVXH3Q-e" TargetMode="External"/><Relationship Id="rId1618" Type="http://schemas.openxmlformats.org/officeDocument/2006/relationships/hyperlink" Target="https://drive.google.com/open?id=18VELDfbu_r6Yts1w8cdlL_SrMxYFJ5x6" TargetMode="External"/><Relationship Id="rId1825" Type="http://schemas.openxmlformats.org/officeDocument/2006/relationships/hyperlink" Target="https://drive.google.com/open?id=1_G9-C2me0nuxk-MOqY-Y_pE7APwrC9TU" TargetMode="External"/><Relationship Id="rId199" Type="http://schemas.openxmlformats.org/officeDocument/2006/relationships/hyperlink" Target="https://drive.google.com/open?id=1IMg6bNgUifQ08pxqNoU8zw35OXYlJMz2" TargetMode="External"/><Relationship Id="rId266" Type="http://schemas.openxmlformats.org/officeDocument/2006/relationships/hyperlink" Target="https://drive.google.com/open?id=167lmy4frTipJKcb76eVt2S4rCBZrFkZH" TargetMode="External"/><Relationship Id="rId473" Type="http://schemas.openxmlformats.org/officeDocument/2006/relationships/hyperlink" Target="https://drive.google.com/open?id=1bT_UGzNA44h8301YeAxCK9qvQVsAP2Qa" TargetMode="External"/><Relationship Id="rId680" Type="http://schemas.openxmlformats.org/officeDocument/2006/relationships/hyperlink" Target="https://drive.google.com/open?id=1CLcjOFEChBTwweY8bFdZdjAcRdw6Shsf" TargetMode="External"/><Relationship Id="rId126" Type="http://schemas.openxmlformats.org/officeDocument/2006/relationships/hyperlink" Target="https://drive.google.com/open?id=1S2k6Hg5sRot7Oi2MaBpnck4U5p_LjOkm" TargetMode="External"/><Relationship Id="rId333" Type="http://schemas.openxmlformats.org/officeDocument/2006/relationships/hyperlink" Target="https://drive.google.com/open?id=1f3dMIwoQXQY8PM97UBT1jLbleEdfBk30" TargetMode="External"/><Relationship Id="rId540" Type="http://schemas.openxmlformats.org/officeDocument/2006/relationships/hyperlink" Target="https://drive.google.com/open?id=1BGUpU53yOcuAHq-P-6zps64ZmyfY2dyO" TargetMode="External"/><Relationship Id="rId778" Type="http://schemas.openxmlformats.org/officeDocument/2006/relationships/hyperlink" Target="https://drive.google.com/open?id=1Qhiq8mqlpGGt5oKWr1-P-_pXN95ael_c" TargetMode="External"/><Relationship Id="rId985" Type="http://schemas.openxmlformats.org/officeDocument/2006/relationships/hyperlink" Target="https://drive.google.com/open?id=1QsXUKnqzcoaNguJna6A6KFRqlCmwJLgg" TargetMode="External"/><Relationship Id="rId1170" Type="http://schemas.openxmlformats.org/officeDocument/2006/relationships/hyperlink" Target="https://drive.google.com/open?id=1tPc3ZkzWAZDVG4e-M3WLpzLwh_8HPFp-" TargetMode="External"/><Relationship Id="rId2014" Type="http://schemas.openxmlformats.org/officeDocument/2006/relationships/hyperlink" Target="https://drive.google.com/open?id=1D_4kks_mMwROYu9gxhHSeL5U_rXoH8CX" TargetMode="External"/><Relationship Id="rId638" Type="http://schemas.openxmlformats.org/officeDocument/2006/relationships/hyperlink" Target="https://drive.google.com/open?id=1lm6brMtmZnmz-qYRqBcJKEQSbmnE0THc" TargetMode="External"/><Relationship Id="rId845" Type="http://schemas.openxmlformats.org/officeDocument/2006/relationships/hyperlink" Target="https://drive.google.com/open?id=1LITywtHFkHgzGQjkYWU9lgqd7q9hTksw" TargetMode="External"/><Relationship Id="rId1030" Type="http://schemas.openxmlformats.org/officeDocument/2006/relationships/hyperlink" Target="https://drive.google.com/open?id=1rkMRTZTQrc3ZxliB7WFn_MQFGb4RcgI3" TargetMode="External"/><Relationship Id="rId1268" Type="http://schemas.openxmlformats.org/officeDocument/2006/relationships/hyperlink" Target="https://drive.google.com/open?id=131m6e8WE_ivaRKYiIErpsVV1F_jERMZF" TargetMode="External"/><Relationship Id="rId1475" Type="http://schemas.openxmlformats.org/officeDocument/2006/relationships/hyperlink" Target="https://drive.google.com/open?id=1kIV6G9WbmyPAz9ibLbTqg9wceWmpnlLv" TargetMode="External"/><Relationship Id="rId1682" Type="http://schemas.openxmlformats.org/officeDocument/2006/relationships/hyperlink" Target="https://drive.google.com/open?id=1ytfLIG36SlrdI7jTtYxsRU6jPlg7Ch2-" TargetMode="External"/><Relationship Id="rId400" Type="http://schemas.openxmlformats.org/officeDocument/2006/relationships/hyperlink" Target="https://drive.google.com/open?id=1jaWXMqCTPuugTi80cb5X5HfN7e5JYn0w" TargetMode="External"/><Relationship Id="rId705" Type="http://schemas.openxmlformats.org/officeDocument/2006/relationships/hyperlink" Target="https://drive.google.com/open?id=1Clu0HplK-H8LRqUxqKGaXix7pmhwmfaB" TargetMode="External"/><Relationship Id="rId1128" Type="http://schemas.openxmlformats.org/officeDocument/2006/relationships/hyperlink" Target="https://drive.google.com/open?id=1gLuNUGZFPQRJL106o61TA65DzqH02tFL" TargetMode="External"/><Relationship Id="rId1335" Type="http://schemas.openxmlformats.org/officeDocument/2006/relationships/hyperlink" Target="https://drive.google.com/open?id=19hXIZ4iaf3sQxbObAQciTscCtW-bGe_-" TargetMode="External"/><Relationship Id="rId1542" Type="http://schemas.openxmlformats.org/officeDocument/2006/relationships/hyperlink" Target="https://drive.google.com/open?id=1lmp1rMuZ0ez-J3sR-YOmqxbT2YVwbCgX" TargetMode="External"/><Relationship Id="rId1987" Type="http://schemas.openxmlformats.org/officeDocument/2006/relationships/hyperlink" Target="https://drive.google.com/open?id=1KIuozO0gQZ6nguSZmpjhez5m26r4XQDX" TargetMode="External"/><Relationship Id="rId912" Type="http://schemas.openxmlformats.org/officeDocument/2006/relationships/hyperlink" Target="https://drive.google.com/open?id=13WCIjVuhuE0TryB1LjK4wcIZWJgvhVxW" TargetMode="External"/><Relationship Id="rId1847" Type="http://schemas.openxmlformats.org/officeDocument/2006/relationships/hyperlink" Target="https://drive.google.com/open?id=1RvDXpDaVdgECOEQBpO8-U0Ts3woVfUtR" TargetMode="External"/><Relationship Id="rId41" Type="http://schemas.openxmlformats.org/officeDocument/2006/relationships/hyperlink" Target="https://drive.google.com/open?id=1ejheO1DFT_ig9y3MDpTRnaVexmzz9tqs" TargetMode="External"/><Relationship Id="rId1402" Type="http://schemas.openxmlformats.org/officeDocument/2006/relationships/hyperlink" Target="https://drive.google.com/open?id=1zUbpzmbGNxJMv5Z91L7KUhnsTuQF6XAl" TargetMode="External"/><Relationship Id="rId1707" Type="http://schemas.openxmlformats.org/officeDocument/2006/relationships/hyperlink" Target="https://drive.google.com/open?id=1Kw8054_-vngKiMbLe_RLoFcHO7yPNarX" TargetMode="External"/><Relationship Id="rId190" Type="http://schemas.openxmlformats.org/officeDocument/2006/relationships/hyperlink" Target="https://drive.google.com/open?id=1izziOI9TiItBu6Z8DmR1B0XpxSQqW5JH" TargetMode="External"/><Relationship Id="rId288" Type="http://schemas.openxmlformats.org/officeDocument/2006/relationships/hyperlink" Target="https://drive.google.com/open?id=1mM42ed4fJ5aDe02hqUUr5CGQZl6k-15b" TargetMode="External"/><Relationship Id="rId1914" Type="http://schemas.openxmlformats.org/officeDocument/2006/relationships/hyperlink" Target="https://drive.google.com/open?id=1xBV98qjU0qS_eEE1KDWcFX1USbiiHzZE" TargetMode="External"/><Relationship Id="rId495" Type="http://schemas.openxmlformats.org/officeDocument/2006/relationships/hyperlink" Target="https://drive.google.com/open?id=1WM14vFDH15BDQplFtlpLr9iKGRbonWhS" TargetMode="External"/><Relationship Id="rId148" Type="http://schemas.openxmlformats.org/officeDocument/2006/relationships/hyperlink" Target="https://drive.google.com/open?id=1wXRTJXn8MhxKGZywxpq2FZMP3uuxQDmN" TargetMode="External"/><Relationship Id="rId355" Type="http://schemas.openxmlformats.org/officeDocument/2006/relationships/hyperlink" Target="https://drive.google.com/open?id=1Fpnt-YnqjpZ8W8F7TKQCYJVkqiv4sOE0" TargetMode="External"/><Relationship Id="rId562" Type="http://schemas.openxmlformats.org/officeDocument/2006/relationships/hyperlink" Target="https://drive.google.com/open?id=1MvgmM9gT1Kfkem8-FXkbYhF3PgW1zT4r" TargetMode="External"/><Relationship Id="rId1192" Type="http://schemas.openxmlformats.org/officeDocument/2006/relationships/hyperlink" Target="https://drive.google.com/open?id=10f_pgFUsnN2DXp1uISWvuneSz_Z5Fxfl" TargetMode="External"/><Relationship Id="rId2036" Type="http://schemas.openxmlformats.org/officeDocument/2006/relationships/hyperlink" Target="https://drive.google.com/open?id=16MYHYS7eVcU_doDwNfMGScqEA4PSFa9y" TargetMode="External"/><Relationship Id="rId215" Type="http://schemas.openxmlformats.org/officeDocument/2006/relationships/hyperlink" Target="https://drive.google.com/open?id=15e2qSRdDXJgqVJGZ1KFsDbHzHZ7S-4Aa" TargetMode="External"/><Relationship Id="rId422" Type="http://schemas.openxmlformats.org/officeDocument/2006/relationships/hyperlink" Target="https://drive.google.com/open?id=10fc90_hv0eB1KhlT4L4yCIZi2P0ygPQ2" TargetMode="External"/><Relationship Id="rId867" Type="http://schemas.openxmlformats.org/officeDocument/2006/relationships/hyperlink" Target="https://drive.google.com/open?id=1OKlAB9dUPUzGwwQB-ilo2HV2FM0T89eD" TargetMode="External"/><Relationship Id="rId1052" Type="http://schemas.openxmlformats.org/officeDocument/2006/relationships/hyperlink" Target="https://drive.google.com/open?id=1Z3bsi-72N20DTcrhbFgZImhqy4PHX-ZC" TargetMode="External"/><Relationship Id="rId1497" Type="http://schemas.openxmlformats.org/officeDocument/2006/relationships/hyperlink" Target="https://drive.google.com/open?id=1-xChW7ChJjx7uT1QQObDMl6mc1K9VEmw" TargetMode="External"/><Relationship Id="rId727" Type="http://schemas.openxmlformats.org/officeDocument/2006/relationships/hyperlink" Target="https://drive.google.com/open?id=1J7l7MDy3WFmbdFIvEpHKbbJR99G13O26" TargetMode="External"/><Relationship Id="rId934" Type="http://schemas.openxmlformats.org/officeDocument/2006/relationships/hyperlink" Target="https://drive.google.com/open?id=1r9DsJMe0qrcTPfylB658ElEJ27SyF99s" TargetMode="External"/><Relationship Id="rId1357" Type="http://schemas.openxmlformats.org/officeDocument/2006/relationships/hyperlink" Target="https://drive.google.com/open?id=1Q5LvFSnV1Yw9gJOSYd_M3JmnCHv99LWh" TargetMode="External"/><Relationship Id="rId1564" Type="http://schemas.openxmlformats.org/officeDocument/2006/relationships/hyperlink" Target="https://drive.google.com/open?id=1IUFNwPRCTQ9mRpE_3SHM3QpvmPaxQWj8" TargetMode="External"/><Relationship Id="rId1771" Type="http://schemas.openxmlformats.org/officeDocument/2006/relationships/hyperlink" Target="https://drive.google.com/open?id=154BGHEu0Z6otde7Pz_67InBqaJTQZ0iE" TargetMode="External"/><Relationship Id="rId63" Type="http://schemas.openxmlformats.org/officeDocument/2006/relationships/hyperlink" Target="https://drive.google.com/open?id=1T7nNABslCtl3qJzq4OfnragFhbtepTdv" TargetMode="External"/><Relationship Id="rId1217" Type="http://schemas.openxmlformats.org/officeDocument/2006/relationships/hyperlink" Target="https://drive.google.com/open?id=14v-Na-5HE1NyZeSN_vxISH2DUo8wm-y5" TargetMode="External"/><Relationship Id="rId1424" Type="http://schemas.openxmlformats.org/officeDocument/2006/relationships/hyperlink" Target="https://drive.google.com/open?id=1RNBOqr7kmzlewPETyTsjs22eROcBplpj" TargetMode="External"/><Relationship Id="rId1631" Type="http://schemas.openxmlformats.org/officeDocument/2006/relationships/hyperlink" Target="https://drive.google.com/open?id=10V9qNLxa5g7rQd-y5g7npnplcJPorS78" TargetMode="External"/><Relationship Id="rId1869" Type="http://schemas.openxmlformats.org/officeDocument/2006/relationships/hyperlink" Target="https://drive.google.com/open?id=1-HyjBTmNyhZxrHbtUcDqirYDvDWTFVOa" TargetMode="External"/><Relationship Id="rId1729" Type="http://schemas.openxmlformats.org/officeDocument/2006/relationships/hyperlink" Target="https://drive.google.com/open?id=1rMf_RzGnPJ9YDokOAczc-14paDlPjJai" TargetMode="External"/><Relationship Id="rId1936" Type="http://schemas.openxmlformats.org/officeDocument/2006/relationships/hyperlink" Target="https://drive.google.com/open?id=1w2h_xVUkAxcp9AyDSE0hFMobnlWSoDrF" TargetMode="External"/><Relationship Id="rId377" Type="http://schemas.openxmlformats.org/officeDocument/2006/relationships/hyperlink" Target="https://drive.google.com/open?id=1_QPYZuDcu6vjFk4en4Bfcf_YBzMUVxUo" TargetMode="External"/><Relationship Id="rId584" Type="http://schemas.openxmlformats.org/officeDocument/2006/relationships/hyperlink" Target="https://drive.google.com/open?id=1i6-y2nJyyBFPies9d-DgjpRudavaaY-k" TargetMode="External"/><Relationship Id="rId5" Type="http://schemas.openxmlformats.org/officeDocument/2006/relationships/hyperlink" Target="https://drive.google.com/open?id=19nbDcjwmp-QoCnxc68FrVv09VcfLTMeE" TargetMode="External"/><Relationship Id="rId237" Type="http://schemas.openxmlformats.org/officeDocument/2006/relationships/hyperlink" Target="https://drive.google.com/open?id=1KnAZsJ0sTlBjKOE-jn4w_8BizbyQyZdD" TargetMode="External"/><Relationship Id="rId791" Type="http://schemas.openxmlformats.org/officeDocument/2006/relationships/hyperlink" Target="https://drive.google.com/open?id=1UAbe3kesHQIzZE78G0T-Q6ul66ag-VAI" TargetMode="External"/><Relationship Id="rId889" Type="http://schemas.openxmlformats.org/officeDocument/2006/relationships/hyperlink" Target="https://drive.google.com/open?id=1I3-n3k6xuJR49aH83us8PrVispCuCTi_" TargetMode="External"/><Relationship Id="rId1074" Type="http://schemas.openxmlformats.org/officeDocument/2006/relationships/hyperlink" Target="https://drive.google.com/open?id=1nlHgl8zWqsJJBaY3JpZNyNJglQ5HC70F" TargetMode="External"/><Relationship Id="rId444" Type="http://schemas.openxmlformats.org/officeDocument/2006/relationships/hyperlink" Target="https://drive.google.com/open?id=1NaOP5S5zwXqskiS4kRi-lZn1Uwkzm2EU" TargetMode="External"/><Relationship Id="rId651" Type="http://schemas.openxmlformats.org/officeDocument/2006/relationships/hyperlink" Target="https://drive.google.com/open?id=1QMe2xa3pwFj2carciY03mD2KHau3TU_Z" TargetMode="External"/><Relationship Id="rId749" Type="http://schemas.openxmlformats.org/officeDocument/2006/relationships/hyperlink" Target="https://drive.google.com/open?id=1QYRxROlYf9SAM-EA9RJoojHhiQkyurN4" TargetMode="External"/><Relationship Id="rId1281" Type="http://schemas.openxmlformats.org/officeDocument/2006/relationships/hyperlink" Target="https://drive.google.com/open?id=1jnvMvisTs6C2oBv7fTbRxafTnqUYp_HV" TargetMode="External"/><Relationship Id="rId1379" Type="http://schemas.openxmlformats.org/officeDocument/2006/relationships/hyperlink" Target="https://drive.google.com/open?id=1y1cmPTcMusLIHVCUyd7P5nRFIJKH3pnN" TargetMode="External"/><Relationship Id="rId1586" Type="http://schemas.openxmlformats.org/officeDocument/2006/relationships/hyperlink" Target="https://drive.google.com/open?id=1D4xQ8GEA1HM_L0kEQePoe7Qd_edHyrWY" TargetMode="External"/><Relationship Id="rId304" Type="http://schemas.openxmlformats.org/officeDocument/2006/relationships/hyperlink" Target="https://drive.google.com/open?id=1tptz649Wvd1DznuWxIwi05xKe7L68egs" TargetMode="External"/><Relationship Id="rId511" Type="http://schemas.openxmlformats.org/officeDocument/2006/relationships/hyperlink" Target="https://drive.google.com/open?id=1WKLyi9Ov29ES1kAbL-RM5eGtdZRyZALC" TargetMode="External"/><Relationship Id="rId609" Type="http://schemas.openxmlformats.org/officeDocument/2006/relationships/hyperlink" Target="https://drive.google.com/open?id=18XvkUJI8GoEDZaXBszNw2h8rJCUS-BHd" TargetMode="External"/><Relationship Id="rId956" Type="http://schemas.openxmlformats.org/officeDocument/2006/relationships/hyperlink" Target="https://drive.google.com/open?id=1S1r-QWIlCWGEOkUHfolJcfh6oBscamcW" TargetMode="External"/><Relationship Id="rId1141" Type="http://schemas.openxmlformats.org/officeDocument/2006/relationships/hyperlink" Target="https://drive.google.com/open?id=1m4UPXsvgaWotNTZ1NEaH7u1_TiBp41KG" TargetMode="External"/><Relationship Id="rId1239" Type="http://schemas.openxmlformats.org/officeDocument/2006/relationships/hyperlink" Target="https://drive.google.com/open?id=1FCEsg0P_rvs7CZzQBAWMU9WrCImIc5ID" TargetMode="External"/><Relationship Id="rId1793" Type="http://schemas.openxmlformats.org/officeDocument/2006/relationships/hyperlink" Target="https://drive.google.com/open?id=1giQn7Yktk4Rl5xbbJbbASFQI9yNrKpy-" TargetMode="External"/><Relationship Id="rId85" Type="http://schemas.openxmlformats.org/officeDocument/2006/relationships/hyperlink" Target="https://drive.google.com/open?id=1QO7e3sCfrqcpqHdR0lUFQmJw86gbuJpn" TargetMode="External"/><Relationship Id="rId816" Type="http://schemas.openxmlformats.org/officeDocument/2006/relationships/hyperlink" Target="https://drive.google.com/open?id=1rGQ5JPnZs2mfCp9hwMSzVovVKmpWJ9YF" TargetMode="External"/><Relationship Id="rId1001" Type="http://schemas.openxmlformats.org/officeDocument/2006/relationships/hyperlink" Target="https://drive.google.com/open?id=1WX9PvnbYiucqkEgnwvDBKB2so-JfjMUJ" TargetMode="External"/><Relationship Id="rId1446" Type="http://schemas.openxmlformats.org/officeDocument/2006/relationships/hyperlink" Target="https://drive.google.com/open?id=116UDxVRHsLpyC5EvmQ_fFRHot3hRjSLh" TargetMode="External"/><Relationship Id="rId1653" Type="http://schemas.openxmlformats.org/officeDocument/2006/relationships/hyperlink" Target="https://drive.google.com/open?id=1WKDdgwxqdLOI8Kxpl6Zw-MgZRFEdaQGz" TargetMode="External"/><Relationship Id="rId1860" Type="http://schemas.openxmlformats.org/officeDocument/2006/relationships/hyperlink" Target="https://drive.google.com/open?id=1msuS9VmdwC2D17JcEo6A-BjtEA9P_bMw" TargetMode="External"/><Relationship Id="rId1306" Type="http://schemas.openxmlformats.org/officeDocument/2006/relationships/hyperlink" Target="https://drive.google.com/open?id=1-lH_uIaoacp0D3s4hlcxVmHcG41PS3LS" TargetMode="External"/><Relationship Id="rId1513" Type="http://schemas.openxmlformats.org/officeDocument/2006/relationships/hyperlink" Target="https://drive.google.com/open?id=1Hu6R_mrqPbaHQf7Nyo2J30B6QX0AC3Qm" TargetMode="External"/><Relationship Id="rId1720" Type="http://schemas.openxmlformats.org/officeDocument/2006/relationships/hyperlink" Target="https://drive.google.com/open?id=1OSox4rWIn-gqL2_WEji2vr7o5h3Uonxv" TargetMode="External"/><Relationship Id="rId1958" Type="http://schemas.openxmlformats.org/officeDocument/2006/relationships/hyperlink" Target="https://drive.google.com/open?id=1GA5Wa-Z9eQED0aSKCnvl_eDAiG5kML7f" TargetMode="External"/><Relationship Id="rId12" Type="http://schemas.openxmlformats.org/officeDocument/2006/relationships/hyperlink" Target="https://drive.google.com/open?id=1QdrKJw-h65-yN69h3UQnnt2bAJoQFcgu" TargetMode="External"/><Relationship Id="rId1818" Type="http://schemas.openxmlformats.org/officeDocument/2006/relationships/hyperlink" Target="https://drive.google.com/open?id=1sONMeJuY69XLE7F42-01JuEh705rB51F" TargetMode="External"/><Relationship Id="rId161" Type="http://schemas.openxmlformats.org/officeDocument/2006/relationships/hyperlink" Target="https://drive.google.com/open?id=1CBGzv3vcYzf5bZflVr_1MDETfwNuEQ5S" TargetMode="External"/><Relationship Id="rId399" Type="http://schemas.openxmlformats.org/officeDocument/2006/relationships/hyperlink" Target="https://drive.google.com/open?id=1ucJ4Jk2MW1mJrGd-ae0DBXZt7gzYP4eo" TargetMode="External"/><Relationship Id="rId259" Type="http://schemas.openxmlformats.org/officeDocument/2006/relationships/hyperlink" Target="https://drive.google.com/open?id=1AGq_Mn-4nKrKnsZ-bNIEI9s80ApGhzqy" TargetMode="External"/><Relationship Id="rId466" Type="http://schemas.openxmlformats.org/officeDocument/2006/relationships/hyperlink" Target="https://drive.google.com/open?id=1sd2uxKuvD0RN46U2AWtEXGPqG24NSUSt" TargetMode="External"/><Relationship Id="rId673" Type="http://schemas.openxmlformats.org/officeDocument/2006/relationships/hyperlink" Target="https://drive.google.com/open?id=16-CtVa9VpkHY8JM8FReF0wfRlgXGSeKT" TargetMode="External"/><Relationship Id="rId880" Type="http://schemas.openxmlformats.org/officeDocument/2006/relationships/hyperlink" Target="https://drive.google.com/open?id=118jfDE_blZ_5WLkZYI4GVQ4fkOXIBq0j" TargetMode="External"/><Relationship Id="rId1096" Type="http://schemas.openxmlformats.org/officeDocument/2006/relationships/hyperlink" Target="https://drive.google.com/open?id=10a-4gofi2_ceUoHfW1_n8ZX2lB4fT-FN" TargetMode="External"/><Relationship Id="rId119" Type="http://schemas.openxmlformats.org/officeDocument/2006/relationships/hyperlink" Target="https://drive.google.com/open?id=17iT2UyE3fvd_C3Af9gwhjtKQOoQaMeSa" TargetMode="External"/><Relationship Id="rId326" Type="http://schemas.openxmlformats.org/officeDocument/2006/relationships/hyperlink" Target="https://drive.google.com/open?id=1tNYF0fV7bOr6uGozOV0zc2cE27KU4xOV" TargetMode="External"/><Relationship Id="rId533" Type="http://schemas.openxmlformats.org/officeDocument/2006/relationships/hyperlink" Target="https://drive.google.com/open?id=12RcMxRsWB2IeFlNJ0AgPFJMfpnkAPGWt" TargetMode="External"/><Relationship Id="rId978" Type="http://schemas.openxmlformats.org/officeDocument/2006/relationships/hyperlink" Target="https://drive.google.com/open?id=1oruU03Pqt6LvkrsF-kNM-BAg0UaqHXiv" TargetMode="External"/><Relationship Id="rId1163" Type="http://schemas.openxmlformats.org/officeDocument/2006/relationships/hyperlink" Target="https://drive.google.com/open?id=1Gv4reEq9X1_oQ9cI0qhWl9Mz7G0XHxzE" TargetMode="External"/><Relationship Id="rId1370" Type="http://schemas.openxmlformats.org/officeDocument/2006/relationships/hyperlink" Target="https://drive.google.com/open?id=1cQYrCdbWlMuO6L-x7ippCuiyeFcdc_dG" TargetMode="External"/><Relationship Id="rId2007" Type="http://schemas.openxmlformats.org/officeDocument/2006/relationships/hyperlink" Target="https://drive.google.com/open?id=1LczyntVKKXGuOCu8H0XZKT3IfDrTjXhH" TargetMode="External"/><Relationship Id="rId740" Type="http://schemas.openxmlformats.org/officeDocument/2006/relationships/hyperlink" Target="https://drive.google.com/open?id=1Si2U18g6fjMm1cK0CflZxCYGWRWQ-Qlj" TargetMode="External"/><Relationship Id="rId838" Type="http://schemas.openxmlformats.org/officeDocument/2006/relationships/hyperlink" Target="https://drive.google.com/open?id=1wg7sDpGn71OvXXBitdjHSHvTtzdR4WbX" TargetMode="External"/><Relationship Id="rId1023" Type="http://schemas.openxmlformats.org/officeDocument/2006/relationships/hyperlink" Target="https://drive.google.com/open?id=1mjaM3rJrQSOpUc7nasdxi-opEvdbTLv-" TargetMode="External"/><Relationship Id="rId1468" Type="http://schemas.openxmlformats.org/officeDocument/2006/relationships/hyperlink" Target="https://drive.google.com/open?id=14zFIZmxdhDCGJwwUWgGQyDFYM0j1Qha7" TargetMode="External"/><Relationship Id="rId1675" Type="http://schemas.openxmlformats.org/officeDocument/2006/relationships/hyperlink" Target="https://drive.google.com/open?id=1NX3Y2hCPHNvVEEnlWUrv4EXnZ-HSzWRi" TargetMode="External"/><Relationship Id="rId1882" Type="http://schemas.openxmlformats.org/officeDocument/2006/relationships/hyperlink" Target="https://drive.google.com/open?id=1bROEyTnI2gG4Xii045dWrKxnq5q3XIPk" TargetMode="External"/><Relationship Id="rId600" Type="http://schemas.openxmlformats.org/officeDocument/2006/relationships/hyperlink" Target="https://drive.google.com/open?id=18xb6RgaWFmk9gYxq5wWrB6uFz2mtKyPx" TargetMode="External"/><Relationship Id="rId1230" Type="http://schemas.openxmlformats.org/officeDocument/2006/relationships/hyperlink" Target="https://drive.google.com/open?id=1Gp179YVUwLTEbtRSxzTiRp5BSt-r1Jlr" TargetMode="External"/><Relationship Id="rId1328" Type="http://schemas.openxmlformats.org/officeDocument/2006/relationships/hyperlink" Target="https://drive.google.com/open?id=16ktE0YFwGR7tQo3Q4PvAuBXhFwkGCUEW" TargetMode="External"/><Relationship Id="rId1535" Type="http://schemas.openxmlformats.org/officeDocument/2006/relationships/hyperlink" Target="https://drive.google.com/open?id=1SYt7UjJSiFNfu9HcQG9XVCQ1cCs7HLhQ" TargetMode="External"/><Relationship Id="rId905" Type="http://schemas.openxmlformats.org/officeDocument/2006/relationships/hyperlink" Target="https://drive.google.com/open?id=13-9nv09Kvf0jQ1TN-cKtI5ET-MeuOtfu" TargetMode="External"/><Relationship Id="rId1742" Type="http://schemas.openxmlformats.org/officeDocument/2006/relationships/hyperlink" Target="https://drive.google.com/open?id=14xv-A-hJrfzOLdGNSG7AQ2LhbWjQGOR6" TargetMode="External"/><Relationship Id="rId34" Type="http://schemas.openxmlformats.org/officeDocument/2006/relationships/hyperlink" Target="https://drive.google.com/open?id=1EMyghZ62IwP-FzdvxX3JVqBFKjDU06A2" TargetMode="External"/><Relationship Id="rId1602" Type="http://schemas.openxmlformats.org/officeDocument/2006/relationships/hyperlink" Target="https://drive.google.com/open?id=1RMWUy-169RQh0cbjbsuWC4Keo5B22-7o" TargetMode="External"/><Relationship Id="rId183" Type="http://schemas.openxmlformats.org/officeDocument/2006/relationships/hyperlink" Target="https://drive.google.com/open?id=1o6axWRF5Gq4EHsPZEzq7Ju4HfugmZvhH" TargetMode="External"/><Relationship Id="rId390" Type="http://schemas.openxmlformats.org/officeDocument/2006/relationships/hyperlink" Target="https://drive.google.com/open?id=1TdpXkzVBHGb7fOM633IBbsvooSbVLhzd" TargetMode="External"/><Relationship Id="rId1907" Type="http://schemas.openxmlformats.org/officeDocument/2006/relationships/hyperlink" Target="https://drive.google.com/open?id=1EaBzCSvfIHmqby9oafc4--MmGBq-xCvw" TargetMode="External"/><Relationship Id="rId250" Type="http://schemas.openxmlformats.org/officeDocument/2006/relationships/hyperlink" Target="https://drive.google.com/open?id=1lMkTFNlXg1wU7VJt_c7Ye1Sc2HnPdCO2" TargetMode="External"/><Relationship Id="rId488" Type="http://schemas.openxmlformats.org/officeDocument/2006/relationships/hyperlink" Target="https://drive.google.com/open?id=1KzrVRztl0ERVYUUJv1isgqzEkVlowp1j" TargetMode="External"/><Relationship Id="rId695" Type="http://schemas.openxmlformats.org/officeDocument/2006/relationships/hyperlink" Target="https://drive.google.com/open?id=1pHypTBjRP6ZNtPY1iXtMQKgV61wFpYlj" TargetMode="External"/><Relationship Id="rId110" Type="http://schemas.openxmlformats.org/officeDocument/2006/relationships/hyperlink" Target="https://drive.google.com/open?id=1Hag9kP68-1ulagUjuSM5TeMCpsl0oXZ-" TargetMode="External"/><Relationship Id="rId348" Type="http://schemas.openxmlformats.org/officeDocument/2006/relationships/hyperlink" Target="https://drive.google.com/open?id=1SHFYeObvi3KGRJq8Wvxb6LMtpGgvca8w" TargetMode="External"/><Relationship Id="rId555" Type="http://schemas.openxmlformats.org/officeDocument/2006/relationships/hyperlink" Target="https://drive.google.com/open?id=1Gwi-ZKFaTry1pow91zkhIqsubj4PvBBe" TargetMode="External"/><Relationship Id="rId762" Type="http://schemas.openxmlformats.org/officeDocument/2006/relationships/hyperlink" Target="https://drive.google.com/open?id=1bwm0qt5f0Guh2m8gHtJ_hebTlFHxTo7z" TargetMode="External"/><Relationship Id="rId1185" Type="http://schemas.openxmlformats.org/officeDocument/2006/relationships/hyperlink" Target="https://drive.google.com/open?id=1OygOiUBB39Hypt3qddSTa5F9foG_ESIf" TargetMode="External"/><Relationship Id="rId1392" Type="http://schemas.openxmlformats.org/officeDocument/2006/relationships/hyperlink" Target="https://drive.google.com/open?id=168rOZJ7XzE0fgzJvd4AA7dySGVy7_p86" TargetMode="External"/><Relationship Id="rId2029" Type="http://schemas.openxmlformats.org/officeDocument/2006/relationships/hyperlink" Target="https://drive.google.com/open?id=1fOaXQ_LdkPD7sTw36ZxqolTkqUHkfN94" TargetMode="External"/><Relationship Id="rId208" Type="http://schemas.openxmlformats.org/officeDocument/2006/relationships/hyperlink" Target="https://drive.google.com/open?id=1Jf1MhfgYcghjUuHy7lWfSJQwhH1_dqsw" TargetMode="External"/><Relationship Id="rId415" Type="http://schemas.openxmlformats.org/officeDocument/2006/relationships/hyperlink" Target="https://drive.google.com/open?id=1StbgP7pcSFtCvZX2EWBs7VuwV93V14eo" TargetMode="External"/><Relationship Id="rId622" Type="http://schemas.openxmlformats.org/officeDocument/2006/relationships/hyperlink" Target="https://drive.google.com/open?id=18GOTb5Aw1Si0L_6gWMtr2_3fXFd5K-9e" TargetMode="External"/><Relationship Id="rId1045" Type="http://schemas.openxmlformats.org/officeDocument/2006/relationships/hyperlink" Target="https://drive.google.com/open?id=1TqgR_BXdoFhckbgV_UfSZHaLh9zVFjWk" TargetMode="External"/><Relationship Id="rId1252" Type="http://schemas.openxmlformats.org/officeDocument/2006/relationships/hyperlink" Target="https://drive.google.com/open?id=1AQLLupAF5t-2IQq-358DvrU8X0DT6HQy" TargetMode="External"/><Relationship Id="rId1697" Type="http://schemas.openxmlformats.org/officeDocument/2006/relationships/hyperlink" Target="https://drive.google.com/open?id=1t6EuHI1iV-SIy7PUrTHctL_1RSnMNiJD" TargetMode="External"/><Relationship Id="rId927" Type="http://schemas.openxmlformats.org/officeDocument/2006/relationships/hyperlink" Target="https://drive.google.com/open?id=1BOBkis9CjZmBJyDNOZetWhEisk1YBkKd" TargetMode="External"/><Relationship Id="rId1112" Type="http://schemas.openxmlformats.org/officeDocument/2006/relationships/hyperlink" Target="https://drive.google.com/open?id=1BgrwK0VgEQBpI2gRoznhjXR1J5sqfA81" TargetMode="External"/><Relationship Id="rId1557" Type="http://schemas.openxmlformats.org/officeDocument/2006/relationships/hyperlink" Target="https://drive.google.com/open?id=1Xq6dRhgEJDsWbgiI1ISXtUQ4tuekgBr8" TargetMode="External"/><Relationship Id="rId1764" Type="http://schemas.openxmlformats.org/officeDocument/2006/relationships/hyperlink" Target="https://drive.google.com/open?id=1pOIBPSdajQ7byqLY_CjaHgTSVr-kK85b" TargetMode="External"/><Relationship Id="rId1971" Type="http://schemas.openxmlformats.org/officeDocument/2006/relationships/hyperlink" Target="https://drive.google.com/open?id=195n2R53qCbwTqR2v86sl57EbCQXGfiDt" TargetMode="External"/><Relationship Id="rId56" Type="http://schemas.openxmlformats.org/officeDocument/2006/relationships/hyperlink" Target="https://drive.google.com/open?id=1lTgn6pbdOSCZrLE_qJL2BfFAv866hj-o" TargetMode="External"/><Relationship Id="rId1417" Type="http://schemas.openxmlformats.org/officeDocument/2006/relationships/hyperlink" Target="https://drive.google.com/open?id=1S_eZiTjwdJdK5p1PzICB40SSS_RaN8WG" TargetMode="External"/><Relationship Id="rId1624" Type="http://schemas.openxmlformats.org/officeDocument/2006/relationships/hyperlink" Target="https://drive.google.com/open?id=1QduSBXULINLJEDXJZfFSM96pjxopR-WT" TargetMode="External"/><Relationship Id="rId1831" Type="http://schemas.openxmlformats.org/officeDocument/2006/relationships/hyperlink" Target="https://drive.google.com/open?id=1i9J6gZUf0JbzpvRJ4cu4T2_SoX-V1s2r" TargetMode="External"/><Relationship Id="rId1929" Type="http://schemas.openxmlformats.org/officeDocument/2006/relationships/hyperlink" Target="https://drive.google.com/open?id=1jOvCky-BVgCCwetdI_xbczBCnspitmdN" TargetMode="External"/><Relationship Id="rId272" Type="http://schemas.openxmlformats.org/officeDocument/2006/relationships/hyperlink" Target="https://drive.google.com/open?id=1x9fPSAT_fEBxIOOlGP-Zfpmwi1zcvkKr" TargetMode="External"/><Relationship Id="rId577" Type="http://schemas.openxmlformats.org/officeDocument/2006/relationships/hyperlink" Target="https://drive.google.com/open?id=1C3wkU1jNR45T-JKmhQxGAkt2YslMftGB" TargetMode="External"/><Relationship Id="rId132" Type="http://schemas.openxmlformats.org/officeDocument/2006/relationships/hyperlink" Target="https://drive.google.com/open?id=1cw-JKjuiQ2kxr7lhlLclBkvENkXKIAhs" TargetMode="External"/><Relationship Id="rId784" Type="http://schemas.openxmlformats.org/officeDocument/2006/relationships/hyperlink" Target="https://drive.google.com/open?id=1vhLnzmwHQ59CDBuWrtJvfaJDs-jJHJCC" TargetMode="External"/><Relationship Id="rId991" Type="http://schemas.openxmlformats.org/officeDocument/2006/relationships/hyperlink" Target="https://drive.google.com/open?id=1HUQKR824hGiYRgs0YSBV6XGjk2o8jsxJ" TargetMode="External"/><Relationship Id="rId1067" Type="http://schemas.openxmlformats.org/officeDocument/2006/relationships/hyperlink" Target="https://drive.google.com/open?id=1GBN2-YphFQO_Q2BIJ1oFahL3O0Iz1c63" TargetMode="External"/><Relationship Id="rId2020" Type="http://schemas.openxmlformats.org/officeDocument/2006/relationships/hyperlink" Target="https://drive.google.com/open?id=1nwUtvJLULjoAQHO5dC94RN0gZJXyKBav" TargetMode="External"/><Relationship Id="rId437" Type="http://schemas.openxmlformats.org/officeDocument/2006/relationships/hyperlink" Target="https://drive.google.com/open?id=1AD7GkP7-mZHOqdyuHgJq3h0XP-WTH3XU" TargetMode="External"/><Relationship Id="rId644" Type="http://schemas.openxmlformats.org/officeDocument/2006/relationships/hyperlink" Target="https://drive.google.com/open?id=1NkCGCWJTEx8FycYLtV7j_tYgceZBwg_Q" TargetMode="External"/><Relationship Id="rId851" Type="http://schemas.openxmlformats.org/officeDocument/2006/relationships/hyperlink" Target="https://drive.google.com/open?id=1GpC95UMa4oe7EA41YBcMO9TxQUOH1dFb" TargetMode="External"/><Relationship Id="rId1274" Type="http://schemas.openxmlformats.org/officeDocument/2006/relationships/hyperlink" Target="https://drive.google.com/open?id=1VwzdR1M3RPDb3e_VTrhH3W0JdE3UB9Ti" TargetMode="External"/><Relationship Id="rId1481" Type="http://schemas.openxmlformats.org/officeDocument/2006/relationships/hyperlink" Target="https://drive.google.com/open?id=1yWz933yiiGVILxuD9uyoMksrAvpdkABQ" TargetMode="External"/><Relationship Id="rId1579" Type="http://schemas.openxmlformats.org/officeDocument/2006/relationships/hyperlink" Target="https://drive.google.com/open?id=1ejIPVlkVfOOyWIaZUfluFtPqNRXCE6_v" TargetMode="External"/><Relationship Id="rId504" Type="http://schemas.openxmlformats.org/officeDocument/2006/relationships/hyperlink" Target="https://drive.google.com/open?id=1W9ChYC8Ozd5PPIF3Od2MfnH4_lqoZvHf" TargetMode="External"/><Relationship Id="rId711" Type="http://schemas.openxmlformats.org/officeDocument/2006/relationships/hyperlink" Target="https://drive.google.com/open?id=1mCpGFeZUN_EIHeW7ph0q3IdbK8Y0EU4Z" TargetMode="External"/><Relationship Id="rId949" Type="http://schemas.openxmlformats.org/officeDocument/2006/relationships/hyperlink" Target="https://drive.google.com/open?id=1SSFEh9UZ_vh6gdsinT-pR_Kjyls5T58f" TargetMode="External"/><Relationship Id="rId1134" Type="http://schemas.openxmlformats.org/officeDocument/2006/relationships/hyperlink" Target="https://drive.google.com/open?id=1K3yVrVlLMuoJTO8K6o9wr2nWkc3yqU3x" TargetMode="External"/><Relationship Id="rId1341" Type="http://schemas.openxmlformats.org/officeDocument/2006/relationships/hyperlink" Target="https://drive.google.com/open?id=1mI3FwjSRHWoceYLgxuqEsyaB0e4u5TqP" TargetMode="External"/><Relationship Id="rId1786" Type="http://schemas.openxmlformats.org/officeDocument/2006/relationships/hyperlink" Target="https://drive.google.com/open?id=1XMkB0ejwtaQ_XXS6JIik5YqKvNs4mDWT" TargetMode="External"/><Relationship Id="rId1993" Type="http://schemas.openxmlformats.org/officeDocument/2006/relationships/hyperlink" Target="https://drive.google.com/open?id=1g-6OFdN36AVN2bToeq0Ukov3-sSNmg2W" TargetMode="External"/><Relationship Id="rId78" Type="http://schemas.openxmlformats.org/officeDocument/2006/relationships/hyperlink" Target="https://drive.google.com/open?id=10Ct6FAZPFK76Ce9gGAzxW9b8ybmLVBqR" TargetMode="External"/><Relationship Id="rId809" Type="http://schemas.openxmlformats.org/officeDocument/2006/relationships/hyperlink" Target="https://drive.google.com/open?id=1gEKMyUjJVSUHlwihFqeg0Q1N76BzcsUV" TargetMode="External"/><Relationship Id="rId1201" Type="http://schemas.openxmlformats.org/officeDocument/2006/relationships/hyperlink" Target="https://drive.google.com/open?id=1dKUGY_q0IevZWR34nvRVGSiWLiOh9GCL" TargetMode="External"/><Relationship Id="rId1439" Type="http://schemas.openxmlformats.org/officeDocument/2006/relationships/hyperlink" Target="https://drive.google.com/open?id=1r780Ho7ns4Xhw2B4CLffiyuVivqJTmys" TargetMode="External"/><Relationship Id="rId1646" Type="http://schemas.openxmlformats.org/officeDocument/2006/relationships/hyperlink" Target="https://drive.google.com/open?id=1E-viIgnYrhKJXsftuPX5_6IBWNAiuTUE" TargetMode="External"/><Relationship Id="rId1853" Type="http://schemas.openxmlformats.org/officeDocument/2006/relationships/hyperlink" Target="https://drive.google.com/open?id=1ttBNUsCUCMCYIyVC-pmwFTgg4r9ZT8fJ" TargetMode="External"/><Relationship Id="rId1506" Type="http://schemas.openxmlformats.org/officeDocument/2006/relationships/hyperlink" Target="https://drive.google.com/open?id=1wxq6OdFugpEsmu8wz2MjvuTzK_bgtL-o" TargetMode="External"/><Relationship Id="rId1713" Type="http://schemas.openxmlformats.org/officeDocument/2006/relationships/hyperlink" Target="https://drive.google.com/open?id=1MbqVbM6AQE50ZDiaiMtIbokzQySwuKlB" TargetMode="External"/><Relationship Id="rId1920" Type="http://schemas.openxmlformats.org/officeDocument/2006/relationships/hyperlink" Target="https://drive.google.com/open?id=1vHvzRfT-ahafyDrlcLoej_wr141R6Sw1" TargetMode="External"/><Relationship Id="rId294" Type="http://schemas.openxmlformats.org/officeDocument/2006/relationships/hyperlink" Target="https://drive.google.com/open?id=1sGv0duivgqsRgcqZWHrbyfB9BUWx715_" TargetMode="External"/><Relationship Id="rId154" Type="http://schemas.openxmlformats.org/officeDocument/2006/relationships/hyperlink" Target="https://drive.google.com/open?id=1nqqGIlYUH09LlI1MSDpNNDT1gMMXlT05" TargetMode="External"/><Relationship Id="rId361" Type="http://schemas.openxmlformats.org/officeDocument/2006/relationships/hyperlink" Target="https://drive.google.com/open?id=1aol5nLb6byMY_kzNCUOoFgEdkyPMhYI5" TargetMode="External"/><Relationship Id="rId599" Type="http://schemas.openxmlformats.org/officeDocument/2006/relationships/hyperlink" Target="https://drive.google.com/open?id=1pgjbBo_Pk-ULcQgPAnjBgyIJjwLSg4f6" TargetMode="External"/><Relationship Id="rId459" Type="http://schemas.openxmlformats.org/officeDocument/2006/relationships/hyperlink" Target="https://drive.google.com/open?id=1dKl_WTzNl6wTQ1904J4Vn-AGP7FoWk6_" TargetMode="External"/><Relationship Id="rId666" Type="http://schemas.openxmlformats.org/officeDocument/2006/relationships/hyperlink" Target="https://drive.google.com/open?id=1G7Ew5ahebi6PUyBHH4QHMzCMmQsxf3uK" TargetMode="External"/><Relationship Id="rId873" Type="http://schemas.openxmlformats.org/officeDocument/2006/relationships/hyperlink" Target="https://drive.google.com/open?id=1vehKWeHo55XaRMX0DDWptS2qaF0z6Q7h" TargetMode="External"/><Relationship Id="rId1089" Type="http://schemas.openxmlformats.org/officeDocument/2006/relationships/hyperlink" Target="https://drive.google.com/open?id=1ZYz2UbOWu_akigJM0pPDvzZGDuoKHZbY" TargetMode="External"/><Relationship Id="rId1296" Type="http://schemas.openxmlformats.org/officeDocument/2006/relationships/hyperlink" Target="https://drive.google.com/open?id=1nEBlViPM5Ddgn6VqndvR9og9DgbPUE1m" TargetMode="External"/><Relationship Id="rId221" Type="http://schemas.openxmlformats.org/officeDocument/2006/relationships/hyperlink" Target="https://drive.google.com/open?id=1YiGAJU-rnWoENz29-Z081VXmcAErgOKK" TargetMode="External"/><Relationship Id="rId319" Type="http://schemas.openxmlformats.org/officeDocument/2006/relationships/hyperlink" Target="https://drive.google.com/open?id=1yVgVvUhEMP7S3lpbRmAuuhRJMr-skrX7" TargetMode="External"/><Relationship Id="rId526" Type="http://schemas.openxmlformats.org/officeDocument/2006/relationships/hyperlink" Target="https://drive.google.com/open?id=12HamEjh3QiHlW-bM-O2pCrLGJlXZtWW4" TargetMode="External"/><Relationship Id="rId1156" Type="http://schemas.openxmlformats.org/officeDocument/2006/relationships/hyperlink" Target="https://drive.google.com/open?id=1_menBsJeenkr44wfwbMMTBAXh6dE8-bH" TargetMode="External"/><Relationship Id="rId1363" Type="http://schemas.openxmlformats.org/officeDocument/2006/relationships/hyperlink" Target="https://drive.google.com/open?id=1k1B7stH4niYl9vReFq7QvZioHsWBnKCW" TargetMode="External"/><Relationship Id="rId733" Type="http://schemas.openxmlformats.org/officeDocument/2006/relationships/hyperlink" Target="https://drive.google.com/open?id=1RRzDktHj1_IiGW5ZCfu1gBZEA9fcBE86" TargetMode="External"/><Relationship Id="rId940" Type="http://schemas.openxmlformats.org/officeDocument/2006/relationships/hyperlink" Target="https://drive.google.com/open?id=1oXULTC5hlMFXyS3_mjKv10tS4_JSDxgq" TargetMode="External"/><Relationship Id="rId1016" Type="http://schemas.openxmlformats.org/officeDocument/2006/relationships/hyperlink" Target="https://drive.google.com/open?id=1DbGnY6vjgYvTRZniiS6nBtzn7bfYzLjk" TargetMode="External"/><Relationship Id="rId1570" Type="http://schemas.openxmlformats.org/officeDocument/2006/relationships/hyperlink" Target="https://drive.google.com/open?id=1WCuQwUAWI7kCadEHvf22L3pEMZToHIzi" TargetMode="External"/><Relationship Id="rId1668" Type="http://schemas.openxmlformats.org/officeDocument/2006/relationships/hyperlink" Target="https://drive.google.com/open?id=1CuuR0iGlp-yK6E1q8q97MF3qF7P_fPA8" TargetMode="External"/><Relationship Id="rId1875" Type="http://schemas.openxmlformats.org/officeDocument/2006/relationships/hyperlink" Target="https://drive.google.com/open?id=1tfl1FFhzw_ztvaVOGxeEPWlF3n5YRLgU" TargetMode="External"/><Relationship Id="rId800" Type="http://schemas.openxmlformats.org/officeDocument/2006/relationships/hyperlink" Target="https://drive.google.com/open?id=1sA2DnBmbfhuvoGQHKPCqNQmZZqGKcG1U" TargetMode="External"/><Relationship Id="rId1223" Type="http://schemas.openxmlformats.org/officeDocument/2006/relationships/hyperlink" Target="https://drive.google.com/open?id=1d5KpJ2In3i-vBpEKngFTSlWQ-VLaTv6e" TargetMode="External"/><Relationship Id="rId1430" Type="http://schemas.openxmlformats.org/officeDocument/2006/relationships/hyperlink" Target="https://drive.google.com/open?id=1DH7spST0_X7nDVqwor0xeFjSonjQixX4" TargetMode="External"/><Relationship Id="rId1528" Type="http://schemas.openxmlformats.org/officeDocument/2006/relationships/hyperlink" Target="https://drive.google.com/open?id=1kogg7jMG5rMwgmLT4N1mLIooVy6UT1Jy" TargetMode="External"/><Relationship Id="rId1735" Type="http://schemas.openxmlformats.org/officeDocument/2006/relationships/hyperlink" Target="https://drive.google.com/open?id=13fsbVBiB8tvcZiITZN_3XX2WTX8HNNg8" TargetMode="External"/><Relationship Id="rId1942" Type="http://schemas.openxmlformats.org/officeDocument/2006/relationships/hyperlink" Target="https://drive.google.com/open?id=1chXruJkJPZUmJyW6cvCZ6KMtrAGBpA5Z" TargetMode="External"/><Relationship Id="rId27" Type="http://schemas.openxmlformats.org/officeDocument/2006/relationships/hyperlink" Target="https://drive.google.com/open?id=1sQ52LANgXiZVg-9ua-BlUcgVx5WxyA2t" TargetMode="External"/><Relationship Id="rId1802" Type="http://schemas.openxmlformats.org/officeDocument/2006/relationships/hyperlink" Target="https://drive.google.com/open?id=1t234nygSaNuYr2jxTGkU72bxuMcBZVw5" TargetMode="External"/><Relationship Id="rId176" Type="http://schemas.openxmlformats.org/officeDocument/2006/relationships/hyperlink" Target="https://drive.google.com/open?id=1icm5K1nnkGMpU5k_eH9WKoJJ4CMC5arY" TargetMode="External"/><Relationship Id="rId383" Type="http://schemas.openxmlformats.org/officeDocument/2006/relationships/hyperlink" Target="https://drive.google.com/open?id=1ia63Yt4JTUSLo-MwRXaieOxGB84n1oBp" TargetMode="External"/><Relationship Id="rId590" Type="http://schemas.openxmlformats.org/officeDocument/2006/relationships/hyperlink" Target="https://drive.google.com/open?id=1yS1MJyElpCFXyMftAojbvqx7AN4kVBxr" TargetMode="External"/><Relationship Id="rId243" Type="http://schemas.openxmlformats.org/officeDocument/2006/relationships/hyperlink" Target="https://drive.google.com/open?id=1t6Yo_DTcgkCbq5MPFm9xTiVMOj1Cbjku" TargetMode="External"/><Relationship Id="rId450" Type="http://schemas.openxmlformats.org/officeDocument/2006/relationships/hyperlink" Target="https://drive.google.com/open?id=1QwjH84Dr94ksFmYIhs59OyP3PIB1kr9K" TargetMode="External"/><Relationship Id="rId688" Type="http://schemas.openxmlformats.org/officeDocument/2006/relationships/hyperlink" Target="https://drive.google.com/open?id=1pxJN8ktWNH1JXGheTpoWShgTiT92Tduj" TargetMode="External"/><Relationship Id="rId895" Type="http://schemas.openxmlformats.org/officeDocument/2006/relationships/hyperlink" Target="https://drive.google.com/open?id=1eKI7Xh2ACuDH7PdjFzO6HHSWMKi4DBD-" TargetMode="External"/><Relationship Id="rId1080" Type="http://schemas.openxmlformats.org/officeDocument/2006/relationships/hyperlink" Target="https://drive.google.com/open?id=1rwrFbQvai-fm-tiUaCsuTY5cxYmh56Hp" TargetMode="External"/><Relationship Id="rId103" Type="http://schemas.openxmlformats.org/officeDocument/2006/relationships/hyperlink" Target="https://drive.google.com/open?id=1xhUUhy4YmqrOxAQ1xpVpIoNZfhu9Wtu-" TargetMode="External"/><Relationship Id="rId310" Type="http://schemas.openxmlformats.org/officeDocument/2006/relationships/hyperlink" Target="https://drive.google.com/open?id=1v5R89Wsj8241scZ5c4AU6cWdLZKmI5Tb" TargetMode="External"/><Relationship Id="rId548" Type="http://schemas.openxmlformats.org/officeDocument/2006/relationships/hyperlink" Target="https://drive.google.com/open?id=1IIGzlHE_x-1pX9ZA6WVvTXwWzsPAHXl8" TargetMode="External"/><Relationship Id="rId755" Type="http://schemas.openxmlformats.org/officeDocument/2006/relationships/hyperlink" Target="https://drive.google.com/open?id=16WPTUaQPtpyHhJXlW_VTbcuBrTABA76C" TargetMode="External"/><Relationship Id="rId962" Type="http://schemas.openxmlformats.org/officeDocument/2006/relationships/hyperlink" Target="https://drive.google.com/open?id=1_MDv97_4hQkAXqmmhaP6FAjr7q6xhNGK" TargetMode="External"/><Relationship Id="rId1178" Type="http://schemas.openxmlformats.org/officeDocument/2006/relationships/hyperlink" Target="https://drive.google.com/open?id=14L8K2mEj_hIPiR7rKwWiqgwiRcdPzwXd" TargetMode="External"/><Relationship Id="rId1385" Type="http://schemas.openxmlformats.org/officeDocument/2006/relationships/hyperlink" Target="https://drive.google.com/open?id=14s5mSRIbGVv-qFnJ2kfe-3IWLg8QVefn" TargetMode="External"/><Relationship Id="rId1592" Type="http://schemas.openxmlformats.org/officeDocument/2006/relationships/hyperlink" Target="https://drive.google.com/open?id=19ApQslNdi05Rq50KamCpWx7b7LSpubV5" TargetMode="External"/><Relationship Id="rId91" Type="http://schemas.openxmlformats.org/officeDocument/2006/relationships/hyperlink" Target="https://drive.google.com/open?id=1AxuKLaI6Vrq5eDz8a-khKlufkKRinYL9" TargetMode="External"/><Relationship Id="rId408" Type="http://schemas.openxmlformats.org/officeDocument/2006/relationships/hyperlink" Target="https://drive.google.com/open?id=145U4BSEcB-BOvl-0D9t-iEompgoh8Dw1" TargetMode="External"/><Relationship Id="rId615" Type="http://schemas.openxmlformats.org/officeDocument/2006/relationships/hyperlink" Target="https://drive.google.com/open?id=1yZSaN8XRkTA6YZGxq56egO_MFiVcE99B" TargetMode="External"/><Relationship Id="rId822" Type="http://schemas.openxmlformats.org/officeDocument/2006/relationships/hyperlink" Target="https://drive.google.com/open?id=13NWvJiVcnto2L9Y4cbiYgoi_TOJ8hFSu" TargetMode="External"/><Relationship Id="rId1038" Type="http://schemas.openxmlformats.org/officeDocument/2006/relationships/hyperlink" Target="https://drive.google.com/open?id=1ANIqKqJdVx_EMFvri6s9TyVRE1N5UMfd" TargetMode="External"/><Relationship Id="rId1245" Type="http://schemas.openxmlformats.org/officeDocument/2006/relationships/hyperlink" Target="https://drive.google.com/open?id=1l9v5aZFYe1z8XnFzwxnfmTo3qTGmI-_h" TargetMode="External"/><Relationship Id="rId1452" Type="http://schemas.openxmlformats.org/officeDocument/2006/relationships/hyperlink" Target="https://drive.google.com/open?id=1WFwoEwStKRSpQrfwmR13IH-jspu6sqQu" TargetMode="External"/><Relationship Id="rId1897" Type="http://schemas.openxmlformats.org/officeDocument/2006/relationships/hyperlink" Target="https://drive.google.com/open?id=1GN2l5LkMNTrI6IGcEqZ8vDOSf-J-vqsf" TargetMode="External"/><Relationship Id="rId1105" Type="http://schemas.openxmlformats.org/officeDocument/2006/relationships/hyperlink" Target="https://drive.google.com/open?id=1CX65uz7g13PbL6MvuIn-et7hf4-iVfpb" TargetMode="External"/><Relationship Id="rId1312" Type="http://schemas.openxmlformats.org/officeDocument/2006/relationships/hyperlink" Target="https://drive.google.com/open?id=1bBBJwuNKD6mr-DqHCdhvPDwidZTP0itH" TargetMode="External"/><Relationship Id="rId1757" Type="http://schemas.openxmlformats.org/officeDocument/2006/relationships/hyperlink" Target="https://drive.google.com/open?id=1EF4kmxtrobVg6uMow8XnKX2T_rfd0HN4" TargetMode="External"/><Relationship Id="rId1964" Type="http://schemas.openxmlformats.org/officeDocument/2006/relationships/hyperlink" Target="https://drive.google.com/open?id=1j36U4cccI_0cIjjV1xcyqn-CnFEUdrLE" TargetMode="External"/><Relationship Id="rId49" Type="http://schemas.openxmlformats.org/officeDocument/2006/relationships/hyperlink" Target="https://drive.google.com/open?id=1_lKSIx0ygDrtOkvXU-saIf2wS15Rjuo-" TargetMode="External"/><Relationship Id="rId1617" Type="http://schemas.openxmlformats.org/officeDocument/2006/relationships/hyperlink" Target="https://drive.google.com/open?id=1bG8x6h5ezHwR74rMZJWkGr-FlAKRhjLc" TargetMode="External"/><Relationship Id="rId1824" Type="http://schemas.openxmlformats.org/officeDocument/2006/relationships/hyperlink" Target="https://drive.google.com/open?id=1uNNsyab2omjiPpfYE8dPPagIrh9c75rY" TargetMode="External"/><Relationship Id="rId198" Type="http://schemas.openxmlformats.org/officeDocument/2006/relationships/hyperlink" Target="https://drive.google.com/open?id=1Y4JLsCNaArgcChrihpsfj6hxOBxC44Yn" TargetMode="External"/><Relationship Id="rId265" Type="http://schemas.openxmlformats.org/officeDocument/2006/relationships/hyperlink" Target="https://drive.google.com/open?id=1KyEX6oPhKkCe_eKo4cm3IERcBRYaxx2U" TargetMode="External"/><Relationship Id="rId472" Type="http://schemas.openxmlformats.org/officeDocument/2006/relationships/hyperlink" Target="https://drive.google.com/open?id=19a9M4NYV4DfpzgqZSs_x-honzXQmfvSO" TargetMode="External"/><Relationship Id="rId125" Type="http://schemas.openxmlformats.org/officeDocument/2006/relationships/hyperlink" Target="https://drive.google.com/open?id=12T5zX68UzQRS8R2ZLhdMML19icwXoIo2" TargetMode="External"/><Relationship Id="rId332" Type="http://schemas.openxmlformats.org/officeDocument/2006/relationships/hyperlink" Target="https://drive.google.com/open?id=1wUkDyv8hNfVZ9NCvcKwqa_h60W_1aAcG" TargetMode="External"/><Relationship Id="rId777" Type="http://schemas.openxmlformats.org/officeDocument/2006/relationships/hyperlink" Target="https://drive.google.com/open?id=1b9Izc0jliTNOTAjG2D1XlPiW23AR_U6u" TargetMode="External"/><Relationship Id="rId984" Type="http://schemas.openxmlformats.org/officeDocument/2006/relationships/hyperlink" Target="https://drive.google.com/open?id=1sADZkJKXl8jTYOHgmOh8XwC89l4i7-Dd" TargetMode="External"/><Relationship Id="rId2013" Type="http://schemas.openxmlformats.org/officeDocument/2006/relationships/hyperlink" Target="https://drive.google.com/open?id=14LLcHi17cT1-UzW-reWpXrwqsAbANgkn" TargetMode="External"/><Relationship Id="rId637" Type="http://schemas.openxmlformats.org/officeDocument/2006/relationships/hyperlink" Target="https://drive.google.com/open?id=1Mg0l9VT7JV9gmg1cOa0mYmVPWu74YdgS" TargetMode="External"/><Relationship Id="rId844" Type="http://schemas.openxmlformats.org/officeDocument/2006/relationships/hyperlink" Target="https://drive.google.com/open?id=1ffTT_6vKbknp-2StdMxzlSHdraskUdDd" TargetMode="External"/><Relationship Id="rId1267" Type="http://schemas.openxmlformats.org/officeDocument/2006/relationships/hyperlink" Target="https://drive.google.com/open?id=14g6EQM1T6uA0KnweIT9ga3k5TBA4ddaR" TargetMode="External"/><Relationship Id="rId1474" Type="http://schemas.openxmlformats.org/officeDocument/2006/relationships/hyperlink" Target="https://drive.google.com/open?id=1k06E9KYtQgivsPsGYsNV4cTYfazR25bs" TargetMode="External"/><Relationship Id="rId1681" Type="http://schemas.openxmlformats.org/officeDocument/2006/relationships/hyperlink" Target="https://drive.google.com/open?id=197KqU4CLxOeyh5XjrvZOeeixC2LWnqQ_" TargetMode="External"/><Relationship Id="rId704" Type="http://schemas.openxmlformats.org/officeDocument/2006/relationships/hyperlink" Target="https://drive.google.com/open?id=1eydjaSfMkZuAdfkAJyjkelqvNfOD8e2A" TargetMode="External"/><Relationship Id="rId911" Type="http://schemas.openxmlformats.org/officeDocument/2006/relationships/hyperlink" Target="https://drive.google.com/open?id=1gNMMdokiJIEL-BIaOQpdolBBkTUoS4UW" TargetMode="External"/><Relationship Id="rId1127" Type="http://schemas.openxmlformats.org/officeDocument/2006/relationships/hyperlink" Target="https://drive.google.com/open?id=1pl8ymiRPYPnxV-mdM3t2wG-q_qg2t_cP" TargetMode="External"/><Relationship Id="rId1334" Type="http://schemas.openxmlformats.org/officeDocument/2006/relationships/hyperlink" Target="https://drive.google.com/open?id=1fUSRLeNw__wyWHrjz5jjkSy5tisnhXpt" TargetMode="External"/><Relationship Id="rId1541" Type="http://schemas.openxmlformats.org/officeDocument/2006/relationships/hyperlink" Target="https://drive.google.com/open?id=1Ltgi8jzrxh7b9VpuZJxKnnzRUaUnjnwx" TargetMode="External"/><Relationship Id="rId1779" Type="http://schemas.openxmlformats.org/officeDocument/2006/relationships/hyperlink" Target="https://drive.google.com/open?id=1RhRZAGiczJ860iRvREfH7otgQotEUhUj" TargetMode="External"/><Relationship Id="rId1986" Type="http://schemas.openxmlformats.org/officeDocument/2006/relationships/hyperlink" Target="https://drive.google.com/open?id=10m5NAhcTD44sQYlRjlfF-XVfaRDUo_hj" TargetMode="External"/><Relationship Id="rId40" Type="http://schemas.openxmlformats.org/officeDocument/2006/relationships/hyperlink" Target="https://drive.google.com/open?id=1_yBNu84rdo88lqXwNvKv95iZJnlhwGRC" TargetMode="External"/><Relationship Id="rId1401" Type="http://schemas.openxmlformats.org/officeDocument/2006/relationships/hyperlink" Target="https://drive.google.com/open?id=1oJuWGaQ5NGCh3mQc6NsRU-xcuIdkq1Be" TargetMode="External"/><Relationship Id="rId1639" Type="http://schemas.openxmlformats.org/officeDocument/2006/relationships/hyperlink" Target="https://drive.google.com/open?id=1a09FrHfV-yEJhXZQe2-Zw6XqznxvFb4y" TargetMode="External"/><Relationship Id="rId1846" Type="http://schemas.openxmlformats.org/officeDocument/2006/relationships/hyperlink" Target="https://drive.google.com/open?id=1Qp_BZgm9XubdfMaIFB7kOLiAZOdYI98m" TargetMode="External"/><Relationship Id="rId1706" Type="http://schemas.openxmlformats.org/officeDocument/2006/relationships/hyperlink" Target="https://drive.google.com/open?id=1AhUKZ4hF4Rs8Bt5m4XEHge0LmchdP2H_" TargetMode="External"/><Relationship Id="rId1913" Type="http://schemas.openxmlformats.org/officeDocument/2006/relationships/hyperlink" Target="https://drive.google.com/open?id=1I8IC2srPIdpdFyhZZ3bECnkwd_BKJb_6" TargetMode="External"/><Relationship Id="rId287" Type="http://schemas.openxmlformats.org/officeDocument/2006/relationships/hyperlink" Target="https://drive.google.com/open?id=16BHDIPXi0LGiPCJgiMYos9vd2ugjatJW" TargetMode="External"/><Relationship Id="rId494" Type="http://schemas.openxmlformats.org/officeDocument/2006/relationships/hyperlink" Target="https://drive.google.com/open?id=1-x9oDcbyx47uhyMmE-tXCmrvOxIGaBry" TargetMode="External"/><Relationship Id="rId147" Type="http://schemas.openxmlformats.org/officeDocument/2006/relationships/hyperlink" Target="https://drive.google.com/open?id=1JVzL36ptIN8ED-2sCXGSuZ6J2rywjet-" TargetMode="External"/><Relationship Id="rId354" Type="http://schemas.openxmlformats.org/officeDocument/2006/relationships/hyperlink" Target="https://drive.google.com/open?id=1v_YAe740MRY6IBKvu4d7o7ZZHCkErC5Y" TargetMode="External"/><Relationship Id="rId799" Type="http://schemas.openxmlformats.org/officeDocument/2006/relationships/hyperlink" Target="https://drive.google.com/open?id=1dHhx7muxmxYM6XwH_u5ppyBvYUbQ4Hui" TargetMode="External"/><Relationship Id="rId1191" Type="http://schemas.openxmlformats.org/officeDocument/2006/relationships/hyperlink" Target="https://drive.google.com/open?id=1oqbuEwy4Aw5Qor0UVhhvtXJtVkwiaydx" TargetMode="External"/><Relationship Id="rId2035" Type="http://schemas.openxmlformats.org/officeDocument/2006/relationships/hyperlink" Target="https://drive.google.com/open?id=1nswRgEky3DXrupo7rBz_YsoGZpHeuqSi" TargetMode="External"/><Relationship Id="rId561" Type="http://schemas.openxmlformats.org/officeDocument/2006/relationships/hyperlink" Target="https://drive.google.com/open?id=1dnxyxqkDpZTq9eJeF0UFkR4RpD7FpmWT" TargetMode="External"/><Relationship Id="rId659" Type="http://schemas.openxmlformats.org/officeDocument/2006/relationships/hyperlink" Target="https://drive.google.com/open?id=1HWsVCa9J4v2oX-pr2N6us5_HRE8XwJuu" TargetMode="External"/><Relationship Id="rId866" Type="http://schemas.openxmlformats.org/officeDocument/2006/relationships/hyperlink" Target="https://drive.google.com/open?id=1s9eruVASk-_ftlYI_dh9mgxmhM5pFKWa" TargetMode="External"/><Relationship Id="rId1289" Type="http://schemas.openxmlformats.org/officeDocument/2006/relationships/hyperlink" Target="https://drive.google.com/open?id=1dKzP5wl-ElRxfJm58e7ELDch0cNLRZX1" TargetMode="External"/><Relationship Id="rId1496" Type="http://schemas.openxmlformats.org/officeDocument/2006/relationships/hyperlink" Target="https://drive.google.com/open?id=1AcPWVz4zu1yblv7v4K0jvL78TGPBpBPA" TargetMode="External"/><Relationship Id="rId214" Type="http://schemas.openxmlformats.org/officeDocument/2006/relationships/hyperlink" Target="https://drive.google.com/open?id=1XK0ZfKOel1qegmcFX2qc_xd5tRHMGjVc" TargetMode="External"/><Relationship Id="rId421" Type="http://schemas.openxmlformats.org/officeDocument/2006/relationships/hyperlink" Target="https://drive.google.com/open?id=1XbT1KPu2Fb2SFneRCJ_6FIpcBWAi08p5" TargetMode="External"/><Relationship Id="rId519" Type="http://schemas.openxmlformats.org/officeDocument/2006/relationships/hyperlink" Target="https://drive.google.com/open?id=1iHKSCm2BoJFA6XbfNxBDksq1dRCXtX9y" TargetMode="External"/><Relationship Id="rId1051" Type="http://schemas.openxmlformats.org/officeDocument/2006/relationships/hyperlink" Target="https://drive.google.com/open?id=11p1tT9oxeotab7mfaczJJ-a9pOtWWbEL" TargetMode="External"/><Relationship Id="rId1149" Type="http://schemas.openxmlformats.org/officeDocument/2006/relationships/hyperlink" Target="https://drive.google.com/open?id=1t6T7Vn--9jiGwFRs0DsnqwLdI0gLShJS" TargetMode="External"/><Relationship Id="rId1356" Type="http://schemas.openxmlformats.org/officeDocument/2006/relationships/hyperlink" Target="https://drive.google.com/open?id=1oG2usbMY5B8F_KMru85h9twQDVpmScSY" TargetMode="External"/><Relationship Id="rId726" Type="http://schemas.openxmlformats.org/officeDocument/2006/relationships/hyperlink" Target="https://drive.google.com/open?id=14C5Z49oNAf5QV6CNhOBtnDLOjORJ9Jgl" TargetMode="External"/><Relationship Id="rId933" Type="http://schemas.openxmlformats.org/officeDocument/2006/relationships/hyperlink" Target="https://drive.google.com/open?id=1cJqk2KXD2okb4rvf0MUeDya7Q9zRDdJ8" TargetMode="External"/><Relationship Id="rId1009" Type="http://schemas.openxmlformats.org/officeDocument/2006/relationships/hyperlink" Target="https://drive.google.com/open?id=1YLifhmN2FftbSsJBfxN3AR2e5kB4PE9t" TargetMode="External"/><Relationship Id="rId1563" Type="http://schemas.openxmlformats.org/officeDocument/2006/relationships/hyperlink" Target="https://drive.google.com/open?id=1cFeG34-n9XBJhYbbEWgpE_ckDnXpJRN0" TargetMode="External"/><Relationship Id="rId1770" Type="http://schemas.openxmlformats.org/officeDocument/2006/relationships/hyperlink" Target="https://drive.google.com/open?id=12ODEKTIOX1-1j1QlqXmNXjpofB02ctbf" TargetMode="External"/><Relationship Id="rId1868" Type="http://schemas.openxmlformats.org/officeDocument/2006/relationships/hyperlink" Target="https://drive.google.com/open?id=1U7aLHa3eXIBBq-6K6bR7uVqTwE4o0Lkr" TargetMode="External"/><Relationship Id="rId62" Type="http://schemas.openxmlformats.org/officeDocument/2006/relationships/hyperlink" Target="https://drive.google.com/open?id=10uB-n8ODFH6h9cVfBul6e2XqD9l3db0_" TargetMode="External"/><Relationship Id="rId1216" Type="http://schemas.openxmlformats.org/officeDocument/2006/relationships/hyperlink" Target="https://drive.google.com/open?id=1aVM9t35SYlm7hwBuMo6llEX5GbFaPbDe" TargetMode="External"/><Relationship Id="rId1423" Type="http://schemas.openxmlformats.org/officeDocument/2006/relationships/hyperlink" Target="https://drive.google.com/open?id=11RtWze8-YtcDjwAsYnMZrBFpgI_ig3iE" TargetMode="External"/><Relationship Id="rId1630" Type="http://schemas.openxmlformats.org/officeDocument/2006/relationships/hyperlink" Target="https://drive.google.com/open?id=1U34pjUPZ0M0X4BHvb3bFPP-RJxzLCQIg" TargetMode="External"/><Relationship Id="rId1728" Type="http://schemas.openxmlformats.org/officeDocument/2006/relationships/hyperlink" Target="https://drive.google.com/open?id=1DbPzYZFpMF61iXlmH_gFD561WeGy89CR" TargetMode="External"/><Relationship Id="rId1935" Type="http://schemas.openxmlformats.org/officeDocument/2006/relationships/hyperlink" Target="https://drive.google.com/open?id=1lmD-qtvxx-9xiguNASDRu_BNb74UMoyc" TargetMode="External"/><Relationship Id="rId169" Type="http://schemas.openxmlformats.org/officeDocument/2006/relationships/hyperlink" Target="https://drive.google.com/open?id=12B2Kb15W3NKPW_7gcg2lB3DPgt7OYWLp" TargetMode="External"/><Relationship Id="rId376" Type="http://schemas.openxmlformats.org/officeDocument/2006/relationships/hyperlink" Target="https://drive.google.com/open?id=1_lQ9gIi19WLhljMy0L1msph3qv3saJDC" TargetMode="External"/><Relationship Id="rId583" Type="http://schemas.openxmlformats.org/officeDocument/2006/relationships/hyperlink" Target="https://drive.google.com/open?id=1MKPPqCmcoZQVNiQcK_vQ1BIs8zMeErOe" TargetMode="External"/><Relationship Id="rId790" Type="http://schemas.openxmlformats.org/officeDocument/2006/relationships/hyperlink" Target="https://drive.google.com/open?id=1hCujVqJW_zqYHAVNJofP4tr55JjTt_u8" TargetMode="External"/><Relationship Id="rId4" Type="http://schemas.openxmlformats.org/officeDocument/2006/relationships/hyperlink" Target="https://drive.google.com/open?id=1ivs7moe19O9t1r6DQWbbSsw0BOdQRIVb" TargetMode="External"/><Relationship Id="rId236" Type="http://schemas.openxmlformats.org/officeDocument/2006/relationships/hyperlink" Target="https://drive.google.com/open?id=1p8BAEgqd42pttv2tbFlcELT5Tbe4h9oU" TargetMode="External"/><Relationship Id="rId443" Type="http://schemas.openxmlformats.org/officeDocument/2006/relationships/hyperlink" Target="https://drive.google.com/open?id=1UGbYgboz_ffAZXz3XC0zvuimraFCQJhD" TargetMode="External"/><Relationship Id="rId650" Type="http://schemas.openxmlformats.org/officeDocument/2006/relationships/hyperlink" Target="https://drive.google.com/open?id=1x5YBlMCWO8PBcdlzml_-xxlOA0sX-NU7" TargetMode="External"/><Relationship Id="rId888" Type="http://schemas.openxmlformats.org/officeDocument/2006/relationships/hyperlink" Target="https://drive.google.com/open?id=1q0WK0rOvwQVyy78ie3gWGHB8m9ayo1qs" TargetMode="External"/><Relationship Id="rId1073" Type="http://schemas.openxmlformats.org/officeDocument/2006/relationships/hyperlink" Target="https://drive.google.com/open?id=1jY7Ohd7Ko5IFc50qhFhcV7hfjBDNZgGQ" TargetMode="External"/><Relationship Id="rId1280" Type="http://schemas.openxmlformats.org/officeDocument/2006/relationships/hyperlink" Target="https://drive.google.com/open?id=10L_OZLv7sRA1gzx8jiF96qfZI4X6FK_9" TargetMode="External"/><Relationship Id="rId303" Type="http://schemas.openxmlformats.org/officeDocument/2006/relationships/hyperlink" Target="https://drive.google.com/open?id=1GYg8Q-8qTc2yoV-N1PzAfQKVJ7NKGrRR" TargetMode="External"/><Relationship Id="rId748" Type="http://schemas.openxmlformats.org/officeDocument/2006/relationships/hyperlink" Target="https://drive.google.com/open?id=125fkvrkfVFvR94T2mYj6iDRQ_nZGglYj" TargetMode="External"/><Relationship Id="rId955" Type="http://schemas.openxmlformats.org/officeDocument/2006/relationships/hyperlink" Target="https://drive.google.com/open?id=1r38IKbNBojZmkNn1qLo8_gOAQ4CHDDnT" TargetMode="External"/><Relationship Id="rId1140" Type="http://schemas.openxmlformats.org/officeDocument/2006/relationships/hyperlink" Target="https://drive.google.com/open?id=1TioHRsRnJLelLTjGE06Hi9gFadeZe54Q" TargetMode="External"/><Relationship Id="rId1378" Type="http://schemas.openxmlformats.org/officeDocument/2006/relationships/hyperlink" Target="https://drive.google.com/open?id=1SLLC10PH63aV_HsCIjqb_r_MOFlJI2eC" TargetMode="External"/><Relationship Id="rId1585" Type="http://schemas.openxmlformats.org/officeDocument/2006/relationships/hyperlink" Target="https://drive.google.com/open?id=1jMJMeff_oIQw3MCy3kn6Kd5nBvd7bTLz" TargetMode="External"/><Relationship Id="rId1792" Type="http://schemas.openxmlformats.org/officeDocument/2006/relationships/hyperlink" Target="https://drive.google.com/open?id=1pQBeSxNvC-G8lzgWob2G7X6VyGLqT26R" TargetMode="External"/><Relationship Id="rId84" Type="http://schemas.openxmlformats.org/officeDocument/2006/relationships/hyperlink" Target="https://drive.google.com/open?id=177CmtDRWr83Ncxzsfbyn9aPCbTXBu45b" TargetMode="External"/><Relationship Id="rId510" Type="http://schemas.openxmlformats.org/officeDocument/2006/relationships/hyperlink" Target="https://drive.google.com/open?id=1qMGDWaZm24RAR2HhDbx1bJrk_tYmaJxH" TargetMode="External"/><Relationship Id="rId608" Type="http://schemas.openxmlformats.org/officeDocument/2006/relationships/hyperlink" Target="https://drive.google.com/open?id=1gjkR08hfOF2hrEwL7Vhh3c5ajRJd5EuS" TargetMode="External"/><Relationship Id="rId815" Type="http://schemas.openxmlformats.org/officeDocument/2006/relationships/hyperlink" Target="https://drive.google.com/open?id=1GE6BNxAww4qRWebFisnIoGg1zi0DY2Kc" TargetMode="External"/><Relationship Id="rId1238" Type="http://schemas.openxmlformats.org/officeDocument/2006/relationships/hyperlink" Target="https://drive.google.com/open?id=11o7yaz3j6q-Ts8_GBIZLOhp7Ffkt21AW" TargetMode="External"/><Relationship Id="rId1445" Type="http://schemas.openxmlformats.org/officeDocument/2006/relationships/hyperlink" Target="https://drive.google.com/open?id=1TGwCdw2KriAZddYIHvdDLWw9oUJFx4-0" TargetMode="External"/><Relationship Id="rId1652" Type="http://schemas.openxmlformats.org/officeDocument/2006/relationships/hyperlink" Target="https://drive.google.com/open?id=1NhUGl2WS97TEq0kVGrMhQQ8IlQW0p_V7" TargetMode="External"/><Relationship Id="rId1000" Type="http://schemas.openxmlformats.org/officeDocument/2006/relationships/hyperlink" Target="https://drive.google.com/open?id=1EQ4uk8FCwA055eAk6oOGIZ9erpriw_-N" TargetMode="External"/><Relationship Id="rId1305" Type="http://schemas.openxmlformats.org/officeDocument/2006/relationships/hyperlink" Target="https://drive.google.com/open?id=1xI4e8owXpm6ee17Ln-bHqRyW9fvqDmux" TargetMode="External"/><Relationship Id="rId1957" Type="http://schemas.openxmlformats.org/officeDocument/2006/relationships/hyperlink" Target="https://drive.google.com/open?id=1gZBBhtZDQZHPaIlUKwib652zV7U9x9zh" TargetMode="External"/><Relationship Id="rId1512" Type="http://schemas.openxmlformats.org/officeDocument/2006/relationships/hyperlink" Target="https://drive.google.com/open?id=1vgpzqsDsKyzBApuy3Dgfvkr-XJXTnxmd" TargetMode="External"/><Relationship Id="rId1817" Type="http://schemas.openxmlformats.org/officeDocument/2006/relationships/hyperlink" Target="https://drive.google.com/open?id=1ErKrCv3QoHpTrxEBmNbVt4a2NDAWQt7v" TargetMode="External"/><Relationship Id="rId11" Type="http://schemas.openxmlformats.org/officeDocument/2006/relationships/hyperlink" Target="https://drive.google.com/open?id=1XXFQnA75yiC14kxerpe-GaRaUcqTbGOU" TargetMode="External"/><Relationship Id="rId398" Type="http://schemas.openxmlformats.org/officeDocument/2006/relationships/hyperlink" Target="https://drive.google.com/open?id=1Wf4XkUVYyOvqNxpNCUpLocJZy0QeobHS" TargetMode="External"/><Relationship Id="rId160" Type="http://schemas.openxmlformats.org/officeDocument/2006/relationships/hyperlink" Target="https://drive.google.com/open?id=1rndFU2VyTjKp-23qiQqCH0Ef9dUzr5Su" TargetMode="External"/><Relationship Id="rId258" Type="http://schemas.openxmlformats.org/officeDocument/2006/relationships/hyperlink" Target="https://drive.google.com/open?id=1Xez0WQqKg2Bp2eSrpAMAgBridXp4i5Ek" TargetMode="External"/><Relationship Id="rId465" Type="http://schemas.openxmlformats.org/officeDocument/2006/relationships/hyperlink" Target="https://drive.google.com/open?id=1HqH97wp-QqYyRUpgSP26Drkf-ZC-LgVY" TargetMode="External"/><Relationship Id="rId672" Type="http://schemas.openxmlformats.org/officeDocument/2006/relationships/hyperlink" Target="https://drive.google.com/open?id=1Onx2B2LXHWR10EY0gegK1bzsfqRsumuE" TargetMode="External"/><Relationship Id="rId1095" Type="http://schemas.openxmlformats.org/officeDocument/2006/relationships/hyperlink" Target="https://drive.google.com/open?id=1U5JCwcg9Ul-6sTdLBg5YipLavkNQelBM" TargetMode="External"/><Relationship Id="rId118" Type="http://schemas.openxmlformats.org/officeDocument/2006/relationships/hyperlink" Target="https://drive.google.com/open?id=1Ig7_LsAX6rie_gaG8rhxeXT07vtP0f8U" TargetMode="External"/><Relationship Id="rId325" Type="http://schemas.openxmlformats.org/officeDocument/2006/relationships/hyperlink" Target="https://drive.google.com/open?id=15ZCIMchGBEFsktyoLG_QXzQ3LLDob2TZ" TargetMode="External"/><Relationship Id="rId532" Type="http://schemas.openxmlformats.org/officeDocument/2006/relationships/hyperlink" Target="https://drive.google.com/open?id=1Kk6i4bkGJcQv_DjAlSy3oPOZmVkKhyqU" TargetMode="External"/><Relationship Id="rId977" Type="http://schemas.openxmlformats.org/officeDocument/2006/relationships/hyperlink" Target="https://drive.google.com/open?id=15494Lr4j7gwNha0FHSbLZQp2YVF0IqJc" TargetMode="External"/><Relationship Id="rId1162" Type="http://schemas.openxmlformats.org/officeDocument/2006/relationships/hyperlink" Target="https://drive.google.com/open?id=1kIwRdvsATdR84MhrzmLc3Sh-gBuqbiap" TargetMode="External"/><Relationship Id="rId2006" Type="http://schemas.openxmlformats.org/officeDocument/2006/relationships/hyperlink" Target="https://drive.google.com/open?id=1tXeeKAZI5MwqgJf3RXhcMRHydeNF4-i1" TargetMode="External"/><Relationship Id="rId837" Type="http://schemas.openxmlformats.org/officeDocument/2006/relationships/hyperlink" Target="https://drive.google.com/open?id=1IE3DzgSO8zn08pDSeg0PutTPAaRKoPw6" TargetMode="External"/><Relationship Id="rId1022" Type="http://schemas.openxmlformats.org/officeDocument/2006/relationships/hyperlink" Target="https://drive.google.com/open?id=1bcI4VD3kgxx-L22cz5SpJV5yvqTYnHhR" TargetMode="External"/><Relationship Id="rId1467" Type="http://schemas.openxmlformats.org/officeDocument/2006/relationships/hyperlink" Target="https://drive.google.com/open?id=1vmGuPnUaX1afGQWUreEqL3iqIIYotiM1" TargetMode="External"/><Relationship Id="rId1674" Type="http://schemas.openxmlformats.org/officeDocument/2006/relationships/hyperlink" Target="https://drive.google.com/open?id=1row-LQ1ehQ7Vz8L6CgDYyl5ZkOE0Bhcj" TargetMode="External"/><Relationship Id="rId1881" Type="http://schemas.openxmlformats.org/officeDocument/2006/relationships/hyperlink" Target="https://drive.google.com/open?id=1kqHZ2afWKyi54byXac4NtA8SHSAUWRQh" TargetMode="External"/><Relationship Id="rId904" Type="http://schemas.openxmlformats.org/officeDocument/2006/relationships/hyperlink" Target="https://drive.google.com/open?id=1vmIxcJKpDAWReeEQHuya1unG26sHci6J" TargetMode="External"/><Relationship Id="rId1327" Type="http://schemas.openxmlformats.org/officeDocument/2006/relationships/hyperlink" Target="https://drive.google.com/open?id=124cNhXziea12UTes3jO5HDeKpCSNXrsq" TargetMode="External"/><Relationship Id="rId1534" Type="http://schemas.openxmlformats.org/officeDocument/2006/relationships/hyperlink" Target="https://drive.google.com/open?id=1hBchsFs4H1abrzQFUQ_JCSR3wAC1jYxD" TargetMode="External"/><Relationship Id="rId1741" Type="http://schemas.openxmlformats.org/officeDocument/2006/relationships/hyperlink" Target="https://drive.google.com/open?id=1OL032Zmux9Sy9e24c-gx4nmTH2ze6PcX" TargetMode="External"/><Relationship Id="rId1979" Type="http://schemas.openxmlformats.org/officeDocument/2006/relationships/hyperlink" Target="https://drive.google.com/open?id=1ikD-kNYxQSA5mgaVItCUIvXVbPXtkQq_" TargetMode="External"/><Relationship Id="rId33" Type="http://schemas.openxmlformats.org/officeDocument/2006/relationships/hyperlink" Target="https://drive.google.com/open?id=11edTzuoOe9vvhA_bCMR1V22KuoQysbmh" TargetMode="External"/><Relationship Id="rId1601" Type="http://schemas.openxmlformats.org/officeDocument/2006/relationships/hyperlink" Target="https://drive.google.com/open?id=1Q3QFf5JAxvbNzscdNlaePFAaHJED-cRS" TargetMode="External"/><Relationship Id="rId1839" Type="http://schemas.openxmlformats.org/officeDocument/2006/relationships/hyperlink" Target="https://drive.google.com/open?id=11V4wNYgoEPGA8dVSfiNzgdTlEkscCSlv" TargetMode="External"/><Relationship Id="rId182" Type="http://schemas.openxmlformats.org/officeDocument/2006/relationships/hyperlink" Target="https://drive.google.com/open?id=15Pg3-gI5Iwn1og25NoO-00nCewxMUZLk" TargetMode="External"/><Relationship Id="rId1906" Type="http://schemas.openxmlformats.org/officeDocument/2006/relationships/hyperlink" Target="https://drive.google.com/open?id=17gNqTDgHhyC24enMtcTkFtjLCqSvI9AV" TargetMode="External"/><Relationship Id="rId487" Type="http://schemas.openxmlformats.org/officeDocument/2006/relationships/hyperlink" Target="https://drive.google.com/open?id=177fR-NxwFdMux8dgqoubS7jCZ130jN8x" TargetMode="External"/><Relationship Id="rId694" Type="http://schemas.openxmlformats.org/officeDocument/2006/relationships/hyperlink" Target="https://drive.google.com/open?id=1VCLKShmM5skHgZstALskhWhfjUpCRViS" TargetMode="External"/><Relationship Id="rId347" Type="http://schemas.openxmlformats.org/officeDocument/2006/relationships/hyperlink" Target="https://drive.google.com/open?id=16erNXB5WXtESBi8x86Dfk3eeqwBMgjK6" TargetMode="External"/><Relationship Id="rId999" Type="http://schemas.openxmlformats.org/officeDocument/2006/relationships/hyperlink" Target="https://drive.google.com/open?id=1pJzw-_MGm92fgW2tFHFdlLrUyzCDRVPt" TargetMode="External"/><Relationship Id="rId1184" Type="http://schemas.openxmlformats.org/officeDocument/2006/relationships/hyperlink" Target="https://drive.google.com/open?id=1XPZHg4xaiYyt1gCMzbQyQbgLlWsI6EI_" TargetMode="External"/><Relationship Id="rId2028" Type="http://schemas.openxmlformats.org/officeDocument/2006/relationships/hyperlink" Target="https://drive.google.com/open?id=1ZYQXHRXsnczr6xjQUZ_wqfys7f6cRvcb" TargetMode="External"/><Relationship Id="rId554" Type="http://schemas.openxmlformats.org/officeDocument/2006/relationships/hyperlink" Target="https://drive.google.com/open?id=1xchqTYPO54SzDMsQC8yGUyyGM0PXk1b4" TargetMode="External"/><Relationship Id="rId761" Type="http://schemas.openxmlformats.org/officeDocument/2006/relationships/hyperlink" Target="https://drive.google.com/open?id=1b4xfz5LKCaBXBUXyQlVMVWrLPAMgBXSN" TargetMode="External"/><Relationship Id="rId859" Type="http://schemas.openxmlformats.org/officeDocument/2006/relationships/hyperlink" Target="https://drive.google.com/open?id=18QFVMaoKvJtwoTTYuCEyzScdyoz7Is-t" TargetMode="External"/><Relationship Id="rId1391" Type="http://schemas.openxmlformats.org/officeDocument/2006/relationships/hyperlink" Target="https://drive.google.com/open?id=1-ENcz1qAGAPabwSSRDV4bQHkIYzkYPar" TargetMode="External"/><Relationship Id="rId1489" Type="http://schemas.openxmlformats.org/officeDocument/2006/relationships/hyperlink" Target="https://drive.google.com/open?id=1WcCe4MpxStYnNQpzMQdvxjdx-vHqwq1y" TargetMode="External"/><Relationship Id="rId1696" Type="http://schemas.openxmlformats.org/officeDocument/2006/relationships/hyperlink" Target="https://drive.google.com/open?id=17T3v6nlg3_yL2ggFcv12_VY8jxK1_Ocp" TargetMode="External"/><Relationship Id="rId207" Type="http://schemas.openxmlformats.org/officeDocument/2006/relationships/hyperlink" Target="https://drive.google.com/open?id=1Zvwg7HLWM936F1Y8T2gj37cTVqllfmgE" TargetMode="External"/><Relationship Id="rId414" Type="http://schemas.openxmlformats.org/officeDocument/2006/relationships/hyperlink" Target="https://drive.google.com/open?id=1adMNkaWkGIBaKLp6TV0jPuef3cXnRQUv" TargetMode="External"/><Relationship Id="rId621" Type="http://schemas.openxmlformats.org/officeDocument/2006/relationships/hyperlink" Target="https://drive.google.com/open?id=1LPN912CrDDXCWm5xMnEY0vBWHfzx2IPW" TargetMode="External"/><Relationship Id="rId1044" Type="http://schemas.openxmlformats.org/officeDocument/2006/relationships/hyperlink" Target="https://drive.google.com/open?id=1TMSxKYMUxUS8cw_fhiecOXeTlu1skKYs" TargetMode="External"/><Relationship Id="rId1251" Type="http://schemas.openxmlformats.org/officeDocument/2006/relationships/hyperlink" Target="https://drive.google.com/open?id=1JcRA-bj2kl-vgplUF-83zjVVSpUgLMLd" TargetMode="External"/><Relationship Id="rId1349" Type="http://schemas.openxmlformats.org/officeDocument/2006/relationships/hyperlink" Target="https://drive.google.com/open?id=1q0cKZaOu71aGeIkTythedne-SVHFp-yE" TargetMode="External"/><Relationship Id="rId719" Type="http://schemas.openxmlformats.org/officeDocument/2006/relationships/hyperlink" Target="https://drive.google.com/open?id=1ruRCKO_4UrLKFBv80g_Hg3rEKmOqxv30" TargetMode="External"/><Relationship Id="rId926" Type="http://schemas.openxmlformats.org/officeDocument/2006/relationships/hyperlink" Target="https://drive.google.com/open?id=1WGo9rH_Xdjmeszg6WpQWWqVZeIc4NRfP" TargetMode="External"/><Relationship Id="rId1111" Type="http://schemas.openxmlformats.org/officeDocument/2006/relationships/hyperlink" Target="https://drive.google.com/open?id=1YQhhYulM3zmP2XKZEPuKbvMhTI3bNAAR" TargetMode="External"/><Relationship Id="rId1556" Type="http://schemas.openxmlformats.org/officeDocument/2006/relationships/hyperlink" Target="https://drive.google.com/open?id=1OfZ_lsPrHOFNJN5HDURfUaE47TFgKvtY" TargetMode="External"/><Relationship Id="rId1763" Type="http://schemas.openxmlformats.org/officeDocument/2006/relationships/hyperlink" Target="https://drive.google.com/open?id=1fT4V7N6J4c5T1hlzND1fa5OI1GqQKeiv" TargetMode="External"/><Relationship Id="rId1970" Type="http://schemas.openxmlformats.org/officeDocument/2006/relationships/hyperlink" Target="https://drive.google.com/open?id=1EzY4pyqYPvgBQQdVP-SnuULoK7AqEnnb" TargetMode="External"/><Relationship Id="rId55" Type="http://schemas.openxmlformats.org/officeDocument/2006/relationships/hyperlink" Target="https://drive.google.com/open?id=15uX4rMTYlaElTmlPQyWh_DgBjG8UwDti" TargetMode="External"/><Relationship Id="rId1209" Type="http://schemas.openxmlformats.org/officeDocument/2006/relationships/hyperlink" Target="https://drive.google.com/open?id=1E8hcmH-pmazwALhwZ4HnD6KoloiC6Tj7" TargetMode="External"/><Relationship Id="rId1416" Type="http://schemas.openxmlformats.org/officeDocument/2006/relationships/hyperlink" Target="https://drive.google.com/open?id=1AWkklvhRjPyzt_47qsHUj63Yk7ey4mK7" TargetMode="External"/><Relationship Id="rId1623" Type="http://schemas.openxmlformats.org/officeDocument/2006/relationships/hyperlink" Target="https://drive.google.com/open?id=1BWNFN3pN6OIeHE1LKIBktRzDanA8gnLQ" TargetMode="External"/><Relationship Id="rId1830" Type="http://schemas.openxmlformats.org/officeDocument/2006/relationships/hyperlink" Target="https://drive.google.com/open?id=1ynzOYx8sXaDvTMYuC8fM0o_tRQjYGdhb" TargetMode="External"/><Relationship Id="rId1928" Type="http://schemas.openxmlformats.org/officeDocument/2006/relationships/hyperlink" Target="https://drive.google.com/open?id=1ev1-MN_DLK_BL5943D1rgxlyxOb5iute" TargetMode="External"/><Relationship Id="rId271" Type="http://schemas.openxmlformats.org/officeDocument/2006/relationships/hyperlink" Target="https://drive.google.com/open?id=1eH7zHVb82wtpZSlE96BexzQmWded12ht" TargetMode="External"/><Relationship Id="rId131" Type="http://schemas.openxmlformats.org/officeDocument/2006/relationships/hyperlink" Target="https://drive.google.com/open?id=1DSvj5CFbxLRowp5X2SzrtP_hpSIOnJMi" TargetMode="External"/><Relationship Id="rId369" Type="http://schemas.openxmlformats.org/officeDocument/2006/relationships/hyperlink" Target="https://drive.google.com/open?id=1ceTuTNp-ZajiZ3oERigmn3WevSwlMSYX" TargetMode="External"/><Relationship Id="rId576" Type="http://schemas.openxmlformats.org/officeDocument/2006/relationships/hyperlink" Target="https://drive.google.com/open?id=1VyMdbaAWsrybsx3oggrGdzsOIRwjyojz" TargetMode="External"/><Relationship Id="rId783" Type="http://schemas.openxmlformats.org/officeDocument/2006/relationships/hyperlink" Target="https://drive.google.com/open?id=1sQ54T_rDXFjRZrwwBcpJIAuBLgwaFpPK" TargetMode="External"/><Relationship Id="rId990" Type="http://schemas.openxmlformats.org/officeDocument/2006/relationships/hyperlink" Target="https://drive.google.com/open?id=1TxpIbCwHKv2mfDGldI1WEjX-Psjyosoi" TargetMode="External"/><Relationship Id="rId229" Type="http://schemas.openxmlformats.org/officeDocument/2006/relationships/hyperlink" Target="https://drive.google.com/open?id=1TiAzNFqQ4EsL3yrPscgzDOjt7kHnLAux" TargetMode="External"/><Relationship Id="rId436" Type="http://schemas.openxmlformats.org/officeDocument/2006/relationships/hyperlink" Target="https://drive.google.com/open?id=1joAy_6h6NfaHVbVSMGUoKx9yu1SuLGfG" TargetMode="External"/><Relationship Id="rId643" Type="http://schemas.openxmlformats.org/officeDocument/2006/relationships/hyperlink" Target="https://drive.google.com/open?id=1Qckx9e54jYaCb7Fc5dhFsIMH2Fzwqcre" TargetMode="External"/><Relationship Id="rId1066" Type="http://schemas.openxmlformats.org/officeDocument/2006/relationships/hyperlink" Target="https://drive.google.com/open?id=1F6o86et_ne8z90B_6PaBuYwKiVkJ_FZm" TargetMode="External"/><Relationship Id="rId1273" Type="http://schemas.openxmlformats.org/officeDocument/2006/relationships/hyperlink" Target="https://drive.google.com/open?id=1mqRAZktQJMqckiq9xhaEZLxtD0IHpdUq" TargetMode="External"/><Relationship Id="rId1480" Type="http://schemas.openxmlformats.org/officeDocument/2006/relationships/hyperlink" Target="https://drive.google.com/open?id=1kzZjTYmNRF4HAYlh8clMTWRCZgJskGST" TargetMode="External"/><Relationship Id="rId850" Type="http://schemas.openxmlformats.org/officeDocument/2006/relationships/hyperlink" Target="https://drive.google.com/open?id=1zqS1rF0UnPYcWHf9YOfdKtsJ88HsCHdU" TargetMode="External"/><Relationship Id="rId948" Type="http://schemas.openxmlformats.org/officeDocument/2006/relationships/hyperlink" Target="https://drive.google.com/open?id=1mxVWIXOD54kXhG9ImERjn1Ic0bfOzfbT" TargetMode="External"/><Relationship Id="rId1133" Type="http://schemas.openxmlformats.org/officeDocument/2006/relationships/hyperlink" Target="https://drive.google.com/open?id=1Th_Aw328QDzgBYZhY3SwtqXaP5Xo75HM" TargetMode="External"/><Relationship Id="rId1578" Type="http://schemas.openxmlformats.org/officeDocument/2006/relationships/hyperlink" Target="https://drive.google.com/open?id=1TtJqT447SqY4MZOnWIGEO1JL-13fRHH-" TargetMode="External"/><Relationship Id="rId1785" Type="http://schemas.openxmlformats.org/officeDocument/2006/relationships/hyperlink" Target="https://drive.google.com/open?id=1XlloBBKvNOobEUAgXTdW5P_LbJubAkx1" TargetMode="External"/><Relationship Id="rId1992" Type="http://schemas.openxmlformats.org/officeDocument/2006/relationships/hyperlink" Target="https://drive.google.com/open?id=1CS3qDs1vt-UCyTdN7w8ANdF0AAMtFw2T" TargetMode="External"/><Relationship Id="rId77" Type="http://schemas.openxmlformats.org/officeDocument/2006/relationships/hyperlink" Target="https://drive.google.com/open?id=1NVomb-tiRZM3rNoKHmXNHPBHlXZqiMdj" TargetMode="External"/><Relationship Id="rId503" Type="http://schemas.openxmlformats.org/officeDocument/2006/relationships/hyperlink" Target="https://drive.google.com/open?id=12yzvCM759B8GoKNvH7Yq2jGtUgBVxALa" TargetMode="External"/><Relationship Id="rId710" Type="http://schemas.openxmlformats.org/officeDocument/2006/relationships/hyperlink" Target="https://drive.google.com/open?id=17NjTmpzndqWfkpaE0dfpxxh__FC5SSwG" TargetMode="External"/><Relationship Id="rId808" Type="http://schemas.openxmlformats.org/officeDocument/2006/relationships/hyperlink" Target="https://drive.google.com/open?id=1KkPqKimwHmcWWVKe7DDewX3hJsQZLvex" TargetMode="External"/><Relationship Id="rId1340" Type="http://schemas.openxmlformats.org/officeDocument/2006/relationships/hyperlink" Target="https://drive.google.com/open?id=14lBX3b7WRjnCSlVUAC5gwSU2JyW93lwr" TargetMode="External"/><Relationship Id="rId1438" Type="http://schemas.openxmlformats.org/officeDocument/2006/relationships/hyperlink" Target="https://drive.google.com/open?id=1--YaSm8dhbdyBHxb4KewnmU0oW1M3ltf" TargetMode="External"/><Relationship Id="rId1645" Type="http://schemas.openxmlformats.org/officeDocument/2006/relationships/hyperlink" Target="https://drive.google.com/open?id=1upFSuXGdxEtm9GW6plc2hGxpfhkpBuVu" TargetMode="External"/><Relationship Id="rId1200" Type="http://schemas.openxmlformats.org/officeDocument/2006/relationships/hyperlink" Target="https://drive.google.com/open?id=1KNGN_BCKn2Z0K6Efh7imxm5IhcsS4AoQ" TargetMode="External"/><Relationship Id="rId1852" Type="http://schemas.openxmlformats.org/officeDocument/2006/relationships/hyperlink" Target="https://drive.google.com/open?id=11YFzfW7_7aEb0ltzUQPufKwVC8XHDMSJ" TargetMode="External"/><Relationship Id="rId1505" Type="http://schemas.openxmlformats.org/officeDocument/2006/relationships/hyperlink" Target="https://drive.google.com/open?id=1y80PhESmLodh10tGi3qIDgYNge9O2Jwu" TargetMode="External"/><Relationship Id="rId1712" Type="http://schemas.openxmlformats.org/officeDocument/2006/relationships/hyperlink" Target="https://drive.google.com/open?id=1cC-edrT8nXW2IkRayVmWC6zasB8IiNh5" TargetMode="External"/><Relationship Id="rId293" Type="http://schemas.openxmlformats.org/officeDocument/2006/relationships/hyperlink" Target="https://drive.google.com/open?id=1BvrrHptMho5MP5PvTzelfV8I5budL3OJ" TargetMode="External"/><Relationship Id="rId153" Type="http://schemas.openxmlformats.org/officeDocument/2006/relationships/hyperlink" Target="https://drive.google.com/open?id=1Nfj98VIfaUSMFk-f0O7u3rjxpYrj3FOi" TargetMode="External"/><Relationship Id="rId360" Type="http://schemas.openxmlformats.org/officeDocument/2006/relationships/hyperlink" Target="https://drive.google.com/open?id=1sINh5GHgI-g3X3cixdcGuQ5EB42FLQm5" TargetMode="External"/><Relationship Id="rId598" Type="http://schemas.openxmlformats.org/officeDocument/2006/relationships/hyperlink" Target="https://drive.google.com/open?id=1ef3NnBYpivbyMAm6gjQ4tfWisTLEF0SV" TargetMode="External"/><Relationship Id="rId220" Type="http://schemas.openxmlformats.org/officeDocument/2006/relationships/hyperlink" Target="https://drive.google.com/open?id=1AeutdfA87ZDddpI7akz0fJqbaiWIagXr" TargetMode="External"/><Relationship Id="rId458" Type="http://schemas.openxmlformats.org/officeDocument/2006/relationships/hyperlink" Target="https://drive.google.com/open?id=1sAoWyBoslzexH3t1m2f34eD0wGKroXW5" TargetMode="External"/><Relationship Id="rId665" Type="http://schemas.openxmlformats.org/officeDocument/2006/relationships/hyperlink" Target="https://drive.google.com/open?id=1w7G2rkqQjKPJAu4jgj-54q9WdQfvMKKd" TargetMode="External"/><Relationship Id="rId872" Type="http://schemas.openxmlformats.org/officeDocument/2006/relationships/hyperlink" Target="https://drive.google.com/open?id=1hQTlc1knExHvBndQ-KWZ-vVVy7YtWkw7" TargetMode="External"/><Relationship Id="rId1088" Type="http://schemas.openxmlformats.org/officeDocument/2006/relationships/hyperlink" Target="https://drive.google.com/open?id=1LnXJWE0xflL_rvK6eM6IGFwdAO6YqYwp" TargetMode="External"/><Relationship Id="rId1295" Type="http://schemas.openxmlformats.org/officeDocument/2006/relationships/hyperlink" Target="https://drive.google.com/open?id=1h1AwImFY9VMN-mZBwstvBv0Di3HyUQNv" TargetMode="External"/><Relationship Id="rId318" Type="http://schemas.openxmlformats.org/officeDocument/2006/relationships/hyperlink" Target="https://drive.google.com/open?id=1Ny_QAIWPlChD2kwFAF5fgctomM0DziQI" TargetMode="External"/><Relationship Id="rId525" Type="http://schemas.openxmlformats.org/officeDocument/2006/relationships/hyperlink" Target="https://drive.google.com/open?id=1kU1UxKIS8gEcjzk2PxTyYLUcr811PPES" TargetMode="External"/><Relationship Id="rId732" Type="http://schemas.openxmlformats.org/officeDocument/2006/relationships/hyperlink" Target="https://drive.google.com/open?id=1MZ53pbJto1KWC0ISnqxR5qxbOikWpBdf" TargetMode="External"/><Relationship Id="rId1155" Type="http://schemas.openxmlformats.org/officeDocument/2006/relationships/hyperlink" Target="https://drive.google.com/open?id=1QpSHxnegLx_EiH4jnVZwgg0XLBh8KwgW" TargetMode="External"/><Relationship Id="rId1362" Type="http://schemas.openxmlformats.org/officeDocument/2006/relationships/hyperlink" Target="https://drive.google.com/open?id=1jcHCiRZrIPfu2uAAaKbZ0uLxIvtEGzsF" TargetMode="External"/><Relationship Id="rId99" Type="http://schemas.openxmlformats.org/officeDocument/2006/relationships/hyperlink" Target="https://drive.google.com/open?id=1mgylAbdFaoaFjsH7nXmZRJKauQQuT8r0" TargetMode="External"/><Relationship Id="rId1015" Type="http://schemas.openxmlformats.org/officeDocument/2006/relationships/hyperlink" Target="https://drive.google.com/open?id=1XgNm5W5389GdFGljzWtkAZy-7X85dNPM" TargetMode="External"/><Relationship Id="rId1222" Type="http://schemas.openxmlformats.org/officeDocument/2006/relationships/hyperlink" Target="https://drive.google.com/open?id=1ZJqxCbszqdtE73nqtXViiWRvcQxW7gVl" TargetMode="External"/><Relationship Id="rId1667" Type="http://schemas.openxmlformats.org/officeDocument/2006/relationships/hyperlink" Target="https://drive.google.com/open?id=1XQ_HTGSkLU63-Hnlbhft3rlAWoljjxaH" TargetMode="External"/><Relationship Id="rId1874" Type="http://schemas.openxmlformats.org/officeDocument/2006/relationships/hyperlink" Target="https://drive.google.com/open?id=1oKUJsG7Fb4LMycyCByzMIUtaApGpndOi" TargetMode="External"/><Relationship Id="rId1527" Type="http://schemas.openxmlformats.org/officeDocument/2006/relationships/hyperlink" Target="https://drive.google.com/open?id=1VbxiY43LJ7dcNn0gtnKNmyudNQ9kRh4L" TargetMode="External"/><Relationship Id="rId1734" Type="http://schemas.openxmlformats.org/officeDocument/2006/relationships/hyperlink" Target="https://drive.google.com/open?id=1m9gg5CT9XKNuXoOJydN5Z9FPuBmFdooO" TargetMode="External"/><Relationship Id="rId1941" Type="http://schemas.openxmlformats.org/officeDocument/2006/relationships/hyperlink" Target="https://drive.google.com/open?id=1fib7FYeefE55LohJSoDSucoflIcEhmQp" TargetMode="External"/><Relationship Id="rId26" Type="http://schemas.openxmlformats.org/officeDocument/2006/relationships/hyperlink" Target="https://drive.google.com/open?id=1ev2hzHSiXHae9noJz8jwJGX0zIQuSoM-" TargetMode="External"/><Relationship Id="rId175" Type="http://schemas.openxmlformats.org/officeDocument/2006/relationships/hyperlink" Target="https://drive.google.com/open?id=1D19Cw8Krf3fIf5vfCdP8xCbNxe0fdcyp" TargetMode="External"/><Relationship Id="rId1801" Type="http://schemas.openxmlformats.org/officeDocument/2006/relationships/hyperlink" Target="https://drive.google.com/open?id=1xFxhIJTtV4FrfVzZDy_OehbNf_S7mfBk" TargetMode="External"/><Relationship Id="rId382" Type="http://schemas.openxmlformats.org/officeDocument/2006/relationships/hyperlink" Target="https://drive.google.com/open?id=1vUhLPwV2c6jKl0luNoVbbwlTj8DIV1y-" TargetMode="External"/><Relationship Id="rId687" Type="http://schemas.openxmlformats.org/officeDocument/2006/relationships/hyperlink" Target="https://drive.google.com/open?id=1mS8Dw3ZlEa2Nouwf1m08hD9TATpbhZjm" TargetMode="External"/><Relationship Id="rId242" Type="http://schemas.openxmlformats.org/officeDocument/2006/relationships/hyperlink" Target="https://drive.google.com/open?id=1j5gNS-v1T4PmzrfD2kSV3Gblh0mfyMeV" TargetMode="External"/><Relationship Id="rId894" Type="http://schemas.openxmlformats.org/officeDocument/2006/relationships/hyperlink" Target="https://drive.google.com/open?id=1OCj7uihDkTSUXh5xpriFBvcO-MIX2w3N" TargetMode="External"/><Relationship Id="rId1177" Type="http://schemas.openxmlformats.org/officeDocument/2006/relationships/hyperlink" Target="https://drive.google.com/open?id=1CXe1zGyNnHlkZ5G_XfTs_peNS0B5w0FD" TargetMode="External"/><Relationship Id="rId102" Type="http://schemas.openxmlformats.org/officeDocument/2006/relationships/hyperlink" Target="https://drive.google.com/open?id=1Vahkv98GLQiLiMIDEsN7xLmHBl9HFgPi" TargetMode="External"/><Relationship Id="rId547" Type="http://schemas.openxmlformats.org/officeDocument/2006/relationships/hyperlink" Target="https://drive.google.com/open?id=1yzq7r3KYGgA7ofpuD1jP45ZbhsvwabAX" TargetMode="External"/><Relationship Id="rId754" Type="http://schemas.openxmlformats.org/officeDocument/2006/relationships/hyperlink" Target="https://drive.google.com/open?id=1smxEGXU91Eh97YrxjyHRzPvMz_OP4ddy" TargetMode="External"/><Relationship Id="rId961" Type="http://schemas.openxmlformats.org/officeDocument/2006/relationships/hyperlink" Target="https://drive.google.com/open?id=1M7wzR_BfpFGukcUb9s5Eds7uMe8YUUmo" TargetMode="External"/><Relationship Id="rId1384" Type="http://schemas.openxmlformats.org/officeDocument/2006/relationships/hyperlink" Target="https://drive.google.com/open?id=1NmbPzugP5ld2v2T349DuM7bQpzLE0QC-" TargetMode="External"/><Relationship Id="rId1591" Type="http://schemas.openxmlformats.org/officeDocument/2006/relationships/hyperlink" Target="https://drive.google.com/open?id=1POh9saIA3Urk5eXrcENY19wOvP8ap8rW" TargetMode="External"/><Relationship Id="rId1689" Type="http://schemas.openxmlformats.org/officeDocument/2006/relationships/hyperlink" Target="https://drive.google.com/open?id=11dWrtxYyLj83KAhYqglakCCZ2apnU0Nk" TargetMode="External"/><Relationship Id="rId90" Type="http://schemas.openxmlformats.org/officeDocument/2006/relationships/hyperlink" Target="https://drive.google.com/open?id=1kxS-CSUKs_OJ5jWUx0xJrh_H5qx5kJNI" TargetMode="External"/><Relationship Id="rId407" Type="http://schemas.openxmlformats.org/officeDocument/2006/relationships/hyperlink" Target="https://drive.google.com/open?id=1hVeAM-wkHqUe5VTK_pwYPqUc4GKQlrI1" TargetMode="External"/><Relationship Id="rId614" Type="http://schemas.openxmlformats.org/officeDocument/2006/relationships/hyperlink" Target="https://drive.google.com/open?id=1oKtUFmMwUobK7gBwzYjWbbrQ4TTGqeP1" TargetMode="External"/><Relationship Id="rId821" Type="http://schemas.openxmlformats.org/officeDocument/2006/relationships/hyperlink" Target="https://drive.google.com/open?id=17heaGRntE70sg7vwg7Yb1OiYnXQ4MX3I" TargetMode="External"/><Relationship Id="rId1037" Type="http://schemas.openxmlformats.org/officeDocument/2006/relationships/hyperlink" Target="https://drive.google.com/open?id=1v36wMGJRw_NFAOb8do4xUSyKPLW8aHPH" TargetMode="External"/><Relationship Id="rId1244" Type="http://schemas.openxmlformats.org/officeDocument/2006/relationships/hyperlink" Target="https://drive.google.com/open?id=1xgvibtPsiLXZacNxG_WEvUg-WwKY5AjW" TargetMode="External"/><Relationship Id="rId1451" Type="http://schemas.openxmlformats.org/officeDocument/2006/relationships/hyperlink" Target="https://drive.google.com/open?id=1ireP1mlC2qrU8thW27vEhqFL1H0gzkyz" TargetMode="External"/><Relationship Id="rId1896" Type="http://schemas.openxmlformats.org/officeDocument/2006/relationships/hyperlink" Target="https://drive.google.com/open?id=1tCms7785H0IXlJqXWkjnNxvyPNT_NcGj" TargetMode="External"/><Relationship Id="rId919" Type="http://schemas.openxmlformats.org/officeDocument/2006/relationships/hyperlink" Target="https://drive.google.com/open?id=1l4bOX5bU2LskGZ2bNKgpJTtUoJ_htpuE" TargetMode="External"/><Relationship Id="rId1104" Type="http://schemas.openxmlformats.org/officeDocument/2006/relationships/hyperlink" Target="https://drive.google.com/open?id=1Iat-AqKSEu3VCHb1bcOY7zpGB_Vv6h_3" TargetMode="External"/><Relationship Id="rId1311" Type="http://schemas.openxmlformats.org/officeDocument/2006/relationships/hyperlink" Target="https://drive.google.com/open?id=1eTSXpPJI3vhv6POmTmZ43VE8aJks8gYo" TargetMode="External"/><Relationship Id="rId1549" Type="http://schemas.openxmlformats.org/officeDocument/2006/relationships/hyperlink" Target="https://drive.google.com/open?id=1RlaM0vjle8IiVUz8CLgvzW_5zGTHx49R" TargetMode="External"/><Relationship Id="rId1756" Type="http://schemas.openxmlformats.org/officeDocument/2006/relationships/hyperlink" Target="https://drive.google.com/open?id=1ldD566GgizCPE8QLUe98oMSLD2QoXwxA" TargetMode="External"/><Relationship Id="rId1963" Type="http://schemas.openxmlformats.org/officeDocument/2006/relationships/hyperlink" Target="https://drive.google.com/open?id=1lY9EryccAAW28hGD5ieGkCfrV0ufsZbX" TargetMode="External"/><Relationship Id="rId48" Type="http://schemas.openxmlformats.org/officeDocument/2006/relationships/hyperlink" Target="https://drive.google.com/open?id=1vOpt7CdpRnTwGCglslGeXnmIAlUY_WkO" TargetMode="External"/><Relationship Id="rId1409" Type="http://schemas.openxmlformats.org/officeDocument/2006/relationships/hyperlink" Target="https://drive.google.com/open?id=1WO3pMG3Fn6hGlSRIrhS32xZX9_dh3n3r" TargetMode="External"/><Relationship Id="rId1616" Type="http://schemas.openxmlformats.org/officeDocument/2006/relationships/hyperlink" Target="https://drive.google.com/open?id=1ZVCOqN9M3TbXktoacMMwEsHD4N3tgSj1" TargetMode="External"/><Relationship Id="rId1823" Type="http://schemas.openxmlformats.org/officeDocument/2006/relationships/hyperlink" Target="https://drive.google.com/open?id=1u1Wbm1YtC4fawq10Be-VuXnBYKUA8VYz" TargetMode="External"/><Relationship Id="rId197" Type="http://schemas.openxmlformats.org/officeDocument/2006/relationships/hyperlink" Target="https://drive.google.com/open?id=1L91xF9x96FE1dneMQp-5u5l6wtG8WfiF" TargetMode="External"/><Relationship Id="rId264" Type="http://schemas.openxmlformats.org/officeDocument/2006/relationships/hyperlink" Target="https://drive.google.com/open?id=1jOI4U9faSlxMurVjV2pBpK-2kZ-g8HEl" TargetMode="External"/><Relationship Id="rId471" Type="http://schemas.openxmlformats.org/officeDocument/2006/relationships/hyperlink" Target="https://drive.google.com/open?id=1UmKZ_snHeqhvSTm6FQo-F4CFIB6h3MjN" TargetMode="External"/><Relationship Id="rId124" Type="http://schemas.openxmlformats.org/officeDocument/2006/relationships/hyperlink" Target="https://drive.google.com/open?id=1z2e0aMyZg9tzX41KqdWwz9jR2vJ8HD8W" TargetMode="External"/><Relationship Id="rId569" Type="http://schemas.openxmlformats.org/officeDocument/2006/relationships/hyperlink" Target="https://drive.google.com/open?id=1ZUVGQCKiEieri5BjKtUCHt-52HkNgzFa" TargetMode="External"/><Relationship Id="rId776" Type="http://schemas.openxmlformats.org/officeDocument/2006/relationships/hyperlink" Target="https://drive.google.com/open?id=1KZxmQvW0JLOW3muP_0iI6X2wyCOj_og6" TargetMode="External"/><Relationship Id="rId983" Type="http://schemas.openxmlformats.org/officeDocument/2006/relationships/hyperlink" Target="https://drive.google.com/open?id=1D1QpT2cV75_Iy3rkDITvBTSrE6KgHcmA" TargetMode="External"/><Relationship Id="rId1199" Type="http://schemas.openxmlformats.org/officeDocument/2006/relationships/hyperlink" Target="https://drive.google.com/open?id=1YexeMEAtiuf3Qw_KFAKTlNpz2uN7nlDr" TargetMode="External"/><Relationship Id="rId331" Type="http://schemas.openxmlformats.org/officeDocument/2006/relationships/hyperlink" Target="https://drive.google.com/open?id=1eLiWLHVl6QWh_hV6lBhuBuO0B1jIAskW" TargetMode="External"/><Relationship Id="rId429" Type="http://schemas.openxmlformats.org/officeDocument/2006/relationships/hyperlink" Target="https://drive.google.com/open?id=1GT4TT0tqwr3CLsu_Gd-3nF2wBVBcQW8S" TargetMode="External"/><Relationship Id="rId636" Type="http://schemas.openxmlformats.org/officeDocument/2006/relationships/hyperlink" Target="https://drive.google.com/open?id=1nsUg7lB9ba4KcNisUmOAg3KTP20JYxM-" TargetMode="External"/><Relationship Id="rId1059" Type="http://schemas.openxmlformats.org/officeDocument/2006/relationships/hyperlink" Target="https://drive.google.com/open?id=1iMXs7Nn1yXhkF8AYaJ_Ol1QHvNFLAfZR" TargetMode="External"/><Relationship Id="rId1266" Type="http://schemas.openxmlformats.org/officeDocument/2006/relationships/hyperlink" Target="https://drive.google.com/open?id=1isf_cgXnPYcE_BTItv5831wlwbLP2bfl" TargetMode="External"/><Relationship Id="rId1473" Type="http://schemas.openxmlformats.org/officeDocument/2006/relationships/hyperlink" Target="https://drive.google.com/open?id=1q70femFcR8fezQ8m9w45EXH_gPN0JWBb" TargetMode="External"/><Relationship Id="rId2012" Type="http://schemas.openxmlformats.org/officeDocument/2006/relationships/hyperlink" Target="https://drive.google.com/open?id=1atJVbWiywYNZEM_VA3-aI5LpXQ_z_QLl" TargetMode="External"/><Relationship Id="rId843" Type="http://schemas.openxmlformats.org/officeDocument/2006/relationships/hyperlink" Target="https://drive.google.com/open?id=1Vnj4jYgaPCjEq1SIoMMaCGuIKC5kPk7z" TargetMode="External"/><Relationship Id="rId1126" Type="http://schemas.openxmlformats.org/officeDocument/2006/relationships/hyperlink" Target="https://drive.google.com/open?id=1h8KHDuMENAmEe627PIP5c1EIji6Z-Iux" TargetMode="External"/><Relationship Id="rId1680" Type="http://schemas.openxmlformats.org/officeDocument/2006/relationships/hyperlink" Target="https://drive.google.com/open?id=16AeBROy73ogkyuJiNdJQuri3O57JuFv_" TargetMode="External"/><Relationship Id="rId1778" Type="http://schemas.openxmlformats.org/officeDocument/2006/relationships/hyperlink" Target="https://drive.google.com/open?id=1S-aUk1CtELiuf1jjNJ87myyw_ZTBLJNA" TargetMode="External"/><Relationship Id="rId1985" Type="http://schemas.openxmlformats.org/officeDocument/2006/relationships/hyperlink" Target="https://drive.google.com/open?id=1lytq8dHag2jtjDnnP4WcH2ps-qW8i1dx" TargetMode="External"/><Relationship Id="rId703" Type="http://schemas.openxmlformats.org/officeDocument/2006/relationships/hyperlink" Target="https://drive.google.com/open?id=19HyM8fYdAp-bl2ttdptouK9kEP-yL060" TargetMode="External"/><Relationship Id="rId910" Type="http://schemas.openxmlformats.org/officeDocument/2006/relationships/hyperlink" Target="https://drive.google.com/open?id=1C2zCS76-Bm2zMFnf0ehy47Mj2JQwmKFi" TargetMode="External"/><Relationship Id="rId1333" Type="http://schemas.openxmlformats.org/officeDocument/2006/relationships/hyperlink" Target="https://drive.google.com/open?id=19WBOSMi43xYjKYH19U5v__QUEy9VtYED" TargetMode="External"/><Relationship Id="rId1540" Type="http://schemas.openxmlformats.org/officeDocument/2006/relationships/hyperlink" Target="https://drive.google.com/open?id=1wd4zGjG8KFyiBmhGCQRK22-xkgvhEB8R" TargetMode="External"/><Relationship Id="rId1638" Type="http://schemas.openxmlformats.org/officeDocument/2006/relationships/hyperlink" Target="https://drive.google.com/open?id=1GCqbL7sfbLd93U2no42YHHm5nTyQrEzj" TargetMode="External"/><Relationship Id="rId1400" Type="http://schemas.openxmlformats.org/officeDocument/2006/relationships/hyperlink" Target="https://drive.google.com/open?id=1sHuD-bJoq6G-YNLsCSot-4eHr5sKH6PW" TargetMode="External"/><Relationship Id="rId1845" Type="http://schemas.openxmlformats.org/officeDocument/2006/relationships/hyperlink" Target="https://drive.google.com/open?id=1ADtnabdGZbVteYUagOK293zlcwxIIyUb" TargetMode="External"/><Relationship Id="rId1705" Type="http://schemas.openxmlformats.org/officeDocument/2006/relationships/hyperlink" Target="https://drive.google.com/open?id=1whMSmn5MAz39w4h7TQxbJuAEWkOy14Ti" TargetMode="External"/><Relationship Id="rId1912" Type="http://schemas.openxmlformats.org/officeDocument/2006/relationships/hyperlink" Target="https://drive.google.com/open?id=1HnvZVdP3PEMUG091tYNkG2FkKHaSHiw4" TargetMode="External"/><Relationship Id="rId286" Type="http://schemas.openxmlformats.org/officeDocument/2006/relationships/hyperlink" Target="https://drive.google.com/open?id=1Wcx42xS7jtE72mgPUQZXt-iFp61VeVhQ" TargetMode="External"/><Relationship Id="rId493" Type="http://schemas.openxmlformats.org/officeDocument/2006/relationships/hyperlink" Target="https://drive.google.com/open?id=1ORkRdI7OgGkRwrfrJCrxnf0ZLwW-WcYX" TargetMode="External"/><Relationship Id="rId146" Type="http://schemas.openxmlformats.org/officeDocument/2006/relationships/hyperlink" Target="https://drive.google.com/open?id=1T6GyD91laBor-7GVnBv_qpHudSDLhHoH" TargetMode="External"/><Relationship Id="rId353" Type="http://schemas.openxmlformats.org/officeDocument/2006/relationships/hyperlink" Target="https://drive.google.com/open?id=1rMwC601YW98gPds8-opotKsk87ii3-LK" TargetMode="External"/><Relationship Id="rId560" Type="http://schemas.openxmlformats.org/officeDocument/2006/relationships/hyperlink" Target="https://drive.google.com/open?id=13sk7WehhEKCe5Yf63hRQdDFeT-IzqkJm" TargetMode="External"/><Relationship Id="rId798" Type="http://schemas.openxmlformats.org/officeDocument/2006/relationships/hyperlink" Target="https://drive.google.com/open?id=17scFejkRAOdU2tHNq3Mjk0U08pzMZ1Pm" TargetMode="External"/><Relationship Id="rId1190" Type="http://schemas.openxmlformats.org/officeDocument/2006/relationships/hyperlink" Target="https://drive.google.com/open?id=1ZUoem0vZWgOpc7ZTRjB0TXIptSVId2TR" TargetMode="External"/><Relationship Id="rId2034" Type="http://schemas.openxmlformats.org/officeDocument/2006/relationships/hyperlink" Target="https://drive.google.com/open?id=1KsmefRwwuO3MXR7xDEsOMEHMhpD9Hya5" TargetMode="External"/><Relationship Id="rId213" Type="http://schemas.openxmlformats.org/officeDocument/2006/relationships/hyperlink" Target="https://drive.google.com/open?id=1tVQ7VD8e-iZujakhmuEFmh6uQwhBvNu1" TargetMode="External"/><Relationship Id="rId420" Type="http://schemas.openxmlformats.org/officeDocument/2006/relationships/hyperlink" Target="https://drive.google.com/open?id=1OVByKkbzCQ5S7B_gLAQdpV-npaXoTzYO" TargetMode="External"/><Relationship Id="rId658" Type="http://schemas.openxmlformats.org/officeDocument/2006/relationships/hyperlink" Target="https://drive.google.com/open?id=1Ro-7_dXnsCLouow7rY-jThx_q_fKb7CN" TargetMode="External"/><Relationship Id="rId865" Type="http://schemas.openxmlformats.org/officeDocument/2006/relationships/hyperlink" Target="https://drive.google.com/open?id=18C6wDWl0EdUTnUoe1lz4PpxJUoMSFFJp" TargetMode="External"/><Relationship Id="rId1050" Type="http://schemas.openxmlformats.org/officeDocument/2006/relationships/hyperlink" Target="https://drive.google.com/open?id=12Kg77NqU4uSEVQV6tDZaxIyJ91v_atMS" TargetMode="External"/><Relationship Id="rId1288" Type="http://schemas.openxmlformats.org/officeDocument/2006/relationships/hyperlink" Target="https://drive.google.com/open?id=1YzbCNjz7cSskc989m0J_XST5tmHf4Pzt" TargetMode="External"/><Relationship Id="rId1495" Type="http://schemas.openxmlformats.org/officeDocument/2006/relationships/hyperlink" Target="https://drive.google.com/open?id=1PbsRw7GOab-dq-J_Cykj5Rc5XiwIpr_B" TargetMode="External"/><Relationship Id="rId518" Type="http://schemas.openxmlformats.org/officeDocument/2006/relationships/hyperlink" Target="https://drive.google.com/open?id=1vpB-N2aaG1d7VhvVMRCWIxAw9-127Vz4" TargetMode="External"/><Relationship Id="rId725" Type="http://schemas.openxmlformats.org/officeDocument/2006/relationships/hyperlink" Target="https://drive.google.com/open?id=1A0a1823a4ynWG_aA2HCG6DYcMzbJtKNd" TargetMode="External"/><Relationship Id="rId932" Type="http://schemas.openxmlformats.org/officeDocument/2006/relationships/hyperlink" Target="https://drive.google.com/open?id=1XS0S6fHmdKxmCXfOoZVAS4nTV60IPpoU" TargetMode="External"/><Relationship Id="rId1148" Type="http://schemas.openxmlformats.org/officeDocument/2006/relationships/hyperlink" Target="https://drive.google.com/open?id=1pCu1xwZHmDSrbIgdNMFSm0R9h7n78oKV" TargetMode="External"/><Relationship Id="rId1355" Type="http://schemas.openxmlformats.org/officeDocument/2006/relationships/hyperlink" Target="https://drive.google.com/open?id=1aFAcjXq4C49xvWrooLIue1gHr7DAMGCB" TargetMode="External"/><Relationship Id="rId1562" Type="http://schemas.openxmlformats.org/officeDocument/2006/relationships/hyperlink" Target="https://drive.google.com/open?id=18D6vGyrVh_tSdMuHGgWvV2ZYnlkcbQ9x" TargetMode="External"/><Relationship Id="rId1008" Type="http://schemas.openxmlformats.org/officeDocument/2006/relationships/hyperlink" Target="https://drive.google.com/open?id=1dUJxdesSP5uQNEjNTR1GPlU0InnbxC7u" TargetMode="External"/><Relationship Id="rId1215" Type="http://schemas.openxmlformats.org/officeDocument/2006/relationships/hyperlink" Target="https://drive.google.com/open?id=1Xr4gWNXJAJ-KL87KDkoBa6KbPHdnakTB" TargetMode="External"/><Relationship Id="rId1422" Type="http://schemas.openxmlformats.org/officeDocument/2006/relationships/hyperlink" Target="https://drive.google.com/open?id=1a-vNo-iPhKbAIG_lAGjfYjdfhu3X1nFz" TargetMode="External"/><Relationship Id="rId1867" Type="http://schemas.openxmlformats.org/officeDocument/2006/relationships/hyperlink" Target="https://drive.google.com/open?id=1Kb1K2HMZ1AaovpysreR4jpnLeWVa2d5Q" TargetMode="External"/><Relationship Id="rId61" Type="http://schemas.openxmlformats.org/officeDocument/2006/relationships/hyperlink" Target="https://drive.google.com/open?id=19d-r6fDfVUMVsoDIbBz6kc1B67occqRI" TargetMode="External"/><Relationship Id="rId1727" Type="http://schemas.openxmlformats.org/officeDocument/2006/relationships/hyperlink" Target="https://drive.google.com/open?id=1o34iUiasZFuWo5IMQYkXvJFRvJ3Wuytl" TargetMode="External"/><Relationship Id="rId1934" Type="http://schemas.openxmlformats.org/officeDocument/2006/relationships/hyperlink" Target="https://drive.google.com/open?id=1EtSIAV1wSOEzZeKO9EkyTDsebnUCO3fO" TargetMode="External"/><Relationship Id="rId19" Type="http://schemas.openxmlformats.org/officeDocument/2006/relationships/hyperlink" Target="https://drive.google.com/open?id=1jp461rBrfAZWriC4AYTaN1iQG6pa8f5D" TargetMode="External"/><Relationship Id="rId168" Type="http://schemas.openxmlformats.org/officeDocument/2006/relationships/hyperlink" Target="https://drive.google.com/open?id=1wV29c9xHc5djgJA_yHnvVheA_wfKjhiT" TargetMode="External"/><Relationship Id="rId375" Type="http://schemas.openxmlformats.org/officeDocument/2006/relationships/hyperlink" Target="https://drive.google.com/open?id=1RtBde4s3oakNlpVmxHiUnudkZ7S7hcij" TargetMode="External"/><Relationship Id="rId582" Type="http://schemas.openxmlformats.org/officeDocument/2006/relationships/hyperlink" Target="https://drive.google.com/open?id=1KzCgmGbcNb-18xHk_WYGGALycqlZOo1P" TargetMode="External"/><Relationship Id="rId3" Type="http://schemas.openxmlformats.org/officeDocument/2006/relationships/hyperlink" Target="https://drive.google.com/open?id=1sOSxMCLkBzze0d40m9EiiMboCvtaEQg_" TargetMode="External"/><Relationship Id="rId235" Type="http://schemas.openxmlformats.org/officeDocument/2006/relationships/hyperlink" Target="https://drive.google.com/open?id=1Cx_qjlBPkbA7ICThzh8O8DwSib15hUCR" TargetMode="External"/><Relationship Id="rId442" Type="http://schemas.openxmlformats.org/officeDocument/2006/relationships/hyperlink" Target="https://drive.google.com/open?id=1IlwAjFzRs0suzS7xv4qQhjvb4lEI_7CA" TargetMode="External"/><Relationship Id="rId887" Type="http://schemas.openxmlformats.org/officeDocument/2006/relationships/hyperlink" Target="https://drive.google.com/open?id=1xtKArH5lGisTi3ZeSlzLp1HJfy73xUmV" TargetMode="External"/><Relationship Id="rId1072" Type="http://schemas.openxmlformats.org/officeDocument/2006/relationships/hyperlink" Target="https://drive.google.com/open?id=1kp63yb7tZvY3Bh3kEmAn3E2S3mQPoiRq" TargetMode="External"/><Relationship Id="rId302" Type="http://schemas.openxmlformats.org/officeDocument/2006/relationships/hyperlink" Target="https://drive.google.com/open?id=12ACHLjN_4V2UUHo8-ajlgBeWc2a7sVxY" TargetMode="External"/><Relationship Id="rId747" Type="http://schemas.openxmlformats.org/officeDocument/2006/relationships/hyperlink" Target="https://drive.google.com/open?id=1TI20cKAc8kfxZXOzz7vl2OgiYhofvwYj" TargetMode="External"/><Relationship Id="rId954" Type="http://schemas.openxmlformats.org/officeDocument/2006/relationships/hyperlink" Target="https://drive.google.com/open?id=1FMqkTpjIUg7qNV8bDVPu699GD26ESbW5" TargetMode="External"/><Relationship Id="rId1377" Type="http://schemas.openxmlformats.org/officeDocument/2006/relationships/hyperlink" Target="https://drive.google.com/open?id=1Xdj5VMrCNajfJBw1-RbzX31jxiynS0Bf" TargetMode="External"/><Relationship Id="rId1584" Type="http://schemas.openxmlformats.org/officeDocument/2006/relationships/hyperlink" Target="https://drive.google.com/open?id=1XkDlbELMfJY7fCXtaae-hE2BEfVMSJi3" TargetMode="External"/><Relationship Id="rId1791" Type="http://schemas.openxmlformats.org/officeDocument/2006/relationships/hyperlink" Target="https://drive.google.com/open?id=1_z33MVe16BeNsIkkIYTd9Rsf3hb1ytAs" TargetMode="External"/><Relationship Id="rId83" Type="http://schemas.openxmlformats.org/officeDocument/2006/relationships/hyperlink" Target="https://drive.google.com/open?id=1uYJkUroP0BRkyH12UfDjlowWMA3GN6G9" TargetMode="External"/><Relationship Id="rId607" Type="http://schemas.openxmlformats.org/officeDocument/2006/relationships/hyperlink" Target="https://drive.google.com/open?id=1kKHmKAQhC1GHYkkpCMjfnXJiMgrhE4sx" TargetMode="External"/><Relationship Id="rId814" Type="http://schemas.openxmlformats.org/officeDocument/2006/relationships/hyperlink" Target="https://drive.google.com/open?id=18vHaHs1vZvOcElNNUHyNsV5w6a0k1Qxh" TargetMode="External"/><Relationship Id="rId1237" Type="http://schemas.openxmlformats.org/officeDocument/2006/relationships/hyperlink" Target="https://drive.google.com/open?id=1_No1a_hvVvPxMSp3rCOE6MW0nGj3u6Sf" TargetMode="External"/><Relationship Id="rId1444" Type="http://schemas.openxmlformats.org/officeDocument/2006/relationships/hyperlink" Target="https://drive.google.com/open?id=13qDaMxJ0IjmEmyX6Cr-SML2wcOCOyO6B" TargetMode="External"/><Relationship Id="rId1651" Type="http://schemas.openxmlformats.org/officeDocument/2006/relationships/hyperlink" Target="https://drive.google.com/open?id=1EbR9x1PmUMJJYG4g429R5KvpQdN7Ceaw" TargetMode="External"/><Relationship Id="rId1889" Type="http://schemas.openxmlformats.org/officeDocument/2006/relationships/hyperlink" Target="https://drive.google.com/open?id=1Ov47zt95Lb4f5iY050hGwI5O2eOWuOOk" TargetMode="External"/><Relationship Id="rId1304" Type="http://schemas.openxmlformats.org/officeDocument/2006/relationships/hyperlink" Target="https://drive.google.com/open?id=1L9fGShqyQJNEq_oCUe3NjiJMbAQCubBx" TargetMode="External"/><Relationship Id="rId1511" Type="http://schemas.openxmlformats.org/officeDocument/2006/relationships/hyperlink" Target="https://drive.google.com/open?id=1Kh2Rm6ejUi_OrV8E3FfNia7_C4Vp6O6z" TargetMode="External"/><Relationship Id="rId1749" Type="http://schemas.openxmlformats.org/officeDocument/2006/relationships/hyperlink" Target="https://drive.google.com/open?id=1Q0SIyI70K-4UkR22P3g-RF131mRpkMr_" TargetMode="External"/><Relationship Id="rId1956" Type="http://schemas.openxmlformats.org/officeDocument/2006/relationships/hyperlink" Target="https://drive.google.com/open?id=1xF6G4zGzZqwRXQqWMgaxn8U6g_9PtjfT" TargetMode="External"/><Relationship Id="rId106" Type="http://schemas.openxmlformats.org/officeDocument/2006/relationships/hyperlink" Target="https://drive.google.com/open?id=1C0ZcyccCLWBxM19i2_XYfRraLAC279Gd" TargetMode="External"/><Relationship Id="rId313" Type="http://schemas.openxmlformats.org/officeDocument/2006/relationships/hyperlink" Target="https://drive.google.com/open?id=1ED3WvsRnt-Wr74eQlANrU6_smT-XkfCs" TargetMode="External"/><Relationship Id="rId758" Type="http://schemas.openxmlformats.org/officeDocument/2006/relationships/hyperlink" Target="https://drive.google.com/open?id=1eX-R2RSQFMf7E6Coa6qgTLifZ49MX525" TargetMode="External"/><Relationship Id="rId965" Type="http://schemas.openxmlformats.org/officeDocument/2006/relationships/hyperlink" Target="https://drive.google.com/open?id=1TZHoN-uUuOaWIDw7bmAZUvah2ogqsu0s" TargetMode="External"/><Relationship Id="rId1150" Type="http://schemas.openxmlformats.org/officeDocument/2006/relationships/hyperlink" Target="https://drive.google.com/open?id=1953t4sZfpp3CagVnrOjIKsZXtVZVQX6a" TargetMode="External"/><Relationship Id="rId1388" Type="http://schemas.openxmlformats.org/officeDocument/2006/relationships/hyperlink" Target="https://drive.google.com/open?id=17Lp44z4EqX8qbDl3jY6BYkrqsC8hbyRl" TargetMode="External"/><Relationship Id="rId1595" Type="http://schemas.openxmlformats.org/officeDocument/2006/relationships/hyperlink" Target="https://drive.google.com/open?id=1FSoYfR6xHj7dGev2-qJKer06uiLWXsEy" TargetMode="External"/><Relationship Id="rId1609" Type="http://schemas.openxmlformats.org/officeDocument/2006/relationships/hyperlink" Target="https://drive.google.com/open?id=1rYMWeoD487dRJOZ-bj7_-gcg9uw7LcLL" TargetMode="External"/><Relationship Id="rId1816" Type="http://schemas.openxmlformats.org/officeDocument/2006/relationships/hyperlink" Target="https://drive.google.com/open?id=13cLp3sSF1E0ZYqpUJhmbQW2OCgOOtfOk" TargetMode="External"/><Relationship Id="rId10" Type="http://schemas.openxmlformats.org/officeDocument/2006/relationships/hyperlink" Target="https://drive.google.com/open?id=1TcuJEPK_ClHAhm9m65N_bCOlneGmets4" TargetMode="External"/><Relationship Id="rId94" Type="http://schemas.openxmlformats.org/officeDocument/2006/relationships/hyperlink" Target="https://drive.google.com/open?id=1RXwRvWF8p38pm7Fk3Bv5lRybaZp9Aphy" TargetMode="External"/><Relationship Id="rId397" Type="http://schemas.openxmlformats.org/officeDocument/2006/relationships/hyperlink" Target="https://drive.google.com/open?id=1oihaBRu9uehArgHOQ0aJpNBeCU5cW32f" TargetMode="External"/><Relationship Id="rId520" Type="http://schemas.openxmlformats.org/officeDocument/2006/relationships/hyperlink" Target="https://drive.google.com/open?id=1aqVpj2ONnlqDeToE9lwGDY_M4Sacp1Er" TargetMode="External"/><Relationship Id="rId618" Type="http://schemas.openxmlformats.org/officeDocument/2006/relationships/hyperlink" Target="https://drive.google.com/open?id=1nPTjT1_PGdAzUkhcfiCaxQQykImZeWp_" TargetMode="External"/><Relationship Id="rId825" Type="http://schemas.openxmlformats.org/officeDocument/2006/relationships/hyperlink" Target="https://drive.google.com/open?id=1qjxZfqhxc1jZzEirPythvUpJxYT7kFQs" TargetMode="External"/><Relationship Id="rId1248" Type="http://schemas.openxmlformats.org/officeDocument/2006/relationships/hyperlink" Target="https://drive.google.com/open?id=1ldq6cVIB3gVGZIDf6mKPLVrHXRiKGXWg" TargetMode="External"/><Relationship Id="rId1455" Type="http://schemas.openxmlformats.org/officeDocument/2006/relationships/hyperlink" Target="https://drive.google.com/open?id=1K1HGrmcslau1t-VXvohIPSe7xbbby09a" TargetMode="External"/><Relationship Id="rId1662" Type="http://schemas.openxmlformats.org/officeDocument/2006/relationships/hyperlink" Target="https://drive.google.com/open?id=1yXPJZFdhHdJmNWHwCD1Y7od6P6xTlhrd" TargetMode="External"/><Relationship Id="rId257" Type="http://schemas.openxmlformats.org/officeDocument/2006/relationships/hyperlink" Target="https://drive.google.com/open?id=1YC9B9DBttrx7iW3fji5qXKVPPE77VRM9" TargetMode="External"/><Relationship Id="rId464" Type="http://schemas.openxmlformats.org/officeDocument/2006/relationships/hyperlink" Target="https://drive.google.com/open?id=1YMWg8IhtBJQ97r3wtR98__fMr3xbv-76" TargetMode="External"/><Relationship Id="rId1010" Type="http://schemas.openxmlformats.org/officeDocument/2006/relationships/hyperlink" Target="https://drive.google.com/open?id=1gBwWO37Uz1rom0VaE3on2p_5b4up5-st" TargetMode="External"/><Relationship Id="rId1094" Type="http://schemas.openxmlformats.org/officeDocument/2006/relationships/hyperlink" Target="https://drive.google.com/open?id=1dRX5QfwlNyoTDtLHHsJb9nWr22fdoaC2" TargetMode="External"/><Relationship Id="rId1108" Type="http://schemas.openxmlformats.org/officeDocument/2006/relationships/hyperlink" Target="https://drive.google.com/open?id=1ZhhG98MUBMFVbL0YjSp44uqc6VMEyvnj" TargetMode="External"/><Relationship Id="rId1315" Type="http://schemas.openxmlformats.org/officeDocument/2006/relationships/hyperlink" Target="https://drive.google.com/open?id=1yKid-g8opwdfQ8Dw7pSIj_zd83gmG8iy" TargetMode="External"/><Relationship Id="rId1967" Type="http://schemas.openxmlformats.org/officeDocument/2006/relationships/hyperlink" Target="https://drive.google.com/open?id=1864csch6YSn1_48Dd-Dby7jSLqilo9ac" TargetMode="External"/><Relationship Id="rId117" Type="http://schemas.openxmlformats.org/officeDocument/2006/relationships/hyperlink" Target="https://drive.google.com/open?id=18innlZIPvhpa7NSxFp2-kxtg7Xh-CO-q" TargetMode="External"/><Relationship Id="rId671" Type="http://schemas.openxmlformats.org/officeDocument/2006/relationships/hyperlink" Target="https://drive.google.com/open?id=1Wv6E_vdS-ESWZnxUhnnndrDirl7F1hzF" TargetMode="External"/><Relationship Id="rId769" Type="http://schemas.openxmlformats.org/officeDocument/2006/relationships/hyperlink" Target="https://drive.google.com/open?id=1rqEChxNhmtqmmdV0PgxpOnN0iRN_1WxS" TargetMode="External"/><Relationship Id="rId976" Type="http://schemas.openxmlformats.org/officeDocument/2006/relationships/hyperlink" Target="https://drive.google.com/open?id=1QNEfjKpzm9z76XAdnyMJ8CHdTsN1HN4z" TargetMode="External"/><Relationship Id="rId1399" Type="http://schemas.openxmlformats.org/officeDocument/2006/relationships/hyperlink" Target="https://drive.google.com/open?id=1T1d25PN3qu0cJLkSJngbhA6wx0kWzDNZ" TargetMode="External"/><Relationship Id="rId324" Type="http://schemas.openxmlformats.org/officeDocument/2006/relationships/hyperlink" Target="https://drive.google.com/open?id=1nkHhiUJN_5fjBG3lweA0WGJ6I5yPkMiy" TargetMode="External"/><Relationship Id="rId531" Type="http://schemas.openxmlformats.org/officeDocument/2006/relationships/hyperlink" Target="https://drive.google.com/open?id=1adJ231sgCCqg79JwQffl-mexdlmh0TXd" TargetMode="External"/><Relationship Id="rId629" Type="http://schemas.openxmlformats.org/officeDocument/2006/relationships/hyperlink" Target="https://drive.google.com/open?id=17BoDmOqX6m_sDlG_HYeNfQbI8ouzZYHg" TargetMode="External"/><Relationship Id="rId1161" Type="http://schemas.openxmlformats.org/officeDocument/2006/relationships/hyperlink" Target="https://drive.google.com/open?id=1Gz_HS-IHHofrxE0VoJ4u6ECFRr2Sf33O" TargetMode="External"/><Relationship Id="rId1259" Type="http://schemas.openxmlformats.org/officeDocument/2006/relationships/hyperlink" Target="https://drive.google.com/open?id=1c_p06W985g9cXdHcxO3w9avZiXyfFB7F" TargetMode="External"/><Relationship Id="rId1466" Type="http://schemas.openxmlformats.org/officeDocument/2006/relationships/hyperlink" Target="https://drive.google.com/open?id=1yxxfi_mIeo6EDu-r-WJf67UqfmEFhjCs" TargetMode="External"/><Relationship Id="rId2005" Type="http://schemas.openxmlformats.org/officeDocument/2006/relationships/hyperlink" Target="https://drive.google.com/open?id=1fVKmJONTdbB9vF6Tkg2Vr-IPyFikfoZa" TargetMode="External"/><Relationship Id="rId836" Type="http://schemas.openxmlformats.org/officeDocument/2006/relationships/hyperlink" Target="https://drive.google.com/open?id=1G87x4BwnunRkriaAnjhVW-S3EnEyIiH1" TargetMode="External"/><Relationship Id="rId1021" Type="http://schemas.openxmlformats.org/officeDocument/2006/relationships/hyperlink" Target="https://drive.google.com/open?id=1JBHP0DpMVlzx1xX7Tn-Q608Gj4rZsffD" TargetMode="External"/><Relationship Id="rId1119" Type="http://schemas.openxmlformats.org/officeDocument/2006/relationships/hyperlink" Target="https://drive.google.com/open?id=1-hsjGElO9RtSZ0OG5cdwDJVZ0YGvfIuW" TargetMode="External"/><Relationship Id="rId1673" Type="http://schemas.openxmlformats.org/officeDocument/2006/relationships/hyperlink" Target="https://drive.google.com/open?id=1X2IC_BCeAbWa9vCamJzvSWdO7QDDWpJF" TargetMode="External"/><Relationship Id="rId1880" Type="http://schemas.openxmlformats.org/officeDocument/2006/relationships/hyperlink" Target="https://drive.google.com/open?id=1ZQWoDo8cBQqnNxEpxTrcaerfr1zME95y" TargetMode="External"/><Relationship Id="rId1978" Type="http://schemas.openxmlformats.org/officeDocument/2006/relationships/hyperlink" Target="https://drive.google.com/open?id=1JTGGBY9C0SwWdmUZ626pIt6-YrFMbtsv" TargetMode="External"/><Relationship Id="rId903" Type="http://schemas.openxmlformats.org/officeDocument/2006/relationships/hyperlink" Target="https://drive.google.com/open?id=1-XV4-XfXUa58j6UNnoceEcO13UuB-wvs" TargetMode="External"/><Relationship Id="rId1326" Type="http://schemas.openxmlformats.org/officeDocument/2006/relationships/hyperlink" Target="https://drive.google.com/open?id=1vWELsaQi783D7VDEp5YVeH2qkC2XfIGm" TargetMode="External"/><Relationship Id="rId1533" Type="http://schemas.openxmlformats.org/officeDocument/2006/relationships/hyperlink" Target="https://drive.google.com/open?id=1LAFl1ACp7ug4zF-71HBFrBblXjjyUHOl" TargetMode="External"/><Relationship Id="rId1740" Type="http://schemas.openxmlformats.org/officeDocument/2006/relationships/hyperlink" Target="https://drive.google.com/open?id=1P9H4ARDepVbdvJXNSDcXNDSl7lyTEyOM" TargetMode="External"/><Relationship Id="rId32" Type="http://schemas.openxmlformats.org/officeDocument/2006/relationships/hyperlink" Target="https://drive.google.com/open?id=13r1Tmbx-OtQ-AYEwsMbcAt2-lwHxo5vh" TargetMode="External"/><Relationship Id="rId1600" Type="http://schemas.openxmlformats.org/officeDocument/2006/relationships/hyperlink" Target="https://drive.google.com/open?id=1DtHdcLIDyuQsGoKNP9tgqqFMJ6WP_AZk" TargetMode="External"/><Relationship Id="rId1838" Type="http://schemas.openxmlformats.org/officeDocument/2006/relationships/hyperlink" Target="https://drive.google.com/open?id=1fAKFaJU5ec0iNlkhQZpgcLlf6mzXxTrt" TargetMode="External"/><Relationship Id="rId181" Type="http://schemas.openxmlformats.org/officeDocument/2006/relationships/hyperlink" Target="https://drive.google.com/open?id=1iLrNrVWV8mH763cdxfEPasE7mOYiU_2y" TargetMode="External"/><Relationship Id="rId1905" Type="http://schemas.openxmlformats.org/officeDocument/2006/relationships/hyperlink" Target="https://drive.google.com/open?id=1HEJFGjI77zoe9rhHlTShTdmwW7m3ORtA" TargetMode="External"/><Relationship Id="rId279" Type="http://schemas.openxmlformats.org/officeDocument/2006/relationships/hyperlink" Target="https://drive.google.com/open?id=1WBAPVPrgQny5jsF6Uhk9aDShpq2K-gew" TargetMode="External"/><Relationship Id="rId486" Type="http://schemas.openxmlformats.org/officeDocument/2006/relationships/hyperlink" Target="https://drive.google.com/open?id=1ZdSGBN7iQ-I6UTWInEw1ORviaGFFkLWo" TargetMode="External"/><Relationship Id="rId693" Type="http://schemas.openxmlformats.org/officeDocument/2006/relationships/hyperlink" Target="https://drive.google.com/open?id=105DQa5GWXtbJYAws88DMP13bguUis2fl" TargetMode="External"/><Relationship Id="rId139" Type="http://schemas.openxmlformats.org/officeDocument/2006/relationships/hyperlink" Target="https://drive.google.com/open?id=19ABKDY_qBvSp9sF6WmaGLnITANJ78vcU" TargetMode="External"/><Relationship Id="rId346" Type="http://schemas.openxmlformats.org/officeDocument/2006/relationships/hyperlink" Target="https://drive.google.com/open?id=1SUeBGJdoS013Kllh2MKVVD_aNg9gmkGU" TargetMode="External"/><Relationship Id="rId553" Type="http://schemas.openxmlformats.org/officeDocument/2006/relationships/hyperlink" Target="https://drive.google.com/open?id=1hN1gm2JqiFuGXEMienfta2wRZwxQHX6m" TargetMode="External"/><Relationship Id="rId760" Type="http://schemas.openxmlformats.org/officeDocument/2006/relationships/hyperlink" Target="https://drive.google.com/open?id=1bLuo-Xzt6JUjzxuRfS1zjfmT7PbGpmAr" TargetMode="External"/><Relationship Id="rId998" Type="http://schemas.openxmlformats.org/officeDocument/2006/relationships/hyperlink" Target="https://drive.google.com/open?id=18wEour2bW1D9lGSvT5fr3EifYWhfP-5q" TargetMode="External"/><Relationship Id="rId1183" Type="http://schemas.openxmlformats.org/officeDocument/2006/relationships/hyperlink" Target="https://drive.google.com/open?id=1C8iRgyRXkh7e1Mx7y4ulyjhY51dAdeGB" TargetMode="External"/><Relationship Id="rId1390" Type="http://schemas.openxmlformats.org/officeDocument/2006/relationships/hyperlink" Target="https://drive.google.com/open?id=1fs_qGgMGA22xY49g9vrA7HmZzFUASRyR" TargetMode="External"/><Relationship Id="rId2027" Type="http://schemas.openxmlformats.org/officeDocument/2006/relationships/hyperlink" Target="https://drive.google.com/open?id=1Lr2c3rQlzvLOe_PXmq-8sGzJ78LnZ7vQ" TargetMode="External"/><Relationship Id="rId206" Type="http://schemas.openxmlformats.org/officeDocument/2006/relationships/hyperlink" Target="https://drive.google.com/open?id=1UaAOP60vcQOpM-bbx8fOL3zDVHldvXab" TargetMode="External"/><Relationship Id="rId413" Type="http://schemas.openxmlformats.org/officeDocument/2006/relationships/hyperlink" Target="https://drive.google.com/open?id=1CfH6M9Q-IQ4n4m59ZBfjBjLsVTPZIzVs" TargetMode="External"/><Relationship Id="rId858" Type="http://schemas.openxmlformats.org/officeDocument/2006/relationships/hyperlink" Target="https://drive.google.com/open?id=1WmWU1NhBCjGV4rJQOMepzPmu3C9biEjl" TargetMode="External"/><Relationship Id="rId1043" Type="http://schemas.openxmlformats.org/officeDocument/2006/relationships/hyperlink" Target="https://drive.google.com/open?id=1-4s_xpomT5czkghRHxWtqaJRFG6W8dUN" TargetMode="External"/><Relationship Id="rId1488" Type="http://schemas.openxmlformats.org/officeDocument/2006/relationships/hyperlink" Target="https://drive.google.com/open?id=13NEWR2NMWY52Hfnykz5nrlj2lWkx3eI_" TargetMode="External"/><Relationship Id="rId1695" Type="http://schemas.openxmlformats.org/officeDocument/2006/relationships/hyperlink" Target="https://drive.google.com/open?id=1fXRV9uUyFlIOE-VoJFJy3WDtnwaK3FKz" TargetMode="External"/><Relationship Id="rId620" Type="http://schemas.openxmlformats.org/officeDocument/2006/relationships/hyperlink" Target="https://drive.google.com/open?id=1G4dvgh2D_gKtSX-jWCtUPrCV3TU8Dlpe" TargetMode="External"/><Relationship Id="rId718" Type="http://schemas.openxmlformats.org/officeDocument/2006/relationships/hyperlink" Target="https://drive.google.com/open?id=1aqZKakQl-F_VzHZFEchzma9_z6dray6r" TargetMode="External"/><Relationship Id="rId925" Type="http://schemas.openxmlformats.org/officeDocument/2006/relationships/hyperlink" Target="https://drive.google.com/open?id=1q9VFgsSWwQDdjg8eMwx26a6Fq1eDjsQI" TargetMode="External"/><Relationship Id="rId1250" Type="http://schemas.openxmlformats.org/officeDocument/2006/relationships/hyperlink" Target="https://drive.google.com/open?id=1wOI2Peq5X63ZHRPpbDk0JEQHLM2Vsm2c" TargetMode="External"/><Relationship Id="rId1348" Type="http://schemas.openxmlformats.org/officeDocument/2006/relationships/hyperlink" Target="https://drive.google.com/open?id=1r8BqmCqQk-kAgPGYKFbi71MqH1lRFCKa" TargetMode="External"/><Relationship Id="rId1555" Type="http://schemas.openxmlformats.org/officeDocument/2006/relationships/hyperlink" Target="https://drive.google.com/open?id=1ubP1SUxB1zEs0ehQyK0WYMDApGBXt8BY" TargetMode="External"/><Relationship Id="rId1762" Type="http://schemas.openxmlformats.org/officeDocument/2006/relationships/hyperlink" Target="https://drive.google.com/open?id=1S7rQdK55Y6X-_gQJD7dpcDwwBxQXL0RA" TargetMode="External"/><Relationship Id="rId1110" Type="http://schemas.openxmlformats.org/officeDocument/2006/relationships/hyperlink" Target="https://drive.google.com/open?id=12nDz5TTBMKC-g2rElawPLqZIGWyMOMls" TargetMode="External"/><Relationship Id="rId1208" Type="http://schemas.openxmlformats.org/officeDocument/2006/relationships/hyperlink" Target="https://drive.google.com/open?id=16nP-LCizOHGCozd9YhWxi7D1O66oEH_O" TargetMode="External"/><Relationship Id="rId1415" Type="http://schemas.openxmlformats.org/officeDocument/2006/relationships/hyperlink" Target="https://drive.google.com/open?id=1tRcubhP4C8uOcCF0FHz7fV2I8kMqBd49" TargetMode="External"/><Relationship Id="rId54" Type="http://schemas.openxmlformats.org/officeDocument/2006/relationships/hyperlink" Target="https://drive.google.com/open?id=1PsJnu2vE0cZCoKHa5jMq6fg0tbZTyB9o" TargetMode="External"/><Relationship Id="rId1622" Type="http://schemas.openxmlformats.org/officeDocument/2006/relationships/hyperlink" Target="https://drive.google.com/open?id=13eP_JNMOWs_nIdei0hOlD4zeLd1Dh6Lw" TargetMode="External"/><Relationship Id="rId1927" Type="http://schemas.openxmlformats.org/officeDocument/2006/relationships/hyperlink" Target="https://drive.google.com/open?id=1gsa-dkD9RJcFRiPc2rvzV2XNIGNY1y5H" TargetMode="External"/><Relationship Id="rId270" Type="http://schemas.openxmlformats.org/officeDocument/2006/relationships/hyperlink" Target="https://drive.google.com/open?id=1qKYpFwWh07P3fmnVCz6t9D8KdJB8N9JQ" TargetMode="External"/><Relationship Id="rId130" Type="http://schemas.openxmlformats.org/officeDocument/2006/relationships/hyperlink" Target="https://drive.google.com/open?id=1NL_HHQ4-5M-6of25EsiA6PEODsS3PxV_" TargetMode="External"/><Relationship Id="rId368" Type="http://schemas.openxmlformats.org/officeDocument/2006/relationships/hyperlink" Target="https://drive.google.com/open?id=1Vn1YRukCzp1TuaJb7o4FP2N5LAORMtsh" TargetMode="External"/><Relationship Id="rId575" Type="http://schemas.openxmlformats.org/officeDocument/2006/relationships/hyperlink" Target="https://drive.google.com/open?id=1dwqgWbGSurWzruLRYfyTlYUIhSXZ0rQF" TargetMode="External"/><Relationship Id="rId782" Type="http://schemas.openxmlformats.org/officeDocument/2006/relationships/hyperlink" Target="https://drive.google.com/open?id=1dztdjAIaEe51-olLU5iSzXf77AvEIQkH" TargetMode="External"/><Relationship Id="rId228" Type="http://schemas.openxmlformats.org/officeDocument/2006/relationships/hyperlink" Target="https://drive.google.com/open?id=1AuQ4hbi-EPLHCCOSqeZLPZCWeLHwRS9A" TargetMode="External"/><Relationship Id="rId435" Type="http://schemas.openxmlformats.org/officeDocument/2006/relationships/hyperlink" Target="https://drive.google.com/open?id=1IoHKY_6MfT9ySPLjQgypSGqT9zP0MINh" TargetMode="External"/><Relationship Id="rId642" Type="http://schemas.openxmlformats.org/officeDocument/2006/relationships/hyperlink" Target="https://drive.google.com/open?id=1HS0tS215ixmRldOdjCKACw7tkomTJ4Ev" TargetMode="External"/><Relationship Id="rId1065" Type="http://schemas.openxmlformats.org/officeDocument/2006/relationships/hyperlink" Target="https://drive.google.com/open?id=1OZZUQ2lvl7_pkCEenLp0WQ19EKKPiZeW" TargetMode="External"/><Relationship Id="rId1272" Type="http://schemas.openxmlformats.org/officeDocument/2006/relationships/hyperlink" Target="https://drive.google.com/open?id=1c-w7ALloHqh9oZKjYNuihOx6wS1OzNO1" TargetMode="External"/><Relationship Id="rId502" Type="http://schemas.openxmlformats.org/officeDocument/2006/relationships/hyperlink" Target="https://drive.google.com/open?id=1n4OW2EdfHqbQ6qRGoAwirFWgnmOFGTSx" TargetMode="External"/><Relationship Id="rId947" Type="http://schemas.openxmlformats.org/officeDocument/2006/relationships/hyperlink" Target="https://drive.google.com/open?id=1suPWIiIMv5vlLvoBR5jzu4UqkIvmtdKD" TargetMode="External"/><Relationship Id="rId1132" Type="http://schemas.openxmlformats.org/officeDocument/2006/relationships/hyperlink" Target="https://drive.google.com/open?id=1Ie9_sAwDHUQt3hrfG9_GeZjtGiMszYjS" TargetMode="External"/><Relationship Id="rId1577" Type="http://schemas.openxmlformats.org/officeDocument/2006/relationships/hyperlink" Target="https://drive.google.com/open?id=1EV1z6rvtydFVzl7GNyd6-4Pd0OzMfjPP" TargetMode="External"/><Relationship Id="rId1784" Type="http://schemas.openxmlformats.org/officeDocument/2006/relationships/hyperlink" Target="https://drive.google.com/open?id=16xjEfKAjX7KRa9vAKWPUK1k8W5ftjbAX" TargetMode="External"/><Relationship Id="rId1991" Type="http://schemas.openxmlformats.org/officeDocument/2006/relationships/hyperlink" Target="https://drive.google.com/open?id=186EfHlafPz6a3l3hpD9gOBeCuMiyrliY" TargetMode="External"/><Relationship Id="rId76" Type="http://schemas.openxmlformats.org/officeDocument/2006/relationships/hyperlink" Target="https://drive.google.com/open?id=1Wrc7xRuqXuxGfht4o46RYvgovUQheta7" TargetMode="External"/><Relationship Id="rId807" Type="http://schemas.openxmlformats.org/officeDocument/2006/relationships/hyperlink" Target="https://drive.google.com/open?id=1cwryxR0pjz7YlV2KuCUUWB7XG7T5Y7pI" TargetMode="External"/><Relationship Id="rId1437" Type="http://schemas.openxmlformats.org/officeDocument/2006/relationships/hyperlink" Target="https://drive.google.com/open?id=1PC6pH3FoFDicyFzDi8pQsU1kw6LQoSe-" TargetMode="External"/><Relationship Id="rId1644" Type="http://schemas.openxmlformats.org/officeDocument/2006/relationships/hyperlink" Target="https://drive.google.com/open?id=1NMUlScuXgGhbTQhQBfJI6EEN6mL6Q2O-" TargetMode="External"/><Relationship Id="rId1851" Type="http://schemas.openxmlformats.org/officeDocument/2006/relationships/hyperlink" Target="https://drive.google.com/open?id=1RAfpdMzQrOqKtcK3l9Mg9X16IkdUHoEG" TargetMode="External"/><Relationship Id="rId1504" Type="http://schemas.openxmlformats.org/officeDocument/2006/relationships/hyperlink" Target="https://drive.google.com/open?id=1JWT6LOmgpTD3-dpgoNybzlLcJ8sH31CA" TargetMode="External"/><Relationship Id="rId1711" Type="http://schemas.openxmlformats.org/officeDocument/2006/relationships/hyperlink" Target="https://drive.google.com/open?id=1YsS9XqiVsvpzlCxeU2xBSb4TzGGHw5Bv" TargetMode="External"/><Relationship Id="rId1949" Type="http://schemas.openxmlformats.org/officeDocument/2006/relationships/hyperlink" Target="https://drive.google.com/open?id=1DIgiJ2Nic3kMdE3Du5dVLQCpkjt38GPO" TargetMode="External"/><Relationship Id="rId292" Type="http://schemas.openxmlformats.org/officeDocument/2006/relationships/hyperlink" Target="https://drive.google.com/open?id=1KV1COuKdXSOAMhSkw7XMKzB6VU0MD1Ab" TargetMode="External"/><Relationship Id="rId1809" Type="http://schemas.openxmlformats.org/officeDocument/2006/relationships/hyperlink" Target="https://drive.google.com/open?id=17mhQpP5AYlmGt7B1nl9gf8gHtQ71jx8i" TargetMode="External"/><Relationship Id="rId597" Type="http://schemas.openxmlformats.org/officeDocument/2006/relationships/hyperlink" Target="https://drive.google.com/open?id=1nRlS6DKO_ojo3qm_-rOgGY9m50WWYy1H" TargetMode="External"/><Relationship Id="rId152" Type="http://schemas.openxmlformats.org/officeDocument/2006/relationships/hyperlink" Target="https://drive.google.com/open?id=1eUlnZIoZg9_9fJrovSAHusHOmJMoOnrt" TargetMode="External"/><Relationship Id="rId457" Type="http://schemas.openxmlformats.org/officeDocument/2006/relationships/hyperlink" Target="https://drive.google.com/open?id=1zx-OnysEvYHG-MnHHIDVL0ZEfLo0JlYY" TargetMode="External"/><Relationship Id="rId1087" Type="http://schemas.openxmlformats.org/officeDocument/2006/relationships/hyperlink" Target="https://drive.google.com/open?id=1XY1ohQo8vMeoFP31p-5rvEkCWbidbbsw" TargetMode="External"/><Relationship Id="rId1294" Type="http://schemas.openxmlformats.org/officeDocument/2006/relationships/hyperlink" Target="https://drive.google.com/open?id=1KIFF0iF4Kbn16Uopjx7lHq6sRuYx49eu" TargetMode="External"/><Relationship Id="rId664" Type="http://schemas.openxmlformats.org/officeDocument/2006/relationships/hyperlink" Target="https://drive.google.com/open?id=1ERGoA6Q72DZzjYu-5PQ1U7gCVA2XuWB1" TargetMode="External"/><Relationship Id="rId871" Type="http://schemas.openxmlformats.org/officeDocument/2006/relationships/hyperlink" Target="https://drive.google.com/open?id=1_LrpvssnOHv2_Oed1v_41pT99VEf69Ve" TargetMode="External"/><Relationship Id="rId969" Type="http://schemas.openxmlformats.org/officeDocument/2006/relationships/hyperlink" Target="https://drive.google.com/open?id=14Ix86Wwzaj52R4V7a_hBpvpnTmGC-Ga-" TargetMode="External"/><Relationship Id="rId1599" Type="http://schemas.openxmlformats.org/officeDocument/2006/relationships/hyperlink" Target="https://drive.google.com/open?id=1IY6wRQcZdpGBRAUI3xNHKEcc3arM5DcT" TargetMode="External"/><Relationship Id="rId317" Type="http://schemas.openxmlformats.org/officeDocument/2006/relationships/hyperlink" Target="https://drive.google.com/open?id=187DQ-AGboo8RWqbu0ftLAZtNhYMLViOJ" TargetMode="External"/><Relationship Id="rId524" Type="http://schemas.openxmlformats.org/officeDocument/2006/relationships/hyperlink" Target="https://drive.google.com/open?id=18jd23JZEleHQCBt4kyzKeNJEk5vjgsw9" TargetMode="External"/><Relationship Id="rId731" Type="http://schemas.openxmlformats.org/officeDocument/2006/relationships/hyperlink" Target="https://drive.google.com/open?id=1IepDnkrnEJL1SgFf1BjTS3NujQXgyX8-" TargetMode="External"/><Relationship Id="rId1154" Type="http://schemas.openxmlformats.org/officeDocument/2006/relationships/hyperlink" Target="https://drive.google.com/open?id=1OFRmI2qQqt9AjwAXSCSP-3-czcwwyz2l" TargetMode="External"/><Relationship Id="rId1361" Type="http://schemas.openxmlformats.org/officeDocument/2006/relationships/hyperlink" Target="https://drive.google.com/open?id=10GgBglIOQZb1XSYNdm8QpzRC-UlhVhfp" TargetMode="External"/><Relationship Id="rId1459" Type="http://schemas.openxmlformats.org/officeDocument/2006/relationships/hyperlink" Target="https://drive.google.com/open?id=1F-uxlUxB5qhjW4DvQ8wYgkT2_3GJ8Y_r" TargetMode="External"/><Relationship Id="rId98" Type="http://schemas.openxmlformats.org/officeDocument/2006/relationships/hyperlink" Target="https://drive.google.com/open?id=1QQ7tVoGXDOV1ZVZSvCrZ4OZquqw-Hv-b" TargetMode="External"/><Relationship Id="rId829" Type="http://schemas.openxmlformats.org/officeDocument/2006/relationships/hyperlink" Target="https://drive.google.com/open?id=1MizaZ0o9poU1ZF3ZKvvhA02SVRwo_KsD" TargetMode="External"/><Relationship Id="rId1014" Type="http://schemas.openxmlformats.org/officeDocument/2006/relationships/hyperlink" Target="https://drive.google.com/open?id=1haAxBgIwU9VVYEx3eVGXr7n7Y9PQCLBD" TargetMode="External"/><Relationship Id="rId1221" Type="http://schemas.openxmlformats.org/officeDocument/2006/relationships/hyperlink" Target="https://drive.google.com/open?id=1PLw8GbtZ1OVDol0wqXYXGGwJZIbMwWUP" TargetMode="External"/><Relationship Id="rId1666" Type="http://schemas.openxmlformats.org/officeDocument/2006/relationships/hyperlink" Target="https://drive.google.com/open?id=1w8bplYF1JbFVpivG6CEWxvlUursXU9Ew" TargetMode="External"/><Relationship Id="rId1873" Type="http://schemas.openxmlformats.org/officeDocument/2006/relationships/hyperlink" Target="https://drive.google.com/open?id=1BAh2uEJulItfVAWnCP14yzFWJT5YrSZb" TargetMode="External"/><Relationship Id="rId1319" Type="http://schemas.openxmlformats.org/officeDocument/2006/relationships/hyperlink" Target="https://drive.google.com/open?id=1bZYt3KQEf5QE6OaR4lFFblTYNrrfC5yV" TargetMode="External"/><Relationship Id="rId1526" Type="http://schemas.openxmlformats.org/officeDocument/2006/relationships/hyperlink" Target="https://drive.google.com/open?id=1EEm7LZ-rEkowh6o_XflhJb3qrMgQgbmw" TargetMode="External"/><Relationship Id="rId1733" Type="http://schemas.openxmlformats.org/officeDocument/2006/relationships/hyperlink" Target="https://drive.google.com/open?id=1dLuAIr6mFHTSgBrgiJrA9EUp4FZAyMgo" TargetMode="External"/><Relationship Id="rId1940" Type="http://schemas.openxmlformats.org/officeDocument/2006/relationships/hyperlink" Target="https://drive.google.com/open?id=1ULbiQZy-x_QDUCDlS1VPrsXAJFx3rR3o" TargetMode="External"/><Relationship Id="rId25" Type="http://schemas.openxmlformats.org/officeDocument/2006/relationships/hyperlink" Target="https://drive.google.com/open?id=1sTGcVsLSwvpXBh8ClxiFnwf8T94hs5Ha" TargetMode="External"/><Relationship Id="rId1800" Type="http://schemas.openxmlformats.org/officeDocument/2006/relationships/hyperlink" Target="https://drive.google.com/open?id=1gX6PfrHyrrMo43mdD7DLy20lbx_dEU-q" TargetMode="External"/><Relationship Id="rId174" Type="http://schemas.openxmlformats.org/officeDocument/2006/relationships/hyperlink" Target="https://drive.google.com/open?id=1_oHoR_UmsF1nMYhxUCZwQFa-HOYy6V3j" TargetMode="External"/><Relationship Id="rId381" Type="http://schemas.openxmlformats.org/officeDocument/2006/relationships/hyperlink" Target="https://drive.google.com/open?id=1DFBioq-un1IulItfDs43p5XwcPE6DT1g" TargetMode="External"/><Relationship Id="rId241" Type="http://schemas.openxmlformats.org/officeDocument/2006/relationships/hyperlink" Target="https://drive.google.com/open?id=1TY2VfSq4V5QSV7cYMRz_BJ3Hq7kZqIvl" TargetMode="External"/><Relationship Id="rId479" Type="http://schemas.openxmlformats.org/officeDocument/2006/relationships/hyperlink" Target="https://drive.google.com/open?id=1xFeWYZWZfWaTJWzFctx_QsBsu-n-upCH" TargetMode="External"/><Relationship Id="rId686" Type="http://schemas.openxmlformats.org/officeDocument/2006/relationships/hyperlink" Target="https://drive.google.com/open?id=11M9kHV7XrvW6YqKRTXdMndqkC6W2UmVp" TargetMode="External"/><Relationship Id="rId893" Type="http://schemas.openxmlformats.org/officeDocument/2006/relationships/hyperlink" Target="https://drive.google.com/open?id=1MZDTUTc_mLtmOt1pYbCVCQNKOqUlMhrn" TargetMode="External"/><Relationship Id="rId339" Type="http://schemas.openxmlformats.org/officeDocument/2006/relationships/hyperlink" Target="https://drive.google.com/open?id=1boB6iNnUmXm0Wa-dSS-_-f0A9BKEVNGn" TargetMode="External"/><Relationship Id="rId546" Type="http://schemas.openxmlformats.org/officeDocument/2006/relationships/hyperlink" Target="https://drive.google.com/open?id=1JWqtX00vqVjwfviULajMe5z-5jduFeUS" TargetMode="External"/><Relationship Id="rId753" Type="http://schemas.openxmlformats.org/officeDocument/2006/relationships/hyperlink" Target="https://drive.google.com/open?id=1K4lM3JsSaPBsdFGXRapEfsCyNs82eE12" TargetMode="External"/><Relationship Id="rId1176" Type="http://schemas.openxmlformats.org/officeDocument/2006/relationships/hyperlink" Target="https://drive.google.com/open?id=1RKLWlZi7PwDhRWhbI5kPYFGZdll4EaPw" TargetMode="External"/><Relationship Id="rId1383" Type="http://schemas.openxmlformats.org/officeDocument/2006/relationships/hyperlink" Target="https://drive.google.com/open?id=1QarYhKEODiTMvrGMH8SVW79CTk96Nn-j" TargetMode="External"/><Relationship Id="rId101" Type="http://schemas.openxmlformats.org/officeDocument/2006/relationships/hyperlink" Target="https://drive.google.com/open?id=1vzCQfWwpx6-wHCZtyaUr5jtII2XqJt9R" TargetMode="External"/><Relationship Id="rId406" Type="http://schemas.openxmlformats.org/officeDocument/2006/relationships/hyperlink" Target="https://drive.google.com/open?id=1TX0S_y6SbgGQ-zbQ7QnkNaZxu3qEOjg7" TargetMode="External"/><Relationship Id="rId960" Type="http://schemas.openxmlformats.org/officeDocument/2006/relationships/hyperlink" Target="https://drive.google.com/open?id=1kNb8bh8iMFRBTutoI_MqFXl23fWJ5HcL" TargetMode="External"/><Relationship Id="rId1036" Type="http://schemas.openxmlformats.org/officeDocument/2006/relationships/hyperlink" Target="https://drive.google.com/open?id=1sobFxE8Pw700qAkcJp9qD4V1pD7tuPTx" TargetMode="External"/><Relationship Id="rId1243" Type="http://schemas.openxmlformats.org/officeDocument/2006/relationships/hyperlink" Target="https://drive.google.com/open?id=1Ooud-O1mW3B81jFN4xBLr1AanHUV0gj0" TargetMode="External"/><Relationship Id="rId1590" Type="http://schemas.openxmlformats.org/officeDocument/2006/relationships/hyperlink" Target="https://drive.google.com/open?id=18e311wTcekMpUQFgYbxOhoSX3iXJR4uL" TargetMode="External"/><Relationship Id="rId1688" Type="http://schemas.openxmlformats.org/officeDocument/2006/relationships/hyperlink" Target="https://drive.google.com/open?id=1uMMZqT_5hJYzxPojtnRynONTzntsJb7G" TargetMode="External"/><Relationship Id="rId1895" Type="http://schemas.openxmlformats.org/officeDocument/2006/relationships/hyperlink" Target="https://drive.google.com/open?id=1mu4e9ma2C2PDsI4zLkAbEaQ-UqNTxPR0" TargetMode="External"/><Relationship Id="rId613" Type="http://schemas.openxmlformats.org/officeDocument/2006/relationships/hyperlink" Target="https://drive.google.com/open?id=1JFWkdZzm6itVsv4kgwjp9xTY-Eh0-RDX" TargetMode="External"/><Relationship Id="rId820" Type="http://schemas.openxmlformats.org/officeDocument/2006/relationships/hyperlink" Target="https://drive.google.com/open?id=1GvcO9S4twqkyJDUSjkguTuS0M18YQmjY" TargetMode="External"/><Relationship Id="rId918" Type="http://schemas.openxmlformats.org/officeDocument/2006/relationships/hyperlink" Target="https://drive.google.com/open?id=1yC-8QM8DHu1yC0L76Q-G9jG89m_e0w6i" TargetMode="External"/><Relationship Id="rId1450" Type="http://schemas.openxmlformats.org/officeDocument/2006/relationships/hyperlink" Target="https://drive.google.com/open?id=1-4yp4-Q3H4xERebwY-M_fHWXKBefIyVV" TargetMode="External"/><Relationship Id="rId1548" Type="http://schemas.openxmlformats.org/officeDocument/2006/relationships/hyperlink" Target="https://drive.google.com/open?id=1wBZc2gjiHNggSdZ1TuTswzvzprVEF3bI" TargetMode="External"/><Relationship Id="rId1755" Type="http://schemas.openxmlformats.org/officeDocument/2006/relationships/hyperlink" Target="https://drive.google.com/open?id=1c1Nnq53Y1BurUIDpuTlr9TmQTlJuuRsS" TargetMode="External"/><Relationship Id="rId1103" Type="http://schemas.openxmlformats.org/officeDocument/2006/relationships/hyperlink" Target="https://drive.google.com/open?id=14jdUm5uUln4kvlNjiWBAaQ98toexVD9T" TargetMode="External"/><Relationship Id="rId1310" Type="http://schemas.openxmlformats.org/officeDocument/2006/relationships/hyperlink" Target="https://drive.google.com/open?id=1dvVDbe0_32fsF0LYLkxY0YiAhMZngEg-" TargetMode="External"/><Relationship Id="rId1408" Type="http://schemas.openxmlformats.org/officeDocument/2006/relationships/hyperlink" Target="https://drive.google.com/open?id=101_9xI5UVvQM-ZG9qg_sq3YytyVbFzSD" TargetMode="External"/><Relationship Id="rId1962" Type="http://schemas.openxmlformats.org/officeDocument/2006/relationships/hyperlink" Target="https://drive.google.com/open?id=1qlBQsqA5p51Cijn51DJ2L1CIzJf0tyuM" TargetMode="External"/><Relationship Id="rId47" Type="http://schemas.openxmlformats.org/officeDocument/2006/relationships/hyperlink" Target="https://drive.google.com/open?id=1gpMzB_FRNh4fScZzcNIJCxVj8c9pwUKS" TargetMode="External"/><Relationship Id="rId1615" Type="http://schemas.openxmlformats.org/officeDocument/2006/relationships/hyperlink" Target="https://drive.google.com/open?id=1nnXnZQuU0XD2aem0tdwH8wGUjuquhVBx" TargetMode="External"/><Relationship Id="rId1822" Type="http://schemas.openxmlformats.org/officeDocument/2006/relationships/hyperlink" Target="https://drive.google.com/open?id=1Egrp3iEiTVDBOVudB68CnA6pIKqXaqtb" TargetMode="External"/><Relationship Id="rId196" Type="http://schemas.openxmlformats.org/officeDocument/2006/relationships/hyperlink" Target="https://drive.google.com/open?id=1l5ppSG8IYR4xa8mUwbszm5azqbj0838h" TargetMode="External"/><Relationship Id="rId263" Type="http://schemas.openxmlformats.org/officeDocument/2006/relationships/hyperlink" Target="https://drive.google.com/open?id=1E16uMicZ-1RR8DKP9gotFBSoStGXiNWj" TargetMode="External"/><Relationship Id="rId470" Type="http://schemas.openxmlformats.org/officeDocument/2006/relationships/hyperlink" Target="https://drive.google.com/open?id=1nPEsSUgiOBT5MDkm3kH7dcDl_v7yCq3g" TargetMode="External"/><Relationship Id="rId123" Type="http://schemas.openxmlformats.org/officeDocument/2006/relationships/hyperlink" Target="https://drive.google.com/open?id=1BKmgQr_BpK1TybYsPDnsxvb_KQ4gn0X4" TargetMode="External"/><Relationship Id="rId330" Type="http://schemas.openxmlformats.org/officeDocument/2006/relationships/hyperlink" Target="https://drive.google.com/open?id=18m0mh5c908rNbYcGk6y5HioRwaK5S_yr" TargetMode="External"/><Relationship Id="rId568" Type="http://schemas.openxmlformats.org/officeDocument/2006/relationships/hyperlink" Target="https://drive.google.com/open?id=1yXUSf1Giukg_KTTwalWu1ZGNlyCrEAm5" TargetMode="External"/><Relationship Id="rId775" Type="http://schemas.openxmlformats.org/officeDocument/2006/relationships/hyperlink" Target="https://drive.google.com/open?id=1o3LArPBMC53qm1PRi3TdRtlDcgG26ipp" TargetMode="External"/><Relationship Id="rId982" Type="http://schemas.openxmlformats.org/officeDocument/2006/relationships/hyperlink" Target="https://drive.google.com/open?id=1WFCwwu7bAal8TrbrZ2hcEQKNXuzJLadY" TargetMode="External"/><Relationship Id="rId1198" Type="http://schemas.openxmlformats.org/officeDocument/2006/relationships/hyperlink" Target="https://drive.google.com/open?id=1oY6Jye0tmUpZRVllfOjphBmfvfjAEcgE" TargetMode="External"/><Relationship Id="rId2011" Type="http://schemas.openxmlformats.org/officeDocument/2006/relationships/hyperlink" Target="https://drive.google.com/open?id=1YFxeR7HKLhuc_-uiCRmtcBTy6O9IR1qs" TargetMode="External"/><Relationship Id="rId428" Type="http://schemas.openxmlformats.org/officeDocument/2006/relationships/hyperlink" Target="https://drive.google.com/open?id=109b4GlcGy2UEeLA6pytHdSrtNeElembz" TargetMode="External"/><Relationship Id="rId635" Type="http://schemas.openxmlformats.org/officeDocument/2006/relationships/hyperlink" Target="https://drive.google.com/open?id=1db2rtmfybv9d2l5qtwozLAGUL8l_fTXD" TargetMode="External"/><Relationship Id="rId842" Type="http://schemas.openxmlformats.org/officeDocument/2006/relationships/hyperlink" Target="https://drive.google.com/open?id=103TI7Z51tWveq2XDYCbiVlvxYkfwheci" TargetMode="External"/><Relationship Id="rId1058" Type="http://schemas.openxmlformats.org/officeDocument/2006/relationships/hyperlink" Target="https://drive.google.com/open?id=1f_53LntHK1zKjTmEBRdlckR2dKbUekbN" TargetMode="External"/><Relationship Id="rId1265" Type="http://schemas.openxmlformats.org/officeDocument/2006/relationships/hyperlink" Target="https://drive.google.com/open?id=1fAqItoSwIqkg62wQgAywFJEZeBS8c65R" TargetMode="External"/><Relationship Id="rId1472" Type="http://schemas.openxmlformats.org/officeDocument/2006/relationships/hyperlink" Target="https://drive.google.com/open?id=1KDJqowmE8en-6W8PxXkh1X-jrEsSvtSP" TargetMode="External"/><Relationship Id="rId702" Type="http://schemas.openxmlformats.org/officeDocument/2006/relationships/hyperlink" Target="https://drive.google.com/open?id=1fV5w3qSD7_GiRkgJqvl841sjlVMk1FuZ" TargetMode="External"/><Relationship Id="rId1125" Type="http://schemas.openxmlformats.org/officeDocument/2006/relationships/hyperlink" Target="https://drive.google.com/open?id=1jyNb0XtQIxKXryFwbFgq_2bFQripZvKO" TargetMode="External"/><Relationship Id="rId1332" Type="http://schemas.openxmlformats.org/officeDocument/2006/relationships/hyperlink" Target="https://drive.google.com/open?id=1dIBwaHi2LOPpYxzqmrmlff41I4Fy3y3X" TargetMode="External"/><Relationship Id="rId1777" Type="http://schemas.openxmlformats.org/officeDocument/2006/relationships/hyperlink" Target="https://drive.google.com/open?id=1sOgJtjcv5vgplpLN-xO2pO6p4SFq9Svu" TargetMode="External"/><Relationship Id="rId1984" Type="http://schemas.openxmlformats.org/officeDocument/2006/relationships/hyperlink" Target="https://drive.google.com/open?id=1Ee1a-I_RqQ2f4pmDiEc_wXeJ9s0tUkAJ" TargetMode="External"/><Relationship Id="rId69" Type="http://schemas.openxmlformats.org/officeDocument/2006/relationships/hyperlink" Target="https://drive.google.com/open?id=1nxa6HhNH5KCYAzdSfW0T8I9ZTxiS5a30" TargetMode="External"/><Relationship Id="rId1637" Type="http://schemas.openxmlformats.org/officeDocument/2006/relationships/hyperlink" Target="https://drive.google.com/open?id=1kNfoLG58GZ6Jf-XYstLhNyJsFD7xTl3Z" TargetMode="External"/><Relationship Id="rId1844" Type="http://schemas.openxmlformats.org/officeDocument/2006/relationships/hyperlink" Target="https://drive.google.com/open?id=1dToRC86NdNyKCmy-iiAx2eiTBT6XzWax" TargetMode="External"/><Relationship Id="rId1704" Type="http://schemas.openxmlformats.org/officeDocument/2006/relationships/hyperlink" Target="https://drive.google.com/open?id=1IC0URQfG2VAl-sfFIrJLQT2X_GLAY8Ex" TargetMode="External"/><Relationship Id="rId285" Type="http://schemas.openxmlformats.org/officeDocument/2006/relationships/hyperlink" Target="https://drive.google.com/open?id=1484eZA58LABUL0DTWQE9ZS4HIz8_N9-O" TargetMode="External"/><Relationship Id="rId1911" Type="http://schemas.openxmlformats.org/officeDocument/2006/relationships/hyperlink" Target="https://drive.google.com/open?id=15Jpfa5O5wryvJozbjSI-7KAMRCNyAwDi" TargetMode="External"/><Relationship Id="rId492" Type="http://schemas.openxmlformats.org/officeDocument/2006/relationships/hyperlink" Target="https://drive.google.com/open?id=1-TT7i5JEz6VX0CPdlk2eYK83uJNCIHXr" TargetMode="External"/><Relationship Id="rId797" Type="http://schemas.openxmlformats.org/officeDocument/2006/relationships/hyperlink" Target="https://drive.google.com/open?id=1UYkjOcweJT2q4qVyOm3cFO6U279QIm3l" TargetMode="External"/><Relationship Id="rId145" Type="http://schemas.openxmlformats.org/officeDocument/2006/relationships/hyperlink" Target="https://drive.google.com/open?id=1QQmUCk_SkAInyobyZfgCOrd2dhuOdCAK" TargetMode="External"/><Relationship Id="rId352" Type="http://schemas.openxmlformats.org/officeDocument/2006/relationships/hyperlink" Target="https://drive.google.com/open?id=1Sdeea9-2CBLISKgY7MxUtDTZLezJZsm1" TargetMode="External"/><Relationship Id="rId1287" Type="http://schemas.openxmlformats.org/officeDocument/2006/relationships/hyperlink" Target="https://drive.google.com/open?id=1pvofjd_LoqXFsSyO7PU4hIlqZs0YfUVL" TargetMode="External"/><Relationship Id="rId2033" Type="http://schemas.openxmlformats.org/officeDocument/2006/relationships/hyperlink" Target="https://drive.google.com/open?id=1m7Jk-4htVsRk2v8U_w3OSx0ufxh0dbk5" TargetMode="External"/><Relationship Id="rId212" Type="http://schemas.openxmlformats.org/officeDocument/2006/relationships/hyperlink" Target="https://drive.google.com/open?id=14D-sRAIwiyRDkX0KHZ0IU4LiZQJjnW5I" TargetMode="External"/><Relationship Id="rId657" Type="http://schemas.openxmlformats.org/officeDocument/2006/relationships/hyperlink" Target="https://drive.google.com/open?id=1aa89_iQszHLiWUwkBN0EFkosc1mdnaEk" TargetMode="External"/><Relationship Id="rId864" Type="http://schemas.openxmlformats.org/officeDocument/2006/relationships/hyperlink" Target="https://drive.google.com/open?id=1lZAbgjoOigkVmTg9KSQJ67MV0Bnv3v8H" TargetMode="External"/><Relationship Id="rId1494" Type="http://schemas.openxmlformats.org/officeDocument/2006/relationships/hyperlink" Target="https://drive.google.com/open?id=1fTSMk4qe3oUCfMuq7q9u0qPj-r_skXP-" TargetMode="External"/><Relationship Id="rId1799" Type="http://schemas.openxmlformats.org/officeDocument/2006/relationships/hyperlink" Target="https://drive.google.com/open?id=1-Ht6oclHHp6iUvtF_DPoyqtQfzzUNglL" TargetMode="External"/><Relationship Id="rId517" Type="http://schemas.openxmlformats.org/officeDocument/2006/relationships/hyperlink" Target="https://drive.google.com/open?id=1t4aRahPPvKM_H5ymDHn-Fw6QaC2h4ZHQ" TargetMode="External"/><Relationship Id="rId724" Type="http://schemas.openxmlformats.org/officeDocument/2006/relationships/hyperlink" Target="https://drive.google.com/open?id=12oEot8jNAzDSAiRn7H_Y9AHa9Yrtu1Hr" TargetMode="External"/><Relationship Id="rId931" Type="http://schemas.openxmlformats.org/officeDocument/2006/relationships/hyperlink" Target="https://drive.google.com/open?id=1vf-XGF4SNpGhRIC-pCdO4I06fFXDuOUd" TargetMode="External"/><Relationship Id="rId1147" Type="http://schemas.openxmlformats.org/officeDocument/2006/relationships/hyperlink" Target="https://drive.google.com/open?id=1WkAbDRQeo46KrDtC9aCK-cHuCM_owRQd" TargetMode="External"/><Relationship Id="rId1354" Type="http://schemas.openxmlformats.org/officeDocument/2006/relationships/hyperlink" Target="https://drive.google.com/open?id=1NhyvjwBQqd9HrPWCs05UkCJYHVErJYkr" TargetMode="External"/><Relationship Id="rId1561" Type="http://schemas.openxmlformats.org/officeDocument/2006/relationships/hyperlink" Target="https://drive.google.com/open?id=1pwHNMfzTFzolhFUCBfch2pziJ0OhxdLB" TargetMode="External"/><Relationship Id="rId60" Type="http://schemas.openxmlformats.org/officeDocument/2006/relationships/hyperlink" Target="https://drive.google.com/open?id=1RbQRcED2wQYrojY9BNmdiMNDsmHPPoHI" TargetMode="External"/><Relationship Id="rId1007" Type="http://schemas.openxmlformats.org/officeDocument/2006/relationships/hyperlink" Target="https://drive.google.com/open?id=1xpn-wQej9Q9D376yLZj3hnyhL7QN-IWq" TargetMode="External"/><Relationship Id="rId1214" Type="http://schemas.openxmlformats.org/officeDocument/2006/relationships/hyperlink" Target="https://drive.google.com/open?id=1ZqrH8PxUYAF2t1hqumf0dtdSkzbGj15p" TargetMode="External"/><Relationship Id="rId1421" Type="http://schemas.openxmlformats.org/officeDocument/2006/relationships/hyperlink" Target="https://drive.google.com/open?id=13Fc-imn8SVIqM6gNt63rqiOJYw5mkA-V" TargetMode="External"/><Relationship Id="rId1659" Type="http://schemas.openxmlformats.org/officeDocument/2006/relationships/hyperlink" Target="https://drive.google.com/open?id=16GO5C_NtFJcofGrxS5kYNT9QSXw1IFA1" TargetMode="External"/><Relationship Id="rId1866" Type="http://schemas.openxmlformats.org/officeDocument/2006/relationships/hyperlink" Target="https://drive.google.com/open?id=1kwtG2hJWjT7f95iE9SgAOcPsncWE_xhw" TargetMode="External"/><Relationship Id="rId1519" Type="http://schemas.openxmlformats.org/officeDocument/2006/relationships/hyperlink" Target="https://drive.google.com/open?id=1ojTeYAHnXTernfkypjrJGhmcLPGVdVdJ" TargetMode="External"/><Relationship Id="rId1726" Type="http://schemas.openxmlformats.org/officeDocument/2006/relationships/hyperlink" Target="https://drive.google.com/open?id=1JVCbDSQpBnE5O_29lrNaALsSyFXWISoC" TargetMode="External"/><Relationship Id="rId1933" Type="http://schemas.openxmlformats.org/officeDocument/2006/relationships/hyperlink" Target="https://drive.google.com/open?id=14I4-fj78lW0W6PGleXTiIG9Dfwa5Qz3u" TargetMode="External"/><Relationship Id="rId18" Type="http://schemas.openxmlformats.org/officeDocument/2006/relationships/hyperlink" Target="https://drive.google.com/open?id=1DwoSKVhAiCTtmhsX9Hp5m-s3IIXKyL2B" TargetMode="External"/><Relationship Id="rId167" Type="http://schemas.openxmlformats.org/officeDocument/2006/relationships/hyperlink" Target="https://drive.google.com/open?id=17G9TpB1mO0wmh21dp1rN5_3FwIfKOR-n" TargetMode="External"/><Relationship Id="rId374" Type="http://schemas.openxmlformats.org/officeDocument/2006/relationships/hyperlink" Target="https://drive.google.com/open?id=10YpxgUUwuJA6mBBqlA5LHaSZm2huBwHH" TargetMode="External"/><Relationship Id="rId581" Type="http://schemas.openxmlformats.org/officeDocument/2006/relationships/hyperlink" Target="https://drive.google.com/open?id=1VjZXsuK-p3jYe6KNX7A-qxoc1qWUWOmX" TargetMode="External"/><Relationship Id="rId234" Type="http://schemas.openxmlformats.org/officeDocument/2006/relationships/hyperlink" Target="https://drive.google.com/open?id=1GVd2I9eLbsMyqPLfwO1Ea7TxWr6x_HoE" TargetMode="External"/><Relationship Id="rId679" Type="http://schemas.openxmlformats.org/officeDocument/2006/relationships/hyperlink" Target="https://drive.google.com/open?id=1y48ic8LS5EytH0KO2-1soTNQJ8Lgjrrt" TargetMode="External"/><Relationship Id="rId886" Type="http://schemas.openxmlformats.org/officeDocument/2006/relationships/hyperlink" Target="https://drive.google.com/open?id=1xLhSTrlrThO6wEuavN0mAzXV5oRsqejn" TargetMode="External"/><Relationship Id="rId2" Type="http://schemas.openxmlformats.org/officeDocument/2006/relationships/hyperlink" Target="https://drive.google.com/open?id=1S66012kS0elfXY0MfiKJ6WGuzGVhC4vC" TargetMode="External"/><Relationship Id="rId441" Type="http://schemas.openxmlformats.org/officeDocument/2006/relationships/hyperlink" Target="https://drive.google.com/open?id=1rJ3vQluXzYNs2Juoi7ztZpsj8plvlcnF" TargetMode="External"/><Relationship Id="rId539" Type="http://schemas.openxmlformats.org/officeDocument/2006/relationships/hyperlink" Target="https://drive.google.com/open?id=1lsntWpeXGte5DWKeO7uEcLyhqjNvMFSM" TargetMode="External"/><Relationship Id="rId746" Type="http://schemas.openxmlformats.org/officeDocument/2006/relationships/hyperlink" Target="https://drive.google.com/open?id=1hEIQ1Ji8LK9UGe8qONOG00d8IyHcGIGs" TargetMode="External"/><Relationship Id="rId1071" Type="http://schemas.openxmlformats.org/officeDocument/2006/relationships/hyperlink" Target="https://drive.google.com/open?id=1vbM4CS_G5LYreIbi_9qdciAQQwyNqaMZ" TargetMode="External"/><Relationship Id="rId1169" Type="http://schemas.openxmlformats.org/officeDocument/2006/relationships/hyperlink" Target="https://drive.google.com/open?id=1xqepiuz7Szot3mWu3-KZm1H-wexhgJAg" TargetMode="External"/><Relationship Id="rId1376" Type="http://schemas.openxmlformats.org/officeDocument/2006/relationships/hyperlink" Target="https://drive.google.com/open?id=1bO-Y_6BAz8mF5QEl6borm3rva8bhLZiF" TargetMode="External"/><Relationship Id="rId1583" Type="http://schemas.openxmlformats.org/officeDocument/2006/relationships/hyperlink" Target="https://drive.google.com/open?id=1YH_eSHnSFX7r8-mZmUPxD2u752gJBzHR" TargetMode="External"/><Relationship Id="rId301" Type="http://schemas.openxmlformats.org/officeDocument/2006/relationships/hyperlink" Target="https://drive.google.com/open?id=11-mbe7WA5FSYo5g3pUbC3ehl9sdb-GOs" TargetMode="External"/><Relationship Id="rId953" Type="http://schemas.openxmlformats.org/officeDocument/2006/relationships/hyperlink" Target="https://drive.google.com/open?id=1-WoalsOcc8V1JVuc7kDk99ybUvBXSVMp" TargetMode="External"/><Relationship Id="rId1029" Type="http://schemas.openxmlformats.org/officeDocument/2006/relationships/hyperlink" Target="https://drive.google.com/open?id=1S1xIKGptBJkR-0D7hJOaPa3GZiFE1rp8" TargetMode="External"/><Relationship Id="rId1236" Type="http://schemas.openxmlformats.org/officeDocument/2006/relationships/hyperlink" Target="https://drive.google.com/open?id=1usCIhbLOHNJYo8zh_tP1xTMZBhhy6hwk" TargetMode="External"/><Relationship Id="rId1790" Type="http://schemas.openxmlformats.org/officeDocument/2006/relationships/hyperlink" Target="https://drive.google.com/open?id=1hJ2PCAi6ps9jjWLmrviBRnvdmLtw8p2_" TargetMode="External"/><Relationship Id="rId1888" Type="http://schemas.openxmlformats.org/officeDocument/2006/relationships/hyperlink" Target="https://drive.google.com/open?id=1usFnonf90aaGe6Zl5DWN7rZAz7qVY_00" TargetMode="External"/><Relationship Id="rId82" Type="http://schemas.openxmlformats.org/officeDocument/2006/relationships/hyperlink" Target="https://drive.google.com/open?id=1o4WmcveZVxKYPhO2b_8ewVub12f7_Dx_" TargetMode="External"/><Relationship Id="rId606" Type="http://schemas.openxmlformats.org/officeDocument/2006/relationships/hyperlink" Target="https://drive.google.com/open?id=1HS8jjfqx_sDYakjpzJj9zrdxEfmffmqu" TargetMode="External"/><Relationship Id="rId813" Type="http://schemas.openxmlformats.org/officeDocument/2006/relationships/hyperlink" Target="https://drive.google.com/open?id=1Fi9Z-wDYMT1gxXwLsGEdESbOce4LbZkE" TargetMode="External"/><Relationship Id="rId1443" Type="http://schemas.openxmlformats.org/officeDocument/2006/relationships/hyperlink" Target="https://drive.google.com/open?id=1RowhzPTPj9WR7rdbiTRVm_7Z2rh4Azo8" TargetMode="External"/><Relationship Id="rId1650" Type="http://schemas.openxmlformats.org/officeDocument/2006/relationships/hyperlink" Target="https://drive.google.com/open?id=1pqJVWXCni5bMlNOIK3RhJbPnyKMe0-YP" TargetMode="External"/><Relationship Id="rId1748" Type="http://schemas.openxmlformats.org/officeDocument/2006/relationships/hyperlink" Target="https://drive.google.com/open?id=1gn4s7LzkpfE9izdKi5eWIYSNcO_YIh-i" TargetMode="External"/><Relationship Id="rId1303" Type="http://schemas.openxmlformats.org/officeDocument/2006/relationships/hyperlink" Target="https://drive.google.com/open?id=1IfZttCwLF7AHE5RFhq3WKoxtVkvK8piR" TargetMode="External"/><Relationship Id="rId1510" Type="http://schemas.openxmlformats.org/officeDocument/2006/relationships/hyperlink" Target="https://drive.google.com/open?id=1xFCA4FZLvDmY2Xf54e2Q3tcpgxw2j6Pp" TargetMode="External"/><Relationship Id="rId1955" Type="http://schemas.openxmlformats.org/officeDocument/2006/relationships/hyperlink" Target="https://drive.google.com/open?id=1AIK4mMRv7a85GmwS0A5H1aMNVOEbTTMM" TargetMode="External"/><Relationship Id="rId1608" Type="http://schemas.openxmlformats.org/officeDocument/2006/relationships/hyperlink" Target="https://drive.google.com/open?id=1VQ1WszoHEn3az_KenuzzsOpqaFznAA02" TargetMode="External"/><Relationship Id="rId1815" Type="http://schemas.openxmlformats.org/officeDocument/2006/relationships/hyperlink" Target="https://drive.google.com/open?id=17lukzj3DqYXdVw1UjwNLmCc-ocfMBFfo" TargetMode="External"/><Relationship Id="rId189" Type="http://schemas.openxmlformats.org/officeDocument/2006/relationships/hyperlink" Target="https://drive.google.com/open?id=1LihorQ-EGA0LhdpiaB2ge-61zrHfxGos" TargetMode="External"/><Relationship Id="rId396" Type="http://schemas.openxmlformats.org/officeDocument/2006/relationships/hyperlink" Target="https://drive.google.com/open?id=1DzfgHT9yYG7I0mN1WTr1f9nKY6wa3DW1" TargetMode="External"/><Relationship Id="rId256" Type="http://schemas.openxmlformats.org/officeDocument/2006/relationships/hyperlink" Target="https://drive.google.com/open?id=1K6-omqa9tpRhPXiwcAsO6rDXZzPvWic3" TargetMode="External"/><Relationship Id="rId463" Type="http://schemas.openxmlformats.org/officeDocument/2006/relationships/hyperlink" Target="https://drive.google.com/open?id=1fG6iqUcQvUgyHzHLj-h9XPNSYHsMh8wP" TargetMode="External"/><Relationship Id="rId670" Type="http://schemas.openxmlformats.org/officeDocument/2006/relationships/hyperlink" Target="https://drive.google.com/open?id=1r67iSing2W1TdoRwH09XSgoKOOLRo0z6" TargetMode="External"/><Relationship Id="rId1093" Type="http://schemas.openxmlformats.org/officeDocument/2006/relationships/hyperlink" Target="https://drive.google.com/open?id=1nD1Cvh-AAfxildknRM4vUa-vSyVCaIDh" TargetMode="External"/><Relationship Id="rId116" Type="http://schemas.openxmlformats.org/officeDocument/2006/relationships/hyperlink" Target="https://drive.google.com/open?id=1Ko0mMhVsJoFFAnVYsbMcrUVEejtkv5Lo" TargetMode="External"/><Relationship Id="rId323" Type="http://schemas.openxmlformats.org/officeDocument/2006/relationships/hyperlink" Target="https://drive.google.com/open?id=1rv41fN6QLcHa9M1Xjqjhq2Nc5mPjSi74" TargetMode="External"/><Relationship Id="rId530" Type="http://schemas.openxmlformats.org/officeDocument/2006/relationships/hyperlink" Target="https://drive.google.com/open?id=1DjhqVWEuPy-iHQdz0Ro9NW4nHQxtJ6Lr" TargetMode="External"/><Relationship Id="rId768" Type="http://schemas.openxmlformats.org/officeDocument/2006/relationships/hyperlink" Target="https://drive.google.com/open?id=1Zaassb2kCR-dLTBKcBb4lqqdpVzI_UOd" TargetMode="External"/><Relationship Id="rId975" Type="http://schemas.openxmlformats.org/officeDocument/2006/relationships/hyperlink" Target="https://drive.google.com/open?id=1hbQJYqbfw_VKjQEjgeD6f0yn3t7qYnxT" TargetMode="External"/><Relationship Id="rId1160" Type="http://schemas.openxmlformats.org/officeDocument/2006/relationships/hyperlink" Target="https://drive.google.com/open?id=19BeIReWg_yNqEiBgyu1h90jlggtZG3Dz" TargetMode="External"/><Relationship Id="rId1398" Type="http://schemas.openxmlformats.org/officeDocument/2006/relationships/hyperlink" Target="https://drive.google.com/open?id=1Y8xAZ0OAeWTOCB-6T1T7Z-soXKmG_HPN" TargetMode="External"/><Relationship Id="rId2004" Type="http://schemas.openxmlformats.org/officeDocument/2006/relationships/hyperlink" Target="https://drive.google.com/open?id=1Rvg-3swKNfKIo5ydvGeZuWhQ1RYODnWa" TargetMode="External"/><Relationship Id="rId628" Type="http://schemas.openxmlformats.org/officeDocument/2006/relationships/hyperlink" Target="https://drive.google.com/open?id=1z6iU0W2z8LqQ_JOMYqEJgzAogNvDGnrR" TargetMode="External"/><Relationship Id="rId835" Type="http://schemas.openxmlformats.org/officeDocument/2006/relationships/hyperlink" Target="https://drive.google.com/open?id=14xf_LUfS6V1sWPDt9eUmvmydDVWFUeCa" TargetMode="External"/><Relationship Id="rId1258" Type="http://schemas.openxmlformats.org/officeDocument/2006/relationships/hyperlink" Target="https://drive.google.com/open?id=1eS9dxBjJtSkOq_bZsQ77IYJsSP-yeLz1" TargetMode="External"/><Relationship Id="rId1465" Type="http://schemas.openxmlformats.org/officeDocument/2006/relationships/hyperlink" Target="https://drive.google.com/open?id=1CqeEJhgnIAOoI364KjJ5HT9LjIhaIPcQ" TargetMode="External"/><Relationship Id="rId1672" Type="http://schemas.openxmlformats.org/officeDocument/2006/relationships/hyperlink" Target="https://drive.google.com/open?id=1RG1pTERIJmjwUPdgxgiTC2Z4cc6T559k" TargetMode="External"/><Relationship Id="rId1020" Type="http://schemas.openxmlformats.org/officeDocument/2006/relationships/hyperlink" Target="https://drive.google.com/open?id=1OX4PnhT1ljfkyOjSGUYEaztzoGKdc6Si" TargetMode="External"/><Relationship Id="rId1118" Type="http://schemas.openxmlformats.org/officeDocument/2006/relationships/hyperlink" Target="https://drive.google.com/open?id=1fWJCyCOtC1-dx9MmUzMPEdFBeySgKm8v" TargetMode="External"/><Relationship Id="rId1325" Type="http://schemas.openxmlformats.org/officeDocument/2006/relationships/hyperlink" Target="https://drive.google.com/open?id=1HRL-teR6hc-cn6xlNL46TEKFB9j7rjfx" TargetMode="External"/><Relationship Id="rId1532" Type="http://schemas.openxmlformats.org/officeDocument/2006/relationships/hyperlink" Target="https://drive.google.com/open?id=1ihIzptwja6Xu-xOPxH3C5_b_25r-fWhp" TargetMode="External"/><Relationship Id="rId1977" Type="http://schemas.openxmlformats.org/officeDocument/2006/relationships/hyperlink" Target="https://drive.google.com/open?id=1Fi7VmP4Qat2NcLr0pOL0csdkkDo2bjvy" TargetMode="External"/><Relationship Id="rId902" Type="http://schemas.openxmlformats.org/officeDocument/2006/relationships/hyperlink" Target="https://drive.google.com/open?id=1mwjzdZzIBdbSR77mWr8dWtla_8W9KLEw" TargetMode="External"/><Relationship Id="rId1837" Type="http://schemas.openxmlformats.org/officeDocument/2006/relationships/hyperlink" Target="https://drive.google.com/open?id=1OU7I2gkPY5feWNqzWxU0N_YvhtE2lth2" TargetMode="External"/><Relationship Id="rId31" Type="http://schemas.openxmlformats.org/officeDocument/2006/relationships/hyperlink" Target="https://drive.google.com/open?id=1L8NObJ0JawoV5IKCcfHJl9n2KD742LZx" TargetMode="External"/><Relationship Id="rId180" Type="http://schemas.openxmlformats.org/officeDocument/2006/relationships/hyperlink" Target="https://drive.google.com/open?id=1r9hyCDngTkX8-DZBPPxcIBYVnmOG9-um" TargetMode="External"/><Relationship Id="rId278" Type="http://schemas.openxmlformats.org/officeDocument/2006/relationships/hyperlink" Target="https://drive.google.com/open?id=1OhS23XZh75V28pP1VZauyElwdt7N12lO" TargetMode="External"/><Relationship Id="rId1904" Type="http://schemas.openxmlformats.org/officeDocument/2006/relationships/hyperlink" Target="https://drive.google.com/open?id=1zE6ebYG6jLOFa48bHyVEf1ksTSRh0Di_" TargetMode="External"/><Relationship Id="rId485" Type="http://schemas.openxmlformats.org/officeDocument/2006/relationships/hyperlink" Target="https://drive.google.com/open?id=1YB9lbM1kXiS5ght9mrVrl3fZYepHQah-" TargetMode="External"/><Relationship Id="rId692" Type="http://schemas.openxmlformats.org/officeDocument/2006/relationships/hyperlink" Target="https://drive.google.com/open?id=1ZQxObEoJhmOIsCzgk3QnDYzfIdphFPsK" TargetMode="External"/><Relationship Id="rId138" Type="http://schemas.openxmlformats.org/officeDocument/2006/relationships/hyperlink" Target="https://drive.google.com/open?id=1V8npQCqas70Ql1jYcrZcHCvXXSHjBNRx" TargetMode="External"/><Relationship Id="rId345" Type="http://schemas.openxmlformats.org/officeDocument/2006/relationships/hyperlink" Target="https://drive.google.com/open?id=1OBuZNxQN2UPhc81mx38ph1XGYFCtGP0a" TargetMode="External"/><Relationship Id="rId552" Type="http://schemas.openxmlformats.org/officeDocument/2006/relationships/hyperlink" Target="https://drive.google.com/open?id=14iXWeapBhEuHbyIyN1VQtY4QCvoBNhVX" TargetMode="External"/><Relationship Id="rId997" Type="http://schemas.openxmlformats.org/officeDocument/2006/relationships/hyperlink" Target="https://drive.google.com/open?id=1CZFl5W-pSUwgQcKlWlNFN-to24FwfTYC" TargetMode="External"/><Relationship Id="rId1182" Type="http://schemas.openxmlformats.org/officeDocument/2006/relationships/hyperlink" Target="https://drive.google.com/open?id=1JE2uPzw9jkf47Zn45rGWnxwhG13UEOf3" TargetMode="External"/><Relationship Id="rId2026" Type="http://schemas.openxmlformats.org/officeDocument/2006/relationships/hyperlink" Target="https://drive.google.com/open?id=1s4tVOKfNMQCAR7QFytA-lCGFBsE_GyUx" TargetMode="External"/><Relationship Id="rId205" Type="http://schemas.openxmlformats.org/officeDocument/2006/relationships/hyperlink" Target="https://drive.google.com/open?id=1sDfdZ1MiaPn4ieA9RQOOrvO6fr9jDheK" TargetMode="External"/><Relationship Id="rId412" Type="http://schemas.openxmlformats.org/officeDocument/2006/relationships/hyperlink" Target="https://drive.google.com/open?id=1dsxjYesWaOpz6Q3ZKuFRC0If2HvcPjxJ" TargetMode="External"/><Relationship Id="rId857" Type="http://schemas.openxmlformats.org/officeDocument/2006/relationships/hyperlink" Target="https://drive.google.com/open?id=10LYR-CVJxP4EHrERUBlXYU0kzgxrlDt_" TargetMode="External"/><Relationship Id="rId1042" Type="http://schemas.openxmlformats.org/officeDocument/2006/relationships/hyperlink" Target="https://drive.google.com/open?id=1oz3VYD0G3KOW6Dm2dev9FQPprdMZsODp" TargetMode="External"/><Relationship Id="rId1487" Type="http://schemas.openxmlformats.org/officeDocument/2006/relationships/hyperlink" Target="https://drive.google.com/open?id=1F13QD8TUPVxkOABRpUKMY6Rd_wPhMt0q" TargetMode="External"/><Relationship Id="rId1694" Type="http://schemas.openxmlformats.org/officeDocument/2006/relationships/hyperlink" Target="https://drive.google.com/open?id=1ruk_25q-7j4LMoV2bnpwK6AnBlH9Ihw2" TargetMode="External"/><Relationship Id="rId717" Type="http://schemas.openxmlformats.org/officeDocument/2006/relationships/hyperlink" Target="https://drive.google.com/open?id=1tHfMrDeAhg2ayK8oJuWm3JXK1xiCEBt4" TargetMode="External"/><Relationship Id="rId924" Type="http://schemas.openxmlformats.org/officeDocument/2006/relationships/hyperlink" Target="https://drive.google.com/open?id=1db9pbQLajSSZb_Zkfl9tQpjOdNaV-ua7" TargetMode="External"/><Relationship Id="rId1347" Type="http://schemas.openxmlformats.org/officeDocument/2006/relationships/hyperlink" Target="https://drive.google.com/open?id=1HxgDjz3lVAA0-nACexgolg7cQ8S6VKBo" TargetMode="External"/><Relationship Id="rId1554" Type="http://schemas.openxmlformats.org/officeDocument/2006/relationships/hyperlink" Target="https://drive.google.com/open?id=19EefwpvQlb3bMlXXVXdA0cE26jWtILM5" TargetMode="External"/><Relationship Id="rId1761" Type="http://schemas.openxmlformats.org/officeDocument/2006/relationships/hyperlink" Target="https://drive.google.com/open?id=1WM2vhBevCzV9qfb_n_Zi67669g6Ls2BC" TargetMode="External"/><Relationship Id="rId1999" Type="http://schemas.openxmlformats.org/officeDocument/2006/relationships/hyperlink" Target="https://drive.google.com/open?id=1dDaWE-PWDHw9zlDxUQsebYrk-QCK9xbg" TargetMode="External"/><Relationship Id="rId53" Type="http://schemas.openxmlformats.org/officeDocument/2006/relationships/hyperlink" Target="https://drive.google.com/open?id=1jeZBpOKN6Pb8QLqZzXJUwl5DqUyjOgXi" TargetMode="External"/><Relationship Id="rId1207" Type="http://schemas.openxmlformats.org/officeDocument/2006/relationships/hyperlink" Target="https://drive.google.com/open?id=1BcTYOq4PKV424BPXCnbsdDxX15_BDw2q" TargetMode="External"/><Relationship Id="rId1414" Type="http://schemas.openxmlformats.org/officeDocument/2006/relationships/hyperlink" Target="https://drive.google.com/open?id=1AJXgC1I1Lylv1-O54YHBkNml7EZi8rlJ" TargetMode="External"/><Relationship Id="rId1621" Type="http://schemas.openxmlformats.org/officeDocument/2006/relationships/hyperlink" Target="https://drive.google.com/open?id=1kE7LkJ9Xm_YEoopbhecVXGE4Yn-WqJpJ" TargetMode="External"/><Relationship Id="rId1859" Type="http://schemas.openxmlformats.org/officeDocument/2006/relationships/hyperlink" Target="https://drive.google.com/open?id=1-4vjdyYyOYRfZu9dKHOWraiNZMh1imLn" TargetMode="External"/><Relationship Id="rId1719" Type="http://schemas.openxmlformats.org/officeDocument/2006/relationships/hyperlink" Target="https://drive.google.com/open?id=1NCV8Kig1bSsj_yQAfjymoXL9QNcVeGFq" TargetMode="External"/><Relationship Id="rId1926" Type="http://schemas.openxmlformats.org/officeDocument/2006/relationships/hyperlink" Target="https://drive.google.com/open?id=16fYuLNnGHqfJSdUcQI4UxsWjQKf_okfn" TargetMode="External"/><Relationship Id="rId367" Type="http://schemas.openxmlformats.org/officeDocument/2006/relationships/hyperlink" Target="https://drive.google.com/open?id=1bPGo_1B3Ra9fSBLZnCFhLoWVuANlbQT8" TargetMode="External"/><Relationship Id="rId574" Type="http://schemas.openxmlformats.org/officeDocument/2006/relationships/hyperlink" Target="https://drive.google.com/open?id=1IdtKCazBTc0HTg8Q8WltQwv3Q_ZAmP96" TargetMode="External"/><Relationship Id="rId227" Type="http://schemas.openxmlformats.org/officeDocument/2006/relationships/hyperlink" Target="https://drive.google.com/open?id=1ZZV8PojorkEPpScRXTeHCyP4DggpRrYn" TargetMode="External"/><Relationship Id="rId781" Type="http://schemas.openxmlformats.org/officeDocument/2006/relationships/hyperlink" Target="https://drive.google.com/open?id=1qZbUwonk3qLBXjoyEXZWVkxzaRvzmWrk" TargetMode="External"/><Relationship Id="rId879" Type="http://schemas.openxmlformats.org/officeDocument/2006/relationships/hyperlink" Target="https://drive.google.com/open?id=1fEJp834PxHBupXuUivvhCSOlBAcudqKS" TargetMode="External"/><Relationship Id="rId434" Type="http://schemas.openxmlformats.org/officeDocument/2006/relationships/hyperlink" Target="https://drive.google.com/open?id=19U_7y1DKE9BGiFZhyOrPKl1Gu0YSoHco" TargetMode="External"/><Relationship Id="rId641" Type="http://schemas.openxmlformats.org/officeDocument/2006/relationships/hyperlink" Target="https://drive.google.com/open?id=1M9paOrcG4wHCgWJW-g9BWRi4jhbte6t5" TargetMode="External"/><Relationship Id="rId739" Type="http://schemas.openxmlformats.org/officeDocument/2006/relationships/hyperlink" Target="https://drive.google.com/open?id=1Iddt36xBuHj2yc62O53OSfTaaYMNWPoT" TargetMode="External"/><Relationship Id="rId1064" Type="http://schemas.openxmlformats.org/officeDocument/2006/relationships/hyperlink" Target="https://drive.google.com/open?id=1Gx7IvQUMOAzN4ArVsRJc3RgGOfu9338s" TargetMode="External"/><Relationship Id="rId1271" Type="http://schemas.openxmlformats.org/officeDocument/2006/relationships/hyperlink" Target="https://drive.google.com/open?id=1XZqDQiClyNUpXdwXPuntKEu_QEYg62Dn" TargetMode="External"/><Relationship Id="rId1369" Type="http://schemas.openxmlformats.org/officeDocument/2006/relationships/hyperlink" Target="https://drive.google.com/open?id=1mC29f9Nwfiu_Fw7rebLvR9lgojsBzcDg" TargetMode="External"/><Relationship Id="rId1576" Type="http://schemas.openxmlformats.org/officeDocument/2006/relationships/hyperlink" Target="https://drive.google.com/open?id=1x0HCqFsThnriZqsW7FPCR-Mttw-GpNUz" TargetMode="External"/><Relationship Id="rId501" Type="http://schemas.openxmlformats.org/officeDocument/2006/relationships/hyperlink" Target="https://drive.google.com/open?id=12HPwjiPxQ3t2BwBEQovqCt6GZb16rQOU" TargetMode="External"/><Relationship Id="rId946" Type="http://schemas.openxmlformats.org/officeDocument/2006/relationships/hyperlink" Target="https://drive.google.com/open?id=129uV3NBcBueT2bRgYrnq0wC6Hp03es-A" TargetMode="External"/><Relationship Id="rId1131" Type="http://schemas.openxmlformats.org/officeDocument/2006/relationships/hyperlink" Target="https://drive.google.com/open?id=1_QllbU2wBkCPmEJCRAvmatU8ZTbA0f_3" TargetMode="External"/><Relationship Id="rId1229" Type="http://schemas.openxmlformats.org/officeDocument/2006/relationships/hyperlink" Target="https://drive.google.com/open?id=1VXfip4OKNczpAcWHMsmM8v3HIGb0pcGY" TargetMode="External"/><Relationship Id="rId1783" Type="http://schemas.openxmlformats.org/officeDocument/2006/relationships/hyperlink" Target="https://drive.google.com/open?id=1hBhnnu45v0sLMJDQzoJEEvyf3RN5Kze5" TargetMode="External"/><Relationship Id="rId1990" Type="http://schemas.openxmlformats.org/officeDocument/2006/relationships/hyperlink" Target="https://drive.google.com/open?id=1yw78BcPrHLYPaxAmhYob6F4Gci5pLb9-" TargetMode="External"/><Relationship Id="rId75" Type="http://schemas.openxmlformats.org/officeDocument/2006/relationships/hyperlink" Target="https://drive.google.com/open?id=13Wo2-SzgoMMO3blLc0c5ghOC-khFjwIS" TargetMode="External"/><Relationship Id="rId806" Type="http://schemas.openxmlformats.org/officeDocument/2006/relationships/hyperlink" Target="https://drive.google.com/open?id=1UA1Jjl6uW3zz4-CDtY_L6QbieDUNgXvg" TargetMode="External"/><Relationship Id="rId1436" Type="http://schemas.openxmlformats.org/officeDocument/2006/relationships/hyperlink" Target="https://drive.google.com/open?id=1e-NlQMBKDoUhVuORcVFVZK6YfxBCLM-e" TargetMode="External"/><Relationship Id="rId1643" Type="http://schemas.openxmlformats.org/officeDocument/2006/relationships/hyperlink" Target="https://drive.google.com/open?id=1z9Xp6mdjTDChFa_3HLmAtFygAeLzpTRX" TargetMode="External"/><Relationship Id="rId1850" Type="http://schemas.openxmlformats.org/officeDocument/2006/relationships/hyperlink" Target="https://drive.google.com/open?id=1jMFKXl3Dj854TfGDXM9s2ovdPSK36Z0Z" TargetMode="External"/><Relationship Id="rId1503" Type="http://schemas.openxmlformats.org/officeDocument/2006/relationships/hyperlink" Target="https://drive.google.com/open?id=1uFhi9HY-NHUFZwkVJWA0NJklIudjSfRh" TargetMode="External"/><Relationship Id="rId1710" Type="http://schemas.openxmlformats.org/officeDocument/2006/relationships/hyperlink" Target="https://drive.google.com/open?id=1zTV1N2F2DIzHaiNUHzEdhK951-boXMOI" TargetMode="External"/><Relationship Id="rId1948" Type="http://schemas.openxmlformats.org/officeDocument/2006/relationships/hyperlink" Target="https://drive.google.com/open?id=1M-dV9EqJo3COzF6qggxNHL6jiRhU8Djb" TargetMode="External"/><Relationship Id="rId291" Type="http://schemas.openxmlformats.org/officeDocument/2006/relationships/hyperlink" Target="https://drive.google.com/open?id=1P62nQ86F9kbfuXTIDo5_CUKob217Uian" TargetMode="External"/><Relationship Id="rId1808" Type="http://schemas.openxmlformats.org/officeDocument/2006/relationships/hyperlink" Target="https://drive.google.com/open?id=1uR6Zc4G7Fv-bxujYL3ZFEf7GeLFhwt16" TargetMode="External"/><Relationship Id="rId151" Type="http://schemas.openxmlformats.org/officeDocument/2006/relationships/hyperlink" Target="https://drive.google.com/open?id=1t1KG_oaWOr3C4HuR3fh2VG-AXJ-eSMmi" TargetMode="External"/><Relationship Id="rId389" Type="http://schemas.openxmlformats.org/officeDocument/2006/relationships/hyperlink" Target="https://drive.google.com/open?id=1F4q_i6EU-oQGne2YqC28rLYuPG4WT2fT" TargetMode="External"/><Relationship Id="rId596" Type="http://schemas.openxmlformats.org/officeDocument/2006/relationships/hyperlink" Target="https://drive.google.com/open?id=1oskptGtbKmaxONCsLBxKVFhjK2VDjSeI" TargetMode="External"/><Relationship Id="rId249" Type="http://schemas.openxmlformats.org/officeDocument/2006/relationships/hyperlink" Target="https://drive.google.com/open?id=1GQ397nQd9QjO15zCQ7LKmGcwqYczqybn" TargetMode="External"/><Relationship Id="rId456" Type="http://schemas.openxmlformats.org/officeDocument/2006/relationships/hyperlink" Target="https://drive.google.com/open?id=1dWWCKacMiaj8nPHLguZ2WjxwXgD1aSZv" TargetMode="External"/><Relationship Id="rId663" Type="http://schemas.openxmlformats.org/officeDocument/2006/relationships/hyperlink" Target="https://drive.google.com/open?id=1xRaTSnt0QKg8iejZO2zHdROntWDhuJM0" TargetMode="External"/><Relationship Id="rId870" Type="http://schemas.openxmlformats.org/officeDocument/2006/relationships/hyperlink" Target="https://drive.google.com/open?id=1KRS4TW83MDdUwAupe797PnSNt6-2_uLT" TargetMode="External"/><Relationship Id="rId1086" Type="http://schemas.openxmlformats.org/officeDocument/2006/relationships/hyperlink" Target="https://drive.google.com/open?id=1nn84bAih4HV57BdCe5oqs6_86Bnr7bdK" TargetMode="External"/><Relationship Id="rId1293" Type="http://schemas.openxmlformats.org/officeDocument/2006/relationships/hyperlink" Target="https://drive.google.com/open?id=1oWU6JdXKRkvm0V3ldrbxpsjSRa1zd51g" TargetMode="External"/><Relationship Id="rId109" Type="http://schemas.openxmlformats.org/officeDocument/2006/relationships/hyperlink" Target="https://drive.google.com/open?id=1SBudd6_xcYRTBj_yoVGOrOKTl3ta2SaF" TargetMode="External"/><Relationship Id="rId316" Type="http://schemas.openxmlformats.org/officeDocument/2006/relationships/hyperlink" Target="https://drive.google.com/open?id=1zpiR2r2ipKOWypwJ0yvlbsnK6aIosPGi" TargetMode="External"/><Relationship Id="rId523" Type="http://schemas.openxmlformats.org/officeDocument/2006/relationships/hyperlink" Target="https://drive.google.com/open?id=1Eo0PDgbXVT2w_7ayvoYOYQ0-1EkTAlKj" TargetMode="External"/><Relationship Id="rId968" Type="http://schemas.openxmlformats.org/officeDocument/2006/relationships/hyperlink" Target="https://drive.google.com/open?id=1zLPqg2Y-RzsHMJy6KgEEfS_PpLAsgGE4" TargetMode="External"/><Relationship Id="rId1153" Type="http://schemas.openxmlformats.org/officeDocument/2006/relationships/hyperlink" Target="https://drive.google.com/open?id=1c0WrbsDdmTrOzoF4TtYegcsnK4Ry2SoU" TargetMode="External"/><Relationship Id="rId1598" Type="http://schemas.openxmlformats.org/officeDocument/2006/relationships/hyperlink" Target="https://drive.google.com/open?id=1L8zDn_BCEP3JcYYbKxhYz_w71AZ2md67" TargetMode="External"/><Relationship Id="rId97" Type="http://schemas.openxmlformats.org/officeDocument/2006/relationships/hyperlink" Target="https://drive.google.com/open?id=1sErDAO3aHruP6cWR1ogaJf9EzP1rPIdQ" TargetMode="External"/><Relationship Id="rId730" Type="http://schemas.openxmlformats.org/officeDocument/2006/relationships/hyperlink" Target="https://drive.google.com/open?id=1Llpk0IS_fvz_u6oQ9a_-jsZP6XmIKfgn" TargetMode="External"/><Relationship Id="rId828" Type="http://schemas.openxmlformats.org/officeDocument/2006/relationships/hyperlink" Target="https://drive.google.com/open?id=1q1eGHCh14MIM9NeNHDqknP1Bn8CQQkof" TargetMode="External"/><Relationship Id="rId1013" Type="http://schemas.openxmlformats.org/officeDocument/2006/relationships/hyperlink" Target="https://drive.google.com/open?id=144k_tsDp7TEcs5PKVWsIsbjgavv-oRTV" TargetMode="External"/><Relationship Id="rId1360" Type="http://schemas.openxmlformats.org/officeDocument/2006/relationships/hyperlink" Target="https://drive.google.com/open?id=1OEYe_xsa901ytRQw05WMdBz4N1UbMjW5" TargetMode="External"/><Relationship Id="rId1458" Type="http://schemas.openxmlformats.org/officeDocument/2006/relationships/hyperlink" Target="https://drive.google.com/open?id=167PjTdZtfES-7cZ4puAB64lptw1rUBe2" TargetMode="External"/><Relationship Id="rId1665" Type="http://schemas.openxmlformats.org/officeDocument/2006/relationships/hyperlink" Target="https://drive.google.com/open?id=1mdSHKqTsKSqrRkdrogBm5Nnq1SJ96AQb" TargetMode="External"/><Relationship Id="rId1872" Type="http://schemas.openxmlformats.org/officeDocument/2006/relationships/hyperlink" Target="https://drive.google.com/open?id=1WuWEZzcfKWK3AtaxNj6jFMRqjl0YgCVA" TargetMode="External"/><Relationship Id="rId1220" Type="http://schemas.openxmlformats.org/officeDocument/2006/relationships/hyperlink" Target="https://drive.google.com/open?id=1eF34HbefAkEOEx02vhzoUIO9qXBrdO3i" TargetMode="External"/><Relationship Id="rId1318" Type="http://schemas.openxmlformats.org/officeDocument/2006/relationships/hyperlink" Target="https://drive.google.com/open?id=134QkVRHhxVYBHDsO7DmULP5gDWzCL6rj" TargetMode="External"/><Relationship Id="rId1525" Type="http://schemas.openxmlformats.org/officeDocument/2006/relationships/hyperlink" Target="https://drive.google.com/open?id=19jYlbSZr2nopt5wUZRinPGnJFpqvy2mn" TargetMode="External"/><Relationship Id="rId1732" Type="http://schemas.openxmlformats.org/officeDocument/2006/relationships/hyperlink" Target="https://drive.google.com/open?id=1ZG-Gg78eIup9XWXsJ-Q-EsiMQbgvNj2Y" TargetMode="External"/><Relationship Id="rId24" Type="http://schemas.openxmlformats.org/officeDocument/2006/relationships/hyperlink" Target="https://drive.google.com/open?id=1YUg_omQRRgcXYkVaWYPJ0hpDwQsS_gNq" TargetMode="External"/><Relationship Id="rId173" Type="http://schemas.openxmlformats.org/officeDocument/2006/relationships/hyperlink" Target="https://drive.google.com/open?id=1j05fHl2_gkd1zrmswP_gQ5LrFTYI-c6Y" TargetMode="External"/><Relationship Id="rId380" Type="http://schemas.openxmlformats.org/officeDocument/2006/relationships/hyperlink" Target="https://drive.google.com/open?id=17BUC5ZXWQzrVsNj2R8Am6PDgcKSRADOU" TargetMode="External"/><Relationship Id="rId240" Type="http://schemas.openxmlformats.org/officeDocument/2006/relationships/hyperlink" Target="https://drive.google.com/open?id=1U7t6tysCDEXx9K7Bg7kYEL6SKzRs4jfT" TargetMode="External"/><Relationship Id="rId478" Type="http://schemas.openxmlformats.org/officeDocument/2006/relationships/hyperlink" Target="https://drive.google.com/open?id=1st_sw5Q59BnQwusKjE3eKpYn2u5SkRmr" TargetMode="External"/><Relationship Id="rId685" Type="http://schemas.openxmlformats.org/officeDocument/2006/relationships/hyperlink" Target="https://drive.google.com/open?id=1RkY5R8e2IS43MbGCTx0-mx3huVh4uDa9" TargetMode="External"/><Relationship Id="rId892" Type="http://schemas.openxmlformats.org/officeDocument/2006/relationships/hyperlink" Target="https://drive.google.com/open?id=14tYK93XdDR4LZOtbHzIj8asNsUjSICK8" TargetMode="External"/><Relationship Id="rId100" Type="http://schemas.openxmlformats.org/officeDocument/2006/relationships/hyperlink" Target="https://drive.google.com/open?id=1owEuttzjnqBj7k8lWo6XGWSAAmfiZt_v" TargetMode="External"/><Relationship Id="rId338" Type="http://schemas.openxmlformats.org/officeDocument/2006/relationships/hyperlink" Target="https://drive.google.com/open?id=1rJGrlTTxHowUP0zTbu12E2xr-4bt3NbU" TargetMode="External"/><Relationship Id="rId545" Type="http://schemas.openxmlformats.org/officeDocument/2006/relationships/hyperlink" Target="https://drive.google.com/open?id=1gDOM8fZQkPsuAa-olgE8zJeFZBfuwVT3" TargetMode="External"/><Relationship Id="rId752" Type="http://schemas.openxmlformats.org/officeDocument/2006/relationships/hyperlink" Target="https://drive.google.com/open?id=10ZPWz1a99RS654o8jUOyVmHpZaJOcl6_" TargetMode="External"/><Relationship Id="rId1175" Type="http://schemas.openxmlformats.org/officeDocument/2006/relationships/hyperlink" Target="https://drive.google.com/open?id=1XwbhZ50UC3RSX9vPOoCdyxkl3dIhjuZB" TargetMode="External"/><Relationship Id="rId1382" Type="http://schemas.openxmlformats.org/officeDocument/2006/relationships/hyperlink" Target="https://drive.google.com/open?id=1ItklIFa-8vkdBQDcwfFQLKEC7FrljU5e" TargetMode="External"/><Relationship Id="rId2019" Type="http://schemas.openxmlformats.org/officeDocument/2006/relationships/hyperlink" Target="https://drive.google.com/open?id=1qzhLOR9UbuskyN7ZXDIAmaigQyU_ztOC" TargetMode="External"/><Relationship Id="rId405" Type="http://schemas.openxmlformats.org/officeDocument/2006/relationships/hyperlink" Target="https://drive.google.com/open?id=1yh_zkEmm6mgS-LYxbByMHnTKKat7WP_S" TargetMode="External"/><Relationship Id="rId612" Type="http://schemas.openxmlformats.org/officeDocument/2006/relationships/hyperlink" Target="https://drive.google.com/open?id=1-EuCYtbGa5HzKgRK2LCcuDgi54r7QFBM" TargetMode="External"/><Relationship Id="rId1035" Type="http://schemas.openxmlformats.org/officeDocument/2006/relationships/hyperlink" Target="https://drive.google.com/open?id=1_c-onSbWAxduVOgrQ65OWQsvqiBUchtR" TargetMode="External"/><Relationship Id="rId1242" Type="http://schemas.openxmlformats.org/officeDocument/2006/relationships/hyperlink" Target="https://drive.google.com/open?id=1Qza2JrDfXbIZaODzxuDOElOkQiPh-WrV" TargetMode="External"/><Relationship Id="rId1687" Type="http://schemas.openxmlformats.org/officeDocument/2006/relationships/hyperlink" Target="https://drive.google.com/open?id=1pOSz8dFnmi0ee8-JMjSfX-HHMr_-oMZq" TargetMode="External"/><Relationship Id="rId1894" Type="http://schemas.openxmlformats.org/officeDocument/2006/relationships/hyperlink" Target="https://drive.google.com/open?id=182J_3fE7TcCDufI7Bbh82AAGXZQcHzfK" TargetMode="External"/><Relationship Id="rId917" Type="http://schemas.openxmlformats.org/officeDocument/2006/relationships/hyperlink" Target="https://drive.google.com/open?id=1rMqJ46EuvGT3dJ9Tcbqy3tbJMYe0_Awz" TargetMode="External"/><Relationship Id="rId1102" Type="http://schemas.openxmlformats.org/officeDocument/2006/relationships/hyperlink" Target="https://drive.google.com/open?id=1N70VZpoBIdvM6O33ml54b28A1vOvhVu6" TargetMode="External"/><Relationship Id="rId1547" Type="http://schemas.openxmlformats.org/officeDocument/2006/relationships/hyperlink" Target="https://drive.google.com/open?id=1tWXQhrA9FM4fZbbQutdc3CeBSgO69wX7" TargetMode="External"/><Relationship Id="rId1754" Type="http://schemas.openxmlformats.org/officeDocument/2006/relationships/hyperlink" Target="https://drive.google.com/open?id=1s_PvYG1fdYokXaEusem9gajF3vCWG1cO" TargetMode="External"/><Relationship Id="rId1961" Type="http://schemas.openxmlformats.org/officeDocument/2006/relationships/hyperlink" Target="https://drive.google.com/open?id=1sCNSiQgbrxcePLST2hNpzwfG1jpcdLZu" TargetMode="External"/><Relationship Id="rId46" Type="http://schemas.openxmlformats.org/officeDocument/2006/relationships/hyperlink" Target="https://drive.google.com/open?id=1rVbwhKD1WmJeYnwsGB7Y7AhkauH4ZpiK" TargetMode="External"/><Relationship Id="rId1407" Type="http://schemas.openxmlformats.org/officeDocument/2006/relationships/hyperlink" Target="https://drive.google.com/open?id=1s0OW3OdnnC36WFAJ7Bc_0EOpsDZT7ZEJ" TargetMode="External"/><Relationship Id="rId1614" Type="http://schemas.openxmlformats.org/officeDocument/2006/relationships/hyperlink" Target="https://drive.google.com/open?id=1aqDI3RsYf1UQByGVXJ70BzD6juIiLK0u" TargetMode="External"/><Relationship Id="rId1821" Type="http://schemas.openxmlformats.org/officeDocument/2006/relationships/hyperlink" Target="https://drive.google.com/open?id=1jQ72ifbu4fFU9ouDheQ_UmsZZn7pSFjl" TargetMode="External"/><Relationship Id="rId195" Type="http://schemas.openxmlformats.org/officeDocument/2006/relationships/hyperlink" Target="https://drive.google.com/open?id=1BUxukKovaGortnNHlB-ks77l9_WiQjVH" TargetMode="External"/><Relationship Id="rId1919" Type="http://schemas.openxmlformats.org/officeDocument/2006/relationships/hyperlink" Target="https://drive.google.com/open?id=1JiuS5uSuPUauwcdmr-tuQfOmlOpufLJ6" TargetMode="External"/><Relationship Id="rId262" Type="http://schemas.openxmlformats.org/officeDocument/2006/relationships/hyperlink" Target="https://drive.google.com/open?id=1N-Bpwp5TNLhWD7RnUzpYKm0OCCraLGl4" TargetMode="External"/><Relationship Id="rId567" Type="http://schemas.openxmlformats.org/officeDocument/2006/relationships/hyperlink" Target="https://drive.google.com/open?id=1NEEs0vRu3c52Dlv_H5BDD-CgZH01OLBM" TargetMode="External"/><Relationship Id="rId1197" Type="http://schemas.openxmlformats.org/officeDocument/2006/relationships/hyperlink" Target="https://drive.google.com/open?id=1OfJNbe_v7ifxwA1n4zXBaIxNmm_bQnkG" TargetMode="External"/><Relationship Id="rId122" Type="http://schemas.openxmlformats.org/officeDocument/2006/relationships/hyperlink" Target="https://drive.google.com/open?id=1Ag9Weu-9tM3VO7IkB9mwmcZ0HKQKhaID" TargetMode="External"/><Relationship Id="rId774" Type="http://schemas.openxmlformats.org/officeDocument/2006/relationships/hyperlink" Target="https://drive.google.com/open?id=1qm1EfuCuEtKYvqmKHULH9xe-6-F8epqE" TargetMode="External"/><Relationship Id="rId981" Type="http://schemas.openxmlformats.org/officeDocument/2006/relationships/hyperlink" Target="https://drive.google.com/open?id=1HucNTIa06guD2xfJ0LVLNtUMh9OnCGab" TargetMode="External"/><Relationship Id="rId1057" Type="http://schemas.openxmlformats.org/officeDocument/2006/relationships/hyperlink" Target="https://drive.google.com/open?id=1v9tCzOZAjfaGuhDqM_7sFqvJ-iNAAY6E" TargetMode="External"/><Relationship Id="rId2010" Type="http://schemas.openxmlformats.org/officeDocument/2006/relationships/hyperlink" Target="https://drive.google.com/open?id=1iDhaTpT2yX4ObGEjgqN_puYG38hwTByS" TargetMode="External"/><Relationship Id="rId427" Type="http://schemas.openxmlformats.org/officeDocument/2006/relationships/hyperlink" Target="https://drive.google.com/open?id=1IXKNKJj886EhwjeoIxdrd5QbcUBpdt4-" TargetMode="External"/><Relationship Id="rId634" Type="http://schemas.openxmlformats.org/officeDocument/2006/relationships/hyperlink" Target="https://drive.google.com/open?id=1Hgzk97ELyJFgK6gQxos21aVtILnIQrpq" TargetMode="External"/><Relationship Id="rId841" Type="http://schemas.openxmlformats.org/officeDocument/2006/relationships/hyperlink" Target="https://drive.google.com/open?id=18oZk-VTtmwi7EVWTeN39WljDupqLNCyK" TargetMode="External"/><Relationship Id="rId1264" Type="http://schemas.openxmlformats.org/officeDocument/2006/relationships/hyperlink" Target="https://drive.google.com/open?id=1d6xPs3A4I4nf_DaDq-j1oGKPWsKLhvxf" TargetMode="External"/><Relationship Id="rId1471" Type="http://schemas.openxmlformats.org/officeDocument/2006/relationships/hyperlink" Target="https://drive.google.com/open?id=1vKgY5186gVLwkbzxe7NWeX6gxrD1PC8I" TargetMode="External"/><Relationship Id="rId1569" Type="http://schemas.openxmlformats.org/officeDocument/2006/relationships/hyperlink" Target="https://drive.google.com/open?id=1uSgqCsp4HaVOxlPmiQKlabdWMoDz3dtN" TargetMode="External"/><Relationship Id="rId701" Type="http://schemas.openxmlformats.org/officeDocument/2006/relationships/hyperlink" Target="https://drive.google.com/open?id=16aI9v7-yyWKQjQd1WbK-rL7yA0Dxuqek" TargetMode="External"/><Relationship Id="rId939" Type="http://schemas.openxmlformats.org/officeDocument/2006/relationships/hyperlink" Target="https://drive.google.com/open?id=1QuX6v0GT63QxhOFkbDiQa2aaU4eiKwHs" TargetMode="External"/><Relationship Id="rId1124" Type="http://schemas.openxmlformats.org/officeDocument/2006/relationships/hyperlink" Target="https://drive.google.com/open?id=13xdciDkLZxM2LWDpECqRoCD88oLWOo38" TargetMode="External"/><Relationship Id="rId1331" Type="http://schemas.openxmlformats.org/officeDocument/2006/relationships/hyperlink" Target="https://drive.google.com/open?id=1QA9XtrbRqPg_iiVpx18tA8QtTE-ukUcH" TargetMode="External"/><Relationship Id="rId1776" Type="http://schemas.openxmlformats.org/officeDocument/2006/relationships/hyperlink" Target="https://drive.google.com/open?id=1zTGcWc-Qyo3Euo30qFAjpxoZioI1BVTr" TargetMode="External"/><Relationship Id="rId1983" Type="http://schemas.openxmlformats.org/officeDocument/2006/relationships/hyperlink" Target="https://drive.google.com/open?id=1Y7A4G3iOOFWoPOM8fFz3E-iuvSuVA9eF" TargetMode="External"/><Relationship Id="rId68" Type="http://schemas.openxmlformats.org/officeDocument/2006/relationships/hyperlink" Target="https://drive.google.com/open?id=1cqLu53ZIJHq8HZb8RftcXxLtsL_Tr5ZD" TargetMode="External"/><Relationship Id="rId1429" Type="http://schemas.openxmlformats.org/officeDocument/2006/relationships/hyperlink" Target="https://drive.google.com/open?id=1NVgHuKNvXVgJuAKwkezuk42Dlx6FCuIC" TargetMode="External"/><Relationship Id="rId1636" Type="http://schemas.openxmlformats.org/officeDocument/2006/relationships/hyperlink" Target="https://drive.google.com/open?id=1GhMjmS39wRlUS3E2iHZjThAFMP0uIS4q" TargetMode="External"/><Relationship Id="rId1843" Type="http://schemas.openxmlformats.org/officeDocument/2006/relationships/hyperlink" Target="https://drive.google.com/open?id=15dSZQRoZ7MIwXDGQB5ZoH0IltiqtAU1w" TargetMode="External"/><Relationship Id="rId1703" Type="http://schemas.openxmlformats.org/officeDocument/2006/relationships/hyperlink" Target="https://drive.google.com/open?id=1R3ABRKfQvr7SBDf0SPmGSe73A19FePfr" TargetMode="External"/><Relationship Id="rId1910" Type="http://schemas.openxmlformats.org/officeDocument/2006/relationships/hyperlink" Target="https://drive.google.com/open?id=1-RNRWOMisT3Mn7Utdj7T4gwEcK_bcZ53" TargetMode="External"/><Relationship Id="rId284" Type="http://schemas.openxmlformats.org/officeDocument/2006/relationships/hyperlink" Target="https://drive.google.com/open?id=1PbQbWYZCfeVu3oBq96Cm_EprRyActOUz" TargetMode="External"/><Relationship Id="rId491" Type="http://schemas.openxmlformats.org/officeDocument/2006/relationships/hyperlink" Target="https://drive.google.com/open?id=12m8cZFrptAobX7QFrHtNILmHHeZJ3qos" TargetMode="External"/><Relationship Id="rId144" Type="http://schemas.openxmlformats.org/officeDocument/2006/relationships/hyperlink" Target="https://drive.google.com/open?id=1IUr-YEZS7GGUN4H4n0zQDyvW3WTMOjgQ" TargetMode="External"/><Relationship Id="rId589" Type="http://schemas.openxmlformats.org/officeDocument/2006/relationships/hyperlink" Target="https://drive.google.com/open?id=1FIPaX5Nn6rJOg6anvIkd_USouJn875id" TargetMode="External"/><Relationship Id="rId796" Type="http://schemas.openxmlformats.org/officeDocument/2006/relationships/hyperlink" Target="https://drive.google.com/open?id=1PgXsk7pG2t_7Q-CQcIzC7J569bmoeNBy" TargetMode="External"/><Relationship Id="rId351" Type="http://schemas.openxmlformats.org/officeDocument/2006/relationships/hyperlink" Target="https://drive.google.com/open?id=1ftDDjwWidCjUAzYkzISg7QsiCB5nngyI" TargetMode="External"/><Relationship Id="rId449" Type="http://schemas.openxmlformats.org/officeDocument/2006/relationships/hyperlink" Target="https://drive.google.com/open?id=1VGiFb-XQmkNLuWgigH2wI5Vd5jITvH2L" TargetMode="External"/><Relationship Id="rId656" Type="http://schemas.openxmlformats.org/officeDocument/2006/relationships/hyperlink" Target="https://drive.google.com/open?id=1Xx30Qgc-Rq3A-Fb4mPeUZBPO2Zj1Gzwv" TargetMode="External"/><Relationship Id="rId863" Type="http://schemas.openxmlformats.org/officeDocument/2006/relationships/hyperlink" Target="https://drive.google.com/open?id=1cnsGnb6zAn0rh2srH_Vn-0HgAExPEDyE" TargetMode="External"/><Relationship Id="rId1079" Type="http://schemas.openxmlformats.org/officeDocument/2006/relationships/hyperlink" Target="https://drive.google.com/open?id=1dnNhOSVWDs15FP629b70g7JAOOTyyjgz" TargetMode="External"/><Relationship Id="rId1286" Type="http://schemas.openxmlformats.org/officeDocument/2006/relationships/hyperlink" Target="https://drive.google.com/open?id=1SiR3eWBnWKQwM5zv84JiYrcmK9iQIsaW" TargetMode="External"/><Relationship Id="rId1493" Type="http://schemas.openxmlformats.org/officeDocument/2006/relationships/hyperlink" Target="https://drive.google.com/open?id=1s2haFrcdr065igbPRsc5sEDIrM7VTNIs" TargetMode="External"/><Relationship Id="rId2032" Type="http://schemas.openxmlformats.org/officeDocument/2006/relationships/hyperlink" Target="https://drive.google.com/open?id=1_sk73KOoKa9ejyuacFXNfoCFPaBIeYYa" TargetMode="External"/><Relationship Id="rId211" Type="http://schemas.openxmlformats.org/officeDocument/2006/relationships/hyperlink" Target="https://drive.google.com/open?id=1l36UkHrfsYwC2q5ArZjNAuzcsOv4gUKd" TargetMode="External"/><Relationship Id="rId309" Type="http://schemas.openxmlformats.org/officeDocument/2006/relationships/hyperlink" Target="https://drive.google.com/open?id=1koVyrfHyrPoiz8lXtYbKYPO699Cb3S5Z" TargetMode="External"/><Relationship Id="rId516" Type="http://schemas.openxmlformats.org/officeDocument/2006/relationships/hyperlink" Target="https://drive.google.com/open?id=1e__oWL9bbzP6NZiT6FmPM37R7gNIGUYD" TargetMode="External"/><Relationship Id="rId1146" Type="http://schemas.openxmlformats.org/officeDocument/2006/relationships/hyperlink" Target="https://drive.google.com/open?id=1yxloaYKn3cN7Jvh7q7OVinPeHpKgun9S" TargetMode="External"/><Relationship Id="rId1798" Type="http://schemas.openxmlformats.org/officeDocument/2006/relationships/hyperlink" Target="https://drive.google.com/open?id=1h7GOkuprcIfPBvI1I4lligkC-qgnjRva" TargetMode="External"/><Relationship Id="rId723" Type="http://schemas.openxmlformats.org/officeDocument/2006/relationships/hyperlink" Target="https://drive.google.com/open?id=1bBp_zOHbr6nv37MMN1UGRfBf9Ev32dTd" TargetMode="External"/><Relationship Id="rId930" Type="http://schemas.openxmlformats.org/officeDocument/2006/relationships/hyperlink" Target="https://drive.google.com/open?id=13yr0bjr2Y3mwjOsc6FdB6W0vWJIit6EB" TargetMode="External"/><Relationship Id="rId1006" Type="http://schemas.openxmlformats.org/officeDocument/2006/relationships/hyperlink" Target="https://drive.google.com/open?id=1FKdAvbOzBynDZVc4_sU3EoBHbp3_bJRc" TargetMode="External"/><Relationship Id="rId1353" Type="http://schemas.openxmlformats.org/officeDocument/2006/relationships/hyperlink" Target="https://drive.google.com/open?id=1LbELtUTcRalKKb5OyWZU2IwXBfE4KZb1" TargetMode="External"/><Relationship Id="rId1560" Type="http://schemas.openxmlformats.org/officeDocument/2006/relationships/hyperlink" Target="https://drive.google.com/open?id=1knpEnpJc-bnoRo0SLBb8PgKSkgCgCqPO" TargetMode="External"/><Relationship Id="rId1658" Type="http://schemas.openxmlformats.org/officeDocument/2006/relationships/hyperlink" Target="https://drive.google.com/open?id=1SVCCAqxL9jk0lvAb4Slzjxm-JlFYEXqs" TargetMode="External"/><Relationship Id="rId1865" Type="http://schemas.openxmlformats.org/officeDocument/2006/relationships/hyperlink" Target="https://drive.google.com/open?id=16ZMc8AD8_N_59qYK_ByMVQpjy5kdtTQJ" TargetMode="External"/><Relationship Id="rId1213" Type="http://schemas.openxmlformats.org/officeDocument/2006/relationships/hyperlink" Target="https://drive.google.com/open?id=1MI63g866dAAnJVMamzMeyxdoRGbtNw3g" TargetMode="External"/><Relationship Id="rId1420" Type="http://schemas.openxmlformats.org/officeDocument/2006/relationships/hyperlink" Target="https://drive.google.com/open?id=12Ru3FMZ1Ag7GisuEtM3dZBpIjAA7R03e" TargetMode="External"/><Relationship Id="rId1518" Type="http://schemas.openxmlformats.org/officeDocument/2006/relationships/hyperlink" Target="https://drive.google.com/open?id=17YvXATJL11g3YIjkfLMKF7J4SWE-DZ1L" TargetMode="External"/><Relationship Id="rId1725" Type="http://schemas.openxmlformats.org/officeDocument/2006/relationships/hyperlink" Target="https://drive.google.com/open?id=1RCUPHDPfidjSNOYKPUFCzn_SSVxiVvdf" TargetMode="External"/><Relationship Id="rId1932" Type="http://schemas.openxmlformats.org/officeDocument/2006/relationships/hyperlink" Target="https://drive.google.com/open?id=1ST-8KqCj5K9j4jBIORRi4uoUZoJp_GXw" TargetMode="External"/><Relationship Id="rId17" Type="http://schemas.openxmlformats.org/officeDocument/2006/relationships/hyperlink" Target="https://drive.google.com/open?id=1MLQisLDB6dRr5ve-t25_cqtevIf58Aj3" TargetMode="External"/><Relationship Id="rId166" Type="http://schemas.openxmlformats.org/officeDocument/2006/relationships/hyperlink" Target="https://drive.google.com/open?id=1A-XetdWRyb8i9ZDR8EqX-2mrbZhmchCw" TargetMode="External"/><Relationship Id="rId373" Type="http://schemas.openxmlformats.org/officeDocument/2006/relationships/hyperlink" Target="https://drive.google.com/open?id=1ZOYZy_xWgenDxK4HvKCwEAlStcO0V71y" TargetMode="External"/><Relationship Id="rId580" Type="http://schemas.openxmlformats.org/officeDocument/2006/relationships/hyperlink" Target="https://drive.google.com/open?id=1e6SnVBspjU8YbBi310myLqg7jStthZM7" TargetMode="External"/><Relationship Id="rId1" Type="http://schemas.openxmlformats.org/officeDocument/2006/relationships/hyperlink" Target="https://drive.google.com/open?id=1AZou6AOvAvsB93SIEALVlG-rqOreJAs8" TargetMode="External"/><Relationship Id="rId233" Type="http://schemas.openxmlformats.org/officeDocument/2006/relationships/hyperlink" Target="https://drive.google.com/open?id=1Fu9nrRPg0Kkg6qL0fNnGet1ijPVBGqn_" TargetMode="External"/><Relationship Id="rId440" Type="http://schemas.openxmlformats.org/officeDocument/2006/relationships/hyperlink" Target="https://drive.google.com/open?id=1jBrLpRlJl0D7VL_OZ3DNfEst6XWNWtKB" TargetMode="External"/><Relationship Id="rId678" Type="http://schemas.openxmlformats.org/officeDocument/2006/relationships/hyperlink" Target="https://drive.google.com/open?id=1bN9eoJOrOCskiq0ssktSlQXyB4QtLZ-e" TargetMode="External"/><Relationship Id="rId885" Type="http://schemas.openxmlformats.org/officeDocument/2006/relationships/hyperlink" Target="https://drive.google.com/open?id=18iQ8TgzQpsA4lZ_bRy5zM9dRrNq4CEgC" TargetMode="External"/><Relationship Id="rId1070" Type="http://schemas.openxmlformats.org/officeDocument/2006/relationships/hyperlink" Target="https://drive.google.com/open?id=1wJoCrCufQ6gYvAStDF89mt1LVfMhE682" TargetMode="External"/><Relationship Id="rId300" Type="http://schemas.openxmlformats.org/officeDocument/2006/relationships/hyperlink" Target="https://drive.google.com/open?id=1sdjflHff6QsDA71wr5UHz9C-QkNpupvW" TargetMode="External"/><Relationship Id="rId538" Type="http://schemas.openxmlformats.org/officeDocument/2006/relationships/hyperlink" Target="https://drive.google.com/open?id=1tnYVaqZD3tlK8bkKcISU0hssUXM95oxb" TargetMode="External"/><Relationship Id="rId745" Type="http://schemas.openxmlformats.org/officeDocument/2006/relationships/hyperlink" Target="https://drive.google.com/open?id=1QwT0SHJXOZbbfe7uGLwYQXGhLE86kokA" TargetMode="External"/><Relationship Id="rId952" Type="http://schemas.openxmlformats.org/officeDocument/2006/relationships/hyperlink" Target="https://drive.google.com/open?id=1z7zoLcOloX4bSFcx7I1PiW3s9Qskzxm7" TargetMode="External"/><Relationship Id="rId1168" Type="http://schemas.openxmlformats.org/officeDocument/2006/relationships/hyperlink" Target="https://drive.google.com/open?id=1HhpWBk2bwUDI7Z0E9dz1XwDG-b8HJTJO" TargetMode="External"/><Relationship Id="rId1375" Type="http://schemas.openxmlformats.org/officeDocument/2006/relationships/hyperlink" Target="https://drive.google.com/open?id=1QpZId86NZokde43wnfkq4kGi4BloyxRX" TargetMode="External"/><Relationship Id="rId1582" Type="http://schemas.openxmlformats.org/officeDocument/2006/relationships/hyperlink" Target="https://drive.google.com/open?id=1eXrPxStIQF21k02B9p5fJZ2EM8aX_qIp" TargetMode="External"/><Relationship Id="rId81" Type="http://schemas.openxmlformats.org/officeDocument/2006/relationships/hyperlink" Target="https://drive.google.com/open?id=1IDDCa5WOn6_jlysjwY46ejvsJ5akoQoT" TargetMode="External"/><Relationship Id="rId605" Type="http://schemas.openxmlformats.org/officeDocument/2006/relationships/hyperlink" Target="https://drive.google.com/open?id=1ObHk-K6bCrA4KPG3b_X4joJzaSpkz5v3" TargetMode="External"/><Relationship Id="rId812" Type="http://schemas.openxmlformats.org/officeDocument/2006/relationships/hyperlink" Target="https://drive.google.com/open?id=1lX58tIiCS0NL5LJtHE_XmT6-3dvY-gjZ" TargetMode="External"/><Relationship Id="rId1028" Type="http://schemas.openxmlformats.org/officeDocument/2006/relationships/hyperlink" Target="https://drive.google.com/open?id=1SeTqW1QAgj9AWfQl_L7l3iDEEtpLmzsB" TargetMode="External"/><Relationship Id="rId1235" Type="http://schemas.openxmlformats.org/officeDocument/2006/relationships/hyperlink" Target="https://drive.google.com/open?id=1KYuIjhMdaomRuC5FuBE_qLgy1iedbhot" TargetMode="External"/><Relationship Id="rId1442" Type="http://schemas.openxmlformats.org/officeDocument/2006/relationships/hyperlink" Target="https://drive.google.com/open?id=1b5YRbKgbtJgs3brdcKgnHtJyuWZYFApe" TargetMode="External"/><Relationship Id="rId1887" Type="http://schemas.openxmlformats.org/officeDocument/2006/relationships/hyperlink" Target="https://drive.google.com/open?id=10BjzHIm0f1s93Ql46OnAy1DdmCjo2Mfm" TargetMode="External"/><Relationship Id="rId1302" Type="http://schemas.openxmlformats.org/officeDocument/2006/relationships/hyperlink" Target="https://drive.google.com/open?id=10zkuO6az7Km6Pbxv9camWrsGTq9JXjUZ" TargetMode="External"/><Relationship Id="rId1747" Type="http://schemas.openxmlformats.org/officeDocument/2006/relationships/hyperlink" Target="https://drive.google.com/open?id=1XkwNzc6U_jjBMSrkcp2IhiD09bKkoRZm" TargetMode="External"/><Relationship Id="rId1954" Type="http://schemas.openxmlformats.org/officeDocument/2006/relationships/hyperlink" Target="https://drive.google.com/open?id=1GlB0x8E1MV8T7Ekc9jY4meydNl8SUZya" TargetMode="External"/><Relationship Id="rId39" Type="http://schemas.openxmlformats.org/officeDocument/2006/relationships/hyperlink" Target="https://drive.google.com/open?id=1Ur3-DPiTcIoJv5RSjP6_7FymbkZQlpKo" TargetMode="External"/><Relationship Id="rId1607" Type="http://schemas.openxmlformats.org/officeDocument/2006/relationships/hyperlink" Target="https://drive.google.com/open?id=1qMBXTPGStTzhPPoedF8rJ4oIedCDWV9g" TargetMode="External"/><Relationship Id="rId1814" Type="http://schemas.openxmlformats.org/officeDocument/2006/relationships/hyperlink" Target="https://drive.google.com/open?id=1vVDY3R2mqMimKFGSa1asgKoVJmiCYaPJ" TargetMode="External"/><Relationship Id="rId188" Type="http://schemas.openxmlformats.org/officeDocument/2006/relationships/hyperlink" Target="https://drive.google.com/open?id=1N-SQMMg9RMng5PjuMy9j8uZMtGhd4Tyf" TargetMode="External"/><Relationship Id="rId395" Type="http://schemas.openxmlformats.org/officeDocument/2006/relationships/hyperlink" Target="https://drive.google.com/open?id=1BP_1rT1QGIaaQUL9_nbXdP3sBUKEIEXs" TargetMode="External"/><Relationship Id="rId255" Type="http://schemas.openxmlformats.org/officeDocument/2006/relationships/hyperlink" Target="https://drive.google.com/open?id=11VWHzSFEONUfssxPPsHS_FkRZtGuyhOE" TargetMode="External"/><Relationship Id="rId462" Type="http://schemas.openxmlformats.org/officeDocument/2006/relationships/hyperlink" Target="https://drive.google.com/open?id=1Qz3amq7lggMmrryybe5Il6Zdup4jmnnz" TargetMode="External"/><Relationship Id="rId1092" Type="http://schemas.openxmlformats.org/officeDocument/2006/relationships/hyperlink" Target="https://drive.google.com/open?id=1OD3_2GUeskvP41XOvUFxNejjHXFHHkup" TargetMode="External"/><Relationship Id="rId1397" Type="http://schemas.openxmlformats.org/officeDocument/2006/relationships/hyperlink" Target="https://drive.google.com/open?id=1qF6LhvKRLv4K5is7Ye3BokjCJ-UJLTo8" TargetMode="External"/><Relationship Id="rId115" Type="http://schemas.openxmlformats.org/officeDocument/2006/relationships/hyperlink" Target="https://drive.google.com/open?id=1N8voVaGNdhoYflJOegiiDjOM8Tpit6xn" TargetMode="External"/><Relationship Id="rId322" Type="http://schemas.openxmlformats.org/officeDocument/2006/relationships/hyperlink" Target="https://drive.google.com/open?id=1bcTa1Nk1rkJZ7hhojsnSzyylD_RI3XOJ" TargetMode="External"/><Relationship Id="rId767" Type="http://schemas.openxmlformats.org/officeDocument/2006/relationships/hyperlink" Target="https://drive.google.com/open?id=1ppm-olp-Fi20k1t_hwCrzHCZDdCGcUGh" TargetMode="External"/><Relationship Id="rId974" Type="http://schemas.openxmlformats.org/officeDocument/2006/relationships/hyperlink" Target="https://drive.google.com/open?id=12RYy9G0H8YwArcTMn8oyqiKBMGOeAEBl" TargetMode="External"/><Relationship Id="rId2003" Type="http://schemas.openxmlformats.org/officeDocument/2006/relationships/hyperlink" Target="https://drive.google.com/open?id=1UjLjpKOXO_mh4GvFPK4xDQVrc0Z-pRJO" TargetMode="External"/><Relationship Id="rId627" Type="http://schemas.openxmlformats.org/officeDocument/2006/relationships/hyperlink" Target="https://drive.google.com/open?id=1ConKAeCWEw4H7T4RCqqckNBGBEacItzY" TargetMode="External"/><Relationship Id="rId834" Type="http://schemas.openxmlformats.org/officeDocument/2006/relationships/hyperlink" Target="https://drive.google.com/open?id=1AIpeIyvcJmyNEiI6g1QlvR3Y0d-PE2M3" TargetMode="External"/><Relationship Id="rId1257" Type="http://schemas.openxmlformats.org/officeDocument/2006/relationships/hyperlink" Target="https://drive.google.com/open?id=1sNp6qhhl6tZRdxN2qwMMeaWgX7vRRJPY" TargetMode="External"/><Relationship Id="rId1464" Type="http://schemas.openxmlformats.org/officeDocument/2006/relationships/hyperlink" Target="https://drive.google.com/open?id=14ZuDaLBX2QPIFfky0Sdn3nf_IhIl2v6p" TargetMode="External"/><Relationship Id="rId1671" Type="http://schemas.openxmlformats.org/officeDocument/2006/relationships/hyperlink" Target="https://drive.google.com/open?id=1TCD7JJhbDEtxpffAnuLgXAv9pPxbyKcJ" TargetMode="External"/><Relationship Id="rId901" Type="http://schemas.openxmlformats.org/officeDocument/2006/relationships/hyperlink" Target="https://drive.google.com/open?id=1XKxWlmIIvI264lQuBNTTrY7LG_vKRdC7" TargetMode="External"/><Relationship Id="rId1117" Type="http://schemas.openxmlformats.org/officeDocument/2006/relationships/hyperlink" Target="https://drive.google.com/open?id=1Hwv7zo-ueimymlCvK3Uak_aT_uEjGqHp" TargetMode="External"/><Relationship Id="rId1324" Type="http://schemas.openxmlformats.org/officeDocument/2006/relationships/hyperlink" Target="https://drive.google.com/open?id=1NeTp2sTTUHz5vwcyDsB4z4EkcCBmw5Sl" TargetMode="External"/><Relationship Id="rId1531" Type="http://schemas.openxmlformats.org/officeDocument/2006/relationships/hyperlink" Target="https://drive.google.com/open?id=1W1JITF42KyXoI7dB00HjXgL3ZVw9-C4v" TargetMode="External"/><Relationship Id="rId1769" Type="http://schemas.openxmlformats.org/officeDocument/2006/relationships/hyperlink" Target="https://drive.google.com/open?id=1gYm7ynwOLyjlD4esvS3SXozv8aDXyIKH" TargetMode="External"/><Relationship Id="rId1976" Type="http://schemas.openxmlformats.org/officeDocument/2006/relationships/hyperlink" Target="https://drive.google.com/open?id=1lOlAeFHbqMjpUR_FReMzY19OMoc2MX25" TargetMode="External"/><Relationship Id="rId30" Type="http://schemas.openxmlformats.org/officeDocument/2006/relationships/hyperlink" Target="https://drive.google.com/open?id=1_CFzgo6_z7DOYZ_SDaS6ptmZjS9g_DVt" TargetMode="External"/><Relationship Id="rId1629" Type="http://schemas.openxmlformats.org/officeDocument/2006/relationships/hyperlink" Target="https://drive.google.com/open?id=10UjI3QfukXYo-HTNkiW78f21dec9a1dq" TargetMode="External"/><Relationship Id="rId1836" Type="http://schemas.openxmlformats.org/officeDocument/2006/relationships/hyperlink" Target="https://drive.google.com/open?id=1b1RCbNp5gMu_kAUmQoX-Xgu5dAVLERgv" TargetMode="External"/><Relationship Id="rId1903" Type="http://schemas.openxmlformats.org/officeDocument/2006/relationships/hyperlink" Target="https://drive.google.com/open?id=1sH-fPwB-0OqiuML-22rs3uwswRgFdmRN" TargetMode="External"/><Relationship Id="rId277" Type="http://schemas.openxmlformats.org/officeDocument/2006/relationships/hyperlink" Target="https://drive.google.com/open?id=1_KeNwqhOB1iH1BiuZm8zNtXl8c8GLy22" TargetMode="External"/><Relationship Id="rId484" Type="http://schemas.openxmlformats.org/officeDocument/2006/relationships/hyperlink" Target="https://drive.google.com/open?id=1XWIiM0L4YpilOrUjM05l_CeP2X2VOejV" TargetMode="External"/><Relationship Id="rId137" Type="http://schemas.openxmlformats.org/officeDocument/2006/relationships/hyperlink" Target="https://drive.google.com/open?id=1Jgkl2BGT0eAgUuJlmunGnIS7t5RX2PeU" TargetMode="External"/><Relationship Id="rId344" Type="http://schemas.openxmlformats.org/officeDocument/2006/relationships/hyperlink" Target="https://drive.google.com/open?id=1u5sbjE-JCaG9CHIbIxpLdWNxYcf5_8yM" TargetMode="External"/><Relationship Id="rId691" Type="http://schemas.openxmlformats.org/officeDocument/2006/relationships/hyperlink" Target="https://drive.google.com/open?id=1eOZBVhJPJ7OGcwWoRL0loG8gsQB8Vghy" TargetMode="External"/><Relationship Id="rId789" Type="http://schemas.openxmlformats.org/officeDocument/2006/relationships/hyperlink" Target="https://drive.google.com/open?id=1I8Q-9anuO4iH_5M8CvmLB-y7DvVOsD7B" TargetMode="External"/><Relationship Id="rId996" Type="http://schemas.openxmlformats.org/officeDocument/2006/relationships/hyperlink" Target="https://drive.google.com/open?id=1NyZsZBDOaz2gkojuGaQG1GFy1v1pNUdR" TargetMode="External"/><Relationship Id="rId2025" Type="http://schemas.openxmlformats.org/officeDocument/2006/relationships/hyperlink" Target="https://drive.google.com/open?id=1eBEvDCxoQaie4B8wvtEyUxwI0G40eKQt" TargetMode="External"/><Relationship Id="rId551" Type="http://schemas.openxmlformats.org/officeDocument/2006/relationships/hyperlink" Target="https://drive.google.com/open?id=1e8njWdjxw4bnhicgQwBOV_c4pchuTxR_" TargetMode="External"/><Relationship Id="rId649" Type="http://schemas.openxmlformats.org/officeDocument/2006/relationships/hyperlink" Target="https://drive.google.com/open?id=1WdVrgdOHXJL6OOpaLGl9zw4hKbTsnDVG" TargetMode="External"/><Relationship Id="rId856" Type="http://schemas.openxmlformats.org/officeDocument/2006/relationships/hyperlink" Target="https://drive.google.com/open?id=1tjL2NIkLhIJAlN0I-bmFnnSNAZKQnOq0" TargetMode="External"/><Relationship Id="rId1181" Type="http://schemas.openxmlformats.org/officeDocument/2006/relationships/hyperlink" Target="https://drive.google.com/open?id=1j_gWNxEhK5T2d7w-18I8rZ4J2PY-pJVY" TargetMode="External"/><Relationship Id="rId1279" Type="http://schemas.openxmlformats.org/officeDocument/2006/relationships/hyperlink" Target="https://drive.google.com/open?id=1pCkz66mSGtGAh35m5uJdfix8mjJOxxWQ" TargetMode="External"/><Relationship Id="rId1486" Type="http://schemas.openxmlformats.org/officeDocument/2006/relationships/hyperlink" Target="https://drive.google.com/open?id=1jdAPpzW0CkpMSM54NirPhoOanLfhhlQB" TargetMode="External"/><Relationship Id="rId204" Type="http://schemas.openxmlformats.org/officeDocument/2006/relationships/hyperlink" Target="https://drive.google.com/open?id=1u_xZ3C5dGJVHDO7wYB7dVVvbNNfos--O" TargetMode="External"/><Relationship Id="rId411" Type="http://schemas.openxmlformats.org/officeDocument/2006/relationships/hyperlink" Target="https://drive.google.com/open?id=1NY6kVaIjPbNTfHGW9pFpmf5dC6Lv0v8X" TargetMode="External"/><Relationship Id="rId509" Type="http://schemas.openxmlformats.org/officeDocument/2006/relationships/hyperlink" Target="https://drive.google.com/open?id=1MINBOzF05UlV83aDFiUj0YOsPLlLvbpA" TargetMode="External"/><Relationship Id="rId1041" Type="http://schemas.openxmlformats.org/officeDocument/2006/relationships/hyperlink" Target="https://drive.google.com/open?id=1pHNFcgDEvXbmEZ03Q2iOIDQyYq8gsOda" TargetMode="External"/><Relationship Id="rId1139" Type="http://schemas.openxmlformats.org/officeDocument/2006/relationships/hyperlink" Target="https://drive.google.com/open?id=1_jczt0LfBzIyrkq4dc10iEbTI1-O3nyd" TargetMode="External"/><Relationship Id="rId1346" Type="http://schemas.openxmlformats.org/officeDocument/2006/relationships/hyperlink" Target="https://drive.google.com/open?id=1yImFV9tXcv1pDOdf14qVJZFjdo8AxRwD" TargetMode="External"/><Relationship Id="rId1693" Type="http://schemas.openxmlformats.org/officeDocument/2006/relationships/hyperlink" Target="https://drive.google.com/open?id=1rDXJ_bF7haAH8R9m6hHVgnfCUGtEjSWx" TargetMode="External"/><Relationship Id="rId1998" Type="http://schemas.openxmlformats.org/officeDocument/2006/relationships/hyperlink" Target="https://drive.google.com/open?id=1KtEuqlEBy5mkeuqGTVFZHefpYbAzOJtJ" TargetMode="External"/><Relationship Id="rId716" Type="http://schemas.openxmlformats.org/officeDocument/2006/relationships/hyperlink" Target="https://drive.google.com/open?id=1gSn1b1cinBiYULOyvlRlFLSJdNM4tFmA" TargetMode="External"/><Relationship Id="rId923" Type="http://schemas.openxmlformats.org/officeDocument/2006/relationships/hyperlink" Target="https://drive.google.com/open?id=1MHBbBfRyJNYizMPBuwWfphW4J81R66oe" TargetMode="External"/><Relationship Id="rId1553" Type="http://schemas.openxmlformats.org/officeDocument/2006/relationships/hyperlink" Target="https://drive.google.com/open?id=1UhZXnMmH7iBOdB29z7tKnkZUOzDfIory" TargetMode="External"/><Relationship Id="rId1760" Type="http://schemas.openxmlformats.org/officeDocument/2006/relationships/hyperlink" Target="https://drive.google.com/open?id=1bp6f4fzGfgJTmBKc_qe5JsRr0vzd6exb" TargetMode="External"/><Relationship Id="rId1858" Type="http://schemas.openxmlformats.org/officeDocument/2006/relationships/hyperlink" Target="https://drive.google.com/open?id=1JvXVmNVIMsy29h5SnbRxJhi3YwHx6pTH" TargetMode="External"/><Relationship Id="rId52" Type="http://schemas.openxmlformats.org/officeDocument/2006/relationships/hyperlink" Target="https://drive.google.com/open?id=1MGVf9SjB0h1TDhUmm3RJfJCkG0dQsKl5" TargetMode="External"/><Relationship Id="rId1206" Type="http://schemas.openxmlformats.org/officeDocument/2006/relationships/hyperlink" Target="https://drive.google.com/open?id=1o_FmVqf5NiP84Zyh-Y1_dza1_t6U9o-2" TargetMode="External"/><Relationship Id="rId1413" Type="http://schemas.openxmlformats.org/officeDocument/2006/relationships/hyperlink" Target="https://drive.google.com/open?id=1btfZ_QVdBLl7yY_b9R5CY7TAqv3lSXMI" TargetMode="External"/><Relationship Id="rId1620" Type="http://schemas.openxmlformats.org/officeDocument/2006/relationships/hyperlink" Target="https://drive.google.com/open?id=1lVNlTj8kVCB9y3RuebaRrGv_oPasscWY" TargetMode="External"/><Relationship Id="rId1718" Type="http://schemas.openxmlformats.org/officeDocument/2006/relationships/hyperlink" Target="https://drive.google.com/open?id=17NnNBhdbNuUWwZt227OTP03S779ruQBx" TargetMode="External"/><Relationship Id="rId1925" Type="http://schemas.openxmlformats.org/officeDocument/2006/relationships/hyperlink" Target="https://drive.google.com/open?id=1gCuL4tTAqxcW0Y1hoU6vePuVKn3dYjOP" TargetMode="External"/><Relationship Id="rId299" Type="http://schemas.openxmlformats.org/officeDocument/2006/relationships/hyperlink" Target="https://drive.google.com/open?id=14U_7bZ0gHxVEE2znEyO95lnBdFpk9OHx" TargetMode="External"/><Relationship Id="rId159" Type="http://schemas.openxmlformats.org/officeDocument/2006/relationships/hyperlink" Target="https://drive.google.com/open?id=13Q92_2GM2gbIJ9j_X2-rfwiIso4hAL3u" TargetMode="External"/><Relationship Id="rId366" Type="http://schemas.openxmlformats.org/officeDocument/2006/relationships/hyperlink" Target="https://drive.google.com/open?id=17liOxLHY1rN7ekZzmp4lgm6Vs09SMdC2" TargetMode="External"/><Relationship Id="rId573" Type="http://schemas.openxmlformats.org/officeDocument/2006/relationships/hyperlink" Target="https://drive.google.com/open?id=1xT8ljUa3qY0wki8PXPm6vvMJd0GncHGI" TargetMode="External"/><Relationship Id="rId780" Type="http://schemas.openxmlformats.org/officeDocument/2006/relationships/hyperlink" Target="https://drive.google.com/open?id=1O85meO5m5B8WUH9Ral9iDcMSOWQffnPm" TargetMode="External"/><Relationship Id="rId226" Type="http://schemas.openxmlformats.org/officeDocument/2006/relationships/hyperlink" Target="https://drive.google.com/open?id=1mmvZuNHJ0AJ10auWxvKzVZLYlp9KPmRq" TargetMode="External"/><Relationship Id="rId433" Type="http://schemas.openxmlformats.org/officeDocument/2006/relationships/hyperlink" Target="https://drive.google.com/open?id=1sskyYET1NpyKEiwHeOJ3SInxLiotVi7m" TargetMode="External"/><Relationship Id="rId878" Type="http://schemas.openxmlformats.org/officeDocument/2006/relationships/hyperlink" Target="https://drive.google.com/open?id=1fd7MMCAE24zCn_G9_2ncc-j68ji1UgTS" TargetMode="External"/><Relationship Id="rId1063" Type="http://schemas.openxmlformats.org/officeDocument/2006/relationships/hyperlink" Target="https://drive.google.com/open?id=1bc3_FHgpBM7A0cqKXJnezvhHUiDYeA3M" TargetMode="External"/><Relationship Id="rId1270" Type="http://schemas.openxmlformats.org/officeDocument/2006/relationships/hyperlink" Target="https://drive.google.com/open?id=1ztk5sA7RJj7ITLbOdTfLg1J2goGzOpqs" TargetMode="External"/><Relationship Id="rId640" Type="http://schemas.openxmlformats.org/officeDocument/2006/relationships/hyperlink" Target="https://drive.google.com/open?id=1IQ6JQvS-nZHF58j4DNxBeabSo6lTwnwn" TargetMode="External"/><Relationship Id="rId738" Type="http://schemas.openxmlformats.org/officeDocument/2006/relationships/hyperlink" Target="https://drive.google.com/open?id=1T_qBa8i4nTOwQw1-VshzYec-lrGWhZCq" TargetMode="External"/><Relationship Id="rId945" Type="http://schemas.openxmlformats.org/officeDocument/2006/relationships/hyperlink" Target="https://drive.google.com/open?id=123z3vUl0TONY_684D3TRMAPAbODIdjpe" TargetMode="External"/><Relationship Id="rId1368" Type="http://schemas.openxmlformats.org/officeDocument/2006/relationships/hyperlink" Target="https://drive.google.com/open?id=1ulxKUPi15JWFy3BmQqTOftn4oLDkS7I5" TargetMode="External"/><Relationship Id="rId1575" Type="http://schemas.openxmlformats.org/officeDocument/2006/relationships/hyperlink" Target="https://drive.google.com/open?id=17PlsA136GrQrEmfFGZLDSXZWmo-ioDa1" TargetMode="External"/><Relationship Id="rId1782" Type="http://schemas.openxmlformats.org/officeDocument/2006/relationships/hyperlink" Target="https://drive.google.com/open?id=1_DI0O1HRydjtn8_oEC7q1XLoU7ZlB1Dd" TargetMode="External"/><Relationship Id="rId74" Type="http://schemas.openxmlformats.org/officeDocument/2006/relationships/hyperlink" Target="https://drive.google.com/open?id=1O4_AlVamDYzu1voga7oWhJ9nlKFHjCvV" TargetMode="External"/><Relationship Id="rId500" Type="http://schemas.openxmlformats.org/officeDocument/2006/relationships/hyperlink" Target="https://drive.google.com/open?id=1AOdGMRjEZ5YCMycW33QA0x-H7gF8iq8w" TargetMode="External"/><Relationship Id="rId805" Type="http://schemas.openxmlformats.org/officeDocument/2006/relationships/hyperlink" Target="https://drive.google.com/open?id=1nVItOh8ngj6w_UQiTpybgsEJDH8VJiQD" TargetMode="External"/><Relationship Id="rId1130" Type="http://schemas.openxmlformats.org/officeDocument/2006/relationships/hyperlink" Target="https://drive.google.com/open?id=1dDe0gUCmQARTcnogQp3X0QpncZcSB5NF" TargetMode="External"/><Relationship Id="rId1228" Type="http://schemas.openxmlformats.org/officeDocument/2006/relationships/hyperlink" Target="https://drive.google.com/open?id=1hr0Mo2ZKmKNKyapKVI-CLEPSREFKrP8C" TargetMode="External"/><Relationship Id="rId1435" Type="http://schemas.openxmlformats.org/officeDocument/2006/relationships/hyperlink" Target="https://drive.google.com/open?id=1H7kmZrvuwqBiPPUqTJq5_WsLHOkrSEgd" TargetMode="External"/><Relationship Id="rId1642" Type="http://schemas.openxmlformats.org/officeDocument/2006/relationships/hyperlink" Target="https://drive.google.com/open?id=1jWayqwbi4L8ZS6kgVQnBnGjALhuVS3Ny" TargetMode="External"/><Relationship Id="rId1947" Type="http://schemas.openxmlformats.org/officeDocument/2006/relationships/hyperlink" Target="https://drive.google.com/open?id=12X1SS4FSQm5FRoE4lMFgNpep0qUHbBbZ" TargetMode="External"/><Relationship Id="rId1502" Type="http://schemas.openxmlformats.org/officeDocument/2006/relationships/hyperlink" Target="https://drive.google.com/open?id=1yjhmwfNZmwO0VFGwmo005NzIPfAAfG4r" TargetMode="External"/><Relationship Id="rId1807" Type="http://schemas.openxmlformats.org/officeDocument/2006/relationships/hyperlink" Target="https://drive.google.com/open?id=1ovC5jkSRMYmlQaQL0uvtOvAqTFjw9_KX" TargetMode="External"/><Relationship Id="rId290" Type="http://schemas.openxmlformats.org/officeDocument/2006/relationships/hyperlink" Target="https://drive.google.com/open?id=19hHK3-HL9jD1JnKmxbuB3E5vj3NtqzjH" TargetMode="External"/><Relationship Id="rId388" Type="http://schemas.openxmlformats.org/officeDocument/2006/relationships/hyperlink" Target="https://drive.google.com/open?id=1AbUh6e6I7KAkuzJndzvBMGWmU5vdhs1N" TargetMode="External"/><Relationship Id="rId150" Type="http://schemas.openxmlformats.org/officeDocument/2006/relationships/hyperlink" Target="https://drive.google.com/open?id=1jzmzJZ9Z2CjCwr4Vk57ZVHsMbMZ9Po9g" TargetMode="External"/><Relationship Id="rId595" Type="http://schemas.openxmlformats.org/officeDocument/2006/relationships/hyperlink" Target="https://drive.google.com/open?id=17TxWLurzq8OqtH-k1FHLV7JxYrcrAqNE" TargetMode="External"/><Relationship Id="rId248" Type="http://schemas.openxmlformats.org/officeDocument/2006/relationships/hyperlink" Target="https://drive.google.com/open?id=1oisOWUuEX2jvYJGFkb2AmwqZvLVSj_hq" TargetMode="External"/><Relationship Id="rId455" Type="http://schemas.openxmlformats.org/officeDocument/2006/relationships/hyperlink" Target="https://drive.google.com/open?id=14vWnitS4Tu9MRYsTZR2luXyvkunbub9k" TargetMode="External"/><Relationship Id="rId662" Type="http://schemas.openxmlformats.org/officeDocument/2006/relationships/hyperlink" Target="https://drive.google.com/open?id=1MpDclfVNhtIJ8Tdjs7Jha30YbZJ_UkR4" TargetMode="External"/><Relationship Id="rId1085" Type="http://schemas.openxmlformats.org/officeDocument/2006/relationships/hyperlink" Target="https://drive.google.com/open?id=1y1uX0lxjpYSxNRSmGXQ0ZZW5dNS5GRsB" TargetMode="External"/><Relationship Id="rId1292" Type="http://schemas.openxmlformats.org/officeDocument/2006/relationships/hyperlink" Target="https://drive.google.com/open?id=1ak101Wz9Jq2mAn9x5cJwdVvXCwZ_kdPl" TargetMode="External"/><Relationship Id="rId108" Type="http://schemas.openxmlformats.org/officeDocument/2006/relationships/hyperlink" Target="https://drive.google.com/open?id=1LzMTN9w07HuExWEb4jApE4vNFVEj_CK7" TargetMode="External"/><Relationship Id="rId315" Type="http://schemas.openxmlformats.org/officeDocument/2006/relationships/hyperlink" Target="https://drive.google.com/open?id=1xZM-HVywSl14jBMxSeL88JCHeRYOrc7I" TargetMode="External"/><Relationship Id="rId522" Type="http://schemas.openxmlformats.org/officeDocument/2006/relationships/hyperlink" Target="https://drive.google.com/open?id=1_g9MgMpnfvoin-SdCAcWQsbzWrS92rAD" TargetMode="External"/><Relationship Id="rId967" Type="http://schemas.openxmlformats.org/officeDocument/2006/relationships/hyperlink" Target="https://drive.google.com/open?id=1sUmLELUQ57aafSbvYt2PuQvwQ4x80E_V" TargetMode="External"/><Relationship Id="rId1152" Type="http://schemas.openxmlformats.org/officeDocument/2006/relationships/hyperlink" Target="https://drive.google.com/open?id=1c8zg4Rn4BrEBAQbABMfYKguAHPjXUTGQ" TargetMode="External"/><Relationship Id="rId1597" Type="http://schemas.openxmlformats.org/officeDocument/2006/relationships/hyperlink" Target="https://drive.google.com/open?id=1HZsM-ycEsWpqJ_1wpT_caVgdy982ry0d" TargetMode="External"/><Relationship Id="rId96" Type="http://schemas.openxmlformats.org/officeDocument/2006/relationships/hyperlink" Target="https://drive.google.com/open?id=1Sj0dcEp5QLDAFBQ57zACgMpXmbam47ML" TargetMode="External"/><Relationship Id="rId827" Type="http://schemas.openxmlformats.org/officeDocument/2006/relationships/hyperlink" Target="https://drive.google.com/open?id=1G8b7HYvXR__DNHpMgt-WYrmRNFoDaC5q" TargetMode="External"/><Relationship Id="rId1012" Type="http://schemas.openxmlformats.org/officeDocument/2006/relationships/hyperlink" Target="https://drive.google.com/open?id=1Nhe0ye91mvqBxoIk76Xn3oxQtp8KTgZO" TargetMode="External"/><Relationship Id="rId1457" Type="http://schemas.openxmlformats.org/officeDocument/2006/relationships/hyperlink" Target="https://drive.google.com/open?id=1ijYc-ddRSca78ZcF06FiHr5rTvncugsq" TargetMode="External"/><Relationship Id="rId1664" Type="http://schemas.openxmlformats.org/officeDocument/2006/relationships/hyperlink" Target="https://drive.google.com/open?id=1nNDZORk2qG016r6O9qHdG1fiVrxI8_vv" TargetMode="External"/><Relationship Id="rId1871" Type="http://schemas.openxmlformats.org/officeDocument/2006/relationships/hyperlink" Target="https://drive.google.com/open?id=1CH5463vMwAf4Tpp68BQFc6tAJqzRzp-2" TargetMode="External"/><Relationship Id="rId1317" Type="http://schemas.openxmlformats.org/officeDocument/2006/relationships/hyperlink" Target="https://drive.google.com/open?id=1tc3eE_MEbzRJZ0PhOf5XOgDvp-HhvOjX" TargetMode="External"/><Relationship Id="rId1524" Type="http://schemas.openxmlformats.org/officeDocument/2006/relationships/hyperlink" Target="https://drive.google.com/open?id=1eSVdF6t3ydb5CRzge5M0Mjfj3GM4LVds" TargetMode="External"/><Relationship Id="rId1731" Type="http://schemas.openxmlformats.org/officeDocument/2006/relationships/hyperlink" Target="https://drive.google.com/open?id=1f0J6H16YYKrxfNL1UHuq_7SCbnDkRlxm" TargetMode="External"/><Relationship Id="rId1969" Type="http://schemas.openxmlformats.org/officeDocument/2006/relationships/hyperlink" Target="https://drive.google.com/open?id=15ktUIt8NNORh_j3VhdUzA1TgDRhZZuYe" TargetMode="External"/><Relationship Id="rId23" Type="http://schemas.openxmlformats.org/officeDocument/2006/relationships/hyperlink" Target="https://drive.google.com/open?id=1rsqL6YaddBW99Jh_C22WGeCbxcKo1qqq" TargetMode="External"/><Relationship Id="rId1829" Type="http://schemas.openxmlformats.org/officeDocument/2006/relationships/hyperlink" Target="https://drive.google.com/open?id=1OP6TaqCOYSco5YUgvGZ572oPIz_COK_b" TargetMode="External"/><Relationship Id="rId172" Type="http://schemas.openxmlformats.org/officeDocument/2006/relationships/hyperlink" Target="https://drive.google.com/open?id=1Sj5LAV3EAAydFg9kbG_wji5sJMTqQRC3" TargetMode="External"/><Relationship Id="rId477" Type="http://schemas.openxmlformats.org/officeDocument/2006/relationships/hyperlink" Target="https://drive.google.com/open?id=1G2XAvIu2pfhvVsnZSwx0OwTVxi0QRyw-" TargetMode="External"/><Relationship Id="rId684" Type="http://schemas.openxmlformats.org/officeDocument/2006/relationships/hyperlink" Target="https://drive.google.com/open?id=17TEG3s_nx4u6tbxrHkMP6I4NSAj7kHme" TargetMode="External"/><Relationship Id="rId337" Type="http://schemas.openxmlformats.org/officeDocument/2006/relationships/hyperlink" Target="https://drive.google.com/open?id=13gfu0-EWacMVddt6GT78I03JYGyk-54t" TargetMode="External"/><Relationship Id="rId891" Type="http://schemas.openxmlformats.org/officeDocument/2006/relationships/hyperlink" Target="https://drive.google.com/open?id=14KxYdP3Gaqwo4hr6FGniMVBFut2Kgkgv" TargetMode="External"/><Relationship Id="rId989" Type="http://schemas.openxmlformats.org/officeDocument/2006/relationships/hyperlink" Target="https://drive.google.com/open?id=1BIQpEcpy8uRovH6n-BBgppiXKI9i-xDf" TargetMode="External"/><Relationship Id="rId2018" Type="http://schemas.openxmlformats.org/officeDocument/2006/relationships/hyperlink" Target="https://drive.google.com/open?id=1ceb_PuWYFQL-R-BcKo_GCc6yy65di_Vg" TargetMode="External"/><Relationship Id="rId544" Type="http://schemas.openxmlformats.org/officeDocument/2006/relationships/hyperlink" Target="https://drive.google.com/open?id=1PMUcQ9pXHgj1ZVhJB5rfpfQzvUCVQszH" TargetMode="External"/><Relationship Id="rId751" Type="http://schemas.openxmlformats.org/officeDocument/2006/relationships/hyperlink" Target="https://drive.google.com/open?id=1cxWyqAI21A7tLWLtA5wVK4lKkR-o9g7T" TargetMode="External"/><Relationship Id="rId849" Type="http://schemas.openxmlformats.org/officeDocument/2006/relationships/hyperlink" Target="https://drive.google.com/open?id=1qdHrDn2lmGkYhOE7JW5YH7PbAC5aZ2im" TargetMode="External"/><Relationship Id="rId1174" Type="http://schemas.openxmlformats.org/officeDocument/2006/relationships/hyperlink" Target="https://drive.google.com/open?id=10E4ifhEM9mgEdl3PTjj2B9G4wQy7VG1n" TargetMode="External"/><Relationship Id="rId1381" Type="http://schemas.openxmlformats.org/officeDocument/2006/relationships/hyperlink" Target="https://drive.google.com/open?id=1Au3bp1GECnoqqoxbUmBWtA8y87HDl50H" TargetMode="External"/><Relationship Id="rId1479" Type="http://schemas.openxmlformats.org/officeDocument/2006/relationships/hyperlink" Target="https://drive.google.com/open?id=1-fb_nCtv8VMfjcOryjH7ICFd1enfYbsa" TargetMode="External"/><Relationship Id="rId1686" Type="http://schemas.openxmlformats.org/officeDocument/2006/relationships/hyperlink" Target="https://drive.google.com/open?id=1YiZoGZy_epG0DWKgcTEyYupSEXqrTZMH" TargetMode="External"/><Relationship Id="rId404" Type="http://schemas.openxmlformats.org/officeDocument/2006/relationships/hyperlink" Target="https://drive.google.com/open?id=1C1dDUc4rq_xsX6L4HvMxCR5e_q8P_Sue" TargetMode="External"/><Relationship Id="rId611" Type="http://schemas.openxmlformats.org/officeDocument/2006/relationships/hyperlink" Target="https://drive.google.com/open?id=10UduY8jBELDdfzrbkIJ0S_U2qObn4cbl" TargetMode="External"/><Relationship Id="rId1034" Type="http://schemas.openxmlformats.org/officeDocument/2006/relationships/hyperlink" Target="https://drive.google.com/open?id=1fBePhprPb3_mshn95QexM8cMF1uQqorn" TargetMode="External"/><Relationship Id="rId1241" Type="http://schemas.openxmlformats.org/officeDocument/2006/relationships/hyperlink" Target="https://drive.google.com/open?id=1RANyJYgmEpn6KZnhXQJ1rlbQyWlVbSV-" TargetMode="External"/><Relationship Id="rId1339" Type="http://schemas.openxmlformats.org/officeDocument/2006/relationships/hyperlink" Target="https://drive.google.com/open?id=1_VV6RCedZvTvDUJgWqXzkDjgLIoD8bj6" TargetMode="External"/><Relationship Id="rId1893" Type="http://schemas.openxmlformats.org/officeDocument/2006/relationships/hyperlink" Target="https://drive.google.com/open?id=1GeUL70mWX8rdUemttH2YAMIQ65czDQgK" TargetMode="External"/><Relationship Id="rId709" Type="http://schemas.openxmlformats.org/officeDocument/2006/relationships/hyperlink" Target="https://drive.google.com/open?id=1kPpDIebysxQdUpHzI5Stj0r-TVsW_fE8" TargetMode="External"/><Relationship Id="rId916" Type="http://schemas.openxmlformats.org/officeDocument/2006/relationships/hyperlink" Target="https://drive.google.com/open?id=1WExbVtwmqET1w2R_X8SAGYlyPZtHeLCN" TargetMode="External"/><Relationship Id="rId1101" Type="http://schemas.openxmlformats.org/officeDocument/2006/relationships/hyperlink" Target="https://drive.google.com/open?id=15YVudvtlBZsaXYYgoomt-u1Gs0ebJwx8" TargetMode="External"/><Relationship Id="rId1546" Type="http://schemas.openxmlformats.org/officeDocument/2006/relationships/hyperlink" Target="https://drive.google.com/open?id=1Fr69WR0LbDkO2vvIFhlepHV7XJngz2K_" TargetMode="External"/><Relationship Id="rId1753" Type="http://schemas.openxmlformats.org/officeDocument/2006/relationships/hyperlink" Target="https://drive.google.com/open?id=1xqdelicC6VV8UaOczuhGGA5TfnxP6UjF" TargetMode="External"/><Relationship Id="rId1960" Type="http://schemas.openxmlformats.org/officeDocument/2006/relationships/hyperlink" Target="https://drive.google.com/open?id=1p47mSdcNGxvhVunOAz117I9xhGdQ6oIH" TargetMode="External"/><Relationship Id="rId45" Type="http://schemas.openxmlformats.org/officeDocument/2006/relationships/hyperlink" Target="https://drive.google.com/open?id=1f4g2mRWQ1Xc4EL89FRTGtPdH7_y7L26i" TargetMode="External"/><Relationship Id="rId1406" Type="http://schemas.openxmlformats.org/officeDocument/2006/relationships/hyperlink" Target="https://drive.google.com/open?id=1oyt3jhnv-bAuSkpjR07OcBb1WRBSb-Z5" TargetMode="External"/><Relationship Id="rId1613" Type="http://schemas.openxmlformats.org/officeDocument/2006/relationships/hyperlink" Target="https://drive.google.com/open?id=1zdqkTgtVRawvUGbk9xaatLFFxrZeNaGG" TargetMode="External"/><Relationship Id="rId1820" Type="http://schemas.openxmlformats.org/officeDocument/2006/relationships/hyperlink" Target="https://drive.google.com/open?id=1mKZGSv2Fguz_tc-21pP3ZU-J_bR-4kCz" TargetMode="External"/><Relationship Id="rId194" Type="http://schemas.openxmlformats.org/officeDocument/2006/relationships/hyperlink" Target="https://drive.google.com/open?id=1smy_vRy8uuzoq6JVDNy8R7bnmp2w5EUq" TargetMode="External"/><Relationship Id="rId1918" Type="http://schemas.openxmlformats.org/officeDocument/2006/relationships/hyperlink" Target="https://drive.google.com/open?id=11qM7uIAWDseTSSr43Mjckp2JZRYWkzH9" TargetMode="External"/><Relationship Id="rId261" Type="http://schemas.openxmlformats.org/officeDocument/2006/relationships/hyperlink" Target="https://drive.google.com/open?id=1mR_MEOChrkelZ2DGhUvX5vmYzPO_1lW2" TargetMode="External"/><Relationship Id="rId499" Type="http://schemas.openxmlformats.org/officeDocument/2006/relationships/hyperlink" Target="https://drive.google.com/open?id=1fXAHVNaFA-XufAdvGknu5FJ_MB_zBT4f" TargetMode="External"/><Relationship Id="rId359" Type="http://schemas.openxmlformats.org/officeDocument/2006/relationships/hyperlink" Target="https://drive.google.com/open?id=1YUux166XXxeP_MThu2FsZFMgio6ublPY" TargetMode="External"/><Relationship Id="rId566" Type="http://schemas.openxmlformats.org/officeDocument/2006/relationships/hyperlink" Target="https://drive.google.com/open?id=1MDICjJsJvxKkQc_LnCnZy7DO2odsEbiV" TargetMode="External"/><Relationship Id="rId773" Type="http://schemas.openxmlformats.org/officeDocument/2006/relationships/hyperlink" Target="https://drive.google.com/open?id=1uEt3gx_SR8929zAo8Uvw9VPccPLjJMy_" TargetMode="External"/><Relationship Id="rId1196" Type="http://schemas.openxmlformats.org/officeDocument/2006/relationships/hyperlink" Target="https://drive.google.com/open?id=1Obq2S1O1trAakdsYzMTAJ1ArD8tea6D4" TargetMode="External"/><Relationship Id="rId121" Type="http://schemas.openxmlformats.org/officeDocument/2006/relationships/hyperlink" Target="https://drive.google.com/open?id=13TauMW-jfBETPFjk3ylSnKjOBF6BYp_h" TargetMode="External"/><Relationship Id="rId219" Type="http://schemas.openxmlformats.org/officeDocument/2006/relationships/hyperlink" Target="https://drive.google.com/open?id=1FFv6QcxbqXayakWeYb-BP5XidrxLTPU_" TargetMode="External"/><Relationship Id="rId426" Type="http://schemas.openxmlformats.org/officeDocument/2006/relationships/hyperlink" Target="https://drive.google.com/open?id=1tChbRPRDcii3BsKFOkI1-32mYQ_Rz1K1" TargetMode="External"/><Relationship Id="rId633" Type="http://schemas.openxmlformats.org/officeDocument/2006/relationships/hyperlink" Target="https://drive.google.com/open?id=12IAynBiFJuyrQOgVgF6-1Pir0aAmS7zL" TargetMode="External"/><Relationship Id="rId980" Type="http://schemas.openxmlformats.org/officeDocument/2006/relationships/hyperlink" Target="https://drive.google.com/open?id=1NjnGrqwHg9kVDzST7iu3lN6dLHgN806d" TargetMode="External"/><Relationship Id="rId1056" Type="http://schemas.openxmlformats.org/officeDocument/2006/relationships/hyperlink" Target="https://drive.google.com/open?id=1rZEifSYM84u1FNu5-UWTrM1QDThUIc9_" TargetMode="External"/><Relationship Id="rId1263" Type="http://schemas.openxmlformats.org/officeDocument/2006/relationships/hyperlink" Target="https://drive.google.com/open?id=1a-owuO-_BJEX0MZpUjJXQh8suySGjUDs" TargetMode="External"/><Relationship Id="rId840" Type="http://schemas.openxmlformats.org/officeDocument/2006/relationships/hyperlink" Target="https://drive.google.com/open?id=195AZSRE2QxlqLmTk9dN2r40MPRM_6xmW" TargetMode="External"/><Relationship Id="rId938" Type="http://schemas.openxmlformats.org/officeDocument/2006/relationships/hyperlink" Target="https://drive.google.com/open?id=1HCT-SVc4oFH9UIBG3NUhaF9rnQC1sxH_" TargetMode="External"/><Relationship Id="rId1470" Type="http://schemas.openxmlformats.org/officeDocument/2006/relationships/hyperlink" Target="https://drive.google.com/open?id=1RzndL3V8M8J9cLFR7V3gJ9Phx3ZqDXIx" TargetMode="External"/><Relationship Id="rId1568" Type="http://schemas.openxmlformats.org/officeDocument/2006/relationships/hyperlink" Target="https://drive.google.com/open?id=1d0LH9JieH-G_ehqALLk2vt43GDcV2EFU" TargetMode="External"/><Relationship Id="rId1775" Type="http://schemas.openxmlformats.org/officeDocument/2006/relationships/hyperlink" Target="https://drive.google.com/open?id=1yR5oLFZb_AQWHcFlX1yT7LNcyLYVbaE_" TargetMode="External"/><Relationship Id="rId67" Type="http://schemas.openxmlformats.org/officeDocument/2006/relationships/hyperlink" Target="https://drive.google.com/open?id=1D_VMVR5VSucIkacH7Ef3SaEU6HswSLDU" TargetMode="External"/><Relationship Id="rId700" Type="http://schemas.openxmlformats.org/officeDocument/2006/relationships/hyperlink" Target="https://drive.google.com/open?id=1Q-6Yyebg36nVeiZ3u3ZmUIO-vgELLsYl" TargetMode="External"/><Relationship Id="rId1123" Type="http://schemas.openxmlformats.org/officeDocument/2006/relationships/hyperlink" Target="https://drive.google.com/open?id=16FmM9Y5O6pLeq154ahe725zjZDZs39gm" TargetMode="External"/><Relationship Id="rId1330" Type="http://schemas.openxmlformats.org/officeDocument/2006/relationships/hyperlink" Target="https://drive.google.com/open?id=1mRhgh9Gqy-IFaW8UaVjcDt39iitPwDAi" TargetMode="External"/><Relationship Id="rId1428" Type="http://schemas.openxmlformats.org/officeDocument/2006/relationships/hyperlink" Target="https://drive.google.com/open?id=1ryiOz_T7-NnYgzjKwHPm0-k2UvsZWEG0" TargetMode="External"/><Relationship Id="rId1635" Type="http://schemas.openxmlformats.org/officeDocument/2006/relationships/hyperlink" Target="https://drive.google.com/open?id=1nZFLcCpPQGkHRHLua3arQmzXZyyVk6mT" TargetMode="External"/><Relationship Id="rId1982" Type="http://schemas.openxmlformats.org/officeDocument/2006/relationships/hyperlink" Target="https://drive.google.com/open?id=1TMIyHZo2eQfq06dJPTV9oGx9x8pE2dVI" TargetMode="External"/><Relationship Id="rId1842" Type="http://schemas.openxmlformats.org/officeDocument/2006/relationships/hyperlink" Target="https://drive.google.com/open?id=15PPniNp5kzaFRs2rWLfQcw_HugYXRnja" TargetMode="External"/><Relationship Id="rId1702" Type="http://schemas.openxmlformats.org/officeDocument/2006/relationships/hyperlink" Target="https://drive.google.com/open?id=1L9RVUaq9tr6bkY8WQqnfSObx-6GmN0uK" TargetMode="External"/><Relationship Id="rId283" Type="http://schemas.openxmlformats.org/officeDocument/2006/relationships/hyperlink" Target="https://drive.google.com/open?id=13qHgrhjiFaMAzazDJQTYewFh3idE2PIx" TargetMode="External"/><Relationship Id="rId490" Type="http://schemas.openxmlformats.org/officeDocument/2006/relationships/hyperlink" Target="https://drive.google.com/open?id=1FTpeDlPYel33N4dTyVs_eHbVCQgdQ2kW" TargetMode="External"/><Relationship Id="rId143" Type="http://schemas.openxmlformats.org/officeDocument/2006/relationships/hyperlink" Target="https://drive.google.com/open?id=1wT0XdTVHgNbtfetjHDKP6KWTau0dIhe9" TargetMode="External"/><Relationship Id="rId350" Type="http://schemas.openxmlformats.org/officeDocument/2006/relationships/hyperlink" Target="https://drive.google.com/open?id=1zXAVBuQVbbqZez5a50I-mGTN38JTv2wY" TargetMode="External"/><Relationship Id="rId588" Type="http://schemas.openxmlformats.org/officeDocument/2006/relationships/hyperlink" Target="https://drive.google.com/open?id=1w7IFVim7c8I0nR8ixvJ9CDZ0KNVuZicX" TargetMode="External"/><Relationship Id="rId795" Type="http://schemas.openxmlformats.org/officeDocument/2006/relationships/hyperlink" Target="https://drive.google.com/open?id=1_fCdCcLFX6TkKQKb63wkEqiKGQ1ZVw6B" TargetMode="External"/><Relationship Id="rId2031" Type="http://schemas.openxmlformats.org/officeDocument/2006/relationships/hyperlink" Target="https://drive.google.com/open?id=1GO74FFKktw2fZ1D65VxRlLZYRWB-39Ax" TargetMode="External"/><Relationship Id="rId9" Type="http://schemas.openxmlformats.org/officeDocument/2006/relationships/hyperlink" Target="https://drive.google.com/open?id=1tQFQQd_XL1IDvRlI512gSeh_D7wegKU8" TargetMode="External"/><Relationship Id="rId210" Type="http://schemas.openxmlformats.org/officeDocument/2006/relationships/hyperlink" Target="https://drive.google.com/open?id=1repfuseW3vqcNBDR6PU2rrs4bCHEDNFG" TargetMode="External"/><Relationship Id="rId448" Type="http://schemas.openxmlformats.org/officeDocument/2006/relationships/hyperlink" Target="https://drive.google.com/open?id=1oCk24eVIElbD9H2CF2CmwY25rxsFcV8Y" TargetMode="External"/><Relationship Id="rId655" Type="http://schemas.openxmlformats.org/officeDocument/2006/relationships/hyperlink" Target="https://drive.google.com/open?id=1Jjgu83T5W7E6thR80kRXM5Pq9zmaSzgO" TargetMode="External"/><Relationship Id="rId862" Type="http://schemas.openxmlformats.org/officeDocument/2006/relationships/hyperlink" Target="https://drive.google.com/open?id=1e_5A2O8_wiWtQdmnoDAYzx8IWLZe2BeE" TargetMode="External"/><Relationship Id="rId1078" Type="http://schemas.openxmlformats.org/officeDocument/2006/relationships/hyperlink" Target="https://drive.google.com/open?id=1QQ4tQTJvUiVqWgwx8BXagsKj0EqjoZX-" TargetMode="External"/><Relationship Id="rId1285" Type="http://schemas.openxmlformats.org/officeDocument/2006/relationships/hyperlink" Target="https://drive.google.com/open?id=189o3NIC8326cFz5xtZtcjW3VALFeGcbgBgMCla5WX_E" TargetMode="External"/><Relationship Id="rId1492" Type="http://schemas.openxmlformats.org/officeDocument/2006/relationships/hyperlink" Target="https://drive.google.com/open?id=1u8Tkm7ZoxDGYyVg8oE0cg_dVnUja_dth" TargetMode="External"/><Relationship Id="rId308" Type="http://schemas.openxmlformats.org/officeDocument/2006/relationships/hyperlink" Target="https://drive.google.com/open?id=1BHpZ1TQsMeaLRTyxjffD7PuEiSUuwO_D" TargetMode="External"/><Relationship Id="rId515" Type="http://schemas.openxmlformats.org/officeDocument/2006/relationships/hyperlink" Target="https://drive.google.com/open?id=1pp5BTm0od299SYP_4k_YbaeV0gZ7j_EF" TargetMode="External"/><Relationship Id="rId722" Type="http://schemas.openxmlformats.org/officeDocument/2006/relationships/hyperlink" Target="https://drive.google.com/open?id=1_sIF3B-bfirbNVNmy9uCkL7C5CShz40N" TargetMode="External"/><Relationship Id="rId1145" Type="http://schemas.openxmlformats.org/officeDocument/2006/relationships/hyperlink" Target="https://drive.google.com/open?id=1lgBB2csoZmQZfE662sAH4do0MsQNansc" TargetMode="External"/><Relationship Id="rId1352" Type="http://schemas.openxmlformats.org/officeDocument/2006/relationships/hyperlink" Target="https://drive.google.com/open?id=1-j--0Pm-uPdfTJ-dputZfhgTrVeewrK-" TargetMode="External"/><Relationship Id="rId1797" Type="http://schemas.openxmlformats.org/officeDocument/2006/relationships/hyperlink" Target="https://drive.google.com/open?id=1CqNcAScxkGfHKCN75fvrT24wZuymG1aa" TargetMode="External"/><Relationship Id="rId89" Type="http://schemas.openxmlformats.org/officeDocument/2006/relationships/hyperlink" Target="https://drive.google.com/open?id=1Ibau1cu3GkgRCUS_PqIRKJkcD09p78Hh" TargetMode="External"/><Relationship Id="rId1005" Type="http://schemas.openxmlformats.org/officeDocument/2006/relationships/hyperlink" Target="https://drive.google.com/open?id=1OH6RUmIq3AlJAqz10OT6JJbmwtbdko7_" TargetMode="External"/><Relationship Id="rId1212" Type="http://schemas.openxmlformats.org/officeDocument/2006/relationships/hyperlink" Target="https://drive.google.com/open?id=1fN_O3hnHRiBx_M1snlbVqh7Cx4on1nPA" TargetMode="External"/><Relationship Id="rId1657" Type="http://schemas.openxmlformats.org/officeDocument/2006/relationships/hyperlink" Target="https://drive.google.com/open?id=1BBLPNTwxORBffvM4WXU-7hfPlA4euaou" TargetMode="External"/><Relationship Id="rId1864" Type="http://schemas.openxmlformats.org/officeDocument/2006/relationships/hyperlink" Target="https://drive.google.com/open?id=1Z42kxSCXQ7BCD80unntPG4IYmT65-ubF" TargetMode="External"/><Relationship Id="rId1517" Type="http://schemas.openxmlformats.org/officeDocument/2006/relationships/hyperlink" Target="https://drive.google.com/open?id=10QB8CaIBR-iKkWSzf_aQiORvYKRmF1Fa" TargetMode="External"/><Relationship Id="rId1724" Type="http://schemas.openxmlformats.org/officeDocument/2006/relationships/hyperlink" Target="https://drive.google.com/open?id=1qjmZQ871mNLcwAL_ksK9De7WEK-wnofC" TargetMode="External"/><Relationship Id="rId16" Type="http://schemas.openxmlformats.org/officeDocument/2006/relationships/hyperlink" Target="https://drive.google.com/open?id=1kKHMC9NEuXABr12b0iwv9YHNuYk9LEpX" TargetMode="External"/><Relationship Id="rId1931" Type="http://schemas.openxmlformats.org/officeDocument/2006/relationships/hyperlink" Target="https://drive.google.com/open?id=1ab49zYMv_bbawXrEnGl_OrEjRBttH10i" TargetMode="External"/><Relationship Id="rId165" Type="http://schemas.openxmlformats.org/officeDocument/2006/relationships/hyperlink" Target="https://drive.google.com/open?id=1mZ4oFBCbukB3KVL6NSs0jRBbMFwa4nR8" TargetMode="External"/><Relationship Id="rId372" Type="http://schemas.openxmlformats.org/officeDocument/2006/relationships/hyperlink" Target="https://drive.google.com/open?id=11Zu4Olo1kHyKpLNYhIF-QqeVO2pZgsIs" TargetMode="External"/><Relationship Id="rId677" Type="http://schemas.openxmlformats.org/officeDocument/2006/relationships/hyperlink" Target="https://drive.google.com/open?id=1HertRSLQO7_1T8N6CbtNcj4ZnVWZVL-1" TargetMode="External"/><Relationship Id="rId232" Type="http://schemas.openxmlformats.org/officeDocument/2006/relationships/hyperlink" Target="https://drive.google.com/open?id=1CGM7OJ9zuoIgP5gzk_KDOhT0Pbyaih4O" TargetMode="External"/><Relationship Id="rId884" Type="http://schemas.openxmlformats.org/officeDocument/2006/relationships/hyperlink" Target="https://drive.google.com/open?id=1QA45ndxFNl4SIQ2H3RWj54PeH4hfW9Xa" TargetMode="External"/><Relationship Id="rId537" Type="http://schemas.openxmlformats.org/officeDocument/2006/relationships/hyperlink" Target="https://drive.google.com/open?id=1Diab-cyEceryeG5iDFQdJuHZjZ9v3zrT" TargetMode="External"/><Relationship Id="rId744" Type="http://schemas.openxmlformats.org/officeDocument/2006/relationships/hyperlink" Target="https://drive.google.com/open?id=12BHmUffotpv5PTUMioqjAKDFaI97cSTj" TargetMode="External"/><Relationship Id="rId951" Type="http://schemas.openxmlformats.org/officeDocument/2006/relationships/hyperlink" Target="https://drive.google.com/open?id=1LBTOtpsrKOfcp1tPa4_EgBM8svJ1I0ez" TargetMode="External"/><Relationship Id="rId1167" Type="http://schemas.openxmlformats.org/officeDocument/2006/relationships/hyperlink" Target="https://drive.google.com/open?id=1KsowRzZpeb1wsfZMlBygH8oTSgAreRm1" TargetMode="External"/><Relationship Id="rId1374" Type="http://schemas.openxmlformats.org/officeDocument/2006/relationships/hyperlink" Target="https://drive.google.com/open?id=1O82PMLT7rIWVaA-2IkYvaUkmRf5sRKjf" TargetMode="External"/><Relationship Id="rId1581" Type="http://schemas.openxmlformats.org/officeDocument/2006/relationships/hyperlink" Target="https://drive.google.com/open?id=1sVoIrCZ5mxgq8o7PC3GvoZeSs70jxquo" TargetMode="External"/><Relationship Id="rId1679" Type="http://schemas.openxmlformats.org/officeDocument/2006/relationships/hyperlink" Target="https://drive.google.com/open?id=1Xb_kXFeyxSjYr49O3x0jZqFZfN1HgNnB" TargetMode="External"/><Relationship Id="rId80" Type="http://schemas.openxmlformats.org/officeDocument/2006/relationships/hyperlink" Target="https://drive.google.com/open?id=1-32p-9RHHiihlWN6RouIBx2lw6Jogw_u" TargetMode="External"/><Relationship Id="rId604" Type="http://schemas.openxmlformats.org/officeDocument/2006/relationships/hyperlink" Target="https://drive.google.com/open?id=1_lv5nLS3B0hPgPycuUX70hcfrG6jX-LD" TargetMode="External"/><Relationship Id="rId811" Type="http://schemas.openxmlformats.org/officeDocument/2006/relationships/hyperlink" Target="https://drive.google.com/open?id=1hL93zlOH_XE6UZEKJ9QbnyfM9fMP_wmp" TargetMode="External"/><Relationship Id="rId1027" Type="http://schemas.openxmlformats.org/officeDocument/2006/relationships/hyperlink" Target="https://drive.google.com/open?id=1AUMarMpODQufh8J_OGNvYbgJnfQtlf-R" TargetMode="External"/><Relationship Id="rId1234" Type="http://schemas.openxmlformats.org/officeDocument/2006/relationships/hyperlink" Target="https://drive.google.com/open?id=1DgkUkoFyX6NKFKiP0FIGWSfTJhaoYKQc" TargetMode="External"/><Relationship Id="rId1441" Type="http://schemas.openxmlformats.org/officeDocument/2006/relationships/hyperlink" Target="https://drive.google.com/open?id=1zRhDexe9AVkS35OeNRH5-DRKp4vpQlPm" TargetMode="External"/><Relationship Id="rId1886" Type="http://schemas.openxmlformats.org/officeDocument/2006/relationships/hyperlink" Target="https://drive.google.com/open?id=1rOWNEf39NV78zC3sduvjGLg1Wx17H3Nb" TargetMode="External"/><Relationship Id="rId909" Type="http://schemas.openxmlformats.org/officeDocument/2006/relationships/hyperlink" Target="https://drive.google.com/open?id=104td4AKoITLk8ohkVo2_Trn0xbtShy7s" TargetMode="External"/><Relationship Id="rId1301" Type="http://schemas.openxmlformats.org/officeDocument/2006/relationships/hyperlink" Target="https://drive.google.com/open?id=10pXHDsxz0qDzurJFFqwgybCuyCqAhUgf" TargetMode="External"/><Relationship Id="rId1539" Type="http://schemas.openxmlformats.org/officeDocument/2006/relationships/hyperlink" Target="https://drive.google.com/open?id=1_XBuLBwBvu7dIEvg_owAllyIsfmfhoCs" TargetMode="External"/><Relationship Id="rId1746" Type="http://schemas.openxmlformats.org/officeDocument/2006/relationships/hyperlink" Target="https://drive.google.com/open?id=1rzp-sSq6op8p2XNJkDW0n7GsqhoPcLmG" TargetMode="External"/><Relationship Id="rId1953" Type="http://schemas.openxmlformats.org/officeDocument/2006/relationships/hyperlink" Target="https://drive.google.com/open?id=1dJwjSNKKZba-szu5LQneCJ2IsFxH_75b" TargetMode="External"/><Relationship Id="rId38" Type="http://schemas.openxmlformats.org/officeDocument/2006/relationships/hyperlink" Target="https://drive.google.com/open?id=1yA2IU-IYcXqprJm_3fZz9x4E9qSrYVN9" TargetMode="External"/><Relationship Id="rId1606" Type="http://schemas.openxmlformats.org/officeDocument/2006/relationships/hyperlink" Target="https://drive.google.com/open?id=1XIvTNwCUQzXBTZeURekSeELjV4PC2OT0" TargetMode="External"/><Relationship Id="rId1813" Type="http://schemas.openxmlformats.org/officeDocument/2006/relationships/hyperlink" Target="https://drive.google.com/open?id=1omKpVvakMV2TtqIO5QJpB7m_6ropE6UA" TargetMode="External"/><Relationship Id="rId187" Type="http://schemas.openxmlformats.org/officeDocument/2006/relationships/hyperlink" Target="https://drive.google.com/open?id=1TK9VLgIplIq-CBxmMXPtO2g_3smFGKNm" TargetMode="External"/><Relationship Id="rId394" Type="http://schemas.openxmlformats.org/officeDocument/2006/relationships/hyperlink" Target="https://drive.google.com/open?id=1nZTv_Sso8Zv70vZHch7tiQArrSSfAaJn" TargetMode="External"/><Relationship Id="rId254" Type="http://schemas.openxmlformats.org/officeDocument/2006/relationships/hyperlink" Target="https://drive.google.com/open?id=1wCopflrBUROdv_ptHCINfrD28QTi3-lR" TargetMode="External"/><Relationship Id="rId699" Type="http://schemas.openxmlformats.org/officeDocument/2006/relationships/hyperlink" Target="https://drive.google.com/open?id=1l-NbhnrEViWo6CqcvR-onbBbLMaZRKXy" TargetMode="External"/><Relationship Id="rId1091" Type="http://schemas.openxmlformats.org/officeDocument/2006/relationships/hyperlink" Target="https://drive.google.com/open?id=1g7DzEmbH2akvEfXLZGxlraSQwruvXtpt" TargetMode="External"/><Relationship Id="rId114" Type="http://schemas.openxmlformats.org/officeDocument/2006/relationships/hyperlink" Target="https://drive.google.com/open?id=1-KCq71AFOOcii3wBzxuQ-wix9cdH9xAT" TargetMode="External"/><Relationship Id="rId461" Type="http://schemas.openxmlformats.org/officeDocument/2006/relationships/hyperlink" Target="https://drive.google.com/open?id=1M_6DzguZEYPrk16pi62u_Iw8TFxOzZwE" TargetMode="External"/><Relationship Id="rId559" Type="http://schemas.openxmlformats.org/officeDocument/2006/relationships/hyperlink" Target="https://drive.google.com/open?id=15Y7s0I-MVCcbvvlqhNUkYVGS6d3BWnHi" TargetMode="External"/><Relationship Id="rId766" Type="http://schemas.openxmlformats.org/officeDocument/2006/relationships/hyperlink" Target="https://drive.google.com/open?id=1Rc1yLq9xAvFSFKORgx-i_YA3aGpDoZcI" TargetMode="External"/><Relationship Id="rId1189" Type="http://schemas.openxmlformats.org/officeDocument/2006/relationships/hyperlink" Target="https://drive.google.com/open?id=1uGKnOn9ewHa2zgJrCfWsTr1ADv4H1qdx" TargetMode="External"/><Relationship Id="rId1396" Type="http://schemas.openxmlformats.org/officeDocument/2006/relationships/hyperlink" Target="https://drive.google.com/open?id=1q5T2aDAJpmW4DxY5t7RY4e1h9DEJhxTd" TargetMode="External"/><Relationship Id="rId321" Type="http://schemas.openxmlformats.org/officeDocument/2006/relationships/hyperlink" Target="https://drive.google.com/open?id=1n64xDz57A2oeCoZ7rQ9J_7BY4jD7kRR4" TargetMode="External"/><Relationship Id="rId419" Type="http://schemas.openxmlformats.org/officeDocument/2006/relationships/hyperlink" Target="https://drive.google.com/open?id=1SQihdqBUaeZWf6q5qqcHDIpkjhHxrI-9" TargetMode="External"/><Relationship Id="rId626" Type="http://schemas.openxmlformats.org/officeDocument/2006/relationships/hyperlink" Target="https://drive.google.com/open?id=1uxQAnQW4fwXKyB90JVbCYnw0NJd2819k" TargetMode="External"/><Relationship Id="rId973" Type="http://schemas.openxmlformats.org/officeDocument/2006/relationships/hyperlink" Target="https://drive.google.com/open?id=1-I7U-vgk7UWhc_DV0KGz5opp15oqBptJ" TargetMode="External"/><Relationship Id="rId1049" Type="http://schemas.openxmlformats.org/officeDocument/2006/relationships/hyperlink" Target="https://drive.google.com/open?id=1r_8OEN0F17YkW7cL7pj_747RNNLzof_Y" TargetMode="External"/><Relationship Id="rId1256" Type="http://schemas.openxmlformats.org/officeDocument/2006/relationships/hyperlink" Target="https://drive.google.com/open?id=1DlzvtUPb2XtHP29YLjmkVce6o-l1eGqJ" TargetMode="External"/><Relationship Id="rId2002" Type="http://schemas.openxmlformats.org/officeDocument/2006/relationships/hyperlink" Target="https://drive.google.com/open?id=1n7VW9a0iwKA1oqNsrj7Rlcnv9JFomSjp" TargetMode="External"/><Relationship Id="rId833" Type="http://schemas.openxmlformats.org/officeDocument/2006/relationships/hyperlink" Target="https://drive.google.com/open?id=13IJ9g5xsiggbWtsrUpU7P7lEs9J3ZS8J" TargetMode="External"/><Relationship Id="rId1116" Type="http://schemas.openxmlformats.org/officeDocument/2006/relationships/hyperlink" Target="https://drive.google.com/open?id=1WZG9h-rq8P8pSk3hvde8DlvQ3ab8tCQN" TargetMode="External"/><Relationship Id="rId1463" Type="http://schemas.openxmlformats.org/officeDocument/2006/relationships/hyperlink" Target="https://drive.google.com/open?id=1SsL_gxtlrzyk9QwlJY8XnUbcaNTtUcGx" TargetMode="External"/><Relationship Id="rId1670" Type="http://schemas.openxmlformats.org/officeDocument/2006/relationships/hyperlink" Target="https://drive.google.com/open?id=1U46rJm_4_BzgEPflDAkn_IFWRpXLN6g7" TargetMode="External"/><Relationship Id="rId1768" Type="http://schemas.openxmlformats.org/officeDocument/2006/relationships/hyperlink" Target="https://drive.google.com/open?id=1qMEQ3MwqXWc1dAJhgBElhXyofQyBtm_y" TargetMode="External"/><Relationship Id="rId900" Type="http://schemas.openxmlformats.org/officeDocument/2006/relationships/hyperlink" Target="https://drive.google.com/open?id=1tgF8LXk2Thkkv5k38RKIn4qub8DStEJh" TargetMode="External"/><Relationship Id="rId1323" Type="http://schemas.openxmlformats.org/officeDocument/2006/relationships/hyperlink" Target="https://drive.google.com/open?id=1_KzBscFlVSdmhjAaDAclkTDW7W1aYhHC" TargetMode="External"/><Relationship Id="rId1530" Type="http://schemas.openxmlformats.org/officeDocument/2006/relationships/hyperlink" Target="https://drive.google.com/open?id=12e8MrSg-QST8LFW4M2t8SU9sNSYd4GII" TargetMode="External"/><Relationship Id="rId1628" Type="http://schemas.openxmlformats.org/officeDocument/2006/relationships/hyperlink" Target="https://drive.google.com/open?id=1wbY3mw4oOg1vu41iXaRqVk_duga42yCq" TargetMode="External"/><Relationship Id="rId1975" Type="http://schemas.openxmlformats.org/officeDocument/2006/relationships/hyperlink" Target="https://drive.google.com/open?id=1UuP96ETFrVe5Cwxp337HCd55j13N9TBZ" TargetMode="External"/><Relationship Id="rId1835" Type="http://schemas.openxmlformats.org/officeDocument/2006/relationships/hyperlink" Target="https://drive.google.com/open?id=19KWsgkSXVqTv_VZd6CoLlExdCgqh0iXU" TargetMode="External"/><Relationship Id="rId1902" Type="http://schemas.openxmlformats.org/officeDocument/2006/relationships/hyperlink" Target="https://drive.google.com/open?id=1Wju0tgKPQzCBpbO771eyjZUb4Eucf1IH" TargetMode="External"/><Relationship Id="rId276" Type="http://schemas.openxmlformats.org/officeDocument/2006/relationships/hyperlink" Target="https://drive.google.com/open?id=1FIm5vANnGbXSKPNO8rucWGMA-2BBmKj-" TargetMode="External"/><Relationship Id="rId483" Type="http://schemas.openxmlformats.org/officeDocument/2006/relationships/hyperlink" Target="https://drive.google.com/open?id=18Lsbd1SnRRYTPIwmmnPQTci7jWovUwrF" TargetMode="External"/><Relationship Id="rId690" Type="http://schemas.openxmlformats.org/officeDocument/2006/relationships/hyperlink" Target="https://drive.google.com/open?id=1FPaoDvbvg88Qw5ApAEzOVlxRA_IXKeg5" TargetMode="External"/><Relationship Id="rId136" Type="http://schemas.openxmlformats.org/officeDocument/2006/relationships/hyperlink" Target="https://drive.google.com/open?id=1_2QECUswFpf0a_xKUbEt6tzWXL0SvZEL" TargetMode="External"/><Relationship Id="rId343" Type="http://schemas.openxmlformats.org/officeDocument/2006/relationships/hyperlink" Target="https://drive.google.com/open?id=1ReJ0pS7g4T0LlDxheueaTKoseulau6Up" TargetMode="External"/><Relationship Id="rId550" Type="http://schemas.openxmlformats.org/officeDocument/2006/relationships/hyperlink" Target="https://drive.google.com/open?id=1bkTnLFrgDHgN2W7pLUPz_O3QeRmsZfeE" TargetMode="External"/><Relationship Id="rId788" Type="http://schemas.openxmlformats.org/officeDocument/2006/relationships/hyperlink" Target="https://drive.google.com/open?id=1mmZx2EN_r9XUt4mOVCRLdBjoYycneQ5T" TargetMode="External"/><Relationship Id="rId995" Type="http://schemas.openxmlformats.org/officeDocument/2006/relationships/hyperlink" Target="https://drive.google.com/open?id=1A0hhpzCJIMed0v8MJ3dPoAIZuyafsYur" TargetMode="External"/><Relationship Id="rId1180" Type="http://schemas.openxmlformats.org/officeDocument/2006/relationships/hyperlink" Target="https://drive.google.com/open?id=1fB_KFNV56gL09X77ZeZ5W9rHY04Noq8g" TargetMode="External"/><Relationship Id="rId2024" Type="http://schemas.openxmlformats.org/officeDocument/2006/relationships/hyperlink" Target="https://drive.google.com/open?id=1ludqKg0qg06kA_9Cdt4d5p89ZFO9R-QT" TargetMode="External"/><Relationship Id="rId203" Type="http://schemas.openxmlformats.org/officeDocument/2006/relationships/hyperlink" Target="https://drive.google.com/open?id=1tKwrlUUULoD_9Q3GccLMUrV4Ais4GNy2" TargetMode="External"/><Relationship Id="rId648" Type="http://schemas.openxmlformats.org/officeDocument/2006/relationships/hyperlink" Target="https://drive.google.com/open?id=1pm7p6j6uZd8AuNQAT9ssuRDy-8O-kSdh" TargetMode="External"/><Relationship Id="rId855" Type="http://schemas.openxmlformats.org/officeDocument/2006/relationships/hyperlink" Target="https://drive.google.com/open?id=1Uf935gaW9_2LqkDtbMFt3aKdqeRBODUb" TargetMode="External"/><Relationship Id="rId1040" Type="http://schemas.openxmlformats.org/officeDocument/2006/relationships/hyperlink" Target="https://drive.google.com/open?id=187X5LE-edOEsobLPhVnOag5poB8IXsqj" TargetMode="External"/><Relationship Id="rId1278" Type="http://schemas.openxmlformats.org/officeDocument/2006/relationships/hyperlink" Target="https://drive.google.com/open?id=1hxpdU1RpyQGuDj4gxmSVWlVAL3TIh0y9" TargetMode="External"/><Relationship Id="rId1485" Type="http://schemas.openxmlformats.org/officeDocument/2006/relationships/hyperlink" Target="https://drive.google.com/open?id=1VVvrEx6hkSOFXa3UWz69XRTB3wPiMR_E" TargetMode="External"/><Relationship Id="rId1692" Type="http://schemas.openxmlformats.org/officeDocument/2006/relationships/hyperlink" Target="https://drive.google.com/open?id=15Ua0kGEjf8VgDzbOa3EUclUHZV1QhgAE" TargetMode="External"/><Relationship Id="rId410" Type="http://schemas.openxmlformats.org/officeDocument/2006/relationships/hyperlink" Target="https://drive.google.com/open?id=1np5eIuejqoowNeQnPGhH4mVBk1kZUvJu" TargetMode="External"/><Relationship Id="rId508" Type="http://schemas.openxmlformats.org/officeDocument/2006/relationships/hyperlink" Target="https://drive.google.com/open?id=1b1-y1WcAZsby7rcTGC83ELi8EGc-HKf7" TargetMode="External"/><Relationship Id="rId715" Type="http://schemas.openxmlformats.org/officeDocument/2006/relationships/hyperlink" Target="https://drive.google.com/open?id=1-YnxidPEZtbEMdP2NCfUCrUZCuFhIzvZ" TargetMode="External"/><Relationship Id="rId922" Type="http://schemas.openxmlformats.org/officeDocument/2006/relationships/hyperlink" Target="https://drive.google.com/open?id=16MAajNtUbMHF05rI2Y1UOdC4U72Nf-in" TargetMode="External"/><Relationship Id="rId1138" Type="http://schemas.openxmlformats.org/officeDocument/2006/relationships/hyperlink" Target="https://drive.google.com/open?id=1zBJhMrbx25KJBTN3OD2QwFRN2ZZC0QOC" TargetMode="External"/><Relationship Id="rId1345" Type="http://schemas.openxmlformats.org/officeDocument/2006/relationships/hyperlink" Target="https://drive.google.com/open?id=1jSh-Iz__0Mt0Dtr1_-50qHy317BLCvkA" TargetMode="External"/><Relationship Id="rId1552" Type="http://schemas.openxmlformats.org/officeDocument/2006/relationships/hyperlink" Target="https://drive.google.com/open?id=1PwqFKebkoVnTAsyinpgPFdcju_E_zGey" TargetMode="External"/><Relationship Id="rId1997" Type="http://schemas.openxmlformats.org/officeDocument/2006/relationships/hyperlink" Target="https://drive.google.com/open?id=1T-HJ_lGt37BUlHswDCOYlPbj84Q5AiTC" TargetMode="External"/><Relationship Id="rId1205" Type="http://schemas.openxmlformats.org/officeDocument/2006/relationships/hyperlink" Target="https://drive.google.com/open?id=1SS0RG1Mb8syH8eNoyF9QYbPM83vfA7rR" TargetMode="External"/><Relationship Id="rId1857" Type="http://schemas.openxmlformats.org/officeDocument/2006/relationships/hyperlink" Target="https://drive.google.com/open?id=13JuvuR3cR4oPlrQk0z-YhvF9wlL5t5gF" TargetMode="External"/><Relationship Id="rId51" Type="http://schemas.openxmlformats.org/officeDocument/2006/relationships/hyperlink" Target="https://drive.google.com/open?id=1o97jO6gIsWnhyiMoCBwTxXxgFD1qei2D" TargetMode="External"/><Relationship Id="rId1412" Type="http://schemas.openxmlformats.org/officeDocument/2006/relationships/hyperlink" Target="https://drive.google.com/open?id=1n_Irb-6xmDuU-EWeqo8-E7OvYlpk9zm9" TargetMode="External"/><Relationship Id="rId1717" Type="http://schemas.openxmlformats.org/officeDocument/2006/relationships/hyperlink" Target="https://drive.google.com/open?id=1rkhf-HgA3YY-cG004GQnRT1T2R42oMTk" TargetMode="External"/><Relationship Id="rId1924" Type="http://schemas.openxmlformats.org/officeDocument/2006/relationships/hyperlink" Target="https://drive.google.com/open?id=1CSU8QaZDosaFhUc3Euz2cEfceQys7F-o" TargetMode="External"/><Relationship Id="rId298" Type="http://schemas.openxmlformats.org/officeDocument/2006/relationships/hyperlink" Target="https://drive.google.com/open?id=1Dn-lzwRlBCZ8i8i2a3BIL2EIGbCVpScr" TargetMode="External"/><Relationship Id="rId158" Type="http://schemas.openxmlformats.org/officeDocument/2006/relationships/hyperlink" Target="https://drive.google.com/open?id=1TfeUuNjXK7v7aHz8hAZLzHwy4fxaYHEY" TargetMode="External"/><Relationship Id="rId365" Type="http://schemas.openxmlformats.org/officeDocument/2006/relationships/hyperlink" Target="https://drive.google.com/open?id=1Jc-l6QaTmDlz-UHuVcm8-5kd2QipStAe" TargetMode="External"/><Relationship Id="rId572" Type="http://schemas.openxmlformats.org/officeDocument/2006/relationships/hyperlink" Target="https://drive.google.com/open?id=1c4mmi2kiqaJMDlO8X28nggTSZVeoAATf" TargetMode="External"/><Relationship Id="rId225" Type="http://schemas.openxmlformats.org/officeDocument/2006/relationships/hyperlink" Target="https://drive.google.com/open?id=1qF35i34sywvSuOOyBmLzv0IiVGjCfZfT" TargetMode="External"/><Relationship Id="rId432" Type="http://schemas.openxmlformats.org/officeDocument/2006/relationships/hyperlink" Target="https://drive.google.com/open?id=103v20BZfePpJ4MPLiLzCjIduIoObDH69" TargetMode="External"/><Relationship Id="rId877" Type="http://schemas.openxmlformats.org/officeDocument/2006/relationships/hyperlink" Target="https://drive.google.com/open?id=16UQU0d-85t1gqgpbmj1m99b_u1uqqU1K" TargetMode="External"/><Relationship Id="rId1062" Type="http://schemas.openxmlformats.org/officeDocument/2006/relationships/hyperlink" Target="https://drive.google.com/open?id=1na6JWH1VHdLvF_ASSyNRJzYl95N8Lv__" TargetMode="External"/><Relationship Id="rId737" Type="http://schemas.openxmlformats.org/officeDocument/2006/relationships/hyperlink" Target="https://drive.google.com/open?id=1NCT3eua27hDko6HniLi3ZZEvegCJdZ9Z" TargetMode="External"/><Relationship Id="rId944" Type="http://schemas.openxmlformats.org/officeDocument/2006/relationships/hyperlink" Target="https://drive.google.com/open?id=16ioYYXA0xD189KoZ1ex2dW3Mym8Zu-jj" TargetMode="External"/><Relationship Id="rId1367" Type="http://schemas.openxmlformats.org/officeDocument/2006/relationships/hyperlink" Target="https://drive.google.com/open?id=1V3yKWeAhfhlcDiMWBlqxfyEE2Vn3O2Xt" TargetMode="External"/><Relationship Id="rId1574" Type="http://schemas.openxmlformats.org/officeDocument/2006/relationships/hyperlink" Target="https://drive.google.com/open?id=1cejRJQGujxVtlnYRxdJ2ZNteBUj3pGLs" TargetMode="External"/><Relationship Id="rId1781" Type="http://schemas.openxmlformats.org/officeDocument/2006/relationships/hyperlink" Target="https://drive.google.com/open?id=1uhQzBiSpf5y1DZTZJszQpDTD-Vj8Tfzf" TargetMode="External"/><Relationship Id="rId73" Type="http://schemas.openxmlformats.org/officeDocument/2006/relationships/hyperlink" Target="https://drive.google.com/open?id=1muB_u7l9SPL2tPnHsLrOcaHSdv3ENBnE" TargetMode="External"/><Relationship Id="rId804" Type="http://schemas.openxmlformats.org/officeDocument/2006/relationships/hyperlink" Target="https://drive.google.com/open?id=1c9bYeLAKM2sRaDixbPtLEybF7ORZm08Q" TargetMode="External"/><Relationship Id="rId1227" Type="http://schemas.openxmlformats.org/officeDocument/2006/relationships/hyperlink" Target="https://drive.google.com/open?id=1PcagKdi6XoMj92ACBlqwU9aWAZPaSulI" TargetMode="External"/><Relationship Id="rId1434" Type="http://schemas.openxmlformats.org/officeDocument/2006/relationships/hyperlink" Target="https://drive.google.com/open?id=1X7vlJAfnYIjNh4cJIylWcHaPOEM1fSMn" TargetMode="External"/><Relationship Id="rId1641" Type="http://schemas.openxmlformats.org/officeDocument/2006/relationships/hyperlink" Target="https://drive.google.com/open?id=1j_bHjwV7HkKWubAiCPFGqGn6Yfh0lRjc" TargetMode="External"/><Relationship Id="rId1879" Type="http://schemas.openxmlformats.org/officeDocument/2006/relationships/hyperlink" Target="https://drive.google.com/open?id=1yZtdFTrcf1YrQnIAQw2GKrVJ6gjDN3XB" TargetMode="External"/><Relationship Id="rId1501" Type="http://schemas.openxmlformats.org/officeDocument/2006/relationships/hyperlink" Target="https://drive.google.com/open?id=1bQ24_6gwgt4l6ySfGGU36ewsvbGakR7d" TargetMode="External"/><Relationship Id="rId1739" Type="http://schemas.openxmlformats.org/officeDocument/2006/relationships/hyperlink" Target="https://drive.google.com/open?id=1n8oEEWwwBacEHxWOllpmiVbdPI1dXWgA" TargetMode="External"/><Relationship Id="rId1946" Type="http://schemas.openxmlformats.org/officeDocument/2006/relationships/hyperlink" Target="https://drive.google.com/open?id=1ucKwgrPUTWwkuULd0lXuxG1Er19qkeYC" TargetMode="External"/><Relationship Id="rId1806" Type="http://schemas.openxmlformats.org/officeDocument/2006/relationships/hyperlink" Target="https://drive.google.com/open?id=1QpXmFiYQN2rNKLZLzZ4N0qNgMh10G-Vl" TargetMode="External"/><Relationship Id="rId387" Type="http://schemas.openxmlformats.org/officeDocument/2006/relationships/hyperlink" Target="https://drive.google.com/open?id=1BWTj89tvvnpewRaGHKS_Tvs_9IXNBX6I" TargetMode="External"/><Relationship Id="rId594" Type="http://schemas.openxmlformats.org/officeDocument/2006/relationships/hyperlink" Target="https://drive.google.com/open?id=1doNC4JaHT1B-VRANZ4PORypWr4m5cFY7" TargetMode="External"/><Relationship Id="rId247" Type="http://schemas.openxmlformats.org/officeDocument/2006/relationships/hyperlink" Target="https://drive.google.com/open?id=1wWL8bgdPkgPKhCzMxvRLAm3suXTKH85i" TargetMode="External"/><Relationship Id="rId899" Type="http://schemas.openxmlformats.org/officeDocument/2006/relationships/hyperlink" Target="https://drive.google.com/open?id=1PnUCqh_EMFcurBfDikRWZON-jZiO5gJy" TargetMode="External"/><Relationship Id="rId1084" Type="http://schemas.openxmlformats.org/officeDocument/2006/relationships/hyperlink" Target="https://drive.google.com/open?id=1u_FdYK2C8QHbdlMUcUQMA87PpXpSri8y" TargetMode="External"/><Relationship Id="rId107" Type="http://schemas.openxmlformats.org/officeDocument/2006/relationships/hyperlink" Target="https://drive.google.com/open?id=1CCwF3PWCpRRz0mbWjN_gNNp5DRJvt4cf" TargetMode="External"/><Relationship Id="rId454" Type="http://schemas.openxmlformats.org/officeDocument/2006/relationships/hyperlink" Target="https://drive.google.com/open?id=1CeD6HNDAW5HpZ0_T6bLbKPoQor_wrnj6" TargetMode="External"/><Relationship Id="rId661" Type="http://schemas.openxmlformats.org/officeDocument/2006/relationships/hyperlink" Target="https://drive.google.com/open?id=17SDA37ui6FhMh-EEot2IfzcBZOy_3A1M" TargetMode="External"/><Relationship Id="rId759" Type="http://schemas.openxmlformats.org/officeDocument/2006/relationships/hyperlink" Target="https://drive.google.com/open?id=1vlj3fZeBvLmXF6sjucaSrdZU1TBgrP58" TargetMode="External"/><Relationship Id="rId966" Type="http://schemas.openxmlformats.org/officeDocument/2006/relationships/hyperlink" Target="https://drive.google.com/open?id=1qRt1zXSA7tJARGsfwqOaLUQ0wLwyjHtH" TargetMode="External"/><Relationship Id="rId1291" Type="http://schemas.openxmlformats.org/officeDocument/2006/relationships/hyperlink" Target="https://drive.google.com/open?id=1Qfpk_OF-LjOrlnKUYqQmnF6tEHFhfHTn" TargetMode="External"/><Relationship Id="rId1389" Type="http://schemas.openxmlformats.org/officeDocument/2006/relationships/hyperlink" Target="https://drive.google.com/open?id=1C5yiNY3brAq7mwsaSwx2Bt5yixsV_Vgw" TargetMode="External"/><Relationship Id="rId1596" Type="http://schemas.openxmlformats.org/officeDocument/2006/relationships/hyperlink" Target="https://drive.google.com/open?id=1YZ8RbvZm9FPuuLVOSRmWR-Hgdf3ZFfH4" TargetMode="External"/><Relationship Id="rId314" Type="http://schemas.openxmlformats.org/officeDocument/2006/relationships/hyperlink" Target="https://drive.google.com/open?id=17pjD9ndHreLetq8yH7BrxGkc8D2cpoEo" TargetMode="External"/><Relationship Id="rId521" Type="http://schemas.openxmlformats.org/officeDocument/2006/relationships/hyperlink" Target="https://drive.google.com/open?id=1uxyaKq6LAqo6-mqAZsavtRqI-f-6G6Rg" TargetMode="External"/><Relationship Id="rId619" Type="http://schemas.openxmlformats.org/officeDocument/2006/relationships/hyperlink" Target="https://drive.google.com/open?id=10P-XeTr4HhuK28vMYiVjQf5DMLzi9XAp" TargetMode="External"/><Relationship Id="rId1151" Type="http://schemas.openxmlformats.org/officeDocument/2006/relationships/hyperlink" Target="https://drive.google.com/open?id=1J526Z9Me6SvJxUnNHPJHathyfVNXTkVn" TargetMode="External"/><Relationship Id="rId1249" Type="http://schemas.openxmlformats.org/officeDocument/2006/relationships/hyperlink" Target="https://drive.google.com/open?id=1ZaxGivWBYyW2fOJJp5Tao7HAAoJ74Xdt" TargetMode="External"/><Relationship Id="rId95" Type="http://schemas.openxmlformats.org/officeDocument/2006/relationships/hyperlink" Target="https://drive.google.com/open?id=1T9oK5Y78bf0og-TLlI5DjfMCp_DncSsp" TargetMode="External"/><Relationship Id="rId826" Type="http://schemas.openxmlformats.org/officeDocument/2006/relationships/hyperlink" Target="https://drive.google.com/open?id=186l59ONkbH1h5PPrBkq9sMp12ySxhSJs" TargetMode="External"/><Relationship Id="rId1011" Type="http://schemas.openxmlformats.org/officeDocument/2006/relationships/hyperlink" Target="https://drive.google.com/open?id=1ND4ulLP3MlDK-7F1AkBa201o-4tIqya7" TargetMode="External"/><Relationship Id="rId1109" Type="http://schemas.openxmlformats.org/officeDocument/2006/relationships/hyperlink" Target="https://drive.google.com/open?id=16fl3SwAEK7LlpUUCsGeXsiUeXmz88ACu" TargetMode="External"/><Relationship Id="rId1456" Type="http://schemas.openxmlformats.org/officeDocument/2006/relationships/hyperlink" Target="https://drive.google.com/open?id=1_CxXWtNmL-48EAX8xlgPH0O6VHKaa3-r" TargetMode="External"/><Relationship Id="rId1663" Type="http://schemas.openxmlformats.org/officeDocument/2006/relationships/hyperlink" Target="https://drive.google.com/open?id=1UIjDJsYqNo-zsDaNLLEUft9WbLh2AB2x" TargetMode="External"/><Relationship Id="rId1870" Type="http://schemas.openxmlformats.org/officeDocument/2006/relationships/hyperlink" Target="https://drive.google.com/open?id=1vEYCt-CaSKSr0h72bk737D3qD2XXfWDd" TargetMode="External"/><Relationship Id="rId1968" Type="http://schemas.openxmlformats.org/officeDocument/2006/relationships/hyperlink" Target="https://drive.google.com/open?id=19XtQNrVI5c7UNEsotIocD2Yd7NyQdFb4" TargetMode="External"/><Relationship Id="rId1316" Type="http://schemas.openxmlformats.org/officeDocument/2006/relationships/hyperlink" Target="https://drive.google.com/open?id=1nGT_Jt7asMZcym7MzOYrVuAvKKKgrmc-" TargetMode="External"/><Relationship Id="rId1523" Type="http://schemas.openxmlformats.org/officeDocument/2006/relationships/hyperlink" Target="https://drive.google.com/open?id=1RJrzuehP5vGizyh_HHFF2egoiugxgsEf" TargetMode="External"/><Relationship Id="rId1730" Type="http://schemas.openxmlformats.org/officeDocument/2006/relationships/hyperlink" Target="https://drive.google.com/open?id=1Q8faztb_lbvb3KdyokpnXEAFa19ZRf_l" TargetMode="External"/><Relationship Id="rId22" Type="http://schemas.openxmlformats.org/officeDocument/2006/relationships/hyperlink" Target="https://drive.google.com/open?id=1-idRHZ_n-rqb3vpAtJeYg1JpsstbZyba" TargetMode="External"/><Relationship Id="rId1828" Type="http://schemas.openxmlformats.org/officeDocument/2006/relationships/hyperlink" Target="https://drive.google.com/open?id=145gzzdjMuoSqYNKF_SBSJQUY2gRKvPzM" TargetMode="External"/><Relationship Id="rId171" Type="http://schemas.openxmlformats.org/officeDocument/2006/relationships/hyperlink" Target="https://drive.google.com/open?id=1yjwhlVGnOUSHk-pJcs26cNXbtepwSnsB" TargetMode="External"/><Relationship Id="rId269" Type="http://schemas.openxmlformats.org/officeDocument/2006/relationships/hyperlink" Target="https://drive.google.com/open?id=1ZD1DANIWQId3v4Fv55sSohs-cyjSZgYN" TargetMode="External"/><Relationship Id="rId476" Type="http://schemas.openxmlformats.org/officeDocument/2006/relationships/hyperlink" Target="https://drive.google.com/open?id=1BMVuDyFqKq_sXxa0k3rEedxyUjeBd8Vv" TargetMode="External"/><Relationship Id="rId683" Type="http://schemas.openxmlformats.org/officeDocument/2006/relationships/hyperlink" Target="https://drive.google.com/open?id=1n8YM6Al60lX70AdGTEFH8vmsooUFk9zM" TargetMode="External"/><Relationship Id="rId890" Type="http://schemas.openxmlformats.org/officeDocument/2006/relationships/hyperlink" Target="https://drive.google.com/open?id=1XYgwqYIF1oPmOj88ev6__tIZxNRkumzW" TargetMode="External"/><Relationship Id="rId129" Type="http://schemas.openxmlformats.org/officeDocument/2006/relationships/hyperlink" Target="https://drive.google.com/open?id=1n8SxVtD2t3cPMxD-I2LV-5yE8VdW9vnA" TargetMode="External"/><Relationship Id="rId336" Type="http://schemas.openxmlformats.org/officeDocument/2006/relationships/hyperlink" Target="https://drive.google.com/open?id=1m4SdN4e-OVy7jgY2C_e36mB6Hf1SDiwi" TargetMode="External"/><Relationship Id="rId543" Type="http://schemas.openxmlformats.org/officeDocument/2006/relationships/hyperlink" Target="https://drive.google.com/open?id=1mZZBJJs2xDoLfluV9qLU6Tm2KxfzmSMt" TargetMode="External"/><Relationship Id="rId988" Type="http://schemas.openxmlformats.org/officeDocument/2006/relationships/hyperlink" Target="https://drive.google.com/open?id=1TYlJ9ioH9p1wv5-RZWAt771utf8kRy2-" TargetMode="External"/><Relationship Id="rId1173" Type="http://schemas.openxmlformats.org/officeDocument/2006/relationships/hyperlink" Target="https://drive.google.com/open?id=1mC59PV_zmyR_TIlkAWZiXJz8gXcCweu2" TargetMode="External"/><Relationship Id="rId1380" Type="http://schemas.openxmlformats.org/officeDocument/2006/relationships/hyperlink" Target="https://drive.google.com/open?id=1NQIj4ke2Y50MsGWqOkiqgZqPgOCZAoTF" TargetMode="External"/><Relationship Id="rId2017" Type="http://schemas.openxmlformats.org/officeDocument/2006/relationships/hyperlink" Target="https://drive.google.com/open?id=1_KkjWn_SREdPix-PN1E-aV_5kSLYfOGm" TargetMode="External"/><Relationship Id="rId403" Type="http://schemas.openxmlformats.org/officeDocument/2006/relationships/hyperlink" Target="https://drive.google.com/open?id=1xuNr3XFrc24XYjoUko9jcgV5ZwixtvCF" TargetMode="External"/><Relationship Id="rId750" Type="http://schemas.openxmlformats.org/officeDocument/2006/relationships/hyperlink" Target="https://drive.google.com/open?id=13R9HYDuO0zOw2uzyNMKw7VMYPN_97o1f" TargetMode="External"/><Relationship Id="rId848" Type="http://schemas.openxmlformats.org/officeDocument/2006/relationships/hyperlink" Target="https://drive.google.com/open?id=1TGo24VvtntJR1M4TobYiE_f8G7VJsqE6" TargetMode="External"/><Relationship Id="rId1033" Type="http://schemas.openxmlformats.org/officeDocument/2006/relationships/hyperlink" Target="https://drive.google.com/open?id=1-TQ33vnjcTPi2RBouMpy24GZVRkNb8sr" TargetMode="External"/><Relationship Id="rId1478" Type="http://schemas.openxmlformats.org/officeDocument/2006/relationships/hyperlink" Target="https://drive.google.com/open?id=10vPS5Rtuw6jzLXKyViVRXVZXnLRBx4Ew" TargetMode="External"/><Relationship Id="rId1685" Type="http://schemas.openxmlformats.org/officeDocument/2006/relationships/hyperlink" Target="https://drive.google.com/open?id=1RKrCSxh7Fm-6DouiFZdQ5gd1CNIwfiVR" TargetMode="External"/><Relationship Id="rId1892" Type="http://schemas.openxmlformats.org/officeDocument/2006/relationships/hyperlink" Target="https://drive.google.com/open?id=1IvzKg3FnLhSGTl1UXMp9VyegNFrBDLnB" TargetMode="External"/><Relationship Id="rId610" Type="http://schemas.openxmlformats.org/officeDocument/2006/relationships/hyperlink" Target="https://drive.google.com/open?id=19pnH41EO_8djrI7ZrWG0aUtcdzYSh8VP" TargetMode="External"/><Relationship Id="rId708" Type="http://schemas.openxmlformats.org/officeDocument/2006/relationships/hyperlink" Target="https://drive.google.com/open?id=1imX05LTMvxxXaHl5hfWQufINFkgZYGce" TargetMode="External"/><Relationship Id="rId915" Type="http://schemas.openxmlformats.org/officeDocument/2006/relationships/hyperlink" Target="https://drive.google.com/open?id=1PEFM4i7ZK-QmmXCinSauBTT8GwkUzRrT" TargetMode="External"/><Relationship Id="rId1240" Type="http://schemas.openxmlformats.org/officeDocument/2006/relationships/hyperlink" Target="https://drive.google.com/open?id=1vnJ_yiHRZx7ZLyRPJF4Y7Vhc98SR91sX" TargetMode="External"/><Relationship Id="rId1338" Type="http://schemas.openxmlformats.org/officeDocument/2006/relationships/hyperlink" Target="https://drive.google.com/open?id=1qxpMnb8hbTh3mYY29a32dtcjM_PgGpPQ" TargetMode="External"/><Relationship Id="rId1545" Type="http://schemas.openxmlformats.org/officeDocument/2006/relationships/hyperlink" Target="https://drive.google.com/open?id=16n2U-3-jNE834VyiSP3ZpoJlx10dK8_M" TargetMode="External"/><Relationship Id="rId1100" Type="http://schemas.openxmlformats.org/officeDocument/2006/relationships/hyperlink" Target="https://drive.google.com/open?id=1P5kL6awA8bTqGqVzbfzXSITaFIPUgKQg" TargetMode="External"/><Relationship Id="rId1405" Type="http://schemas.openxmlformats.org/officeDocument/2006/relationships/hyperlink" Target="https://drive.google.com/open?id=1_TX7tJeUbIQ2fxl7o8XyWaurbG-Au_l0" TargetMode="External"/><Relationship Id="rId1752" Type="http://schemas.openxmlformats.org/officeDocument/2006/relationships/hyperlink" Target="https://drive.google.com/open?id=1TsaT7nF68OmsQIcwJbFOinxn6CxLWuPE" TargetMode="External"/><Relationship Id="rId44" Type="http://schemas.openxmlformats.org/officeDocument/2006/relationships/hyperlink" Target="https://drive.google.com/open?id=1oQeqkqISIk__M3m-LcqFEHp9MTrBvu-4" TargetMode="External"/><Relationship Id="rId1612" Type="http://schemas.openxmlformats.org/officeDocument/2006/relationships/hyperlink" Target="https://drive.google.com/open?id=1Mle0gl1Qi909DMNXdlIEVVLO-07TIL_M" TargetMode="External"/><Relationship Id="rId1917" Type="http://schemas.openxmlformats.org/officeDocument/2006/relationships/hyperlink" Target="https://drive.google.com/open?id=1EKzzA39lQJ8twlNCalb5N3CDfpmdUnLW" TargetMode="External"/><Relationship Id="rId193" Type="http://schemas.openxmlformats.org/officeDocument/2006/relationships/hyperlink" Target="https://drive.google.com/open?id=1WU1OVuc2zr8y0I2qjvjdEDAEGQSGbhgb" TargetMode="External"/><Relationship Id="rId498" Type="http://schemas.openxmlformats.org/officeDocument/2006/relationships/hyperlink" Target="https://drive.google.com/open?id=1mJvsZpOGsMMB0bhn78hqqyJNQM5PLvBH" TargetMode="External"/><Relationship Id="rId260" Type="http://schemas.openxmlformats.org/officeDocument/2006/relationships/hyperlink" Target="https://drive.google.com/open?id=19LfdyR7J3D7RZgRPOhYu6MWhCXdPQHXk" TargetMode="External"/><Relationship Id="rId120" Type="http://schemas.openxmlformats.org/officeDocument/2006/relationships/hyperlink" Target="https://drive.google.com/open?id=127EGRNmLrq7dw8-60mYV25m-k6JFUc7v" TargetMode="External"/><Relationship Id="rId358" Type="http://schemas.openxmlformats.org/officeDocument/2006/relationships/hyperlink" Target="https://drive.google.com/open?id=1D6_VKHFndLL2AbR9dUpSY55SxjrURXC7" TargetMode="External"/><Relationship Id="rId565" Type="http://schemas.openxmlformats.org/officeDocument/2006/relationships/hyperlink" Target="https://drive.google.com/open?id=1ITiBmBheox6-4GtAkEpWMWqlzZhi8Yci" TargetMode="External"/><Relationship Id="rId772" Type="http://schemas.openxmlformats.org/officeDocument/2006/relationships/hyperlink" Target="https://drive.google.com/open?id=1Dd4v7xm0tVRJcQ7UqL64h_sjC3y-yxjl" TargetMode="External"/><Relationship Id="rId1195" Type="http://schemas.openxmlformats.org/officeDocument/2006/relationships/hyperlink" Target="https://drive.google.com/open?id=1B5zpJ4ffpDJbwYeyEzsFZ189QqKy8OUQ" TargetMode="External"/><Relationship Id="rId218" Type="http://schemas.openxmlformats.org/officeDocument/2006/relationships/hyperlink" Target="https://drive.google.com/open?id=1eK_siGE6RXIt_zwA5u9BJ_Ua78Tl40oS" TargetMode="External"/><Relationship Id="rId425" Type="http://schemas.openxmlformats.org/officeDocument/2006/relationships/hyperlink" Target="https://drive.google.com/open?id=1egE-bfxomSJes7hDy_H3ht598UGfYDLE" TargetMode="External"/><Relationship Id="rId632" Type="http://schemas.openxmlformats.org/officeDocument/2006/relationships/hyperlink" Target="https://drive.google.com/open?id=1lb9FE3eORXD2P-6QuPuhdjKNWRzROL5u" TargetMode="External"/><Relationship Id="rId1055" Type="http://schemas.openxmlformats.org/officeDocument/2006/relationships/hyperlink" Target="https://drive.google.com/open?id=1SF2iv4OjoWeSGwpcQr-o5rA8oEA5mjuU" TargetMode="External"/><Relationship Id="rId1262" Type="http://schemas.openxmlformats.org/officeDocument/2006/relationships/hyperlink" Target="https://drive.google.com/open?id=1sHtoLonRDbWD3HSPoIeS6D1e_SMtO12S" TargetMode="External"/><Relationship Id="rId937" Type="http://schemas.openxmlformats.org/officeDocument/2006/relationships/hyperlink" Target="https://drive.google.com/open?id=19yhhZbtev1QMGNMXrFgCHM-Jj27HLxdd" TargetMode="External"/><Relationship Id="rId1122" Type="http://schemas.openxmlformats.org/officeDocument/2006/relationships/hyperlink" Target="https://drive.google.com/open?id=1c8esT_9W8fLs55ohNECj-H99skvQwFg2" TargetMode="External"/><Relationship Id="rId1567" Type="http://schemas.openxmlformats.org/officeDocument/2006/relationships/hyperlink" Target="https://drive.google.com/open?id=1xByK7ijxvXBVcOj_x3hQ8SP2LSs1JbpC" TargetMode="External"/><Relationship Id="rId1774" Type="http://schemas.openxmlformats.org/officeDocument/2006/relationships/hyperlink" Target="https://drive.google.com/open?id=1X1pO0V7S2ifZv6jKa1fn5Yb1nhnTp9Gd" TargetMode="External"/><Relationship Id="rId1981" Type="http://schemas.openxmlformats.org/officeDocument/2006/relationships/hyperlink" Target="https://drive.google.com/open?id=1NM7pGZ8cseiS_vGqnJAcyDbjuTN5F0pA" TargetMode="External"/><Relationship Id="rId66" Type="http://schemas.openxmlformats.org/officeDocument/2006/relationships/hyperlink" Target="https://drive.google.com/open?id=18sSMJfB7y4i1uqbX_VXftay4nElE-mql" TargetMode="External"/><Relationship Id="rId1427" Type="http://schemas.openxmlformats.org/officeDocument/2006/relationships/hyperlink" Target="https://drive.google.com/open?id=1NcXvvja3zDpZlfEu-gYKO4AtIVminmoe" TargetMode="External"/><Relationship Id="rId1634" Type="http://schemas.openxmlformats.org/officeDocument/2006/relationships/hyperlink" Target="https://drive.google.com/open?id=18CjdDs6D0ejQdXRzPeNx6VTClxdt1U6-" TargetMode="External"/><Relationship Id="rId1841" Type="http://schemas.openxmlformats.org/officeDocument/2006/relationships/hyperlink" Target="https://drive.google.com/open?id=1PtG5hE13aBmHP2ehLwm3h_LDPuPUumX3" TargetMode="External"/><Relationship Id="rId1939" Type="http://schemas.openxmlformats.org/officeDocument/2006/relationships/hyperlink" Target="https://drive.google.com/open?id=1vStTfXIc3sEp00LZ-a1MvnsAefqfEDY5" TargetMode="External"/><Relationship Id="rId1701" Type="http://schemas.openxmlformats.org/officeDocument/2006/relationships/hyperlink" Target="https://drive.google.com/open?id=1hPhysJkugj2uZHySoW4xVss8UpdiBb5y" TargetMode="External"/><Relationship Id="rId282" Type="http://schemas.openxmlformats.org/officeDocument/2006/relationships/hyperlink" Target="https://drive.google.com/open?id=197LqzKy-zBK5gmqCtF9_59nycO4q9bf0" TargetMode="External"/><Relationship Id="rId587" Type="http://schemas.openxmlformats.org/officeDocument/2006/relationships/hyperlink" Target="https://drive.google.com/open?id=13sAUCPtyA9_U7GI1e8EUv5-A9mRtu9eo" TargetMode="External"/><Relationship Id="rId8" Type="http://schemas.openxmlformats.org/officeDocument/2006/relationships/hyperlink" Target="https://drive.google.com/open?id=1lkde8AdiIho_eSGpkKXbU0meOT8Aadbb" TargetMode="External"/><Relationship Id="rId142" Type="http://schemas.openxmlformats.org/officeDocument/2006/relationships/hyperlink" Target="https://drive.google.com/open?id=15y-tIDlmsZrZ8wFUSJtFzcrzo0Bn-4sA" TargetMode="External"/><Relationship Id="rId447" Type="http://schemas.openxmlformats.org/officeDocument/2006/relationships/hyperlink" Target="https://drive.google.com/open?id=1-oEhmWIpHRYl2czFw0xE7Di2GbEwpMil" TargetMode="External"/><Relationship Id="rId794" Type="http://schemas.openxmlformats.org/officeDocument/2006/relationships/hyperlink" Target="https://drive.google.com/open?id=1jxq0IXcTCNkBgO1KQk6X41NJgdT24JS7" TargetMode="External"/><Relationship Id="rId1077" Type="http://schemas.openxmlformats.org/officeDocument/2006/relationships/hyperlink" Target="https://drive.google.com/open?id=1diVZXyS35CcTu5h6X_Hl1zJvLW79TsSE" TargetMode="External"/><Relationship Id="rId2030" Type="http://schemas.openxmlformats.org/officeDocument/2006/relationships/hyperlink" Target="https://drive.google.com/open?id=1d-lfIdG3BIZMB9Z-yUR02Vbbg93khdhp" TargetMode="External"/><Relationship Id="rId654" Type="http://schemas.openxmlformats.org/officeDocument/2006/relationships/hyperlink" Target="https://drive.google.com/open?id=1fUKCosbdegDZpTyWg_jqdqQpsA9h7Hp9" TargetMode="External"/><Relationship Id="rId861" Type="http://schemas.openxmlformats.org/officeDocument/2006/relationships/hyperlink" Target="https://drive.google.com/open?id=1NuFZnUjiprAZimPT_89HyMDbe-vvNPTL" TargetMode="External"/><Relationship Id="rId959" Type="http://schemas.openxmlformats.org/officeDocument/2006/relationships/hyperlink" Target="https://drive.google.com/open?id=1ICBKSq8ye0o7btl6qti34PtjIYDTBdgu" TargetMode="External"/><Relationship Id="rId1284" Type="http://schemas.openxmlformats.org/officeDocument/2006/relationships/hyperlink" Target="https://drive.google.com/open?id=1HzjvXdjI5DzK6H-GdipS6OVaVkVCPKGM" TargetMode="External"/><Relationship Id="rId1491" Type="http://schemas.openxmlformats.org/officeDocument/2006/relationships/hyperlink" Target="https://drive.google.com/open?id=1euxpyzDPfFK6jVgrUrAkRe8uoJ54PYOW" TargetMode="External"/><Relationship Id="rId1589" Type="http://schemas.openxmlformats.org/officeDocument/2006/relationships/hyperlink" Target="https://drive.google.com/open?id=1ecc5UTBqax2Q_PrI4Ahzgva4WUqLYEKe" TargetMode="External"/><Relationship Id="rId307" Type="http://schemas.openxmlformats.org/officeDocument/2006/relationships/hyperlink" Target="https://drive.google.com/open?id=1C6E8Wj-SiOHGxI8alRWsv4sW_XY8JaNn" TargetMode="External"/><Relationship Id="rId514" Type="http://schemas.openxmlformats.org/officeDocument/2006/relationships/hyperlink" Target="https://drive.google.com/open?id=1gG5X9szvTHW7ojOXsUkV7eC3lY2h_Z8Y" TargetMode="External"/><Relationship Id="rId721" Type="http://schemas.openxmlformats.org/officeDocument/2006/relationships/hyperlink" Target="https://drive.google.com/open?id=1SAR_devH1Bxb4inu4g4iWt3bm9KQ_Q3V" TargetMode="External"/><Relationship Id="rId1144" Type="http://schemas.openxmlformats.org/officeDocument/2006/relationships/hyperlink" Target="https://drive.google.com/open?id=1Yp6cntn1eEEoCRGlwzm6iGgX3-Nzx3QF" TargetMode="External"/><Relationship Id="rId1351" Type="http://schemas.openxmlformats.org/officeDocument/2006/relationships/hyperlink" Target="https://drive.google.com/open?id=1NyVu1dJgLQlylMmHvTDC8Sw3i0P7ClkI" TargetMode="External"/><Relationship Id="rId1449" Type="http://schemas.openxmlformats.org/officeDocument/2006/relationships/hyperlink" Target="https://drive.google.com/open?id=1kGqgF4M5k8dtBagtcxPyEr8AuHYg2E1q" TargetMode="External"/><Relationship Id="rId1796" Type="http://schemas.openxmlformats.org/officeDocument/2006/relationships/hyperlink" Target="https://drive.google.com/open?id=1YMbrlEtiX7bqV2v1cG0NYImo-Y5OSeSu" TargetMode="External"/><Relationship Id="rId88" Type="http://schemas.openxmlformats.org/officeDocument/2006/relationships/hyperlink" Target="https://drive.google.com/open?id=15HbCy_-8cdI5SSK2Ry6tkCHcwXv4J1ku" TargetMode="External"/><Relationship Id="rId819" Type="http://schemas.openxmlformats.org/officeDocument/2006/relationships/hyperlink" Target="https://drive.google.com/open?id=1LzQRuDhG4lKMc7nSoYK2n7ZC6AHMRBgj" TargetMode="External"/><Relationship Id="rId1004" Type="http://schemas.openxmlformats.org/officeDocument/2006/relationships/hyperlink" Target="https://drive.google.com/open?id=1BT51ogkBsj92Jges1fW3dUJxx1GHdnBE" TargetMode="External"/><Relationship Id="rId1211" Type="http://schemas.openxmlformats.org/officeDocument/2006/relationships/hyperlink" Target="https://drive.google.com/open?id=1ZkXBzBjCOyrWAU2mqNyhwJPxBPpbqx-d" TargetMode="External"/><Relationship Id="rId1656" Type="http://schemas.openxmlformats.org/officeDocument/2006/relationships/hyperlink" Target="https://drive.google.com/open?id=1nQ41_NzuVYrysshHfJNVjoczTU-P7tmG" TargetMode="External"/><Relationship Id="rId1863" Type="http://schemas.openxmlformats.org/officeDocument/2006/relationships/hyperlink" Target="https://drive.google.com/open?id=1d9AZaVkLmQFJqC7YsnzDyHeJy45CrJKZ" TargetMode="External"/><Relationship Id="rId1309" Type="http://schemas.openxmlformats.org/officeDocument/2006/relationships/hyperlink" Target="https://drive.google.com/open?id=1ZQ81LmB0QpVzGd9Rf0DC5m4_1YX0Sk9k" TargetMode="External"/><Relationship Id="rId1516" Type="http://schemas.openxmlformats.org/officeDocument/2006/relationships/hyperlink" Target="https://drive.google.com/open?id=1nTAZ6TUUR9h_mKrIL1DwBaTGoYoLSP5B" TargetMode="External"/><Relationship Id="rId1723" Type="http://schemas.openxmlformats.org/officeDocument/2006/relationships/hyperlink" Target="https://drive.google.com/open?id=1PuMcMkyeIVS_TbhmJoti9srPR6fLKQvA" TargetMode="External"/><Relationship Id="rId1930" Type="http://schemas.openxmlformats.org/officeDocument/2006/relationships/hyperlink" Target="https://drive.google.com/open?id=1lSjBRrLEICGzJl7vYvF7xluQtysXd8O8" TargetMode="External"/><Relationship Id="rId15" Type="http://schemas.openxmlformats.org/officeDocument/2006/relationships/hyperlink" Target="https://drive.google.com/open?id=18S0TuWbAsaSn9j4rjIs7OwD3qgv_CTv1" TargetMode="External"/><Relationship Id="rId164" Type="http://schemas.openxmlformats.org/officeDocument/2006/relationships/hyperlink" Target="https://drive.google.com/open?id=1uQq9fLrSeTgwmBJZVDIhu-t2o_X0-YVH" TargetMode="External"/><Relationship Id="rId371" Type="http://schemas.openxmlformats.org/officeDocument/2006/relationships/hyperlink" Target="https://drive.google.com/open?id=1sxp6rqmE_ANg0YDMD7QDe-JfzWuSJhU0" TargetMode="External"/><Relationship Id="rId469" Type="http://schemas.openxmlformats.org/officeDocument/2006/relationships/hyperlink" Target="https://drive.google.com/open?id=1ebDarpLS6OLJhrUcAvikLrYV3jzL6cXC" TargetMode="External"/><Relationship Id="rId676" Type="http://schemas.openxmlformats.org/officeDocument/2006/relationships/hyperlink" Target="https://drive.google.com/open?id=1dhZyxC7wL6odOfSkyDYkXhfL1hk_g4kA" TargetMode="External"/><Relationship Id="rId883" Type="http://schemas.openxmlformats.org/officeDocument/2006/relationships/hyperlink" Target="https://drive.google.com/open?id=1ih6AQfU8riz8KPOFrK7pKijbNf0LeSnw" TargetMode="External"/><Relationship Id="rId1099" Type="http://schemas.openxmlformats.org/officeDocument/2006/relationships/hyperlink" Target="https://drive.google.com/open?id=1u2hLWwHKBskMYAcrOMGSo3zS61FccN4R" TargetMode="External"/><Relationship Id="rId231" Type="http://schemas.openxmlformats.org/officeDocument/2006/relationships/hyperlink" Target="https://drive.google.com/open?id=1a2jWTcRAREt78ADgwI_uBTBjhQf2VhI9" TargetMode="External"/><Relationship Id="rId329" Type="http://schemas.openxmlformats.org/officeDocument/2006/relationships/hyperlink" Target="https://drive.google.com/open?id=15YXd4Bjx-zTQ3TlrsC-pcdB7yMenKMjZ" TargetMode="External"/><Relationship Id="rId536" Type="http://schemas.openxmlformats.org/officeDocument/2006/relationships/hyperlink" Target="https://drive.google.com/open?id=1tSJguhC_S8alzI8uKRcrvz2HlmIuuV9h" TargetMode="External"/><Relationship Id="rId1166" Type="http://schemas.openxmlformats.org/officeDocument/2006/relationships/hyperlink" Target="https://drive.google.com/open?id=12vs8JWr_OXzz-BXfgtavxreC7IReKDpq" TargetMode="External"/><Relationship Id="rId1373" Type="http://schemas.openxmlformats.org/officeDocument/2006/relationships/hyperlink" Target="https://drive.google.com/open?id=15jjx6K7fLBAvzQhzir7dB28ktQHm91lD" TargetMode="External"/><Relationship Id="rId743" Type="http://schemas.openxmlformats.org/officeDocument/2006/relationships/hyperlink" Target="https://drive.google.com/open?id=16zC1rR-GaaDPBmpmi6hiq1yXRfFSpTDt" TargetMode="External"/><Relationship Id="rId950" Type="http://schemas.openxmlformats.org/officeDocument/2006/relationships/hyperlink" Target="https://drive.google.com/open?id=1U_OZNP9goA4bUEggyAkvtNvctPNBHT4F" TargetMode="External"/><Relationship Id="rId1026" Type="http://schemas.openxmlformats.org/officeDocument/2006/relationships/hyperlink" Target="https://drive.google.com/open?id=17H6kEYXMS5iXXUVSKaYXyFs1kL2NZZAM" TargetMode="External"/><Relationship Id="rId1580" Type="http://schemas.openxmlformats.org/officeDocument/2006/relationships/hyperlink" Target="https://drive.google.com/open?id=1a-DxICoUNPCjdvBBWWbQL_aQjoqELvwp" TargetMode="External"/><Relationship Id="rId1678" Type="http://schemas.openxmlformats.org/officeDocument/2006/relationships/hyperlink" Target="https://drive.google.com/open?id=1r5D5AUVvjXMkNCvwVbIrit0-kcSqJh-k" TargetMode="External"/><Relationship Id="rId1885" Type="http://schemas.openxmlformats.org/officeDocument/2006/relationships/hyperlink" Target="https://drive.google.com/open?id=1Fu18gc8Auib6uEB0pzd-VXoQPRSSN-k_" TargetMode="External"/><Relationship Id="rId603" Type="http://schemas.openxmlformats.org/officeDocument/2006/relationships/hyperlink" Target="https://drive.google.com/open?id=1W25b6gi88ih3RLIeu2kcZEd7tyi4Bfpe" TargetMode="External"/><Relationship Id="rId810" Type="http://schemas.openxmlformats.org/officeDocument/2006/relationships/hyperlink" Target="https://drive.google.com/open?id=1q-2szdA_RPfrAAq8HBDLTYt8QLtbsPGs" TargetMode="External"/><Relationship Id="rId908" Type="http://schemas.openxmlformats.org/officeDocument/2006/relationships/hyperlink" Target="https://drive.google.com/open?id=1xIz8WLfX4SvHBDvVBPAjpx3qE7ruv61U" TargetMode="External"/><Relationship Id="rId1233" Type="http://schemas.openxmlformats.org/officeDocument/2006/relationships/hyperlink" Target="https://drive.google.com/open?id=1shZXIhFxAUUl-Kh0cUhEAwbrd6A5Mema" TargetMode="External"/><Relationship Id="rId1440" Type="http://schemas.openxmlformats.org/officeDocument/2006/relationships/hyperlink" Target="https://drive.google.com/open?id=1yiLXg7ZCJCv3JOtY6rvAnFJuptuCNR6e" TargetMode="External"/><Relationship Id="rId1538" Type="http://schemas.openxmlformats.org/officeDocument/2006/relationships/hyperlink" Target="https://drive.google.com/open?id=1j5SZpqsepR2JTYecn0nwXaOaiozasZL_" TargetMode="External"/><Relationship Id="rId1300" Type="http://schemas.openxmlformats.org/officeDocument/2006/relationships/hyperlink" Target="https://drive.google.com/open?id=1aKZa0yAlDTc9HTzhoRrZC145WitbqOZZ" TargetMode="External"/><Relationship Id="rId1745" Type="http://schemas.openxmlformats.org/officeDocument/2006/relationships/hyperlink" Target="https://drive.google.com/open?id=1fuGmgMdrOb2aWOXz-jAyrMwB5oZj48VR" TargetMode="External"/><Relationship Id="rId1952" Type="http://schemas.openxmlformats.org/officeDocument/2006/relationships/hyperlink" Target="https://drive.google.com/open?id=1FdRRffaxH9iMEnYVasqwiP_fw-vGy-Bq" TargetMode="External"/><Relationship Id="rId37" Type="http://schemas.openxmlformats.org/officeDocument/2006/relationships/hyperlink" Target="https://drive.google.com/open?id=1uP7q6boB1R_h92N-UPgNXTNd60iNFH0b" TargetMode="External"/><Relationship Id="rId1605" Type="http://schemas.openxmlformats.org/officeDocument/2006/relationships/hyperlink" Target="https://drive.google.com/open?id=1G2REJKaEDJh4ANmq7t_ytxxx79Lfaad3" TargetMode="External"/><Relationship Id="rId1812" Type="http://schemas.openxmlformats.org/officeDocument/2006/relationships/hyperlink" Target="https://drive.google.com/open?id=174GQRueRnEf_b_vA3Mu-lalaJf1w4yUY" TargetMode="External"/><Relationship Id="rId186" Type="http://schemas.openxmlformats.org/officeDocument/2006/relationships/hyperlink" Target="https://drive.google.com/open?id=1oLZlyXCtW5XIQ3xEaKL6Wkqg8uD9q-v4" TargetMode="External"/><Relationship Id="rId393" Type="http://schemas.openxmlformats.org/officeDocument/2006/relationships/hyperlink" Target="https://drive.google.com/open?id=1Lwrk97OSQsau34gCh8jZBVA5ExrlkN2M" TargetMode="External"/><Relationship Id="rId253" Type="http://schemas.openxmlformats.org/officeDocument/2006/relationships/hyperlink" Target="https://drive.google.com/open?id=1jzmEAVxScnsHx1ufPrXDACgd4OKAPa7h" TargetMode="External"/><Relationship Id="rId460" Type="http://schemas.openxmlformats.org/officeDocument/2006/relationships/hyperlink" Target="https://drive.google.com/open?id=1zDFvIFcQhw-nrubGlNdetU3pVzhufg41" TargetMode="External"/><Relationship Id="rId698" Type="http://schemas.openxmlformats.org/officeDocument/2006/relationships/hyperlink" Target="https://drive.google.com/open?id=13BGDE0Ud_09WlEFSr6se6o4L2hH15YaP" TargetMode="External"/><Relationship Id="rId1090" Type="http://schemas.openxmlformats.org/officeDocument/2006/relationships/hyperlink" Target="https://drive.google.com/open?id=1Qi2Tp1JUKQpSiC6aHimK6afSjU_LoMyQ" TargetMode="External"/><Relationship Id="rId113" Type="http://schemas.openxmlformats.org/officeDocument/2006/relationships/hyperlink" Target="https://drive.google.com/open?id=19dSM9EImr3VLOlzjzWEh7WOu3Gsut-kZ" TargetMode="External"/><Relationship Id="rId320" Type="http://schemas.openxmlformats.org/officeDocument/2006/relationships/hyperlink" Target="https://drive.google.com/open?id=18Kf2UwU0BCnQeGxSS7FSKcYMi48reH1Z" TargetMode="External"/><Relationship Id="rId558" Type="http://schemas.openxmlformats.org/officeDocument/2006/relationships/hyperlink" Target="https://drive.google.com/open?id=1tSs1AsqMF6bL2cN0zWbJAkr_8ymw6awc" TargetMode="External"/><Relationship Id="rId765" Type="http://schemas.openxmlformats.org/officeDocument/2006/relationships/hyperlink" Target="https://drive.google.com/open?id=1AfsyGKuH5rjsb6QoPwXKNyo1N9CmW0Df" TargetMode="External"/><Relationship Id="rId972" Type="http://schemas.openxmlformats.org/officeDocument/2006/relationships/hyperlink" Target="https://drive.google.com/open?id=1Uu8owH-K_hotPprCK_DXrYCXQwxwO74X" TargetMode="External"/><Relationship Id="rId1188" Type="http://schemas.openxmlformats.org/officeDocument/2006/relationships/hyperlink" Target="https://drive.google.com/open?id=1552dGFWVeC-p0IK3Y5uHOGrptCLRq-5i" TargetMode="External"/><Relationship Id="rId1395" Type="http://schemas.openxmlformats.org/officeDocument/2006/relationships/hyperlink" Target="https://drive.google.com/open?id=13yWnqL1EBTX_kh7o4LA-A9q8GOKZzoCq" TargetMode="External"/><Relationship Id="rId2001" Type="http://schemas.openxmlformats.org/officeDocument/2006/relationships/hyperlink" Target="https://drive.google.com/open?id=1CrRbGI4gVnuTu0FGKWFrKbINCTfg2lq6" TargetMode="External"/><Relationship Id="rId418" Type="http://schemas.openxmlformats.org/officeDocument/2006/relationships/hyperlink" Target="https://drive.google.com/open?id=1olGJbVVdq6t0aBbsCAAPziqp6qaJeqgl" TargetMode="External"/><Relationship Id="rId625" Type="http://schemas.openxmlformats.org/officeDocument/2006/relationships/hyperlink" Target="https://drive.google.com/open?id=1REyA017xhsxUNzOSFTVMDKUdZTwTfybU" TargetMode="External"/><Relationship Id="rId832" Type="http://schemas.openxmlformats.org/officeDocument/2006/relationships/hyperlink" Target="https://drive.google.com/open?id=1KFYSaNtNxV9pTXOTCRyde25bT7otswY6" TargetMode="External"/><Relationship Id="rId1048" Type="http://schemas.openxmlformats.org/officeDocument/2006/relationships/hyperlink" Target="https://drive.google.com/open?id=1Q5Dv35FHt4_ebRD_v8_VqPg_Ers6p1MY" TargetMode="External"/><Relationship Id="rId1255" Type="http://schemas.openxmlformats.org/officeDocument/2006/relationships/hyperlink" Target="https://drive.google.com/open?id=1gAc75lYz20yQWGs7BJptBLjEiR1E7mMe" TargetMode="External"/><Relationship Id="rId1462" Type="http://schemas.openxmlformats.org/officeDocument/2006/relationships/hyperlink" Target="https://drive.google.com/open?id=1moIiOeScEqtSNEAgY5ybo3fgIHeBZWVX" TargetMode="External"/><Relationship Id="rId1115" Type="http://schemas.openxmlformats.org/officeDocument/2006/relationships/hyperlink" Target="https://drive.google.com/open?id=141K-u1BeYkwUX6ftF6Mkuq551mJgSREb" TargetMode="External"/><Relationship Id="rId1322" Type="http://schemas.openxmlformats.org/officeDocument/2006/relationships/hyperlink" Target="https://drive.google.com/open?id=11G3L4WQPCDd7JBdoKm4-gtGbvbpAJ44Q" TargetMode="External"/><Relationship Id="rId1767" Type="http://schemas.openxmlformats.org/officeDocument/2006/relationships/hyperlink" Target="https://drive.google.com/open?id=15fTT89_XUdDgFQGHW0Ryzp6Lqta4wTbv" TargetMode="External"/><Relationship Id="rId1974" Type="http://schemas.openxmlformats.org/officeDocument/2006/relationships/hyperlink" Target="https://drive.google.com/open?id=1_UpCFx7n9TkqoA2Mew2Yugc-fq1kAKsi" TargetMode="External"/><Relationship Id="rId59" Type="http://schemas.openxmlformats.org/officeDocument/2006/relationships/hyperlink" Target="https://drive.google.com/open?id=1HZtMZicwnSms7wo437vwCdtgXSGszatU" TargetMode="External"/><Relationship Id="rId1627" Type="http://schemas.openxmlformats.org/officeDocument/2006/relationships/hyperlink" Target="https://drive.google.com/open?id=1G6dtA4gJT17KTgbwzUSrRyZyb_HHn211" TargetMode="External"/><Relationship Id="rId1834" Type="http://schemas.openxmlformats.org/officeDocument/2006/relationships/hyperlink" Target="https://drive.google.com/open?id=1hrBtnfo86xO9e7wjP9lepzzOUWnr1FAq" TargetMode="External"/><Relationship Id="rId1901" Type="http://schemas.openxmlformats.org/officeDocument/2006/relationships/hyperlink" Target="https://drive.google.com/open?id=1600b3lONvG_fqHnu6H_lvDOCVR8HCgOz" TargetMode="External"/><Relationship Id="rId275" Type="http://schemas.openxmlformats.org/officeDocument/2006/relationships/hyperlink" Target="https://drive.google.com/open?id=14xsVv7lVDmuQgLfzgwyLdge0AEiydQKf" TargetMode="External"/><Relationship Id="rId482" Type="http://schemas.openxmlformats.org/officeDocument/2006/relationships/hyperlink" Target="https://drive.google.com/open?id=1G6myps7YnI3WsUeaedux3KmJzZUiINZA" TargetMode="External"/><Relationship Id="rId135" Type="http://schemas.openxmlformats.org/officeDocument/2006/relationships/hyperlink" Target="https://drive.google.com/open?id=12Bsu7-vdtQO-IthIA2gA1XRleCzN-Q8c" TargetMode="External"/><Relationship Id="rId342" Type="http://schemas.openxmlformats.org/officeDocument/2006/relationships/hyperlink" Target="https://drive.google.com/open?id=1-2r_k8xu5R1dodj_L4T42FGWzSIZnAq_" TargetMode="External"/><Relationship Id="rId787" Type="http://schemas.openxmlformats.org/officeDocument/2006/relationships/hyperlink" Target="https://drive.google.com/open?id=1uJgpfcV0hBMmOpq59HRK-RU9JUBX5le8" TargetMode="External"/><Relationship Id="rId994" Type="http://schemas.openxmlformats.org/officeDocument/2006/relationships/hyperlink" Target="https://drive.google.com/open?id=1JHHTkQ7Nby6mtA9-Y7z4TBI8fm6W4Wls" TargetMode="External"/><Relationship Id="rId2023" Type="http://schemas.openxmlformats.org/officeDocument/2006/relationships/hyperlink" Target="https://drive.google.com/open?id=1bq1KsHhnfAWfbUzUj14MFDKFXEDp75iA" TargetMode="External"/><Relationship Id="rId202" Type="http://schemas.openxmlformats.org/officeDocument/2006/relationships/hyperlink" Target="https://drive.google.com/open?id=17YHR2ALYDuCbTkb1Yx0g4xisbk2t190n" TargetMode="External"/><Relationship Id="rId647" Type="http://schemas.openxmlformats.org/officeDocument/2006/relationships/hyperlink" Target="https://drive.google.com/open?id=1b1ulSoNQUH78O9QckmwTHihPxUXkO7x_" TargetMode="External"/><Relationship Id="rId854" Type="http://schemas.openxmlformats.org/officeDocument/2006/relationships/hyperlink" Target="https://drive.google.com/open?id=12eeBgM1TvXjZALQYnnd5aHFBBi0n8hFx" TargetMode="External"/><Relationship Id="rId1277" Type="http://schemas.openxmlformats.org/officeDocument/2006/relationships/hyperlink" Target="https://drive.google.com/open?id=1M_G_BJ9c7mlqGQTv9QNzIcO3KpxEoRfy" TargetMode="External"/><Relationship Id="rId1484" Type="http://schemas.openxmlformats.org/officeDocument/2006/relationships/hyperlink" Target="https://drive.google.com/open?id=13ANjM7GA9ra-_myqwuwHIVKLTA7hqzs3" TargetMode="External"/><Relationship Id="rId1691" Type="http://schemas.openxmlformats.org/officeDocument/2006/relationships/hyperlink" Target="https://drive.google.com/open?id=1Zpe67xbIrDcPlDy0taOG6PLHQ3ZrXkza" TargetMode="External"/><Relationship Id="rId507" Type="http://schemas.openxmlformats.org/officeDocument/2006/relationships/hyperlink" Target="https://drive.google.com/open?id=1vyPIRGR7ezz0ehdX8FYukbDR3FOYZ12i" TargetMode="External"/><Relationship Id="rId714" Type="http://schemas.openxmlformats.org/officeDocument/2006/relationships/hyperlink" Target="https://drive.google.com/open?id=1-bKyXD7YvqPBhWeM1lQV7Ca8cyGnCn2d" TargetMode="External"/><Relationship Id="rId921" Type="http://schemas.openxmlformats.org/officeDocument/2006/relationships/hyperlink" Target="https://drive.google.com/open?id=1IZ8GmjrPxJ7spUlJeL5yS_y4eIiq94ah" TargetMode="External"/><Relationship Id="rId1137" Type="http://schemas.openxmlformats.org/officeDocument/2006/relationships/hyperlink" Target="https://drive.google.com/open?id=1LVmVyM_Le0GHuumefY-r7wYcoGvj0wkI" TargetMode="External"/><Relationship Id="rId1344" Type="http://schemas.openxmlformats.org/officeDocument/2006/relationships/hyperlink" Target="https://drive.google.com/open?id=17tH3zDYjr_1rSY2B5pDhHXMWukvVBNeT" TargetMode="External"/><Relationship Id="rId1551" Type="http://schemas.openxmlformats.org/officeDocument/2006/relationships/hyperlink" Target="https://drive.google.com/open?id=1FHgigGDWQm28_LdrzMF_8CR91jnARiDD" TargetMode="External"/><Relationship Id="rId1789" Type="http://schemas.openxmlformats.org/officeDocument/2006/relationships/hyperlink" Target="https://drive.google.com/open?id=17oMQP2IRSo9NVlAIFNHqxWoUysgm63an" TargetMode="External"/><Relationship Id="rId1996" Type="http://schemas.openxmlformats.org/officeDocument/2006/relationships/hyperlink" Target="https://drive.google.com/open?id=1lwIh_PqrU18PIOxNlarjRB_ltcPqZOfo" TargetMode="External"/><Relationship Id="rId50" Type="http://schemas.openxmlformats.org/officeDocument/2006/relationships/hyperlink" Target="https://drive.google.com/open?id=1E9CKMxL7AOlcm3B7Pxq89hd5QkgKmiLI" TargetMode="External"/><Relationship Id="rId1204" Type="http://schemas.openxmlformats.org/officeDocument/2006/relationships/hyperlink" Target="https://drive.google.com/open?id=1a_ZsyobJ1jDYDhnNLRh4WfqDv4SU-7PJ" TargetMode="External"/><Relationship Id="rId1411" Type="http://schemas.openxmlformats.org/officeDocument/2006/relationships/hyperlink" Target="https://drive.google.com/open?id=1qAa3J0v7FA-mba1F5gk10t8hJylDgFtE" TargetMode="External"/><Relationship Id="rId1649" Type="http://schemas.openxmlformats.org/officeDocument/2006/relationships/hyperlink" Target="https://drive.google.com/open?id=12tb3DevkVfP-0G45D2AOXyFG7gy4n__a" TargetMode="External"/><Relationship Id="rId1856" Type="http://schemas.openxmlformats.org/officeDocument/2006/relationships/hyperlink" Target="https://drive.google.com/open?id=1Y2K6H_ZjGAN_juBEZspGKcPl73AGX71D" TargetMode="External"/><Relationship Id="rId1509" Type="http://schemas.openxmlformats.org/officeDocument/2006/relationships/hyperlink" Target="https://drive.google.com/open?id=1zGDTJyfYKcszvHDeIjX1IkyILx_3-jbg" TargetMode="External"/><Relationship Id="rId1716" Type="http://schemas.openxmlformats.org/officeDocument/2006/relationships/hyperlink" Target="https://drive.google.com/open?id=1Wo5e0FieveglXS4vksxFQmGM-wO1By8c" TargetMode="External"/><Relationship Id="rId1923" Type="http://schemas.openxmlformats.org/officeDocument/2006/relationships/hyperlink" Target="https://drive.google.com/open?id=1V4pBJpnJCRs5qNGK7WMjB2G1P0DCGDJg" TargetMode="External"/><Relationship Id="rId297" Type="http://schemas.openxmlformats.org/officeDocument/2006/relationships/hyperlink" Target="https://drive.google.com/open?id=1oXGkfHgFW3OuTQW0WgOZAvJsABZRwGbQ" TargetMode="External"/><Relationship Id="rId157" Type="http://schemas.openxmlformats.org/officeDocument/2006/relationships/hyperlink" Target="https://drive.google.com/open?id=1tUArd86NRJx7P7FR51eO0JUda7iBBXGN" TargetMode="External"/><Relationship Id="rId364" Type="http://schemas.openxmlformats.org/officeDocument/2006/relationships/hyperlink" Target="https://drive.google.com/open?id=1JyP2FOW5ioAYGQg3lKNu2NuIJZakKRhk" TargetMode="External"/><Relationship Id="rId571" Type="http://schemas.openxmlformats.org/officeDocument/2006/relationships/hyperlink" Target="https://drive.google.com/open?id=1hIx5faVXQWBix-8yBCrjtuwk-52Ku_vB" TargetMode="External"/><Relationship Id="rId669" Type="http://schemas.openxmlformats.org/officeDocument/2006/relationships/hyperlink" Target="https://drive.google.com/open?id=1nY7zJ3ZbWaFDB3B0P8ZDAZedPAD1LiOV" TargetMode="External"/><Relationship Id="rId876" Type="http://schemas.openxmlformats.org/officeDocument/2006/relationships/hyperlink" Target="https://drive.google.com/open?id=12EodFnVASNGP_hpmkQINMz_eYR7v3dI7" TargetMode="External"/><Relationship Id="rId1299" Type="http://schemas.openxmlformats.org/officeDocument/2006/relationships/hyperlink" Target="https://drive.google.com/open?id=1IhVj7O3wuvnPMzNITtF33ouU4F4zZc5g" TargetMode="External"/><Relationship Id="rId224" Type="http://schemas.openxmlformats.org/officeDocument/2006/relationships/hyperlink" Target="https://drive.google.com/open?id=10AMv9tuaNnB0zzqa_f9-U77VuvJd9CYt" TargetMode="External"/><Relationship Id="rId431" Type="http://schemas.openxmlformats.org/officeDocument/2006/relationships/hyperlink" Target="https://drive.google.com/open?id=1G3cjeRfKzrkXe2dO99tEz96G1TefMmZb" TargetMode="External"/><Relationship Id="rId529" Type="http://schemas.openxmlformats.org/officeDocument/2006/relationships/hyperlink" Target="https://drive.google.com/open?id=1j8aQbTR2Rmzny2rcN_E2gK4Xh9Nhh-YW" TargetMode="External"/><Relationship Id="rId736" Type="http://schemas.openxmlformats.org/officeDocument/2006/relationships/hyperlink" Target="https://drive.google.com/open?id=1BWX9iHyzKfueG3_7Ak67U_ZD_-Z0q7sw" TargetMode="External"/><Relationship Id="rId1061" Type="http://schemas.openxmlformats.org/officeDocument/2006/relationships/hyperlink" Target="https://drive.google.com/open?id=1xfImJi3tOvirmiwmDmUtFDAwGUbVImGy" TargetMode="External"/><Relationship Id="rId1159" Type="http://schemas.openxmlformats.org/officeDocument/2006/relationships/hyperlink" Target="https://drive.google.com/open?id=1mQ_d4fpe-LilWjxOjVv8TqJbuNYICXJr" TargetMode="External"/><Relationship Id="rId1366" Type="http://schemas.openxmlformats.org/officeDocument/2006/relationships/hyperlink" Target="https://drive.google.com/open?id=1vbGuN7-8YHZxlfufvWKv3IoP4SHotnNt" TargetMode="External"/><Relationship Id="rId943" Type="http://schemas.openxmlformats.org/officeDocument/2006/relationships/hyperlink" Target="https://drive.google.com/open?id=1mn8i467qr1NpESYWDKEvfdXUUXZ4iqxT" TargetMode="External"/><Relationship Id="rId1019" Type="http://schemas.openxmlformats.org/officeDocument/2006/relationships/hyperlink" Target="https://drive.google.com/open?id=1GnhoA_GyctXhvPnlxu6SIm-IegfjGr5E" TargetMode="External"/><Relationship Id="rId1573" Type="http://schemas.openxmlformats.org/officeDocument/2006/relationships/hyperlink" Target="https://drive.google.com/open?id=1NeDtjgywF769yrg6GyPZ3zg2w9T_f_-1" TargetMode="External"/><Relationship Id="rId1780" Type="http://schemas.openxmlformats.org/officeDocument/2006/relationships/hyperlink" Target="https://drive.google.com/open?id=1DpvGN2gOa2I9Ja_vkxltE6U_DBs3p6JN" TargetMode="External"/><Relationship Id="rId1878" Type="http://schemas.openxmlformats.org/officeDocument/2006/relationships/hyperlink" Target="https://drive.google.com/open?id=1p8ra2TihNbHOToAieQVseQzTwyhR9SfM" TargetMode="External"/><Relationship Id="rId72" Type="http://schemas.openxmlformats.org/officeDocument/2006/relationships/hyperlink" Target="https://drive.google.com/open?id=12k4xzdM31SN4qnJbME9jY0R0tepVbog7" TargetMode="External"/><Relationship Id="rId803" Type="http://schemas.openxmlformats.org/officeDocument/2006/relationships/hyperlink" Target="https://drive.google.com/open?id=10K4G5b9PndRJhVNbYlO1PigYKlm15JJT" TargetMode="External"/><Relationship Id="rId1226" Type="http://schemas.openxmlformats.org/officeDocument/2006/relationships/hyperlink" Target="https://drive.google.com/open?id=1LINp-ndKO12Yo0SrDY-1IETK01yQH2A-" TargetMode="External"/><Relationship Id="rId1433" Type="http://schemas.openxmlformats.org/officeDocument/2006/relationships/hyperlink" Target="https://drive.google.com/open?id=12E2ZKUnaN3q9TUjAGzREQNhcjFcXzo-z" TargetMode="External"/><Relationship Id="rId1640" Type="http://schemas.openxmlformats.org/officeDocument/2006/relationships/hyperlink" Target="https://drive.google.com/open?id=1R_jAQ2s_jWApXtbq6R-vnJMwWinZ-Bky" TargetMode="External"/><Relationship Id="rId1738" Type="http://schemas.openxmlformats.org/officeDocument/2006/relationships/hyperlink" Target="https://drive.google.com/open?id=1197xCR-O4SuaPBI-W5SZaTJFjd7il-qx" TargetMode="External"/><Relationship Id="rId1500" Type="http://schemas.openxmlformats.org/officeDocument/2006/relationships/hyperlink" Target="https://drive.google.com/open?id=11XQAofTTh3iCad_8rPSiBvRF3jv68NFn" TargetMode="External"/><Relationship Id="rId1945" Type="http://schemas.openxmlformats.org/officeDocument/2006/relationships/hyperlink" Target="https://drive.google.com/open?id=1HAuwpJDQs842iNz_TFPJMhxZTHIz_TBk" TargetMode="External"/><Relationship Id="rId1805" Type="http://schemas.openxmlformats.org/officeDocument/2006/relationships/hyperlink" Target="https://drive.google.com/open?id=1dc6Kkm48JP3Jt58xVRaCJ5bxGOnV2ix_" TargetMode="External"/><Relationship Id="rId179" Type="http://schemas.openxmlformats.org/officeDocument/2006/relationships/hyperlink" Target="https://drive.google.com/open?id=13Gel_Ik-ilJ7tuetN-K-Pt2L6NQXo7SK" TargetMode="External"/><Relationship Id="rId386" Type="http://schemas.openxmlformats.org/officeDocument/2006/relationships/hyperlink" Target="https://drive.google.com/open?id=1tP81TsNDUUp5ZFL_UlzUC1ORooI7wDtA" TargetMode="External"/><Relationship Id="rId593" Type="http://schemas.openxmlformats.org/officeDocument/2006/relationships/hyperlink" Target="https://drive.google.com/open?id=1IiVNCcnq5ZI_YoU1k6fdUUy7VsXZ8cyI" TargetMode="External"/><Relationship Id="rId246" Type="http://schemas.openxmlformats.org/officeDocument/2006/relationships/hyperlink" Target="https://drive.google.com/open?id=1vOATjypv_YMUa7uDSBdRdRiI7XXmwLyw" TargetMode="External"/><Relationship Id="rId453" Type="http://schemas.openxmlformats.org/officeDocument/2006/relationships/hyperlink" Target="https://drive.google.com/open?id=1rP4ybmrXZFTkY61mzKwFyjnzp-uQw-Pv" TargetMode="External"/><Relationship Id="rId660" Type="http://schemas.openxmlformats.org/officeDocument/2006/relationships/hyperlink" Target="https://drive.google.com/open?id=1M95T3TlQvUkxZBtxKeyIUCDQZnYY9Mgm" TargetMode="External"/><Relationship Id="rId898" Type="http://schemas.openxmlformats.org/officeDocument/2006/relationships/hyperlink" Target="https://drive.google.com/open?id=1eIz-nHbWxpV2Jc_bAv2VK0gPpgoYfU22" TargetMode="External"/><Relationship Id="rId1083" Type="http://schemas.openxmlformats.org/officeDocument/2006/relationships/hyperlink" Target="https://drive.google.com/open?id=1kjF_R9GY23bqxIkvBjJc6Q9M1pcnJpSJ" TargetMode="External"/><Relationship Id="rId1290" Type="http://schemas.openxmlformats.org/officeDocument/2006/relationships/hyperlink" Target="https://drive.google.com/open?id=18d2TI-t-n23yufAELtpzJZSvx10_-l1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118"/>
  <sheetViews>
    <sheetView tabSelected="1" workbookViewId="0">
      <pane ySplit="3" topLeftCell="A5" activePane="bottomLeft" state="frozen"/>
      <selection pane="bottomLeft" activeCell="D21" sqref="D21"/>
    </sheetView>
  </sheetViews>
  <sheetFormatPr defaultColWidth="12.625" defaultRowHeight="15.8" customHeight="1"/>
  <cols>
    <col min="1" max="1" width="13.75" customWidth="1"/>
    <col min="2" max="2" width="31.125" customWidth="1"/>
    <col min="3" max="3" width="10" customWidth="1"/>
    <col min="4" max="7" width="8.75" customWidth="1"/>
    <col min="8" max="8" width="8.75" style="121" customWidth="1"/>
    <col min="9" max="12" width="8.75" customWidth="1"/>
    <col min="13" max="13" width="8.75" style="121" customWidth="1"/>
    <col min="14" max="14" width="28" customWidth="1"/>
  </cols>
  <sheetData>
    <row r="1" spans="1:15" ht="15.8" customHeight="1">
      <c r="A1" s="1" t="str">
        <f ca="1">IFERROR(__xludf.DUMMYFUNCTION("IMPORTRANGE(""1sn6on0ICLdPRd7yAwt9Z3RoZqKhpMRDLZsa8PcduEOs"",""SDS!A1:AD"")"),"")</f>
        <v/>
      </c>
      <c r="B1" s="2" t="str">
        <f ca="1">IFERROR(__xludf.DUMMYFUNCTION("""COMPUTED_VALUE"""),"RK UNIVERSITY")</f>
        <v>RK UNIVERSITY</v>
      </c>
      <c r="C1" s="3"/>
      <c r="D1" s="83" t="str">
        <f ca="1">IFERROR(__xludf.DUMMYFUNCTION("""COMPUTED_VALUE"""),"College Fee")</f>
        <v>College Fee</v>
      </c>
      <c r="E1" s="84"/>
      <c r="F1" s="84"/>
      <c r="G1" s="84"/>
      <c r="H1" s="85"/>
      <c r="I1" s="83" t="str">
        <f ca="1">IFERROR(__xludf.DUMMYFUNCTION("""COMPUTED_VALUE"""),"RK University Fee")</f>
        <v>RK University Fee</v>
      </c>
      <c r="J1" s="84"/>
      <c r="K1" s="84"/>
      <c r="L1" s="84"/>
      <c r="M1" s="85"/>
      <c r="N1" s="4"/>
      <c r="O1" s="5"/>
    </row>
    <row r="2" spans="1:15" ht="15.8" customHeight="1">
      <c r="A2" s="6"/>
      <c r="B2" s="7" t="str">
        <f ca="1">IFERROR(__xludf.DUMMYFUNCTION("""COMPUTED_VALUE"""),"STUDENT FEE STATUS		")</f>
        <v xml:space="preserve">STUDENT FEE STATUS		</v>
      </c>
      <c r="C2" s="8"/>
      <c r="D2" s="83" t="str">
        <f ca="1">IFERROR(__xludf.DUMMYFUNCTION("""COMPUTED_VALUE"""),"INR")</f>
        <v>INR</v>
      </c>
      <c r="E2" s="84"/>
      <c r="F2" s="84"/>
      <c r="G2" s="85"/>
      <c r="H2" s="83"/>
      <c r="I2" s="84"/>
      <c r="J2" s="84"/>
      <c r="K2" s="85"/>
      <c r="L2" s="9"/>
      <c r="M2" s="122"/>
      <c r="N2" s="4"/>
      <c r="O2" s="5"/>
    </row>
    <row r="3" spans="1:15" ht="23.1">
      <c r="A3" s="13" t="str">
        <f ca="1">IFERROR(__xludf.DUMMYFUNCTION("""COMPUTED_VALUE"""),"ENo")</f>
        <v>ENo</v>
      </c>
      <c r="B3" s="13" t="str">
        <f ca="1">IFERROR(__xludf.DUMMYFUNCTION("""COMPUTED_VALUE"""),"Name")</f>
        <v>Name</v>
      </c>
      <c r="C3" s="14" t="str">
        <f ca="1">IFERROR(__xludf.DUMMYFUNCTION("""COMPUTED_VALUE"""),"Scholarship Type")</f>
        <v>Scholarship Type</v>
      </c>
      <c r="D3" s="16" t="str">
        <f ca="1">IFERROR(__xludf.DUMMYFUNCTION("""COMPUTED_VALUE"""),"C_Total")</f>
        <v>C_Total</v>
      </c>
      <c r="E3" s="16" t="str">
        <f ca="1">IFERROR(__xludf.DUMMYFUNCTION("""COMPUTED_VALUE"""),"C_Paid")</f>
        <v>C_Paid</v>
      </c>
      <c r="F3" s="16" t="str">
        <f ca="1">IFERROR(__xludf.DUMMYFUNCTION("""COMPUTED_VALUE"""),"C_Cheque Received")</f>
        <v>C_Cheque Received</v>
      </c>
      <c r="G3" s="16" t="str">
        <f ca="1">IFERROR(__xludf.DUMMYFUNCTION("""COMPUTED_VALUE"""),"C_Scholarship")</f>
        <v>C_Scholarship</v>
      </c>
      <c r="H3" s="118" t="str">
        <f ca="1">IFERROR(__xludf.DUMMYFUNCTION("""COMPUTED_VALUE"""),"C_Due")</f>
        <v>C_Due</v>
      </c>
      <c r="I3" s="16" t="str">
        <f ca="1">IFERROR(__xludf.DUMMYFUNCTION("""COMPUTED_VALUE"""),"U_Total")</f>
        <v>U_Total</v>
      </c>
      <c r="J3" s="16" t="str">
        <f ca="1">IFERROR(__xludf.DUMMYFUNCTION("""COMPUTED_VALUE"""),"U_Paid")</f>
        <v>U_Paid</v>
      </c>
      <c r="K3" s="16" t="str">
        <f ca="1">IFERROR(__xludf.DUMMYFUNCTION("""COMPUTED_VALUE"""),"U_Cheque Received")</f>
        <v>U_Cheque Received</v>
      </c>
      <c r="L3" s="16" t="str">
        <f ca="1">IFERROR(__xludf.DUMMYFUNCTION("""COMPUTED_VALUE"""),"U_Scholarship")</f>
        <v>U_Scholarship</v>
      </c>
      <c r="M3" s="123" t="str">
        <f ca="1">IFERROR(__xludf.DUMMYFUNCTION("""COMPUTED_VALUE"""),"U_Due")</f>
        <v>U_Due</v>
      </c>
      <c r="N3" s="15" t="str">
        <f ca="1">IFERROR(__xludf.DUMMYFUNCTION("""COMPUTED_VALUE"""),"Remarks")</f>
        <v>Remarks</v>
      </c>
      <c r="O3" s="17"/>
    </row>
    <row r="4" spans="1:15" s="135" customFormat="1" ht="14.3">
      <c r="A4" s="126" t="str">
        <f ca="1">IFERROR(__xludf.DUMMYFUNCTION("""COMPUTED_VALUE"""),"23SDSCE01006")</f>
        <v>23SDSCE01006</v>
      </c>
      <c r="B4" s="127" t="str">
        <f ca="1">IFERROR(__xludf.DUMMYFUNCTION("""COMPUTED_VALUE"""),"CHOTHANI MEET RAMESHBHAI")</f>
        <v>CHOTHANI MEET RAMESHBHAI</v>
      </c>
      <c r="C4" s="128" t="str">
        <f ca="1">IFERROR(__xludf.DUMMYFUNCTION("""COMPUTED_VALUE"""),"MYSY")</f>
        <v>MYSY</v>
      </c>
      <c r="D4" s="129">
        <f ca="1">IFERROR(__xludf.DUMMYFUNCTION("""COMPUTED_VALUE"""),27500)</f>
        <v>27500</v>
      </c>
      <c r="E4" s="129">
        <f ca="1">IFERROR(__xludf.DUMMYFUNCTION("""COMPUTED_VALUE"""),0)</f>
        <v>0</v>
      </c>
      <c r="F4" s="129">
        <f ca="1">IFERROR(__xludf.DUMMYFUNCTION("""COMPUTED_VALUE"""),0)</f>
        <v>0</v>
      </c>
      <c r="G4" s="129">
        <f ca="1">IFERROR(__xludf.DUMMYFUNCTION("""COMPUTED_VALUE"""),0)</f>
        <v>0</v>
      </c>
      <c r="H4" s="130">
        <f ca="1">IFERROR(__xludf.DUMMYFUNCTION("""COMPUTED_VALUE"""),27500)</f>
        <v>27500</v>
      </c>
      <c r="I4" s="129">
        <f ca="1">IFERROR(__xludf.DUMMYFUNCTION("""COMPUTED_VALUE"""),3000)</f>
        <v>3000</v>
      </c>
      <c r="J4" s="129">
        <f ca="1">IFERROR(__xludf.DUMMYFUNCTION("""COMPUTED_VALUE"""),3000)</f>
        <v>3000</v>
      </c>
      <c r="K4" s="129">
        <f ca="1">IFERROR(__xludf.DUMMYFUNCTION("""COMPUTED_VALUE"""),0)</f>
        <v>0</v>
      </c>
      <c r="L4" s="131">
        <f ca="1">IFERROR(__xludf.DUMMYFUNCTION("""COMPUTED_VALUE"""),0)</f>
        <v>0</v>
      </c>
      <c r="M4" s="132">
        <f ca="1">IFERROR(__xludf.DUMMYFUNCTION("""COMPUTED_VALUE"""),0)</f>
        <v>0</v>
      </c>
      <c r="N4" s="133" t="str">
        <f ca="1">IFERROR(__xludf.DUMMYFUNCTION("""COMPUTED_VALUE"""),"80 UP PR STUDENT")</f>
        <v>80 UP PR STUDENT</v>
      </c>
      <c r="O4" s="134"/>
    </row>
    <row r="5" spans="1:15" s="135" customFormat="1" ht="14.3">
      <c r="A5" s="126" t="str">
        <f ca="1">IFERROR(__xludf.DUMMYFUNCTION("""COMPUTED_VALUE"""),"23SDSCE01007")</f>
        <v>23SDSCE01007</v>
      </c>
      <c r="B5" s="127" t="str">
        <f ca="1">IFERROR(__xludf.DUMMYFUNCTION("""COMPUTED_VALUE"""),"DANGARIYA RAJ KHIMJIBHAI")</f>
        <v>DANGARIYA RAJ KHIMJIBHAI</v>
      </c>
      <c r="C5" s="128" t="str">
        <f ca="1">IFERROR(__xludf.DUMMYFUNCTION("""COMPUTED_VALUE"""),"MYSY")</f>
        <v>MYSY</v>
      </c>
      <c r="D5" s="129">
        <f ca="1">IFERROR(__xludf.DUMMYFUNCTION("""COMPUTED_VALUE"""),27500)</f>
        <v>27500</v>
      </c>
      <c r="E5" s="129">
        <f ca="1">IFERROR(__xludf.DUMMYFUNCTION("""COMPUTED_VALUE"""),0)</f>
        <v>0</v>
      </c>
      <c r="F5" s="129">
        <f ca="1">IFERROR(__xludf.DUMMYFUNCTION("""COMPUTED_VALUE"""),0)</f>
        <v>0</v>
      </c>
      <c r="G5" s="129">
        <f ca="1">IFERROR(__xludf.DUMMYFUNCTION("""COMPUTED_VALUE"""),0)</f>
        <v>0</v>
      </c>
      <c r="H5" s="130">
        <f ca="1">IFERROR(__xludf.DUMMYFUNCTION("""COMPUTED_VALUE"""),27500)</f>
        <v>27500</v>
      </c>
      <c r="I5" s="129">
        <f ca="1">IFERROR(__xludf.DUMMYFUNCTION("""COMPUTED_VALUE"""),3000)</f>
        <v>3000</v>
      </c>
      <c r="J5" s="129">
        <f ca="1">IFERROR(__xludf.DUMMYFUNCTION("""COMPUTED_VALUE"""),3000)</f>
        <v>3000</v>
      </c>
      <c r="K5" s="129">
        <f ca="1">IFERROR(__xludf.DUMMYFUNCTION("""COMPUTED_VALUE"""),0)</f>
        <v>0</v>
      </c>
      <c r="L5" s="131">
        <f ca="1">IFERROR(__xludf.DUMMYFUNCTION("""COMPUTED_VALUE"""),0)</f>
        <v>0</v>
      </c>
      <c r="M5" s="132">
        <f ca="1">IFERROR(__xludf.DUMMYFUNCTION("""COMPUTED_VALUE"""),0)</f>
        <v>0</v>
      </c>
      <c r="N5" s="133"/>
      <c r="O5" s="134"/>
    </row>
    <row r="6" spans="1:15" s="135" customFormat="1" ht="14.3">
      <c r="A6" s="126" t="str">
        <f ca="1">IFERROR(__xludf.DUMMYFUNCTION("""COMPUTED_VALUE"""),"23SDSCE01008")</f>
        <v>23SDSCE01008</v>
      </c>
      <c r="B6" s="127" t="str">
        <f ca="1">IFERROR(__xludf.DUMMYFUNCTION("""COMPUTED_VALUE"""),"DAVDA ARYAN JAGDISHBHAI")</f>
        <v>DAVDA ARYAN JAGDISHBHAI</v>
      </c>
      <c r="C6" s="128" t="str">
        <f ca="1">IFERROR(__xludf.DUMMYFUNCTION("""COMPUTED_VALUE"""),"TFW")</f>
        <v>TFW</v>
      </c>
      <c r="D6" s="129">
        <f ca="1">IFERROR(__xludf.DUMMYFUNCTION("""COMPUTED_VALUE"""),27500)</f>
        <v>27500</v>
      </c>
      <c r="E6" s="129">
        <f ca="1">IFERROR(__xludf.DUMMYFUNCTION("""COMPUTED_VALUE"""),0)</f>
        <v>0</v>
      </c>
      <c r="F6" s="129">
        <f ca="1">IFERROR(__xludf.DUMMYFUNCTION("""COMPUTED_VALUE"""),0)</f>
        <v>0</v>
      </c>
      <c r="G6" s="129">
        <f ca="1">IFERROR(__xludf.DUMMYFUNCTION("""COMPUTED_VALUE"""),0)</f>
        <v>0</v>
      </c>
      <c r="H6" s="130">
        <f ca="1">IFERROR(__xludf.DUMMYFUNCTION("""COMPUTED_VALUE"""),27500)</f>
        <v>27500</v>
      </c>
      <c r="I6" s="129">
        <f ca="1">IFERROR(__xludf.DUMMYFUNCTION("""COMPUTED_VALUE"""),3000)</f>
        <v>3000</v>
      </c>
      <c r="J6" s="129">
        <f ca="1">IFERROR(__xludf.DUMMYFUNCTION("""COMPUTED_VALUE"""),3000)</f>
        <v>3000</v>
      </c>
      <c r="K6" s="129">
        <f ca="1">IFERROR(__xludf.DUMMYFUNCTION("""COMPUTED_VALUE"""),0)</f>
        <v>0</v>
      </c>
      <c r="L6" s="131">
        <f ca="1">IFERROR(__xludf.DUMMYFUNCTION("""COMPUTED_VALUE"""),0)</f>
        <v>0</v>
      </c>
      <c r="M6" s="132">
        <f ca="1">IFERROR(__xludf.DUMMYFUNCTION("""COMPUTED_VALUE"""),0)</f>
        <v>0</v>
      </c>
      <c r="N6" s="133"/>
      <c r="O6" s="134"/>
    </row>
    <row r="7" spans="1:15" s="135" customFormat="1" ht="14.3">
      <c r="A7" s="126" t="str">
        <f ca="1">IFERROR(__xludf.DUMMYFUNCTION("""COMPUTED_VALUE"""),"23SDSCE01009")</f>
        <v>23SDSCE01009</v>
      </c>
      <c r="B7" s="127" t="str">
        <f ca="1">IFERROR(__xludf.DUMMYFUNCTION("""COMPUTED_VALUE"""),"DUDAKIYA PARAM RAJESHBHAI")</f>
        <v>DUDAKIYA PARAM RAJESHBHAI</v>
      </c>
      <c r="C7" s="128" t="str">
        <f ca="1">IFERROR(__xludf.DUMMYFUNCTION("""COMPUTED_VALUE"""),"TFW")</f>
        <v>TFW</v>
      </c>
      <c r="D7" s="129">
        <f ca="1">IFERROR(__xludf.DUMMYFUNCTION("""COMPUTED_VALUE"""),27500)</f>
        <v>27500</v>
      </c>
      <c r="E7" s="129">
        <f ca="1">IFERROR(__xludf.DUMMYFUNCTION("""COMPUTED_VALUE"""),0)</f>
        <v>0</v>
      </c>
      <c r="F7" s="129">
        <f ca="1">IFERROR(__xludf.DUMMYFUNCTION("""COMPUTED_VALUE"""),0)</f>
        <v>0</v>
      </c>
      <c r="G7" s="129">
        <f ca="1">IFERROR(__xludf.DUMMYFUNCTION("""COMPUTED_VALUE"""),0)</f>
        <v>0</v>
      </c>
      <c r="H7" s="130">
        <f ca="1">IFERROR(__xludf.DUMMYFUNCTION("""COMPUTED_VALUE"""),27500)</f>
        <v>27500</v>
      </c>
      <c r="I7" s="129">
        <f ca="1">IFERROR(__xludf.DUMMYFUNCTION("""COMPUTED_VALUE"""),3000)</f>
        <v>3000</v>
      </c>
      <c r="J7" s="129">
        <f ca="1">IFERROR(__xludf.DUMMYFUNCTION("""COMPUTED_VALUE"""),3000)</f>
        <v>3000</v>
      </c>
      <c r="K7" s="129">
        <f ca="1">IFERROR(__xludf.DUMMYFUNCTION("""COMPUTED_VALUE"""),0)</f>
        <v>0</v>
      </c>
      <c r="L7" s="131">
        <f ca="1">IFERROR(__xludf.DUMMYFUNCTION("""COMPUTED_VALUE"""),0)</f>
        <v>0</v>
      </c>
      <c r="M7" s="132">
        <f ca="1">IFERROR(__xludf.DUMMYFUNCTION("""COMPUTED_VALUE"""),0)</f>
        <v>0</v>
      </c>
      <c r="N7" s="133"/>
      <c r="O7" s="134"/>
    </row>
    <row r="8" spans="1:15" ht="14.3">
      <c r="A8" s="18" t="str">
        <f ca="1">IFERROR(__xludf.DUMMYFUNCTION("""COMPUTED_VALUE"""),"23SDSCE01010")</f>
        <v>23SDSCE01010</v>
      </c>
      <c r="B8" s="19" t="str">
        <f ca="1">IFERROR(__xludf.DUMMYFUNCTION("""COMPUTED_VALUE"""),"DUDAKIYA PUJEN ANKITBHAI")</f>
        <v>DUDAKIYA PUJEN ANKITBHAI</v>
      </c>
      <c r="C8" s="20"/>
      <c r="D8" s="21">
        <f ca="1">IFERROR(__xludf.DUMMYFUNCTION("""COMPUTED_VALUE"""),27500)</f>
        <v>27500</v>
      </c>
      <c r="E8" s="21">
        <f ca="1">IFERROR(__xludf.DUMMYFUNCTION("""COMPUTED_VALUE"""),0)</f>
        <v>0</v>
      </c>
      <c r="F8" s="21">
        <f ca="1">IFERROR(__xludf.DUMMYFUNCTION("""COMPUTED_VALUE"""),0)</f>
        <v>0</v>
      </c>
      <c r="G8" s="21">
        <f ca="1">IFERROR(__xludf.DUMMYFUNCTION("""COMPUTED_VALUE"""),0)</f>
        <v>0</v>
      </c>
      <c r="H8" s="119">
        <f ca="1">IFERROR(__xludf.DUMMYFUNCTION("""COMPUTED_VALUE"""),27500)</f>
        <v>27500</v>
      </c>
      <c r="I8" s="21">
        <f ca="1">IFERROR(__xludf.DUMMYFUNCTION("""COMPUTED_VALUE"""),3000)</f>
        <v>3000</v>
      </c>
      <c r="J8" s="21">
        <f ca="1">IFERROR(__xludf.DUMMYFUNCTION("""COMPUTED_VALUE"""),3000)</f>
        <v>3000</v>
      </c>
      <c r="K8" s="21">
        <f ca="1">IFERROR(__xludf.DUMMYFUNCTION("""COMPUTED_VALUE"""),0)</f>
        <v>0</v>
      </c>
      <c r="L8" s="22">
        <f ca="1">IFERROR(__xludf.DUMMYFUNCTION("""COMPUTED_VALUE"""),0)</f>
        <v>0</v>
      </c>
      <c r="M8" s="124">
        <f ca="1">IFERROR(__xludf.DUMMYFUNCTION("""COMPUTED_VALUE"""),0)</f>
        <v>0</v>
      </c>
      <c r="N8" s="26"/>
      <c r="O8" s="27"/>
    </row>
    <row r="9" spans="1:15" ht="14.3">
      <c r="A9" s="18" t="str">
        <f ca="1">IFERROR(__xludf.DUMMYFUNCTION("""COMPUTED_VALUE"""),"23SDSCE01012")</f>
        <v>23SDSCE01012</v>
      </c>
      <c r="B9" s="19" t="str">
        <f ca="1">IFERROR(__xludf.DUMMYFUNCTION("""COMPUTED_VALUE"""),"HAPALIYA ARYAN RAMESHBHAI")</f>
        <v>HAPALIYA ARYAN RAMESHBHAI</v>
      </c>
      <c r="C9" s="20" t="str">
        <f ca="1">IFERROR(__xludf.DUMMYFUNCTION("""COMPUTED_VALUE"""),"MYSY")</f>
        <v>MYSY</v>
      </c>
      <c r="D9" s="21">
        <f ca="1">IFERROR(__xludf.DUMMYFUNCTION("""COMPUTED_VALUE"""),27500)</f>
        <v>27500</v>
      </c>
      <c r="E9" s="21">
        <f ca="1">IFERROR(__xludf.DUMMYFUNCTION("""COMPUTED_VALUE"""),0)</f>
        <v>0</v>
      </c>
      <c r="F9" s="21">
        <f ca="1">IFERROR(__xludf.DUMMYFUNCTION("""COMPUTED_VALUE"""),0)</f>
        <v>0</v>
      </c>
      <c r="G9" s="21">
        <f ca="1">IFERROR(__xludf.DUMMYFUNCTION("""COMPUTED_VALUE"""),0)</f>
        <v>0</v>
      </c>
      <c r="H9" s="119">
        <f ca="1">IFERROR(__xludf.DUMMYFUNCTION("""COMPUTED_VALUE"""),27500)</f>
        <v>27500</v>
      </c>
      <c r="I9" s="21">
        <f ca="1">IFERROR(__xludf.DUMMYFUNCTION("""COMPUTED_VALUE"""),3000)</f>
        <v>3000</v>
      </c>
      <c r="J9" s="21">
        <f ca="1">IFERROR(__xludf.DUMMYFUNCTION("""COMPUTED_VALUE"""),3000)</f>
        <v>3000</v>
      </c>
      <c r="K9" s="21">
        <f ca="1">IFERROR(__xludf.DUMMYFUNCTION("""COMPUTED_VALUE"""),0)</f>
        <v>0</v>
      </c>
      <c r="L9" s="22">
        <f ca="1">IFERROR(__xludf.DUMMYFUNCTION("""COMPUTED_VALUE"""),0)</f>
        <v>0</v>
      </c>
      <c r="M9" s="124">
        <f ca="1">IFERROR(__xludf.DUMMYFUNCTION("""COMPUTED_VALUE"""),0)</f>
        <v>0</v>
      </c>
      <c r="N9" s="26"/>
      <c r="O9" s="27"/>
    </row>
    <row r="10" spans="1:15" ht="14.3">
      <c r="A10" s="18" t="str">
        <f ca="1">IFERROR(__xludf.DUMMYFUNCTION("""COMPUTED_VALUE"""),"23SDSCE01013")</f>
        <v>23SDSCE01013</v>
      </c>
      <c r="B10" s="19" t="str">
        <f ca="1">IFERROR(__xludf.DUMMYFUNCTION("""COMPUTED_VALUE"""),"HARASODA SAKSHI SHAILESHBHAI")</f>
        <v>HARASODA SAKSHI SHAILESHBHAI</v>
      </c>
      <c r="C10" s="20" t="str">
        <f ca="1">IFERROR(__xludf.DUMMYFUNCTION("""COMPUTED_VALUE"""),"MYSY")</f>
        <v>MYSY</v>
      </c>
      <c r="D10" s="21">
        <f ca="1">IFERROR(__xludf.DUMMYFUNCTION("""COMPUTED_VALUE"""),27500)</f>
        <v>27500</v>
      </c>
      <c r="E10" s="21">
        <f ca="1">IFERROR(__xludf.DUMMYFUNCTION("""COMPUTED_VALUE"""),0)</f>
        <v>0</v>
      </c>
      <c r="F10" s="21">
        <f ca="1">IFERROR(__xludf.DUMMYFUNCTION("""COMPUTED_VALUE"""),0)</f>
        <v>0</v>
      </c>
      <c r="G10" s="21">
        <f ca="1">IFERROR(__xludf.DUMMYFUNCTION("""COMPUTED_VALUE"""),0)</f>
        <v>0</v>
      </c>
      <c r="H10" s="119">
        <f ca="1">IFERROR(__xludf.DUMMYFUNCTION("""COMPUTED_VALUE"""),27500)</f>
        <v>27500</v>
      </c>
      <c r="I10" s="21">
        <f ca="1">IFERROR(__xludf.DUMMYFUNCTION("""COMPUTED_VALUE"""),3000)</f>
        <v>3000</v>
      </c>
      <c r="J10" s="21">
        <f ca="1">IFERROR(__xludf.DUMMYFUNCTION("""COMPUTED_VALUE"""),3000)</f>
        <v>3000</v>
      </c>
      <c r="K10" s="21">
        <f ca="1">IFERROR(__xludf.DUMMYFUNCTION("""COMPUTED_VALUE"""),0)</f>
        <v>0</v>
      </c>
      <c r="L10" s="22">
        <f ca="1">IFERROR(__xludf.DUMMYFUNCTION("""COMPUTED_VALUE"""),0)</f>
        <v>0</v>
      </c>
      <c r="M10" s="124">
        <f ca="1">IFERROR(__xludf.DUMMYFUNCTION("""COMPUTED_VALUE"""),0)</f>
        <v>0</v>
      </c>
      <c r="N10" s="26" t="str">
        <f ca="1">IFERROR(__xludf.DUMMYFUNCTION("""COMPUTED_VALUE"""),"MYSY (25000/-)	KSPS ( 12500/- )")</f>
        <v>MYSY (25000/-)	KSPS ( 12500/- )</v>
      </c>
      <c r="O10" s="27"/>
    </row>
    <row r="11" spans="1:15" ht="14.3">
      <c r="A11" s="18" t="str">
        <f ca="1">IFERROR(__xludf.DUMMYFUNCTION("""COMPUTED_VALUE"""),"23SDSCE01014")</f>
        <v>23SDSCE01014</v>
      </c>
      <c r="B11" s="19" t="str">
        <f ca="1">IFERROR(__xludf.DUMMYFUNCTION("""COMPUTED_VALUE"""),"JADAV MAYUR GOVINDBHAI")</f>
        <v>JADAV MAYUR GOVINDBHAI</v>
      </c>
      <c r="C11" s="20" t="str">
        <f ca="1">IFERROR(__xludf.DUMMYFUNCTION("""COMPUTED_VALUE"""),"MYSY")</f>
        <v>MYSY</v>
      </c>
      <c r="D11" s="21">
        <f ca="1">IFERROR(__xludf.DUMMYFUNCTION("""COMPUTED_VALUE"""),27500)</f>
        <v>27500</v>
      </c>
      <c r="E11" s="21">
        <f ca="1">IFERROR(__xludf.DUMMYFUNCTION("""COMPUTED_VALUE"""),0)</f>
        <v>0</v>
      </c>
      <c r="F11" s="21">
        <f ca="1">IFERROR(__xludf.DUMMYFUNCTION("""COMPUTED_VALUE"""),0)</f>
        <v>0</v>
      </c>
      <c r="G11" s="21">
        <f ca="1">IFERROR(__xludf.DUMMYFUNCTION("""COMPUTED_VALUE"""),0)</f>
        <v>0</v>
      </c>
      <c r="H11" s="119">
        <f ca="1">IFERROR(__xludf.DUMMYFUNCTION("""COMPUTED_VALUE"""),27500)</f>
        <v>27500</v>
      </c>
      <c r="I11" s="21">
        <f ca="1">IFERROR(__xludf.DUMMYFUNCTION("""COMPUTED_VALUE"""),3000)</f>
        <v>3000</v>
      </c>
      <c r="J11" s="21">
        <f ca="1">IFERROR(__xludf.DUMMYFUNCTION("""COMPUTED_VALUE"""),0)</f>
        <v>0</v>
      </c>
      <c r="K11" s="21">
        <f ca="1">IFERROR(__xludf.DUMMYFUNCTION("""COMPUTED_VALUE"""),0)</f>
        <v>0</v>
      </c>
      <c r="L11" s="22">
        <f ca="1">IFERROR(__xludf.DUMMYFUNCTION("""COMPUTED_VALUE"""),0)</f>
        <v>0</v>
      </c>
      <c r="M11" s="124">
        <f ca="1">IFERROR(__xludf.DUMMYFUNCTION("""COMPUTED_VALUE"""),3000)</f>
        <v>3000</v>
      </c>
      <c r="N11" s="26" t="str">
        <f ca="1">IFERROR(__xludf.DUMMYFUNCTION("""COMPUTED_VALUE"""),"MYSY (25000/-)	KSPS ( 12500/- )")</f>
        <v>MYSY (25000/-)	KSPS ( 12500/- )</v>
      </c>
      <c r="O11" s="27"/>
    </row>
    <row r="12" spans="1:15" ht="14.3">
      <c r="A12" s="18" t="str">
        <f ca="1">IFERROR(__xludf.DUMMYFUNCTION("""COMPUTED_VALUE"""),"23SDSCE01018")</f>
        <v>23SDSCE01018</v>
      </c>
      <c r="B12" s="19" t="str">
        <f ca="1">IFERROR(__xludf.DUMMYFUNCTION("""COMPUTED_VALUE"""),"MADLANI KALASH BHARATBHAI")</f>
        <v>MADLANI KALASH BHARATBHAI</v>
      </c>
      <c r="C12" s="20"/>
      <c r="D12" s="21">
        <f ca="1">IFERROR(__xludf.DUMMYFUNCTION("""COMPUTED_VALUE"""),27500)</f>
        <v>27500</v>
      </c>
      <c r="E12" s="21">
        <f ca="1">IFERROR(__xludf.DUMMYFUNCTION("""COMPUTED_VALUE"""),0)</f>
        <v>0</v>
      </c>
      <c r="F12" s="21">
        <f ca="1">IFERROR(__xludf.DUMMYFUNCTION("""COMPUTED_VALUE"""),0)</f>
        <v>0</v>
      </c>
      <c r="G12" s="21">
        <f ca="1">IFERROR(__xludf.DUMMYFUNCTION("""COMPUTED_VALUE"""),0)</f>
        <v>0</v>
      </c>
      <c r="H12" s="119">
        <f ca="1">IFERROR(__xludf.DUMMYFUNCTION("""COMPUTED_VALUE"""),27500)</f>
        <v>27500</v>
      </c>
      <c r="I12" s="21">
        <f ca="1">IFERROR(__xludf.DUMMYFUNCTION("""COMPUTED_VALUE"""),3000)</f>
        <v>3000</v>
      </c>
      <c r="J12" s="21">
        <f ca="1">IFERROR(__xludf.DUMMYFUNCTION("""COMPUTED_VALUE"""),0)</f>
        <v>0</v>
      </c>
      <c r="K12" s="21">
        <f ca="1">IFERROR(__xludf.DUMMYFUNCTION("""COMPUTED_VALUE"""),0)</f>
        <v>0</v>
      </c>
      <c r="L12" s="22">
        <f ca="1">IFERROR(__xludf.DUMMYFUNCTION("""COMPUTED_VALUE"""),0)</f>
        <v>0</v>
      </c>
      <c r="M12" s="124">
        <f ca="1">IFERROR(__xludf.DUMMYFUNCTION("""COMPUTED_VALUE"""),3000)</f>
        <v>3000</v>
      </c>
      <c r="N12" s="26"/>
      <c r="O12" s="27"/>
    </row>
    <row r="13" spans="1:15" ht="14.3">
      <c r="A13" s="18"/>
      <c r="B13" s="19"/>
      <c r="C13" s="20"/>
      <c r="D13" s="21"/>
      <c r="E13" s="21"/>
      <c r="F13" s="21"/>
      <c r="G13" s="21"/>
      <c r="H13" s="119"/>
      <c r="I13" s="21"/>
      <c r="J13" s="21"/>
      <c r="K13" s="21"/>
      <c r="L13" s="22"/>
      <c r="M13" s="124"/>
      <c r="N13" s="26"/>
      <c r="O13" s="27"/>
    </row>
    <row r="14" spans="1:15" ht="14.3">
      <c r="A14" s="18" t="str">
        <f ca="1">IFERROR(__xludf.DUMMYFUNCTION("""COMPUTED_VALUE"""),"23SDSCE01021")</f>
        <v>23SDSCE01021</v>
      </c>
      <c r="B14" s="19" t="str">
        <f ca="1">IFERROR(__xludf.DUMMYFUNCTION("""COMPUTED_VALUE"""),"NASIT KASHISH UMESHBHAI")</f>
        <v>NASIT KASHISH UMESHBHAI</v>
      </c>
      <c r="C14" s="20" t="str">
        <f ca="1">IFERROR(__xludf.DUMMYFUNCTION("""COMPUTED_VALUE"""),"MYSY")</f>
        <v>MYSY</v>
      </c>
      <c r="D14" s="21">
        <f ca="1">IFERROR(__xludf.DUMMYFUNCTION("""COMPUTED_VALUE"""),27500)</f>
        <v>27500</v>
      </c>
      <c r="E14" s="21">
        <f ca="1">IFERROR(__xludf.DUMMYFUNCTION("""COMPUTED_VALUE"""),0)</f>
        <v>0</v>
      </c>
      <c r="F14" s="21">
        <f ca="1">IFERROR(__xludf.DUMMYFUNCTION("""COMPUTED_VALUE"""),0)</f>
        <v>0</v>
      </c>
      <c r="G14" s="21">
        <f ca="1">IFERROR(__xludf.DUMMYFUNCTION("""COMPUTED_VALUE"""),0)</f>
        <v>0</v>
      </c>
      <c r="H14" s="119">
        <f ca="1">IFERROR(__xludf.DUMMYFUNCTION("""COMPUTED_VALUE"""),27500)</f>
        <v>27500</v>
      </c>
      <c r="I14" s="21">
        <f ca="1">IFERROR(__xludf.DUMMYFUNCTION("""COMPUTED_VALUE"""),3000)</f>
        <v>3000</v>
      </c>
      <c r="J14" s="21">
        <f ca="1">IFERROR(__xludf.DUMMYFUNCTION("""COMPUTED_VALUE"""),3000)</f>
        <v>3000</v>
      </c>
      <c r="K14" s="21">
        <f ca="1">IFERROR(__xludf.DUMMYFUNCTION("""COMPUTED_VALUE"""),0)</f>
        <v>0</v>
      </c>
      <c r="L14" s="29">
        <f ca="1">IFERROR(__xludf.DUMMYFUNCTION("""COMPUTED_VALUE"""),0)</f>
        <v>0</v>
      </c>
      <c r="M14" s="124">
        <f ca="1">IFERROR(__xludf.DUMMYFUNCTION("""COMPUTED_VALUE"""),0)</f>
        <v>0</v>
      </c>
      <c r="N14" s="26" t="str">
        <f ca="1">IFERROR(__xludf.DUMMYFUNCTION("""COMPUTED_VALUE"""),"MYSY (25000/-)")</f>
        <v>MYSY (25000/-)</v>
      </c>
      <c r="O14" s="27"/>
    </row>
    <row r="15" spans="1:15" ht="14.3">
      <c r="A15" s="18"/>
      <c r="B15" s="19"/>
      <c r="C15" s="20"/>
      <c r="D15" s="21"/>
      <c r="E15" s="21"/>
      <c r="F15" s="21"/>
      <c r="G15" s="21"/>
      <c r="H15" s="119"/>
      <c r="I15" s="21"/>
      <c r="J15" s="21"/>
      <c r="K15" s="21"/>
      <c r="L15" s="30"/>
      <c r="M15" s="124"/>
      <c r="N15" s="26"/>
      <c r="O15" s="27"/>
    </row>
    <row r="16" spans="1:15" ht="14.3">
      <c r="A16" s="18"/>
      <c r="B16" s="19"/>
      <c r="C16" s="20"/>
      <c r="D16" s="21"/>
      <c r="E16" s="21"/>
      <c r="F16" s="21"/>
      <c r="G16" s="21"/>
      <c r="H16" s="119"/>
      <c r="I16" s="21"/>
      <c r="J16" s="21"/>
      <c r="K16" s="21"/>
      <c r="L16" s="22"/>
      <c r="M16" s="124"/>
      <c r="N16" s="26"/>
      <c r="O16" s="27"/>
    </row>
    <row r="17" spans="1:15" ht="14.3">
      <c r="A17" s="18" t="str">
        <f ca="1">IFERROR(__xludf.DUMMYFUNCTION("""COMPUTED_VALUE"""),"23SDSCE01024")</f>
        <v>23SDSCE01024</v>
      </c>
      <c r="B17" s="19" t="str">
        <f ca="1">IFERROR(__xludf.DUMMYFUNCTION("""COMPUTED_VALUE"""),"PARMAR HIREN PRAVINBHAI")</f>
        <v>PARMAR HIREN PRAVINBHAI</v>
      </c>
      <c r="C17" s="20"/>
      <c r="D17" s="21">
        <f ca="1">IFERROR(__xludf.DUMMYFUNCTION("""COMPUTED_VALUE"""),27500)</f>
        <v>27500</v>
      </c>
      <c r="E17" s="21">
        <f ca="1">IFERROR(__xludf.DUMMYFUNCTION("""COMPUTED_VALUE"""),0)</f>
        <v>0</v>
      </c>
      <c r="F17" s="21">
        <f ca="1">IFERROR(__xludf.DUMMYFUNCTION("""COMPUTED_VALUE"""),0)</f>
        <v>0</v>
      </c>
      <c r="G17" s="21">
        <f ca="1">IFERROR(__xludf.DUMMYFUNCTION("""COMPUTED_VALUE"""),0)</f>
        <v>0</v>
      </c>
      <c r="H17" s="119">
        <f ca="1">IFERROR(__xludf.DUMMYFUNCTION("""COMPUTED_VALUE"""),27500)</f>
        <v>27500</v>
      </c>
      <c r="I17" s="21">
        <f ca="1">IFERROR(__xludf.DUMMYFUNCTION("""COMPUTED_VALUE"""),3000)</f>
        <v>3000</v>
      </c>
      <c r="J17" s="21">
        <f ca="1">IFERROR(__xludf.DUMMYFUNCTION("""COMPUTED_VALUE"""),0)</f>
        <v>0</v>
      </c>
      <c r="K17" s="21">
        <f ca="1">IFERROR(__xludf.DUMMYFUNCTION("""COMPUTED_VALUE"""),0)</f>
        <v>0</v>
      </c>
      <c r="L17" s="22">
        <f ca="1">IFERROR(__xludf.DUMMYFUNCTION("""COMPUTED_VALUE"""),0)</f>
        <v>0</v>
      </c>
      <c r="M17" s="124">
        <f ca="1">IFERROR(__xludf.DUMMYFUNCTION("""COMPUTED_VALUE"""),3000)</f>
        <v>3000</v>
      </c>
      <c r="N17" s="26"/>
      <c r="O17" s="27"/>
    </row>
    <row r="18" spans="1:15" ht="14.3">
      <c r="A18" s="18"/>
      <c r="B18" s="19"/>
      <c r="C18" s="20"/>
      <c r="D18" s="21"/>
      <c r="E18" s="21"/>
      <c r="F18" s="21"/>
      <c r="G18" s="21"/>
      <c r="H18" s="119"/>
      <c r="I18" s="21"/>
      <c r="J18" s="21"/>
      <c r="K18" s="21"/>
      <c r="L18" s="22"/>
      <c r="M18" s="124"/>
      <c r="N18" s="26"/>
      <c r="O18" s="27"/>
    </row>
    <row r="19" spans="1:15" ht="14.3">
      <c r="A19" s="18" t="str">
        <f ca="1">IFERROR(__xludf.DUMMYFUNCTION("""COMPUTED_VALUE"""),"23SDSCE01026")</f>
        <v>23SDSCE01026</v>
      </c>
      <c r="B19" s="19" t="str">
        <f ca="1">IFERROR(__xludf.DUMMYFUNCTION("""COMPUTED_VALUE"""),"RANK RUSHIT PRAVINBHAI")</f>
        <v>RANK RUSHIT PRAVINBHAI</v>
      </c>
      <c r="C19" s="20" t="str">
        <f ca="1">IFERROR(__xludf.DUMMYFUNCTION("""COMPUTED_VALUE"""),"MYSY")</f>
        <v>MYSY</v>
      </c>
      <c r="D19" s="21">
        <f ca="1">IFERROR(__xludf.DUMMYFUNCTION("""COMPUTED_VALUE"""),27500)</f>
        <v>27500</v>
      </c>
      <c r="E19" s="21">
        <f ca="1">IFERROR(__xludf.DUMMYFUNCTION("""COMPUTED_VALUE"""),0)</f>
        <v>0</v>
      </c>
      <c r="F19" s="21">
        <f ca="1">IFERROR(__xludf.DUMMYFUNCTION("""COMPUTED_VALUE"""),0)</f>
        <v>0</v>
      </c>
      <c r="G19" s="21">
        <f ca="1">IFERROR(__xludf.DUMMYFUNCTION("""COMPUTED_VALUE"""),0)</f>
        <v>0</v>
      </c>
      <c r="H19" s="119">
        <f ca="1">IFERROR(__xludf.DUMMYFUNCTION("""COMPUTED_VALUE"""),27500)</f>
        <v>27500</v>
      </c>
      <c r="I19" s="21">
        <f ca="1">IFERROR(__xludf.DUMMYFUNCTION("""COMPUTED_VALUE"""),3000)</f>
        <v>3000</v>
      </c>
      <c r="J19" s="21">
        <f ca="1">IFERROR(__xludf.DUMMYFUNCTION("""COMPUTED_VALUE"""),3000)</f>
        <v>3000</v>
      </c>
      <c r="K19" s="21">
        <f ca="1">IFERROR(__xludf.DUMMYFUNCTION("""COMPUTED_VALUE"""),0)</f>
        <v>0</v>
      </c>
      <c r="L19" s="11">
        <f ca="1">IFERROR(__xludf.DUMMYFUNCTION("""COMPUTED_VALUE"""),0)</f>
        <v>0</v>
      </c>
      <c r="M19" s="124">
        <f ca="1">IFERROR(__xludf.DUMMYFUNCTION("""COMPUTED_VALUE"""),0)</f>
        <v>0</v>
      </c>
      <c r="N19" s="26" t="str">
        <f ca="1">IFERROR(__xludf.DUMMYFUNCTION("""COMPUTED_VALUE"""),"MYSY (25000/-)	KSPS ( 12500/- )")</f>
        <v>MYSY (25000/-)	KSPS ( 12500/- )</v>
      </c>
      <c r="O19" s="27"/>
    </row>
    <row r="20" spans="1:15" ht="14.3">
      <c r="A20" s="31" t="str">
        <f ca="1">IFERROR(__xludf.DUMMYFUNCTION("""COMPUTED_VALUE"""),"23SDSCE01030")</f>
        <v>23SDSCE01030</v>
      </c>
      <c r="B20" s="32" t="str">
        <f ca="1">IFERROR(__xludf.DUMMYFUNCTION("""COMPUTED_VALUE"""),"SIROYA HET BIPINBHAI")</f>
        <v>SIROYA HET BIPINBHAI</v>
      </c>
      <c r="C20" s="20"/>
      <c r="D20" s="21">
        <f ca="1">IFERROR(__xludf.DUMMYFUNCTION("""COMPUTED_VALUE"""),27500)</f>
        <v>27500</v>
      </c>
      <c r="E20" s="21">
        <f ca="1">IFERROR(__xludf.DUMMYFUNCTION("""COMPUTED_VALUE"""),5000)</f>
        <v>5000</v>
      </c>
      <c r="F20" s="21">
        <f ca="1">IFERROR(__xludf.DUMMYFUNCTION("""COMPUTED_VALUE"""),0)</f>
        <v>0</v>
      </c>
      <c r="G20" s="21">
        <f ca="1">IFERROR(__xludf.DUMMYFUNCTION("""COMPUTED_VALUE"""),0)</f>
        <v>0</v>
      </c>
      <c r="H20" s="119">
        <f ca="1">IFERROR(__xludf.DUMMYFUNCTION("""COMPUTED_VALUE"""),22500)</f>
        <v>22500</v>
      </c>
      <c r="I20" s="21">
        <f ca="1">IFERROR(__xludf.DUMMYFUNCTION("""COMPUTED_VALUE"""),3000)</f>
        <v>3000</v>
      </c>
      <c r="J20" s="21">
        <f ca="1">IFERROR(__xludf.DUMMYFUNCTION("""COMPUTED_VALUE"""),3000)</f>
        <v>3000</v>
      </c>
      <c r="K20" s="21">
        <f ca="1">IFERROR(__xludf.DUMMYFUNCTION("""COMPUTED_VALUE"""),0)</f>
        <v>0</v>
      </c>
      <c r="L20" s="11">
        <f ca="1">IFERROR(__xludf.DUMMYFUNCTION("""COMPUTED_VALUE"""),0)</f>
        <v>0</v>
      </c>
      <c r="M20" s="124">
        <f ca="1">IFERROR(__xludf.DUMMYFUNCTION("""COMPUTED_VALUE"""),0)</f>
        <v>0</v>
      </c>
      <c r="N20" s="26"/>
      <c r="O20" s="27"/>
    </row>
    <row r="21" spans="1:15" ht="14.3">
      <c r="A21" s="31" t="str">
        <f ca="1">IFERROR(__xludf.DUMMYFUNCTION("""COMPUTED_VALUE"""),"23SDSCE01032")</f>
        <v>23SDSCE01032</v>
      </c>
      <c r="B21" s="32" t="str">
        <f ca="1">IFERROR(__xludf.DUMMYFUNCTION("""COMPUTED_VALUE"""),"SORATHIYA HETVI VIPULBHAI")</f>
        <v>SORATHIYA HETVI VIPULBHAI</v>
      </c>
      <c r="C21" s="20"/>
      <c r="D21" s="21">
        <f ca="1">IFERROR(__xludf.DUMMYFUNCTION("""COMPUTED_VALUE"""),27500)</f>
        <v>27500</v>
      </c>
      <c r="E21" s="21">
        <f ca="1">IFERROR(__xludf.DUMMYFUNCTION("""COMPUTED_VALUE"""),0)</f>
        <v>0</v>
      </c>
      <c r="F21" s="21">
        <f ca="1">IFERROR(__xludf.DUMMYFUNCTION("""COMPUTED_VALUE"""),0)</f>
        <v>0</v>
      </c>
      <c r="G21" s="21">
        <f ca="1">IFERROR(__xludf.DUMMYFUNCTION("""COMPUTED_VALUE"""),0)</f>
        <v>0</v>
      </c>
      <c r="H21" s="119">
        <f ca="1">IFERROR(__xludf.DUMMYFUNCTION("""COMPUTED_VALUE"""),27500)</f>
        <v>27500</v>
      </c>
      <c r="I21" s="21">
        <f ca="1">IFERROR(__xludf.DUMMYFUNCTION("""COMPUTED_VALUE"""),3000)</f>
        <v>3000</v>
      </c>
      <c r="J21" s="21">
        <f ca="1">IFERROR(__xludf.DUMMYFUNCTION("""COMPUTED_VALUE"""),3000)</f>
        <v>3000</v>
      </c>
      <c r="K21" s="21">
        <f ca="1">IFERROR(__xludf.DUMMYFUNCTION("""COMPUTED_VALUE"""),0)</f>
        <v>0</v>
      </c>
      <c r="L21" s="29">
        <f ca="1">IFERROR(__xludf.DUMMYFUNCTION("""COMPUTED_VALUE"""),0)</f>
        <v>0</v>
      </c>
      <c r="M21" s="124">
        <f ca="1">IFERROR(__xludf.DUMMYFUNCTION("""COMPUTED_VALUE"""),0)</f>
        <v>0</v>
      </c>
      <c r="N21" s="26"/>
      <c r="O21" s="27"/>
    </row>
    <row r="22" spans="1:15" ht="14.3">
      <c r="A22" s="31" t="str">
        <f ca="1">IFERROR(__xludf.DUMMYFUNCTION("""COMPUTED_VALUE"""),"23SDSCE01033")</f>
        <v>23SDSCE01033</v>
      </c>
      <c r="B22" s="32" t="str">
        <f ca="1">IFERROR(__xludf.DUMMYFUNCTION("""COMPUTED_VALUE"""),"TANK YASHVI SHAILESHBHAI")</f>
        <v>TANK YASHVI SHAILESHBHAI</v>
      </c>
      <c r="C22" s="20"/>
      <c r="D22" s="21">
        <f ca="1">IFERROR(__xludf.DUMMYFUNCTION("""COMPUTED_VALUE"""),27500)</f>
        <v>27500</v>
      </c>
      <c r="E22" s="21">
        <f ca="1">IFERROR(__xludf.DUMMYFUNCTION("""COMPUTED_VALUE"""),0)</f>
        <v>0</v>
      </c>
      <c r="F22" s="21">
        <f ca="1">IFERROR(__xludf.DUMMYFUNCTION("""COMPUTED_VALUE"""),0)</f>
        <v>0</v>
      </c>
      <c r="G22" s="21">
        <f ca="1">IFERROR(__xludf.DUMMYFUNCTION("""COMPUTED_VALUE"""),0)</f>
        <v>0</v>
      </c>
      <c r="H22" s="119">
        <f ca="1">IFERROR(__xludf.DUMMYFUNCTION("""COMPUTED_VALUE"""),27500)</f>
        <v>27500</v>
      </c>
      <c r="I22" s="21">
        <f ca="1">IFERROR(__xludf.DUMMYFUNCTION("""COMPUTED_VALUE"""),3000)</f>
        <v>3000</v>
      </c>
      <c r="J22" s="21">
        <f ca="1">IFERROR(__xludf.DUMMYFUNCTION("""COMPUTED_VALUE"""),3000)</f>
        <v>3000</v>
      </c>
      <c r="K22" s="21">
        <f ca="1">IFERROR(__xludf.DUMMYFUNCTION("""COMPUTED_VALUE"""),0)</f>
        <v>0</v>
      </c>
      <c r="L22" s="11">
        <f ca="1">IFERROR(__xludf.DUMMYFUNCTION("""COMPUTED_VALUE"""),0)</f>
        <v>0</v>
      </c>
      <c r="M22" s="124">
        <f ca="1">IFERROR(__xludf.DUMMYFUNCTION("""COMPUTED_VALUE"""),0)</f>
        <v>0</v>
      </c>
      <c r="N22" s="26"/>
      <c r="O22" s="27"/>
    </row>
    <row r="23" spans="1:15" ht="14.3">
      <c r="A23" s="31" t="str">
        <f ca="1">IFERROR(__xludf.DUMMYFUNCTION("""COMPUTED_VALUE"""),"23SDSCE01037")</f>
        <v>23SDSCE01037</v>
      </c>
      <c r="B23" s="32" t="str">
        <f ca="1">IFERROR(__xludf.DUMMYFUNCTION("""COMPUTED_VALUE"""),"VADGAMA PAVAN")</f>
        <v>VADGAMA PAVAN</v>
      </c>
      <c r="C23" s="20"/>
      <c r="D23" s="21">
        <f ca="1">IFERROR(__xludf.DUMMYFUNCTION("""COMPUTED_VALUE"""),27500)</f>
        <v>27500</v>
      </c>
      <c r="E23" s="21">
        <f ca="1">IFERROR(__xludf.DUMMYFUNCTION("""COMPUTED_VALUE"""),0)</f>
        <v>0</v>
      </c>
      <c r="F23" s="21">
        <f ca="1">IFERROR(__xludf.DUMMYFUNCTION("""COMPUTED_VALUE"""),0)</f>
        <v>0</v>
      </c>
      <c r="G23" s="21">
        <f ca="1">IFERROR(__xludf.DUMMYFUNCTION("""COMPUTED_VALUE"""),0)</f>
        <v>0</v>
      </c>
      <c r="H23" s="119">
        <f ca="1">IFERROR(__xludf.DUMMYFUNCTION("""COMPUTED_VALUE"""),27500)</f>
        <v>27500</v>
      </c>
      <c r="I23" s="21">
        <f ca="1">IFERROR(__xludf.DUMMYFUNCTION("""COMPUTED_VALUE"""),3000)</f>
        <v>3000</v>
      </c>
      <c r="J23" s="21">
        <f ca="1">IFERROR(__xludf.DUMMYFUNCTION("""COMPUTED_VALUE"""),0)</f>
        <v>0</v>
      </c>
      <c r="K23" s="21">
        <f ca="1">IFERROR(__xludf.DUMMYFUNCTION("""COMPUTED_VALUE"""),0)</f>
        <v>0</v>
      </c>
      <c r="L23" s="11">
        <f ca="1">IFERROR(__xludf.DUMMYFUNCTION("""COMPUTED_VALUE"""),0)</f>
        <v>0</v>
      </c>
      <c r="M23" s="124">
        <f ca="1">IFERROR(__xludf.DUMMYFUNCTION("""COMPUTED_VALUE"""),3000)</f>
        <v>3000</v>
      </c>
      <c r="N23" s="26"/>
      <c r="O23" s="27"/>
    </row>
    <row r="24" spans="1:15" ht="14.3">
      <c r="A24" s="31" t="str">
        <f ca="1">IFERROR(__xludf.DUMMYFUNCTION("""COMPUTED_VALUE"""),"23SDSCE01153")</f>
        <v>23SDSCE01153</v>
      </c>
      <c r="B24" s="32" t="str">
        <f ca="1">IFERROR(__xludf.DUMMYFUNCTION("""COMPUTED_VALUE"""),"ANTALA PRIYAL JAYANTIBHAI")</f>
        <v>ANTALA PRIYAL JAYANTIBHAI</v>
      </c>
      <c r="C24" s="20" t="str">
        <f ca="1">IFERROR(__xludf.DUMMYFUNCTION("""COMPUTED_VALUE"""),"MYSY")</f>
        <v>MYSY</v>
      </c>
      <c r="D24" s="21">
        <f ca="1">IFERROR(__xludf.DUMMYFUNCTION("""COMPUTED_VALUE"""),27500)</f>
        <v>27500</v>
      </c>
      <c r="E24" s="21">
        <f ca="1">IFERROR(__xludf.DUMMYFUNCTION("""COMPUTED_VALUE"""),0)</f>
        <v>0</v>
      </c>
      <c r="F24" s="21">
        <f ca="1">IFERROR(__xludf.DUMMYFUNCTION("""COMPUTED_VALUE"""),27500)</f>
        <v>27500</v>
      </c>
      <c r="G24" s="21">
        <f ca="1">IFERROR(__xludf.DUMMYFUNCTION("""COMPUTED_VALUE"""),0)</f>
        <v>0</v>
      </c>
      <c r="H24" s="119">
        <f ca="1">IFERROR(__xludf.DUMMYFUNCTION("""COMPUTED_VALUE"""),27500)</f>
        <v>27500</v>
      </c>
      <c r="I24" s="21">
        <f ca="1">IFERROR(__xludf.DUMMYFUNCTION("""COMPUTED_VALUE"""),3000)</f>
        <v>3000</v>
      </c>
      <c r="J24" s="21">
        <f ca="1">IFERROR(__xludf.DUMMYFUNCTION("""COMPUTED_VALUE"""),3000)</f>
        <v>3000</v>
      </c>
      <c r="K24" s="21">
        <f ca="1">IFERROR(__xludf.DUMMYFUNCTION("""COMPUTED_VALUE"""),0)</f>
        <v>0</v>
      </c>
      <c r="L24" s="11">
        <f ca="1">IFERROR(__xludf.DUMMYFUNCTION("""COMPUTED_VALUE"""),0)</f>
        <v>0</v>
      </c>
      <c r="M24" s="124">
        <f ca="1">IFERROR(__xludf.DUMMYFUNCTION("""COMPUTED_VALUE"""),0)</f>
        <v>0</v>
      </c>
      <c r="N24" s="26" t="str">
        <f ca="1">IFERROR(__xludf.DUMMYFUNCTION("""COMPUTED_VALUE"""),"MYSY 25000")</f>
        <v>MYSY 25000</v>
      </c>
      <c r="O24" s="27"/>
    </row>
    <row r="25" spans="1:15" ht="14.3">
      <c r="A25" s="31" t="str">
        <f ca="1">IFERROR(__xludf.DUMMYFUNCTION("""COMPUTED_VALUE"""),"23SDSCE01163")</f>
        <v>23SDSCE01163</v>
      </c>
      <c r="B25" s="32" t="str">
        <f ca="1">IFERROR(__xludf.DUMMYFUNCTION("""COMPUTED_VALUE"""),"NIMAVAT ABHISHEK HARESHBHAI")</f>
        <v>NIMAVAT ABHISHEK HARESHBHAI</v>
      </c>
      <c r="C25" s="20" t="str">
        <f ca="1">IFERROR(__xludf.DUMMYFUNCTION("""COMPUTED_VALUE"""),"MYSY")</f>
        <v>MYSY</v>
      </c>
      <c r="D25" s="21">
        <f ca="1">IFERROR(__xludf.DUMMYFUNCTION("""COMPUTED_VALUE"""),27500)</f>
        <v>27500</v>
      </c>
      <c r="E25" s="21">
        <f ca="1">IFERROR(__xludf.DUMMYFUNCTION("""COMPUTED_VALUE"""),0)</f>
        <v>0</v>
      </c>
      <c r="F25" s="21">
        <f ca="1">IFERROR(__xludf.DUMMYFUNCTION("""COMPUTED_VALUE"""),0)</f>
        <v>0</v>
      </c>
      <c r="G25" s="21">
        <f ca="1">IFERROR(__xludf.DUMMYFUNCTION("""COMPUTED_VALUE"""),0)</f>
        <v>0</v>
      </c>
      <c r="H25" s="119">
        <f ca="1">IFERROR(__xludf.DUMMYFUNCTION("""COMPUTED_VALUE"""),27500)</f>
        <v>27500</v>
      </c>
      <c r="I25" s="21">
        <f ca="1">IFERROR(__xludf.DUMMYFUNCTION("""COMPUTED_VALUE"""),3000)</f>
        <v>3000</v>
      </c>
      <c r="J25" s="21">
        <f ca="1">IFERROR(__xludf.DUMMYFUNCTION("""COMPUTED_VALUE"""),3000)</f>
        <v>3000</v>
      </c>
      <c r="K25" s="21">
        <f ca="1">IFERROR(__xludf.DUMMYFUNCTION("""COMPUTED_VALUE"""),0)</f>
        <v>0</v>
      </c>
      <c r="L25" s="11">
        <f ca="1">IFERROR(__xludf.DUMMYFUNCTION("""COMPUTED_VALUE"""),0)</f>
        <v>0</v>
      </c>
      <c r="M25" s="124">
        <f ca="1">IFERROR(__xludf.DUMMYFUNCTION("""COMPUTED_VALUE"""),0)</f>
        <v>0</v>
      </c>
      <c r="N25" s="26" t="str">
        <f ca="1">IFERROR(__xludf.DUMMYFUNCTION("""COMPUTED_VALUE"""),"MYSY (25000/-)	KSPS ( 12500/- )")</f>
        <v>MYSY (25000/-)	KSPS ( 12500/- )</v>
      </c>
      <c r="O25" s="27"/>
    </row>
    <row r="26" spans="1:15" ht="14.3">
      <c r="A26" s="31" t="str">
        <f ca="1">IFERROR(__xludf.DUMMYFUNCTION("""COMPUTED_VALUE"""),"23SDSCE01164")</f>
        <v>23SDSCE01164</v>
      </c>
      <c r="B26" s="32" t="str">
        <f ca="1">IFERROR(__xludf.DUMMYFUNCTION("""COMPUTED_VALUE"""),"PADIYA BHAKTI NAYANBHAI")</f>
        <v>PADIYA BHAKTI NAYANBHAI</v>
      </c>
      <c r="C26" s="20"/>
      <c r="D26" s="21">
        <f ca="1">IFERROR(__xludf.DUMMYFUNCTION("""COMPUTED_VALUE"""),27500)</f>
        <v>27500</v>
      </c>
      <c r="E26" s="21">
        <f ca="1">IFERROR(__xludf.DUMMYFUNCTION("""COMPUTED_VALUE"""),0)</f>
        <v>0</v>
      </c>
      <c r="F26" s="21">
        <f ca="1">IFERROR(__xludf.DUMMYFUNCTION("""COMPUTED_VALUE"""),27500)</f>
        <v>27500</v>
      </c>
      <c r="G26" s="21">
        <f ca="1">IFERROR(__xludf.DUMMYFUNCTION("""COMPUTED_VALUE"""),0)</f>
        <v>0</v>
      </c>
      <c r="H26" s="119">
        <f ca="1">IFERROR(__xludf.DUMMYFUNCTION("""COMPUTED_VALUE"""),27500)</f>
        <v>27500</v>
      </c>
      <c r="I26" s="21">
        <f ca="1">IFERROR(__xludf.DUMMYFUNCTION("""COMPUTED_VALUE"""),3000)</f>
        <v>3000</v>
      </c>
      <c r="J26" s="21">
        <f ca="1">IFERROR(__xludf.DUMMYFUNCTION("""COMPUTED_VALUE"""),0)</f>
        <v>0</v>
      </c>
      <c r="K26" s="21">
        <f ca="1">IFERROR(__xludf.DUMMYFUNCTION("""COMPUTED_VALUE"""),3000)</f>
        <v>3000</v>
      </c>
      <c r="L26" s="11">
        <f ca="1">IFERROR(__xludf.DUMMYFUNCTION("""COMPUTED_VALUE"""),0)</f>
        <v>0</v>
      </c>
      <c r="M26" s="124">
        <f ca="1">IFERROR(__xludf.DUMMYFUNCTION("""COMPUTED_VALUE"""),3000)</f>
        <v>3000</v>
      </c>
      <c r="N26" s="26"/>
      <c r="O26" s="27"/>
    </row>
    <row r="27" spans="1:15" ht="14.3">
      <c r="A27" s="18" t="str">
        <f ca="1">IFERROR(__xludf.DUMMYFUNCTION("""COMPUTED_VALUE"""),"23SDSCE01167")</f>
        <v>23SDSCE01167</v>
      </c>
      <c r="B27" s="19" t="str">
        <f ca="1">IFERROR(__xludf.DUMMYFUNCTION("""COMPUTED_VALUE"""),"SIDDIQUI MOHAMMAD ARIFBHAI")</f>
        <v>SIDDIQUI MOHAMMAD ARIFBHAI</v>
      </c>
      <c r="C27" s="20"/>
      <c r="D27" s="21">
        <f ca="1">IFERROR(__xludf.DUMMYFUNCTION("""COMPUTED_VALUE"""),27500)</f>
        <v>27500</v>
      </c>
      <c r="E27" s="21">
        <f ca="1">IFERROR(__xludf.DUMMYFUNCTION("""COMPUTED_VALUE"""),0)</f>
        <v>0</v>
      </c>
      <c r="F27" s="21">
        <f ca="1">IFERROR(__xludf.DUMMYFUNCTION("""COMPUTED_VALUE"""),0)</f>
        <v>0</v>
      </c>
      <c r="G27" s="23">
        <f ca="1">IFERROR(__xludf.DUMMYFUNCTION("""COMPUTED_VALUE"""),0)</f>
        <v>0</v>
      </c>
      <c r="H27" s="119">
        <f ca="1">IFERROR(__xludf.DUMMYFUNCTION("""COMPUTED_VALUE"""),27500)</f>
        <v>27500</v>
      </c>
      <c r="I27" s="21">
        <f ca="1">IFERROR(__xludf.DUMMYFUNCTION("""COMPUTED_VALUE"""),3000)</f>
        <v>3000</v>
      </c>
      <c r="J27" s="21">
        <f ca="1">IFERROR(__xludf.DUMMYFUNCTION("""COMPUTED_VALUE"""),0)</f>
        <v>0</v>
      </c>
      <c r="K27" s="23">
        <f ca="1">IFERROR(__xludf.DUMMYFUNCTION("""COMPUTED_VALUE"""),0)</f>
        <v>0</v>
      </c>
      <c r="L27" s="11">
        <f ca="1">IFERROR(__xludf.DUMMYFUNCTION("""COMPUTED_VALUE"""),0)</f>
        <v>0</v>
      </c>
      <c r="M27" s="124">
        <f ca="1">IFERROR(__xludf.DUMMYFUNCTION("""COMPUTED_VALUE"""),3000)</f>
        <v>3000</v>
      </c>
      <c r="N27" s="26"/>
      <c r="O27" s="27"/>
    </row>
    <row r="28" spans="1:15" ht="14.3">
      <c r="A28" s="18" t="str">
        <f ca="1">IFERROR(__xludf.DUMMYFUNCTION("""COMPUTED_VALUE"""),"23SDSCE01172")</f>
        <v>23SDSCE01172</v>
      </c>
      <c r="B28" s="19" t="str">
        <f ca="1">IFERROR(__xludf.DUMMYFUNCTION("""COMPUTED_VALUE"""),"THUMMAR NIKUNJ SHAILESHBHAI")</f>
        <v>THUMMAR NIKUNJ SHAILESHBHAI</v>
      </c>
      <c r="C28" s="20" t="str">
        <f ca="1">IFERROR(__xludf.DUMMYFUNCTION("""COMPUTED_VALUE"""),"MYSY")</f>
        <v>MYSY</v>
      </c>
      <c r="D28" s="21">
        <f ca="1">IFERROR(__xludf.DUMMYFUNCTION("""COMPUTED_VALUE"""),27500)</f>
        <v>27500</v>
      </c>
      <c r="E28" s="21">
        <f ca="1">IFERROR(__xludf.DUMMYFUNCTION("""COMPUTED_VALUE"""),0)</f>
        <v>0</v>
      </c>
      <c r="F28" s="21">
        <f ca="1">IFERROR(__xludf.DUMMYFUNCTION("""COMPUTED_VALUE"""),0)</f>
        <v>0</v>
      </c>
      <c r="G28" s="23">
        <f ca="1">IFERROR(__xludf.DUMMYFUNCTION("""COMPUTED_VALUE"""),0)</f>
        <v>0</v>
      </c>
      <c r="H28" s="119">
        <f ca="1">IFERROR(__xludf.DUMMYFUNCTION("""COMPUTED_VALUE"""),27500)</f>
        <v>27500</v>
      </c>
      <c r="I28" s="21">
        <f ca="1">IFERROR(__xludf.DUMMYFUNCTION("""COMPUTED_VALUE"""),3000)</f>
        <v>3000</v>
      </c>
      <c r="J28" s="21">
        <f ca="1">IFERROR(__xludf.DUMMYFUNCTION("""COMPUTED_VALUE"""),3000)</f>
        <v>3000</v>
      </c>
      <c r="K28" s="23">
        <f ca="1">IFERROR(__xludf.DUMMYFUNCTION("""COMPUTED_VALUE"""),0)</f>
        <v>0</v>
      </c>
      <c r="L28" s="11">
        <f ca="1">IFERROR(__xludf.DUMMYFUNCTION("""COMPUTED_VALUE"""),0)</f>
        <v>0</v>
      </c>
      <c r="M28" s="124">
        <f ca="1">IFERROR(__xludf.DUMMYFUNCTION("""COMPUTED_VALUE"""),0)</f>
        <v>0</v>
      </c>
      <c r="N28" s="26"/>
      <c r="O28" s="27"/>
    </row>
    <row r="29" spans="1:15" ht="14.3">
      <c r="A29" s="18" t="str">
        <f ca="1">IFERROR(__xludf.DUMMYFUNCTION("""COMPUTED_VALUE"""),"23SDSCE01244")</f>
        <v>23SDSCE01244</v>
      </c>
      <c r="B29" s="19" t="str">
        <f ca="1">IFERROR(__xludf.DUMMYFUNCTION("""COMPUTED_VALUE"""),"MAVANI MEET PRAKASHBHAI")</f>
        <v>MAVANI MEET PRAKASHBHAI</v>
      </c>
      <c r="C29" s="20"/>
      <c r="D29" s="21">
        <f ca="1">IFERROR(__xludf.DUMMYFUNCTION("""COMPUTED_VALUE"""),27500)</f>
        <v>27500</v>
      </c>
      <c r="E29" s="21">
        <f ca="1">IFERROR(__xludf.DUMMYFUNCTION("""COMPUTED_VALUE"""),0)</f>
        <v>0</v>
      </c>
      <c r="F29" s="21">
        <f ca="1">IFERROR(__xludf.DUMMYFUNCTION("""COMPUTED_VALUE"""),0)</f>
        <v>0</v>
      </c>
      <c r="G29" s="23">
        <f ca="1">IFERROR(__xludf.DUMMYFUNCTION("""COMPUTED_VALUE"""),0)</f>
        <v>0</v>
      </c>
      <c r="H29" s="119">
        <f ca="1">IFERROR(__xludf.DUMMYFUNCTION("""COMPUTED_VALUE"""),27500)</f>
        <v>27500</v>
      </c>
      <c r="I29" s="21">
        <f ca="1">IFERROR(__xludf.DUMMYFUNCTION("""COMPUTED_VALUE"""),3000)</f>
        <v>3000</v>
      </c>
      <c r="J29" s="21">
        <f ca="1">IFERROR(__xludf.DUMMYFUNCTION("""COMPUTED_VALUE"""),0)</f>
        <v>0</v>
      </c>
      <c r="K29" s="23">
        <f ca="1">IFERROR(__xludf.DUMMYFUNCTION("""COMPUTED_VALUE"""),0)</f>
        <v>0</v>
      </c>
      <c r="L29" s="11">
        <f ca="1">IFERROR(__xludf.DUMMYFUNCTION("""COMPUTED_VALUE"""),0)</f>
        <v>0</v>
      </c>
      <c r="M29" s="124">
        <f ca="1">IFERROR(__xludf.DUMMYFUNCTION("""COMPUTED_VALUE"""),3000)</f>
        <v>3000</v>
      </c>
      <c r="N29" s="26"/>
      <c r="O29" s="27"/>
    </row>
    <row r="30" spans="1:15" ht="14.3">
      <c r="A30" s="42"/>
      <c r="B30" s="43"/>
      <c r="C30" s="45"/>
      <c r="D30" s="2"/>
      <c r="E30" s="46"/>
      <c r="F30" s="46"/>
      <c r="G30" s="44"/>
      <c r="H30" s="120"/>
      <c r="I30" s="46"/>
      <c r="J30" s="46"/>
      <c r="K30" s="44"/>
      <c r="L30" s="40"/>
      <c r="M30" s="125"/>
      <c r="N30" s="49"/>
      <c r="O30" s="27"/>
    </row>
    <row r="31" spans="1:15" ht="14.3">
      <c r="A31" s="42"/>
      <c r="B31" s="43"/>
      <c r="C31" s="45"/>
      <c r="D31" s="2"/>
      <c r="E31" s="46"/>
      <c r="F31" s="46"/>
      <c r="G31" s="44"/>
      <c r="H31" s="120"/>
      <c r="I31" s="46"/>
      <c r="J31" s="46"/>
      <c r="K31" s="44"/>
      <c r="L31" s="40"/>
      <c r="M31" s="125"/>
      <c r="N31" s="49"/>
      <c r="O31" s="27"/>
    </row>
    <row r="32" spans="1:15" ht="14.3">
      <c r="A32" s="42"/>
      <c r="B32" s="43"/>
      <c r="C32" s="45"/>
      <c r="D32" s="2"/>
      <c r="E32" s="46"/>
      <c r="F32" s="46"/>
      <c r="G32" s="44"/>
      <c r="H32" s="120"/>
      <c r="I32" s="46"/>
      <c r="J32" s="46"/>
      <c r="K32" s="44"/>
      <c r="L32" s="40"/>
      <c r="M32" s="125"/>
      <c r="N32" s="49"/>
      <c r="O32" s="27"/>
    </row>
    <row r="33" spans="1:15" ht="14.3">
      <c r="A33" s="42"/>
      <c r="B33" s="43"/>
      <c r="C33" s="45"/>
      <c r="D33" s="2"/>
      <c r="E33" s="46"/>
      <c r="F33" s="46"/>
      <c r="G33" s="44"/>
      <c r="H33" s="120"/>
      <c r="I33" s="46"/>
      <c r="J33" s="46"/>
      <c r="K33" s="44"/>
      <c r="L33" s="40"/>
      <c r="M33" s="125"/>
      <c r="N33" s="49"/>
      <c r="O33" s="27"/>
    </row>
    <row r="34" spans="1:15" ht="14.3">
      <c r="A34" s="42"/>
      <c r="B34" s="43"/>
      <c r="C34" s="45"/>
      <c r="D34" s="2"/>
      <c r="E34" s="46"/>
      <c r="F34" s="46"/>
      <c r="G34" s="44"/>
      <c r="H34" s="120"/>
      <c r="I34" s="46"/>
      <c r="J34" s="46"/>
      <c r="K34" s="44"/>
      <c r="L34" s="40"/>
      <c r="M34" s="125"/>
      <c r="N34" s="49"/>
      <c r="O34" s="27"/>
    </row>
    <row r="35" spans="1:15" ht="14.3">
      <c r="A35" s="42"/>
      <c r="B35" s="43"/>
      <c r="C35" s="45"/>
      <c r="D35" s="2"/>
      <c r="E35" s="46"/>
      <c r="F35" s="46"/>
      <c r="G35" s="44"/>
      <c r="H35" s="120"/>
      <c r="I35" s="46"/>
      <c r="J35" s="46"/>
      <c r="K35" s="44"/>
      <c r="L35" s="40"/>
      <c r="M35" s="125"/>
      <c r="N35" s="49"/>
      <c r="O35" s="27"/>
    </row>
    <row r="36" spans="1:15" ht="14.3">
      <c r="A36" s="42"/>
      <c r="B36" s="43"/>
      <c r="C36" s="45"/>
      <c r="D36" s="2"/>
      <c r="E36" s="46"/>
      <c r="F36" s="46"/>
      <c r="G36" s="44"/>
      <c r="H36" s="120"/>
      <c r="I36" s="46"/>
      <c r="J36" s="46"/>
      <c r="K36" s="44"/>
      <c r="L36" s="40"/>
      <c r="M36" s="125"/>
      <c r="N36" s="49"/>
      <c r="O36" s="27"/>
    </row>
    <row r="37" spans="1:15" ht="14.3">
      <c r="A37" s="42"/>
      <c r="B37" s="43"/>
      <c r="C37" s="45"/>
      <c r="D37" s="2"/>
      <c r="E37" s="46"/>
      <c r="F37" s="46"/>
      <c r="G37" s="44"/>
      <c r="H37" s="120"/>
      <c r="I37" s="46"/>
      <c r="J37" s="46"/>
      <c r="K37" s="44"/>
      <c r="L37" s="40"/>
      <c r="M37" s="125"/>
      <c r="N37" s="49"/>
      <c r="O37" s="27"/>
    </row>
    <row r="38" spans="1:15" ht="14.3">
      <c r="A38" s="42"/>
      <c r="B38" s="43"/>
      <c r="C38" s="45"/>
      <c r="D38" s="2"/>
      <c r="E38" s="46"/>
      <c r="F38" s="46"/>
      <c r="G38" s="44"/>
      <c r="H38" s="120"/>
      <c r="I38" s="46"/>
      <c r="J38" s="46"/>
      <c r="K38" s="44"/>
      <c r="L38" s="40"/>
      <c r="M38" s="125"/>
      <c r="N38" s="49"/>
      <c r="O38" s="27"/>
    </row>
    <row r="39" spans="1:15" ht="14.3">
      <c r="A39" s="42"/>
      <c r="B39" s="43"/>
      <c r="C39" s="45"/>
      <c r="D39" s="2"/>
      <c r="E39" s="46"/>
      <c r="F39" s="46"/>
      <c r="G39" s="44"/>
      <c r="H39" s="120"/>
      <c r="I39" s="46"/>
      <c r="J39" s="46"/>
      <c r="K39" s="44"/>
      <c r="L39" s="40"/>
      <c r="M39" s="125"/>
      <c r="N39" s="49"/>
      <c r="O39" s="27"/>
    </row>
    <row r="40" spans="1:15" ht="14.3">
      <c r="A40" s="42"/>
      <c r="B40" s="43"/>
      <c r="C40" s="45"/>
      <c r="D40" s="2"/>
      <c r="E40" s="46"/>
      <c r="F40" s="46"/>
      <c r="G40" s="44"/>
      <c r="H40" s="120"/>
      <c r="I40" s="46"/>
      <c r="J40" s="46"/>
      <c r="K40" s="44"/>
      <c r="L40" s="40"/>
      <c r="M40" s="125"/>
      <c r="N40" s="49"/>
      <c r="O40" s="27"/>
    </row>
    <row r="41" spans="1:15" ht="14.3">
      <c r="A41" s="42"/>
      <c r="B41" s="43"/>
      <c r="C41" s="45"/>
      <c r="D41" s="2"/>
      <c r="E41" s="46"/>
      <c r="F41" s="46"/>
      <c r="G41" s="44"/>
      <c r="H41" s="120"/>
      <c r="I41" s="46"/>
      <c r="J41" s="46"/>
      <c r="K41" s="44"/>
      <c r="L41" s="40"/>
      <c r="M41" s="125"/>
      <c r="N41" s="49"/>
      <c r="O41" s="27"/>
    </row>
    <row r="42" spans="1:15" ht="14.3">
      <c r="A42" s="42"/>
      <c r="B42" s="43"/>
      <c r="C42" s="45"/>
      <c r="D42" s="2"/>
      <c r="E42" s="46"/>
      <c r="F42" s="46"/>
      <c r="G42" s="44"/>
      <c r="H42" s="120"/>
      <c r="I42" s="46"/>
      <c r="J42" s="46"/>
      <c r="K42" s="44"/>
      <c r="L42" s="40"/>
      <c r="M42" s="125"/>
      <c r="N42" s="49"/>
      <c r="O42" s="27"/>
    </row>
    <row r="43" spans="1:15" ht="14.3">
      <c r="A43" s="42"/>
      <c r="B43" s="43"/>
      <c r="C43" s="45"/>
      <c r="D43" s="2"/>
      <c r="E43" s="46"/>
      <c r="F43" s="46"/>
      <c r="G43" s="44"/>
      <c r="H43" s="120"/>
      <c r="I43" s="46"/>
      <c r="J43" s="46"/>
      <c r="K43" s="44"/>
      <c r="L43" s="40"/>
      <c r="M43" s="125"/>
      <c r="N43" s="49"/>
      <c r="O43" s="27"/>
    </row>
    <row r="44" spans="1:15" ht="14.3">
      <c r="A44" s="42"/>
      <c r="B44" s="43"/>
      <c r="C44" s="45"/>
      <c r="D44" s="2"/>
      <c r="E44" s="46"/>
      <c r="F44" s="46"/>
      <c r="G44" s="44"/>
      <c r="H44" s="120"/>
      <c r="I44" s="46"/>
      <c r="J44" s="46"/>
      <c r="K44" s="44"/>
      <c r="L44" s="40"/>
      <c r="M44" s="125"/>
      <c r="N44" s="49"/>
      <c r="O44" s="27"/>
    </row>
    <row r="45" spans="1:15" ht="14.3">
      <c r="A45" s="42"/>
      <c r="B45" s="43"/>
      <c r="C45" s="45"/>
      <c r="D45" s="2"/>
      <c r="E45" s="46"/>
      <c r="F45" s="46"/>
      <c r="G45" s="44"/>
      <c r="H45" s="120"/>
      <c r="I45" s="46"/>
      <c r="J45" s="46"/>
      <c r="K45" s="44"/>
      <c r="L45" s="40"/>
      <c r="M45" s="125"/>
      <c r="N45" s="49"/>
      <c r="O45" s="27"/>
    </row>
    <row r="46" spans="1:15" ht="14.3">
      <c r="A46" s="42"/>
      <c r="B46" s="43"/>
      <c r="C46" s="45"/>
      <c r="D46" s="2"/>
      <c r="E46" s="46"/>
      <c r="F46" s="46"/>
      <c r="G46" s="44"/>
      <c r="H46" s="120"/>
      <c r="I46" s="46"/>
      <c r="J46" s="46"/>
      <c r="K46" s="44"/>
      <c r="L46" s="40"/>
      <c r="M46" s="125"/>
      <c r="N46" s="49"/>
      <c r="O46" s="27"/>
    </row>
    <row r="47" spans="1:15" ht="14.3">
      <c r="A47" s="42"/>
      <c r="B47" s="43"/>
      <c r="C47" s="45"/>
      <c r="D47" s="2"/>
      <c r="E47" s="46"/>
      <c r="F47" s="46"/>
      <c r="G47" s="44"/>
      <c r="H47" s="120"/>
      <c r="I47" s="46"/>
      <c r="J47" s="46"/>
      <c r="K47" s="44"/>
      <c r="L47" s="40"/>
      <c r="M47" s="125"/>
      <c r="N47" s="49"/>
      <c r="O47" s="27"/>
    </row>
    <row r="48" spans="1:15" ht="14.3">
      <c r="A48" s="42"/>
      <c r="B48" s="43"/>
      <c r="C48" s="45"/>
      <c r="D48" s="2"/>
      <c r="E48" s="46"/>
      <c r="F48" s="46"/>
      <c r="G48" s="44"/>
      <c r="H48" s="120"/>
      <c r="I48" s="46"/>
      <c r="J48" s="46"/>
      <c r="K48" s="44"/>
      <c r="L48" s="40"/>
      <c r="M48" s="125"/>
      <c r="N48" s="49"/>
      <c r="O48" s="27"/>
    </row>
    <row r="49" spans="1:15" ht="14.3">
      <c r="A49" s="42"/>
      <c r="B49" s="43"/>
      <c r="C49" s="45"/>
      <c r="D49" s="2"/>
      <c r="E49" s="46"/>
      <c r="F49" s="46"/>
      <c r="G49" s="44"/>
      <c r="H49" s="120"/>
      <c r="I49" s="46"/>
      <c r="J49" s="46"/>
      <c r="K49" s="44"/>
      <c r="L49" s="40"/>
      <c r="M49" s="125"/>
      <c r="N49" s="49"/>
      <c r="O49" s="27"/>
    </row>
    <row r="50" spans="1:15" ht="14.3">
      <c r="A50" s="42"/>
      <c r="B50" s="43"/>
      <c r="C50" s="45"/>
      <c r="D50" s="2"/>
      <c r="E50" s="46"/>
      <c r="F50" s="46"/>
      <c r="G50" s="44"/>
      <c r="H50" s="120"/>
      <c r="I50" s="46"/>
      <c r="J50" s="46"/>
      <c r="K50" s="44"/>
      <c r="L50" s="40"/>
      <c r="M50" s="125"/>
      <c r="N50" s="49"/>
      <c r="O50" s="27"/>
    </row>
    <row r="51" spans="1:15" ht="14.3">
      <c r="A51" s="42"/>
      <c r="B51" s="43"/>
      <c r="C51" s="45"/>
      <c r="D51" s="2"/>
      <c r="E51" s="46"/>
      <c r="F51" s="46"/>
      <c r="G51" s="44"/>
      <c r="H51" s="120"/>
      <c r="I51" s="46"/>
      <c r="J51" s="46"/>
      <c r="K51" s="44"/>
      <c r="L51" s="40"/>
      <c r="M51" s="125"/>
      <c r="N51" s="49"/>
      <c r="O51" s="27"/>
    </row>
    <row r="52" spans="1:15" ht="14.3">
      <c r="A52" s="42"/>
      <c r="B52" s="43"/>
      <c r="C52" s="45"/>
      <c r="D52" s="2"/>
      <c r="E52" s="46"/>
      <c r="F52" s="46"/>
      <c r="G52" s="44"/>
      <c r="H52" s="120"/>
      <c r="I52" s="46"/>
      <c r="J52" s="46"/>
      <c r="K52" s="44"/>
      <c r="L52" s="40"/>
      <c r="M52" s="125"/>
      <c r="N52" s="49"/>
      <c r="O52" s="27"/>
    </row>
    <row r="53" spans="1:15" ht="14.3">
      <c r="A53" s="42"/>
      <c r="B53" s="43"/>
      <c r="C53" s="45"/>
      <c r="D53" s="2"/>
      <c r="E53" s="46"/>
      <c r="F53" s="46"/>
      <c r="G53" s="44"/>
      <c r="H53" s="120"/>
      <c r="I53" s="46"/>
      <c r="J53" s="46"/>
      <c r="K53" s="44"/>
      <c r="L53" s="40"/>
      <c r="M53" s="125"/>
      <c r="N53" s="49"/>
      <c r="O53" s="27"/>
    </row>
    <row r="54" spans="1:15" ht="14.3">
      <c r="A54" s="42"/>
      <c r="B54" s="43"/>
      <c r="C54" s="45"/>
      <c r="D54" s="2"/>
      <c r="E54" s="46"/>
      <c r="F54" s="46"/>
      <c r="G54" s="44"/>
      <c r="H54" s="120"/>
      <c r="I54" s="46"/>
      <c r="J54" s="46"/>
      <c r="K54" s="44"/>
      <c r="L54" s="40"/>
      <c r="M54" s="125"/>
      <c r="N54" s="49"/>
      <c r="O54" s="27"/>
    </row>
    <row r="55" spans="1:15" ht="14.3">
      <c r="A55" s="42"/>
      <c r="B55" s="43"/>
      <c r="C55" s="45"/>
      <c r="D55" s="2"/>
      <c r="E55" s="46"/>
      <c r="F55" s="46"/>
      <c r="G55" s="44"/>
      <c r="H55" s="120"/>
      <c r="I55" s="46"/>
      <c r="J55" s="46"/>
      <c r="K55" s="44"/>
      <c r="L55" s="40"/>
      <c r="M55" s="125"/>
      <c r="N55" s="49"/>
      <c r="O55" s="27"/>
    </row>
    <row r="56" spans="1:15" ht="14.3">
      <c r="A56" s="42"/>
      <c r="B56" s="43"/>
      <c r="C56" s="45"/>
      <c r="D56" s="2"/>
      <c r="E56" s="46"/>
      <c r="F56" s="46"/>
      <c r="G56" s="44"/>
      <c r="H56" s="120"/>
      <c r="I56" s="46"/>
      <c r="J56" s="46"/>
      <c r="K56" s="44"/>
      <c r="L56" s="40"/>
      <c r="M56" s="125"/>
      <c r="N56" s="49"/>
      <c r="O56" s="27"/>
    </row>
    <row r="57" spans="1:15" ht="14.3">
      <c r="A57" s="42"/>
      <c r="B57" s="43"/>
      <c r="C57" s="45"/>
      <c r="D57" s="2"/>
      <c r="E57" s="46"/>
      <c r="F57" s="46"/>
      <c r="G57" s="44"/>
      <c r="H57" s="120"/>
      <c r="I57" s="46"/>
      <c r="J57" s="46"/>
      <c r="K57" s="44"/>
      <c r="L57" s="40"/>
      <c r="M57" s="125"/>
      <c r="N57" s="49"/>
      <c r="O57" s="27"/>
    </row>
    <row r="58" spans="1:15" ht="14.3">
      <c r="A58" s="42"/>
      <c r="B58" s="43"/>
      <c r="C58" s="45"/>
      <c r="D58" s="2"/>
      <c r="E58" s="46"/>
      <c r="F58" s="46"/>
      <c r="G58" s="44"/>
      <c r="H58" s="120"/>
      <c r="I58" s="46"/>
      <c r="J58" s="46"/>
      <c r="K58" s="44"/>
      <c r="L58" s="40"/>
      <c r="M58" s="125"/>
      <c r="N58" s="49"/>
      <c r="O58" s="27"/>
    </row>
    <row r="59" spans="1:15" ht="14.3">
      <c r="A59" s="42"/>
      <c r="B59" s="43"/>
      <c r="C59" s="45"/>
      <c r="D59" s="2"/>
      <c r="E59" s="46"/>
      <c r="F59" s="46"/>
      <c r="G59" s="44"/>
      <c r="H59" s="120"/>
      <c r="I59" s="46"/>
      <c r="J59" s="46"/>
      <c r="K59" s="44"/>
      <c r="L59" s="40"/>
      <c r="M59" s="125"/>
      <c r="N59" s="49"/>
      <c r="O59" s="27"/>
    </row>
    <row r="60" spans="1:15" ht="14.3">
      <c r="A60" s="42"/>
      <c r="B60" s="43"/>
      <c r="C60" s="45"/>
      <c r="D60" s="2"/>
      <c r="E60" s="46"/>
      <c r="F60" s="46"/>
      <c r="G60" s="44"/>
      <c r="H60" s="120"/>
      <c r="I60" s="46"/>
      <c r="J60" s="46"/>
      <c r="K60" s="44"/>
      <c r="L60" s="40"/>
      <c r="M60" s="125"/>
      <c r="N60" s="49"/>
      <c r="O60" s="27"/>
    </row>
    <row r="61" spans="1:15" ht="14.3">
      <c r="A61" s="42"/>
      <c r="B61" s="43"/>
      <c r="C61" s="45"/>
      <c r="D61" s="2"/>
      <c r="E61" s="46"/>
      <c r="F61" s="46"/>
      <c r="G61" s="44"/>
      <c r="H61" s="120"/>
      <c r="I61" s="46"/>
      <c r="J61" s="46"/>
      <c r="K61" s="44"/>
      <c r="L61" s="40"/>
      <c r="M61" s="125"/>
      <c r="N61" s="49"/>
      <c r="O61" s="27"/>
    </row>
    <row r="62" spans="1:15" ht="14.3">
      <c r="A62" s="42"/>
      <c r="B62" s="43"/>
      <c r="C62" s="45"/>
      <c r="D62" s="2"/>
      <c r="E62" s="46"/>
      <c r="F62" s="46"/>
      <c r="G62" s="44"/>
      <c r="H62" s="120"/>
      <c r="I62" s="46"/>
      <c r="J62" s="46"/>
      <c r="K62" s="44"/>
      <c r="L62" s="40"/>
      <c r="M62" s="125"/>
      <c r="N62" s="49"/>
      <c r="O62" s="27"/>
    </row>
    <row r="63" spans="1:15" ht="14.3">
      <c r="A63" s="42"/>
      <c r="B63" s="43"/>
      <c r="C63" s="45"/>
      <c r="D63" s="2"/>
      <c r="E63" s="46"/>
      <c r="F63" s="46"/>
      <c r="G63" s="44"/>
      <c r="H63" s="120"/>
      <c r="I63" s="46"/>
      <c r="J63" s="46"/>
      <c r="K63" s="44"/>
      <c r="L63" s="40"/>
      <c r="M63" s="125"/>
      <c r="N63" s="49"/>
      <c r="O63" s="27"/>
    </row>
    <row r="64" spans="1:15" ht="14.3">
      <c r="A64" s="42"/>
      <c r="B64" s="43"/>
      <c r="C64" s="45"/>
      <c r="D64" s="2"/>
      <c r="E64" s="46"/>
      <c r="F64" s="46"/>
      <c r="G64" s="44"/>
      <c r="H64" s="120"/>
      <c r="I64" s="46"/>
      <c r="J64" s="46"/>
      <c r="K64" s="44"/>
      <c r="L64" s="40"/>
      <c r="M64" s="125"/>
      <c r="N64" s="49"/>
      <c r="O64" s="27"/>
    </row>
    <row r="65" spans="1:15" ht="14.3">
      <c r="A65" s="42"/>
      <c r="B65" s="43"/>
      <c r="C65" s="45"/>
      <c r="D65" s="2"/>
      <c r="E65" s="46"/>
      <c r="F65" s="46"/>
      <c r="G65" s="44"/>
      <c r="H65" s="120"/>
      <c r="I65" s="46"/>
      <c r="J65" s="46"/>
      <c r="K65" s="44"/>
      <c r="L65" s="40"/>
      <c r="M65" s="125"/>
      <c r="N65" s="49"/>
      <c r="O65" s="27"/>
    </row>
    <row r="66" spans="1:15" ht="14.3">
      <c r="A66" s="42"/>
      <c r="B66" s="43"/>
      <c r="C66" s="45"/>
      <c r="D66" s="2"/>
      <c r="E66" s="46"/>
      <c r="F66" s="46"/>
      <c r="G66" s="44"/>
      <c r="H66" s="120"/>
      <c r="I66" s="46"/>
      <c r="J66" s="46"/>
      <c r="K66" s="44"/>
      <c r="L66" s="40"/>
      <c r="M66" s="125"/>
      <c r="N66" s="49"/>
      <c r="O66" s="27"/>
    </row>
    <row r="67" spans="1:15" ht="14.3">
      <c r="A67" s="42"/>
      <c r="B67" s="43"/>
      <c r="C67" s="45"/>
      <c r="D67" s="2"/>
      <c r="E67" s="46"/>
      <c r="F67" s="46"/>
      <c r="G67" s="44"/>
      <c r="H67" s="120"/>
      <c r="I67" s="46"/>
      <c r="J67" s="46"/>
      <c r="K67" s="44"/>
      <c r="L67" s="40"/>
      <c r="M67" s="125"/>
      <c r="N67" s="49"/>
      <c r="O67" s="27"/>
    </row>
    <row r="68" spans="1:15" ht="14.3">
      <c r="A68" s="42"/>
      <c r="B68" s="43"/>
      <c r="C68" s="45"/>
      <c r="D68" s="2"/>
      <c r="E68" s="46"/>
      <c r="F68" s="46"/>
      <c r="G68" s="44"/>
      <c r="H68" s="120"/>
      <c r="I68" s="46"/>
      <c r="J68" s="46"/>
      <c r="K68" s="44"/>
      <c r="L68" s="40"/>
      <c r="M68" s="125"/>
      <c r="N68" s="49"/>
      <c r="O68" s="27"/>
    </row>
    <row r="69" spans="1:15" ht="14.3">
      <c r="A69" s="42"/>
      <c r="B69" s="43"/>
      <c r="C69" s="45"/>
      <c r="D69" s="2"/>
      <c r="E69" s="46"/>
      <c r="F69" s="46"/>
      <c r="G69" s="44"/>
      <c r="H69" s="120"/>
      <c r="I69" s="46"/>
      <c r="J69" s="46"/>
      <c r="K69" s="44"/>
      <c r="L69" s="40"/>
      <c r="M69" s="125"/>
      <c r="N69" s="49"/>
      <c r="O69" s="27"/>
    </row>
    <row r="70" spans="1:15" ht="14.3">
      <c r="A70" s="42"/>
      <c r="B70" s="43"/>
      <c r="C70" s="45"/>
      <c r="D70" s="2"/>
      <c r="E70" s="46"/>
      <c r="F70" s="46"/>
      <c r="G70" s="44"/>
      <c r="H70" s="120"/>
      <c r="I70" s="46"/>
      <c r="J70" s="46"/>
      <c r="K70" s="44"/>
      <c r="L70" s="40"/>
      <c r="M70" s="125"/>
      <c r="N70" s="49"/>
      <c r="O70" s="27"/>
    </row>
    <row r="71" spans="1:15" ht="14.3">
      <c r="A71" s="42"/>
      <c r="B71" s="43"/>
      <c r="C71" s="45"/>
      <c r="D71" s="2"/>
      <c r="E71" s="46"/>
      <c r="F71" s="46"/>
      <c r="G71" s="44"/>
      <c r="H71" s="120"/>
      <c r="I71" s="46"/>
      <c r="J71" s="46"/>
      <c r="K71" s="44"/>
      <c r="L71" s="40"/>
      <c r="M71" s="125"/>
      <c r="N71" s="49"/>
      <c r="O71" s="27"/>
    </row>
    <row r="72" spans="1:15" ht="14.3">
      <c r="A72" s="42"/>
      <c r="B72" s="43"/>
      <c r="C72" s="45"/>
      <c r="D72" s="2"/>
      <c r="E72" s="46"/>
      <c r="F72" s="46"/>
      <c r="G72" s="44"/>
      <c r="H72" s="120"/>
      <c r="I72" s="46"/>
      <c r="J72" s="46"/>
      <c r="K72" s="44"/>
      <c r="L72" s="40"/>
      <c r="M72" s="125"/>
      <c r="N72" s="49"/>
      <c r="O72" s="27"/>
    </row>
    <row r="73" spans="1:15" ht="14.3">
      <c r="A73" s="42"/>
      <c r="B73" s="43"/>
      <c r="C73" s="45"/>
      <c r="D73" s="2"/>
      <c r="E73" s="46"/>
      <c r="F73" s="46"/>
      <c r="G73" s="44"/>
      <c r="H73" s="120"/>
      <c r="I73" s="46"/>
      <c r="J73" s="46"/>
      <c r="K73" s="44"/>
      <c r="L73" s="40"/>
      <c r="M73" s="125"/>
      <c r="N73" s="49"/>
      <c r="O73" s="27"/>
    </row>
    <row r="74" spans="1:15" ht="14.3">
      <c r="A74" s="42"/>
      <c r="B74" s="43"/>
      <c r="C74" s="45"/>
      <c r="D74" s="2"/>
      <c r="E74" s="46"/>
      <c r="F74" s="46"/>
      <c r="G74" s="44"/>
      <c r="H74" s="120"/>
      <c r="I74" s="46"/>
      <c r="J74" s="46"/>
      <c r="K74" s="44"/>
      <c r="L74" s="40"/>
      <c r="M74" s="125"/>
      <c r="N74" s="49"/>
      <c r="O74" s="27"/>
    </row>
    <row r="75" spans="1:15" ht="14.3">
      <c r="A75" s="42"/>
      <c r="B75" s="43"/>
      <c r="C75" s="45"/>
      <c r="D75" s="2"/>
      <c r="E75" s="46"/>
      <c r="F75" s="46"/>
      <c r="G75" s="44"/>
      <c r="H75" s="120"/>
      <c r="I75" s="46"/>
      <c r="J75" s="46"/>
      <c r="K75" s="44"/>
      <c r="L75" s="40"/>
      <c r="M75" s="125"/>
      <c r="N75" s="49"/>
      <c r="O75" s="27"/>
    </row>
    <row r="76" spans="1:15" ht="14.3">
      <c r="A76" s="42"/>
      <c r="B76" s="43"/>
      <c r="C76" s="45"/>
      <c r="D76" s="2"/>
      <c r="E76" s="46"/>
      <c r="F76" s="46"/>
      <c r="G76" s="44"/>
      <c r="H76" s="120"/>
      <c r="I76" s="46"/>
      <c r="J76" s="46"/>
      <c r="K76" s="44"/>
      <c r="L76" s="40"/>
      <c r="M76" s="125"/>
      <c r="N76" s="49"/>
      <c r="O76" s="27"/>
    </row>
    <row r="77" spans="1:15" ht="14.3">
      <c r="A77" s="42"/>
      <c r="B77" s="43"/>
      <c r="C77" s="45"/>
      <c r="D77" s="2"/>
      <c r="E77" s="46"/>
      <c r="F77" s="46"/>
      <c r="G77" s="44"/>
      <c r="H77" s="120"/>
      <c r="I77" s="46"/>
      <c r="J77" s="46"/>
      <c r="K77" s="44"/>
      <c r="L77" s="40"/>
      <c r="M77" s="125"/>
      <c r="N77" s="49"/>
      <c r="O77" s="27"/>
    </row>
    <row r="78" spans="1:15" ht="14.3">
      <c r="A78" s="42"/>
      <c r="B78" s="43"/>
      <c r="C78" s="45"/>
      <c r="D78" s="2"/>
      <c r="E78" s="46"/>
      <c r="F78" s="46"/>
      <c r="G78" s="44"/>
      <c r="H78" s="120"/>
      <c r="I78" s="46"/>
      <c r="J78" s="46"/>
      <c r="K78" s="44"/>
      <c r="L78" s="40"/>
      <c r="M78" s="125"/>
      <c r="N78" s="49"/>
      <c r="O78" s="27"/>
    </row>
    <row r="79" spans="1:15" ht="14.3">
      <c r="A79" s="42"/>
      <c r="B79" s="43"/>
      <c r="C79" s="45"/>
      <c r="D79" s="2"/>
      <c r="E79" s="46"/>
      <c r="F79" s="46"/>
      <c r="G79" s="44"/>
      <c r="H79" s="120"/>
      <c r="I79" s="46"/>
      <c r="J79" s="46"/>
      <c r="K79" s="44"/>
      <c r="L79" s="40"/>
      <c r="M79" s="125"/>
      <c r="N79" s="49"/>
      <c r="O79" s="27"/>
    </row>
    <row r="80" spans="1:15" ht="14.3">
      <c r="A80" s="42"/>
      <c r="B80" s="43"/>
      <c r="C80" s="45"/>
      <c r="D80" s="2"/>
      <c r="E80" s="46"/>
      <c r="F80" s="46"/>
      <c r="G80" s="44"/>
      <c r="H80" s="120"/>
      <c r="I80" s="46"/>
      <c r="J80" s="46"/>
      <c r="K80" s="44"/>
      <c r="L80" s="40"/>
      <c r="M80" s="125"/>
      <c r="N80" s="49"/>
      <c r="O80" s="27"/>
    </row>
    <row r="81" spans="1:15" ht="14.3">
      <c r="A81" s="42"/>
      <c r="B81" s="43"/>
      <c r="C81" s="45"/>
      <c r="D81" s="2"/>
      <c r="E81" s="46"/>
      <c r="F81" s="46"/>
      <c r="G81" s="44"/>
      <c r="H81" s="120"/>
      <c r="I81" s="46"/>
      <c r="J81" s="46"/>
      <c r="K81" s="44"/>
      <c r="L81" s="40"/>
      <c r="M81" s="125"/>
      <c r="N81" s="49"/>
      <c r="O81" s="27"/>
    </row>
    <row r="82" spans="1:15" ht="14.3">
      <c r="A82" s="42"/>
      <c r="B82" s="43"/>
      <c r="C82" s="45"/>
      <c r="D82" s="2"/>
      <c r="E82" s="46"/>
      <c r="F82" s="46"/>
      <c r="G82" s="44"/>
      <c r="H82" s="120"/>
      <c r="I82" s="46"/>
      <c r="J82" s="46"/>
      <c r="K82" s="44"/>
      <c r="L82" s="40"/>
      <c r="M82" s="125"/>
      <c r="N82" s="49"/>
      <c r="O82" s="27"/>
    </row>
    <row r="83" spans="1:15" ht="14.3">
      <c r="A83" s="42"/>
      <c r="B83" s="43"/>
      <c r="C83" s="45"/>
      <c r="D83" s="2"/>
      <c r="E83" s="46"/>
      <c r="F83" s="46"/>
      <c r="G83" s="44"/>
      <c r="H83" s="120"/>
      <c r="I83" s="46"/>
      <c r="J83" s="46"/>
      <c r="K83" s="44"/>
      <c r="L83" s="40"/>
      <c r="M83" s="125"/>
      <c r="N83" s="49"/>
      <c r="O83" s="27"/>
    </row>
    <row r="84" spans="1:15" ht="14.3">
      <c r="A84" s="42"/>
      <c r="B84" s="43"/>
      <c r="C84" s="45"/>
      <c r="D84" s="2"/>
      <c r="E84" s="46"/>
      <c r="F84" s="46"/>
      <c r="G84" s="44"/>
      <c r="H84" s="120"/>
      <c r="I84" s="46"/>
      <c r="J84" s="46"/>
      <c r="K84" s="44"/>
      <c r="L84" s="40"/>
      <c r="M84" s="125"/>
      <c r="N84" s="49"/>
      <c r="O84" s="27"/>
    </row>
    <row r="85" spans="1:15" ht="14.3">
      <c r="A85" s="42"/>
      <c r="B85" s="43"/>
      <c r="C85" s="45"/>
      <c r="D85" s="2"/>
      <c r="E85" s="46"/>
      <c r="F85" s="46"/>
      <c r="G85" s="44"/>
      <c r="H85" s="120"/>
      <c r="I85" s="46"/>
      <c r="J85" s="46"/>
      <c r="K85" s="44"/>
      <c r="L85" s="40"/>
      <c r="M85" s="125"/>
      <c r="N85" s="49"/>
      <c r="O85" s="27"/>
    </row>
    <row r="86" spans="1:15" ht="14.3">
      <c r="A86" s="42"/>
      <c r="B86" s="43"/>
      <c r="C86" s="45"/>
      <c r="D86" s="2"/>
      <c r="E86" s="46"/>
      <c r="F86" s="46"/>
      <c r="G86" s="44"/>
      <c r="H86" s="120"/>
      <c r="I86" s="46"/>
      <c r="J86" s="46"/>
      <c r="K86" s="44"/>
      <c r="L86" s="40"/>
      <c r="M86" s="125"/>
      <c r="N86" s="49"/>
      <c r="O86" s="27"/>
    </row>
    <row r="87" spans="1:15" ht="14.3">
      <c r="A87" s="42"/>
      <c r="B87" s="43"/>
      <c r="C87" s="45"/>
      <c r="D87" s="2"/>
      <c r="E87" s="46"/>
      <c r="F87" s="46"/>
      <c r="G87" s="44"/>
      <c r="H87" s="120"/>
      <c r="I87" s="46"/>
      <c r="J87" s="46"/>
      <c r="K87" s="44"/>
      <c r="L87" s="40"/>
      <c r="M87" s="125"/>
      <c r="N87" s="49"/>
      <c r="O87" s="27"/>
    </row>
    <row r="88" spans="1:15" ht="14.3">
      <c r="A88" s="42"/>
      <c r="B88" s="43"/>
      <c r="C88" s="45"/>
      <c r="D88" s="2"/>
      <c r="E88" s="46"/>
      <c r="F88" s="46"/>
      <c r="G88" s="44"/>
      <c r="H88" s="120"/>
      <c r="I88" s="46"/>
      <c r="J88" s="46"/>
      <c r="K88" s="44"/>
      <c r="L88" s="40"/>
      <c r="M88" s="125"/>
      <c r="N88" s="49"/>
      <c r="O88" s="27"/>
    </row>
    <row r="89" spans="1:15" ht="14.3">
      <c r="A89" s="42"/>
      <c r="B89" s="43"/>
      <c r="C89" s="45"/>
      <c r="D89" s="2"/>
      <c r="E89" s="46"/>
      <c r="F89" s="46"/>
      <c r="G89" s="44"/>
      <c r="H89" s="120"/>
      <c r="I89" s="46"/>
      <c r="J89" s="46"/>
      <c r="K89" s="44"/>
      <c r="L89" s="40"/>
      <c r="M89" s="125"/>
      <c r="N89" s="49"/>
      <c r="O89" s="27"/>
    </row>
    <row r="90" spans="1:15" ht="14.3">
      <c r="A90" s="42"/>
      <c r="B90" s="43"/>
      <c r="C90" s="45"/>
      <c r="D90" s="2"/>
      <c r="E90" s="46"/>
      <c r="F90" s="46"/>
      <c r="G90" s="44"/>
      <c r="H90" s="120"/>
      <c r="I90" s="46"/>
      <c r="J90" s="46"/>
      <c r="K90" s="44"/>
      <c r="L90" s="40"/>
      <c r="M90" s="125"/>
      <c r="N90" s="49"/>
      <c r="O90" s="27"/>
    </row>
    <row r="91" spans="1:15" ht="14.3">
      <c r="A91" s="42"/>
      <c r="B91" s="43"/>
      <c r="C91" s="45"/>
      <c r="D91" s="2"/>
      <c r="E91" s="46"/>
      <c r="F91" s="46"/>
      <c r="G91" s="44"/>
      <c r="H91" s="120"/>
      <c r="I91" s="46"/>
      <c r="J91" s="46"/>
      <c r="K91" s="44"/>
      <c r="L91" s="40"/>
      <c r="M91" s="125"/>
      <c r="N91" s="49"/>
      <c r="O91" s="27"/>
    </row>
    <row r="92" spans="1:15" ht="14.3">
      <c r="A92" s="42"/>
      <c r="B92" s="43"/>
      <c r="C92" s="45"/>
      <c r="D92" s="2"/>
      <c r="E92" s="46"/>
      <c r="F92" s="46"/>
      <c r="G92" s="44"/>
      <c r="H92" s="120"/>
      <c r="I92" s="46"/>
      <c r="J92" s="46"/>
      <c r="K92" s="44"/>
      <c r="L92" s="40"/>
      <c r="M92" s="125"/>
      <c r="N92" s="49"/>
      <c r="O92" s="27"/>
    </row>
    <row r="93" spans="1:15" ht="14.3">
      <c r="A93" s="42"/>
      <c r="B93" s="43"/>
      <c r="C93" s="45"/>
      <c r="D93" s="2"/>
      <c r="E93" s="46"/>
      <c r="F93" s="46"/>
      <c r="G93" s="44"/>
      <c r="H93" s="120"/>
      <c r="I93" s="46"/>
      <c r="J93" s="46"/>
      <c r="K93" s="44"/>
      <c r="L93" s="40"/>
      <c r="M93" s="125"/>
      <c r="N93" s="49"/>
      <c r="O93" s="27"/>
    </row>
    <row r="94" spans="1:15" ht="14.3">
      <c r="A94" s="42"/>
      <c r="B94" s="43"/>
      <c r="C94" s="45"/>
      <c r="D94" s="2"/>
      <c r="E94" s="46"/>
      <c r="F94" s="46"/>
      <c r="G94" s="44"/>
      <c r="H94" s="120"/>
      <c r="I94" s="46"/>
      <c r="J94" s="46"/>
      <c r="K94" s="44"/>
      <c r="L94" s="40"/>
      <c r="M94" s="125"/>
      <c r="N94" s="49"/>
      <c r="O94" s="27"/>
    </row>
    <row r="95" spans="1:15" ht="14.3">
      <c r="A95" s="42"/>
      <c r="B95" s="43"/>
      <c r="C95" s="45"/>
      <c r="D95" s="2"/>
      <c r="E95" s="46"/>
      <c r="F95" s="46"/>
      <c r="G95" s="44"/>
      <c r="H95" s="120"/>
      <c r="I95" s="46"/>
      <c r="J95" s="46"/>
      <c r="K95" s="44"/>
      <c r="L95" s="40"/>
      <c r="M95" s="125"/>
      <c r="N95" s="49"/>
      <c r="O95" s="27"/>
    </row>
    <row r="96" spans="1:15" ht="14.3">
      <c r="A96" s="42"/>
      <c r="B96" s="43"/>
      <c r="C96" s="45"/>
      <c r="D96" s="2"/>
      <c r="E96" s="46"/>
      <c r="F96" s="46"/>
      <c r="G96" s="44"/>
      <c r="H96" s="120"/>
      <c r="I96" s="46"/>
      <c r="J96" s="46"/>
      <c r="K96" s="44"/>
      <c r="L96" s="40"/>
      <c r="M96" s="125"/>
      <c r="N96" s="49"/>
      <c r="O96" s="27"/>
    </row>
    <row r="97" spans="1:15" ht="14.3">
      <c r="A97" s="42"/>
      <c r="B97" s="43"/>
      <c r="C97" s="45"/>
      <c r="D97" s="2"/>
      <c r="E97" s="46"/>
      <c r="F97" s="46"/>
      <c r="G97" s="44"/>
      <c r="H97" s="120"/>
      <c r="I97" s="46"/>
      <c r="J97" s="46"/>
      <c r="K97" s="44"/>
      <c r="L97" s="40"/>
      <c r="M97" s="125"/>
      <c r="N97" s="49"/>
      <c r="O97" s="27"/>
    </row>
    <row r="98" spans="1:15" ht="14.3">
      <c r="A98" s="42"/>
      <c r="B98" s="43"/>
      <c r="C98" s="45"/>
      <c r="D98" s="2"/>
      <c r="E98" s="46"/>
      <c r="F98" s="46"/>
      <c r="G98" s="44"/>
      <c r="H98" s="120"/>
      <c r="I98" s="46"/>
      <c r="J98" s="46"/>
      <c r="K98" s="44"/>
      <c r="L98" s="40"/>
      <c r="M98" s="125"/>
      <c r="N98" s="49"/>
      <c r="O98" s="27"/>
    </row>
    <row r="99" spans="1:15" ht="14.3">
      <c r="A99" s="42"/>
      <c r="B99" s="43"/>
      <c r="C99" s="45"/>
      <c r="D99" s="2"/>
      <c r="E99" s="46"/>
      <c r="F99" s="46"/>
      <c r="G99" s="44"/>
      <c r="H99" s="120"/>
      <c r="I99" s="46"/>
      <c r="J99" s="46"/>
      <c r="K99" s="44"/>
      <c r="L99" s="40"/>
      <c r="M99" s="125"/>
      <c r="N99" s="49"/>
      <c r="O99" s="27"/>
    </row>
    <row r="100" spans="1:15" ht="14.3">
      <c r="A100" s="42"/>
      <c r="B100" s="43"/>
      <c r="C100" s="45"/>
      <c r="D100" s="2"/>
      <c r="E100" s="46"/>
      <c r="F100" s="46"/>
      <c r="G100" s="44"/>
      <c r="H100" s="120"/>
      <c r="I100" s="46"/>
      <c r="J100" s="46"/>
      <c r="K100" s="44"/>
      <c r="L100" s="40"/>
      <c r="M100" s="125"/>
      <c r="N100" s="49"/>
      <c r="O100" s="27"/>
    </row>
    <row r="101" spans="1:15" ht="14.3">
      <c r="A101" s="42"/>
      <c r="B101" s="43"/>
      <c r="C101" s="45"/>
      <c r="D101" s="2"/>
      <c r="E101" s="46"/>
      <c r="F101" s="46"/>
      <c r="G101" s="44"/>
      <c r="H101" s="120"/>
      <c r="I101" s="46"/>
      <c r="J101" s="46"/>
      <c r="K101" s="44"/>
      <c r="L101" s="40"/>
      <c r="M101" s="125"/>
      <c r="N101" s="49"/>
      <c r="O101" s="27"/>
    </row>
    <row r="102" spans="1:15" ht="14.3">
      <c r="A102" s="42"/>
      <c r="B102" s="43"/>
      <c r="C102" s="45"/>
      <c r="D102" s="2"/>
      <c r="E102" s="46"/>
      <c r="F102" s="46"/>
      <c r="G102" s="44"/>
      <c r="H102" s="120"/>
      <c r="I102" s="46"/>
      <c r="J102" s="46"/>
      <c r="K102" s="44"/>
      <c r="L102" s="40"/>
      <c r="M102" s="125"/>
      <c r="N102" s="49"/>
      <c r="O102" s="27"/>
    </row>
    <row r="103" spans="1:15" ht="14.3">
      <c r="A103" s="42"/>
      <c r="B103" s="43"/>
      <c r="C103" s="45"/>
      <c r="D103" s="2"/>
      <c r="E103" s="46"/>
      <c r="F103" s="46"/>
      <c r="G103" s="44"/>
      <c r="H103" s="120"/>
      <c r="I103" s="46"/>
      <c r="J103" s="46"/>
      <c r="K103" s="44"/>
      <c r="L103" s="40"/>
      <c r="M103" s="125"/>
      <c r="N103" s="49"/>
      <c r="O103" s="27"/>
    </row>
    <row r="104" spans="1:15" ht="14.3">
      <c r="A104" s="42"/>
      <c r="B104" s="43"/>
      <c r="C104" s="45"/>
      <c r="D104" s="2"/>
      <c r="E104" s="46"/>
      <c r="F104" s="46"/>
      <c r="G104" s="44"/>
      <c r="H104" s="120"/>
      <c r="I104" s="46"/>
      <c r="J104" s="46"/>
      <c r="K104" s="44"/>
      <c r="L104" s="40"/>
      <c r="M104" s="125"/>
      <c r="N104" s="49"/>
      <c r="O104" s="27"/>
    </row>
    <row r="105" spans="1:15" ht="14.3">
      <c r="A105" s="42"/>
      <c r="B105" s="43"/>
      <c r="C105" s="45"/>
      <c r="D105" s="2"/>
      <c r="E105" s="46"/>
      <c r="F105" s="46"/>
      <c r="G105" s="44"/>
      <c r="H105" s="120"/>
      <c r="I105" s="46"/>
      <c r="J105" s="46"/>
      <c r="K105" s="44"/>
      <c r="L105" s="40"/>
      <c r="M105" s="125"/>
      <c r="N105" s="49"/>
      <c r="O105" s="27"/>
    </row>
    <row r="106" spans="1:15" ht="14.3">
      <c r="A106" s="42"/>
      <c r="B106" s="43"/>
      <c r="C106" s="45"/>
      <c r="D106" s="2"/>
      <c r="E106" s="46"/>
      <c r="F106" s="46"/>
      <c r="G106" s="44"/>
      <c r="H106" s="120"/>
      <c r="I106" s="46"/>
      <c r="J106" s="46"/>
      <c r="K106" s="44"/>
      <c r="L106" s="40"/>
      <c r="M106" s="125"/>
      <c r="N106" s="49"/>
      <c r="O106" s="27"/>
    </row>
    <row r="107" spans="1:15" ht="14.3">
      <c r="A107" s="42"/>
      <c r="B107" s="43"/>
      <c r="C107" s="45"/>
      <c r="D107" s="2"/>
      <c r="E107" s="46"/>
      <c r="F107" s="46"/>
      <c r="G107" s="44"/>
      <c r="H107" s="120"/>
      <c r="I107" s="46"/>
      <c r="J107" s="46"/>
      <c r="K107" s="44"/>
      <c r="L107" s="40"/>
      <c r="M107" s="125"/>
      <c r="N107" s="49"/>
      <c r="O107" s="27"/>
    </row>
    <row r="108" spans="1:15" ht="14.3">
      <c r="A108" s="42"/>
      <c r="B108" s="43"/>
      <c r="C108" s="45"/>
      <c r="D108" s="2"/>
      <c r="E108" s="46"/>
      <c r="F108" s="46"/>
      <c r="G108" s="44"/>
      <c r="H108" s="120"/>
      <c r="I108" s="46"/>
      <c r="J108" s="46"/>
      <c r="K108" s="44"/>
      <c r="L108" s="40"/>
      <c r="M108" s="125"/>
      <c r="N108" s="49"/>
      <c r="O108" s="27"/>
    </row>
    <row r="109" spans="1:15" ht="14.3">
      <c r="A109" s="42"/>
      <c r="B109" s="43"/>
      <c r="C109" s="45"/>
      <c r="D109" s="2"/>
      <c r="E109" s="46"/>
      <c r="F109" s="46"/>
      <c r="G109" s="44"/>
      <c r="H109" s="120"/>
      <c r="I109" s="46"/>
      <c r="J109" s="46"/>
      <c r="K109" s="44"/>
      <c r="L109" s="40"/>
      <c r="M109" s="125"/>
      <c r="N109" s="49"/>
      <c r="O109" s="27"/>
    </row>
    <row r="110" spans="1:15" ht="14.3">
      <c r="A110" s="42"/>
      <c r="B110" s="43"/>
      <c r="C110" s="45"/>
      <c r="D110" s="2"/>
      <c r="E110" s="46"/>
      <c r="F110" s="46"/>
      <c r="G110" s="44"/>
      <c r="H110" s="120"/>
      <c r="I110" s="46"/>
      <c r="J110" s="46"/>
      <c r="K110" s="44"/>
      <c r="L110" s="40"/>
      <c r="M110" s="125"/>
      <c r="N110" s="49"/>
      <c r="O110" s="27"/>
    </row>
    <row r="111" spans="1:15" ht="14.3">
      <c r="A111" s="42"/>
      <c r="B111" s="43"/>
      <c r="C111" s="45"/>
      <c r="D111" s="2"/>
      <c r="E111" s="46"/>
      <c r="F111" s="46"/>
      <c r="G111" s="44"/>
      <c r="H111" s="120"/>
      <c r="I111" s="46"/>
      <c r="J111" s="46"/>
      <c r="K111" s="44"/>
      <c r="L111" s="40"/>
      <c r="M111" s="125"/>
      <c r="N111" s="49"/>
      <c r="O111" s="27"/>
    </row>
    <row r="112" spans="1:15" ht="14.3">
      <c r="A112" s="42"/>
      <c r="B112" s="43"/>
      <c r="C112" s="45"/>
      <c r="D112" s="2"/>
      <c r="E112" s="46"/>
      <c r="F112" s="46"/>
      <c r="G112" s="44"/>
      <c r="H112" s="120"/>
      <c r="I112" s="46"/>
      <c r="J112" s="46"/>
      <c r="K112" s="44"/>
      <c r="L112" s="40"/>
      <c r="M112" s="125"/>
      <c r="N112" s="49"/>
      <c r="O112" s="27"/>
    </row>
    <row r="113" spans="1:15" ht="14.3">
      <c r="A113" s="42"/>
      <c r="B113" s="43"/>
      <c r="C113" s="45"/>
      <c r="D113" s="2"/>
      <c r="E113" s="46"/>
      <c r="F113" s="46"/>
      <c r="G113" s="44"/>
      <c r="H113" s="120"/>
      <c r="I113" s="46"/>
      <c r="J113" s="46"/>
      <c r="K113" s="44"/>
      <c r="L113" s="40"/>
      <c r="M113" s="125"/>
      <c r="N113" s="49"/>
      <c r="O113" s="27"/>
    </row>
    <row r="114" spans="1:15" ht="14.3">
      <c r="A114" s="42"/>
      <c r="B114" s="43"/>
      <c r="C114" s="45"/>
      <c r="D114" s="2"/>
      <c r="E114" s="46"/>
      <c r="F114" s="46"/>
      <c r="G114" s="44"/>
      <c r="H114" s="120"/>
      <c r="I114" s="46"/>
      <c r="J114" s="46"/>
      <c r="K114" s="44"/>
      <c r="L114" s="40"/>
      <c r="M114" s="125"/>
      <c r="N114" s="49"/>
      <c r="O114" s="27"/>
    </row>
    <row r="115" spans="1:15" ht="14.3">
      <c r="A115" s="42"/>
      <c r="B115" s="43"/>
      <c r="C115" s="45"/>
      <c r="D115" s="2"/>
      <c r="E115" s="46"/>
      <c r="F115" s="46"/>
      <c r="G115" s="44"/>
      <c r="H115" s="120"/>
      <c r="I115" s="46"/>
      <c r="J115" s="46"/>
      <c r="K115" s="44"/>
      <c r="L115" s="40"/>
      <c r="M115" s="125"/>
      <c r="N115" s="49"/>
      <c r="O115" s="27"/>
    </row>
    <row r="116" spans="1:15" ht="14.3">
      <c r="A116" s="42"/>
      <c r="B116" s="43"/>
      <c r="C116" s="45"/>
      <c r="D116" s="2"/>
      <c r="E116" s="46"/>
      <c r="F116" s="46"/>
      <c r="G116" s="44"/>
      <c r="H116" s="120"/>
      <c r="I116" s="46"/>
      <c r="J116" s="46"/>
      <c r="K116" s="44"/>
      <c r="L116" s="40"/>
      <c r="M116" s="125"/>
      <c r="N116" s="49"/>
      <c r="O116" s="27"/>
    </row>
    <row r="117" spans="1:15" ht="14.3">
      <c r="A117" s="42"/>
      <c r="B117" s="43"/>
      <c r="C117" s="45"/>
      <c r="D117" s="2"/>
      <c r="E117" s="46"/>
      <c r="F117" s="46"/>
      <c r="G117" s="44"/>
      <c r="H117" s="120"/>
      <c r="I117" s="46"/>
      <c r="J117" s="46"/>
      <c r="K117" s="44"/>
      <c r="L117" s="40"/>
      <c r="M117" s="125"/>
      <c r="N117" s="49"/>
      <c r="O117" s="27"/>
    </row>
    <row r="118" spans="1:15" ht="14.3">
      <c r="A118" s="42"/>
      <c r="B118" s="43"/>
      <c r="C118" s="45"/>
      <c r="D118" s="2"/>
      <c r="E118" s="46"/>
      <c r="F118" s="46"/>
      <c r="G118" s="44"/>
      <c r="H118" s="120"/>
      <c r="I118" s="46"/>
      <c r="J118" s="46"/>
      <c r="K118" s="44"/>
      <c r="L118" s="40"/>
      <c r="M118" s="125"/>
      <c r="N118" s="49"/>
      <c r="O118" s="27"/>
    </row>
  </sheetData>
  <customSheetViews>
    <customSheetView guid="{10370B21-7205-4D2E-87D6-806F9250D7DA}" filter="1" showAutoFilter="1">
      <pageMargins left="0.7" right="0.7" top="0.75" bottom="0.75" header="0.3" footer="0.3"/>
      <autoFilter ref="A3:R299" xr:uid="{3B23500F-F79E-499D-919B-A01D61B910E9}">
        <filterColumn colId="17">
          <filters>
            <filter val="0"/>
          </filters>
        </filterColumn>
      </autoFilter>
    </customSheetView>
  </customSheetViews>
  <mergeCells count="4">
    <mergeCell ref="D2:G2"/>
    <mergeCell ref="H2:K2"/>
    <mergeCell ref="D1:H1"/>
    <mergeCell ref="I1:M1"/>
  </mergeCells>
  <dataValidations count="1">
    <dataValidation type="list" allowBlank="1" showErrorMessage="1" sqref="C4:C118" xr:uid="{00000000-0002-0000-0000-000000000000}">
      <formula1>"TFW,MYSY,KSP,FREESHIP CARD,SC/ST,OTHER"</formula1>
    </dataValidation>
  </dataValidations>
  <pageMargins left="0.7" right="0.7" top="0.75" bottom="0.75" header="0.3" footer="0.3"/>
  <tableParts count="3">
    <tablePart r:id="rId1"/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A3A78-AC54-4317-A979-D84561ECD982}">
  <dimension ref="A1:AE919"/>
  <sheetViews>
    <sheetView topLeftCell="C207" workbookViewId="0">
      <selection activeCell="T218" sqref="T218"/>
    </sheetView>
  </sheetViews>
  <sheetFormatPr defaultColWidth="12.625" defaultRowHeight="12.9"/>
  <cols>
    <col min="1" max="1" width="13.75" customWidth="1"/>
    <col min="2" max="2" width="31.125" customWidth="1"/>
    <col min="3" max="4" width="6.25" customWidth="1"/>
    <col min="5" max="5" width="4.25" customWidth="1"/>
    <col min="6" max="7" width="11.125" customWidth="1"/>
    <col min="8" max="8" width="18.625" customWidth="1"/>
    <col min="9" max="9" width="10" customWidth="1"/>
    <col min="10" max="29" width="8.75" customWidth="1"/>
    <col min="30" max="30" width="28" customWidth="1"/>
  </cols>
  <sheetData>
    <row r="1" spans="1:31" ht="15.8" customHeight="1">
      <c r="A1" s="1" t="str">
        <f ca="1">IFERROR(__xludf.DUMMYFUNCTION("IMPORTRANGE(""1sn6on0ICLdPRd7yAwt9Z3RoZqKhpMRDLZsa8PcduEOs"",""SDS!A1:AD"")"),"")</f>
        <v/>
      </c>
      <c r="B1" s="81" t="str">
        <f ca="1">IFERROR(__xludf.DUMMYFUNCTION("""COMPUTED_VALUE"""),"RK UNIVERSITY")</f>
        <v>RK UNIVERSITY</v>
      </c>
      <c r="C1" s="82"/>
      <c r="D1" s="82"/>
      <c r="E1" s="82"/>
      <c r="F1" s="82"/>
      <c r="G1" s="82"/>
      <c r="H1" s="82"/>
      <c r="I1" s="3"/>
      <c r="J1" s="83" t="str">
        <f ca="1">IFERROR(__xludf.DUMMYFUNCTION("""COMPUTED_VALUE"""),"College Fee")</f>
        <v>College Fee</v>
      </c>
      <c r="K1" s="84"/>
      <c r="L1" s="84"/>
      <c r="M1" s="84"/>
      <c r="N1" s="85"/>
      <c r="O1" s="83" t="str">
        <f ca="1">IFERROR(__xludf.DUMMYFUNCTION("""COMPUTED_VALUE"""),"RK University Fee")</f>
        <v>RK University Fee</v>
      </c>
      <c r="P1" s="84"/>
      <c r="Q1" s="84"/>
      <c r="R1" s="84"/>
      <c r="S1" s="85"/>
      <c r="T1" s="86" t="str">
        <f ca="1">IFERROR(__xludf.DUMMYFUNCTION("""COMPUTED_VALUE"""),"Hostel Fee")</f>
        <v>Hostel Fee</v>
      </c>
      <c r="U1" s="84"/>
      <c r="V1" s="84"/>
      <c r="W1" s="84"/>
      <c r="X1" s="85"/>
      <c r="Y1" s="87" t="str">
        <f ca="1">IFERROR(__xludf.DUMMYFUNCTION("""COMPUTED_VALUE"""),"Transport Fee")</f>
        <v>Transport Fee</v>
      </c>
      <c r="Z1" s="84"/>
      <c r="AA1" s="84"/>
      <c r="AB1" s="84"/>
      <c r="AC1" s="85"/>
      <c r="AD1" s="4"/>
      <c r="AE1" s="5"/>
    </row>
    <row r="2" spans="1:31" ht="14.3">
      <c r="A2" s="6"/>
      <c r="B2" s="88" t="str">
        <f ca="1">IFERROR(__xludf.DUMMYFUNCTION("""COMPUTED_VALUE"""),"STUDENT FEE STATUS		")</f>
        <v xml:space="preserve">STUDENT FEE STATUS		</v>
      </c>
      <c r="C2" s="84"/>
      <c r="D2" s="84"/>
      <c r="E2" s="84"/>
      <c r="F2" s="84"/>
      <c r="G2" s="84"/>
      <c r="H2" s="85"/>
      <c r="I2" s="8"/>
      <c r="J2" s="83" t="str">
        <f ca="1">IFERROR(__xludf.DUMMYFUNCTION("""COMPUTED_VALUE"""),"INR")</f>
        <v>INR</v>
      </c>
      <c r="K2" s="84"/>
      <c r="L2" s="84"/>
      <c r="M2" s="85"/>
      <c r="N2" s="83"/>
      <c r="O2" s="84"/>
      <c r="P2" s="84"/>
      <c r="Q2" s="85"/>
      <c r="R2" s="9"/>
      <c r="S2" s="10"/>
      <c r="T2" s="11" t="str">
        <f ca="1">IFERROR(__xludf.DUMMYFUNCTION("""COMPUTED_VALUE"""),"INR")</f>
        <v>INR</v>
      </c>
      <c r="U2" s="10"/>
      <c r="V2" s="10"/>
      <c r="W2" s="10"/>
      <c r="X2" s="10"/>
      <c r="Y2" s="12" t="str">
        <f ca="1">IFERROR(__xludf.DUMMYFUNCTION("""COMPUTED_VALUE"""),"INR")</f>
        <v>INR</v>
      </c>
      <c r="Z2" s="10"/>
      <c r="AA2" s="10"/>
      <c r="AB2" s="10"/>
      <c r="AC2" s="10"/>
      <c r="AD2" s="4"/>
      <c r="AE2" s="5"/>
    </row>
    <row r="3" spans="1:31" ht="23.1">
      <c r="A3" s="13" t="str">
        <f ca="1">IFERROR(__xludf.DUMMYFUNCTION("""COMPUTED_VALUE"""),"ENo")</f>
        <v>ENo</v>
      </c>
      <c r="B3" s="13" t="str">
        <f ca="1">IFERROR(__xludf.DUMMYFUNCTION("""COMPUTED_VALUE"""),"Name")</f>
        <v>Name</v>
      </c>
      <c r="C3" s="14" t="str">
        <f ca="1">IFERROR(__xludf.DUMMYFUNCTION("""COMPUTED_VALUE"""),"School")</f>
        <v>School</v>
      </c>
      <c r="D3" s="15" t="str">
        <f ca="1">IFERROR(__xludf.DUMMYFUNCTION("""COMPUTED_VALUE"""),"Branch")</f>
        <v>Branch</v>
      </c>
      <c r="E3" s="14" t="str">
        <f ca="1">IFERROR(__xludf.DUMMYFUNCTION("""COMPUTED_VALUE"""),"Sem")</f>
        <v>Sem</v>
      </c>
      <c r="F3" s="15" t="str">
        <f ca="1">IFERROR(__xludf.DUMMYFUNCTION("""COMPUTED_VALUE"""),"SMobile")</f>
        <v>SMobile</v>
      </c>
      <c r="G3" s="14" t="str">
        <f ca="1">IFERROR(__xludf.DUMMYFUNCTION("""COMPUTED_VALUE"""),"FMobile")</f>
        <v>FMobile</v>
      </c>
      <c r="H3" s="14" t="str">
        <f ca="1">IFERROR(__xludf.DUMMYFUNCTION("""COMPUTED_VALUE"""),"Batch")</f>
        <v>Batch</v>
      </c>
      <c r="I3" s="14" t="str">
        <f ca="1">IFERROR(__xludf.DUMMYFUNCTION("""COMPUTED_VALUE"""),"Scholarship Type")</f>
        <v>Scholarship Type</v>
      </c>
      <c r="J3" s="16" t="str">
        <f ca="1">IFERROR(__xludf.DUMMYFUNCTION("""COMPUTED_VALUE"""),"C_Total")</f>
        <v>C_Total</v>
      </c>
      <c r="K3" s="16" t="str">
        <f ca="1">IFERROR(__xludf.DUMMYFUNCTION("""COMPUTED_VALUE"""),"C_Paid")</f>
        <v>C_Paid</v>
      </c>
      <c r="L3" s="16" t="str">
        <f ca="1">IFERROR(__xludf.DUMMYFUNCTION("""COMPUTED_VALUE"""),"C_Cheque Received")</f>
        <v>C_Cheque Received</v>
      </c>
      <c r="M3" s="16" t="str">
        <f ca="1">IFERROR(__xludf.DUMMYFUNCTION("""COMPUTED_VALUE"""),"C_Scholarship")</f>
        <v>C_Scholarship</v>
      </c>
      <c r="N3" s="16" t="str">
        <f ca="1">IFERROR(__xludf.DUMMYFUNCTION("""COMPUTED_VALUE"""),"C_Due")</f>
        <v>C_Due</v>
      </c>
      <c r="O3" s="16" t="str">
        <f ca="1">IFERROR(__xludf.DUMMYFUNCTION("""COMPUTED_VALUE"""),"U_Total")</f>
        <v>U_Total</v>
      </c>
      <c r="P3" s="16" t="str">
        <f ca="1">IFERROR(__xludf.DUMMYFUNCTION("""COMPUTED_VALUE"""),"U_Paid")</f>
        <v>U_Paid</v>
      </c>
      <c r="Q3" s="16" t="str">
        <f ca="1">IFERROR(__xludf.DUMMYFUNCTION("""COMPUTED_VALUE"""),"U_Cheque Received")</f>
        <v>U_Cheque Received</v>
      </c>
      <c r="R3" s="16" t="str">
        <f ca="1">IFERROR(__xludf.DUMMYFUNCTION("""COMPUTED_VALUE"""),"U_Scholarship")</f>
        <v>U_Scholarship</v>
      </c>
      <c r="S3" s="14" t="str">
        <f ca="1">IFERROR(__xludf.DUMMYFUNCTION("""COMPUTED_VALUE"""),"U_Due")</f>
        <v>U_Due</v>
      </c>
      <c r="T3" s="14" t="str">
        <f ca="1">IFERROR(__xludf.DUMMYFUNCTION("""COMPUTED_VALUE"""),"H_Total")</f>
        <v>H_Total</v>
      </c>
      <c r="U3" s="14" t="str">
        <f ca="1">IFERROR(__xludf.DUMMYFUNCTION("""COMPUTED_VALUE"""),"H_Paid")</f>
        <v>H_Paid</v>
      </c>
      <c r="V3" s="14" t="str">
        <f ca="1">IFERROR(__xludf.DUMMYFUNCTION("""COMPUTED_VALUE"""),"H_Cheque Received")</f>
        <v>H_Cheque Received</v>
      </c>
      <c r="W3" s="14" t="str">
        <f ca="1">IFERROR(__xludf.DUMMYFUNCTION("""COMPUTED_VALUE"""),"H_Scholarship")</f>
        <v>H_Scholarship</v>
      </c>
      <c r="X3" s="14" t="str">
        <f ca="1">IFERROR(__xludf.DUMMYFUNCTION("""COMPUTED_VALUE"""),"H_Due")</f>
        <v>H_Due</v>
      </c>
      <c r="Y3" s="14" t="str">
        <f ca="1">IFERROR(__xludf.DUMMYFUNCTION("""COMPUTED_VALUE"""),"TR_Total")</f>
        <v>TR_Total</v>
      </c>
      <c r="Z3" s="14" t="str">
        <f ca="1">IFERROR(__xludf.DUMMYFUNCTION("""COMPUTED_VALUE"""),"TR_Paid")</f>
        <v>TR_Paid</v>
      </c>
      <c r="AA3" s="14" t="str">
        <f ca="1">IFERROR(__xludf.DUMMYFUNCTION("""COMPUTED_VALUE"""),"TR_Cheque Received")</f>
        <v>TR_Cheque Received</v>
      </c>
      <c r="AB3" s="14" t="str">
        <f ca="1">IFERROR(__xludf.DUMMYFUNCTION("""COMPUTED_VALUE"""),"TR_Scholarship")</f>
        <v>TR_Scholarship</v>
      </c>
      <c r="AC3" s="14" t="str">
        <f ca="1">IFERROR(__xludf.DUMMYFUNCTION("""COMPUTED_VALUE"""),"TR_Due")</f>
        <v>TR_Due</v>
      </c>
      <c r="AD3" s="15" t="str">
        <f ca="1">IFERROR(__xludf.DUMMYFUNCTION("""COMPUTED_VALUE"""),"Remarks")</f>
        <v>Remarks</v>
      </c>
      <c r="AE3" s="17"/>
    </row>
    <row r="4" spans="1:31" ht="14.3">
      <c r="A4" s="18" t="str">
        <f ca="1">IFERROR(__xludf.DUMMYFUNCTION("""COMPUTED_VALUE"""),"23SDSCE01001")</f>
        <v>23SDSCE01001</v>
      </c>
      <c r="B4" s="19" t="str">
        <f ca="1">IFERROR(__xludf.DUMMYFUNCTION("""COMPUTED_VALUE"""),"ADHIYA KESHVI AJAYBHAI")</f>
        <v>ADHIYA KESHVI AJAYBHAI</v>
      </c>
      <c r="C4" s="18" t="str">
        <f ca="1">IFERROR(__xludf.DUMMYFUNCTION("""COMPUTED_VALUE"""),"SDS")</f>
        <v>SDS</v>
      </c>
      <c r="D4" s="18" t="str">
        <f ca="1">IFERROR(__xludf.DUMMYFUNCTION("""COMPUTED_VALUE"""),"DCE")</f>
        <v>DCE</v>
      </c>
      <c r="E4" s="18">
        <f ca="1">IFERROR(__xludf.DUMMYFUNCTION("""COMPUTED_VALUE"""),2)</f>
        <v>2</v>
      </c>
      <c r="F4" s="18" t="str">
        <f ca="1">IFERROR(__xludf.DUMMYFUNCTION("""COMPUTED_VALUE"""),"9979278181 8866000500")</f>
        <v>9979278181 8866000500</v>
      </c>
      <c r="G4" s="18" t="str">
        <f ca="1">IFERROR(__xludf.DUMMYFUNCTION("""COMPUTED_VALUE"""),"9979278181 8866000500")</f>
        <v>9979278181 8866000500</v>
      </c>
      <c r="H4" s="18" t="str">
        <f ca="1">IFERROR(__xludf.DUMMYFUNCTION("""COMPUTED_VALUE"""),"DCE_2023-26")</f>
        <v>DCE_2023-26</v>
      </c>
      <c r="I4" s="20"/>
      <c r="J4" s="21">
        <f ca="1">IFERROR(__xludf.DUMMYFUNCTION("""COMPUTED_VALUE"""),27500)</f>
        <v>27500</v>
      </c>
      <c r="K4" s="21">
        <f ca="1">IFERROR(__xludf.DUMMYFUNCTION("""COMPUTED_VALUE"""),27500)</f>
        <v>27500</v>
      </c>
      <c r="L4" s="21">
        <f ca="1">IFERROR(__xludf.DUMMYFUNCTION("""COMPUTED_VALUE"""),0)</f>
        <v>0</v>
      </c>
      <c r="M4" s="21">
        <f ca="1">IFERROR(__xludf.DUMMYFUNCTION("""COMPUTED_VALUE"""),0)</f>
        <v>0</v>
      </c>
      <c r="N4" s="21">
        <f ca="1">IFERROR(__xludf.DUMMYFUNCTION("""COMPUTED_VALUE"""),0)</f>
        <v>0</v>
      </c>
      <c r="O4" s="21">
        <f ca="1">IFERROR(__xludf.DUMMYFUNCTION("""COMPUTED_VALUE"""),3000)</f>
        <v>3000</v>
      </c>
      <c r="P4" s="21">
        <f ca="1">IFERROR(__xludf.DUMMYFUNCTION("""COMPUTED_VALUE"""),3000)</f>
        <v>3000</v>
      </c>
      <c r="Q4" s="21">
        <f ca="1">IFERROR(__xludf.DUMMYFUNCTION("""COMPUTED_VALUE"""),0)</f>
        <v>0</v>
      </c>
      <c r="R4" s="22">
        <f ca="1">IFERROR(__xludf.DUMMYFUNCTION("""COMPUTED_VALUE"""),0)</f>
        <v>0</v>
      </c>
      <c r="S4" s="23">
        <f ca="1">IFERROR(__xludf.DUMMYFUNCTION("""COMPUTED_VALUE"""),0)</f>
        <v>0</v>
      </c>
      <c r="T4" s="24">
        <f ca="1">IFERROR(__xludf.DUMMYFUNCTION("""COMPUTED_VALUE"""),0)</f>
        <v>0</v>
      </c>
      <c r="U4" s="23">
        <f ca="1">IFERROR(__xludf.DUMMYFUNCTION("""COMPUTED_VALUE"""),0)</f>
        <v>0</v>
      </c>
      <c r="V4" s="23">
        <f ca="1">IFERROR(__xludf.DUMMYFUNCTION("""COMPUTED_VALUE"""),0)</f>
        <v>0</v>
      </c>
      <c r="W4" s="23">
        <f ca="1">IFERROR(__xludf.DUMMYFUNCTION("""COMPUTED_VALUE"""),0)</f>
        <v>0</v>
      </c>
      <c r="X4" s="23">
        <f ca="1">IFERROR(__xludf.DUMMYFUNCTION("""COMPUTED_VALUE"""),0)</f>
        <v>0</v>
      </c>
      <c r="Y4" s="25">
        <f ca="1">IFERROR(__xludf.DUMMYFUNCTION("""COMPUTED_VALUE"""),0)</f>
        <v>0</v>
      </c>
      <c r="Z4" s="25">
        <f ca="1">IFERROR(__xludf.DUMMYFUNCTION("""COMPUTED_VALUE"""),0)</f>
        <v>0</v>
      </c>
      <c r="AA4" s="25">
        <f ca="1">IFERROR(__xludf.DUMMYFUNCTION("""COMPUTED_VALUE"""),0)</f>
        <v>0</v>
      </c>
      <c r="AB4" s="25">
        <f ca="1">IFERROR(__xludf.DUMMYFUNCTION("""COMPUTED_VALUE"""),0)</f>
        <v>0</v>
      </c>
      <c r="AC4" s="23">
        <f ca="1">IFERROR(__xludf.DUMMYFUNCTION("""COMPUTED_VALUE"""),0)</f>
        <v>0</v>
      </c>
      <c r="AD4" s="26"/>
      <c r="AE4" s="27"/>
    </row>
    <row r="5" spans="1:31" ht="14.3">
      <c r="A5" s="18" t="str">
        <f ca="1">IFERROR(__xludf.DUMMYFUNCTION("""COMPUTED_VALUE"""),"23SDSCE01002")</f>
        <v>23SDSCE01002</v>
      </c>
      <c r="B5" s="19" t="str">
        <f ca="1">IFERROR(__xludf.DUMMYFUNCTION("""COMPUTED_VALUE"""),"AGHERA KRISH RAJESHBHAI")</f>
        <v>AGHERA KRISH RAJESHBHAI</v>
      </c>
      <c r="C5" s="18" t="str">
        <f ca="1">IFERROR(__xludf.DUMMYFUNCTION("""COMPUTED_VALUE"""),"SDS")</f>
        <v>SDS</v>
      </c>
      <c r="D5" s="18" t="str">
        <f ca="1">IFERROR(__xludf.DUMMYFUNCTION("""COMPUTED_VALUE"""),"DCE")</f>
        <v>DCE</v>
      </c>
      <c r="E5" s="18">
        <f ca="1">IFERROR(__xludf.DUMMYFUNCTION("""COMPUTED_VALUE"""),2)</f>
        <v>2</v>
      </c>
      <c r="F5" s="18" t="str">
        <f ca="1">IFERROR(__xludf.DUMMYFUNCTION("""COMPUTED_VALUE"""),"9104749612 8780449612")</f>
        <v>9104749612 8780449612</v>
      </c>
      <c r="G5" s="18" t="str">
        <f ca="1">IFERROR(__xludf.DUMMYFUNCTION("""COMPUTED_VALUE"""),"9104749612 8780449612")</f>
        <v>9104749612 8780449612</v>
      </c>
      <c r="H5" s="18" t="str">
        <f ca="1">IFERROR(__xludf.DUMMYFUNCTION("""COMPUTED_VALUE"""),"DCE_2023-26")</f>
        <v>DCE_2023-26</v>
      </c>
      <c r="I5" s="20"/>
      <c r="J5" s="21">
        <f ca="1">IFERROR(__xludf.DUMMYFUNCTION("""COMPUTED_VALUE"""),27500)</f>
        <v>27500</v>
      </c>
      <c r="K5" s="21">
        <f ca="1">IFERROR(__xludf.DUMMYFUNCTION("""COMPUTED_VALUE"""),27500)</f>
        <v>27500</v>
      </c>
      <c r="L5" s="21">
        <f ca="1">IFERROR(__xludf.DUMMYFUNCTION("""COMPUTED_VALUE"""),0)</f>
        <v>0</v>
      </c>
      <c r="M5" s="21">
        <f ca="1">IFERROR(__xludf.DUMMYFUNCTION("""COMPUTED_VALUE"""),0)</f>
        <v>0</v>
      </c>
      <c r="N5" s="21">
        <f ca="1">IFERROR(__xludf.DUMMYFUNCTION("""COMPUTED_VALUE"""),0)</f>
        <v>0</v>
      </c>
      <c r="O5" s="21">
        <f ca="1">IFERROR(__xludf.DUMMYFUNCTION("""COMPUTED_VALUE"""),3000)</f>
        <v>3000</v>
      </c>
      <c r="P5" s="21">
        <f ca="1">IFERROR(__xludf.DUMMYFUNCTION("""COMPUTED_VALUE"""),3000)</f>
        <v>3000</v>
      </c>
      <c r="Q5" s="21">
        <f ca="1">IFERROR(__xludf.DUMMYFUNCTION("""COMPUTED_VALUE"""),0)</f>
        <v>0</v>
      </c>
      <c r="R5" s="22">
        <f ca="1">IFERROR(__xludf.DUMMYFUNCTION("""COMPUTED_VALUE"""),0)</f>
        <v>0</v>
      </c>
      <c r="S5" s="23">
        <f ca="1">IFERROR(__xludf.DUMMYFUNCTION("""COMPUTED_VALUE"""),0)</f>
        <v>0</v>
      </c>
      <c r="T5" s="24">
        <f ca="1">IFERROR(__xludf.DUMMYFUNCTION("""COMPUTED_VALUE"""),0)</f>
        <v>0</v>
      </c>
      <c r="U5" s="23">
        <f ca="1">IFERROR(__xludf.DUMMYFUNCTION("""COMPUTED_VALUE"""),0)</f>
        <v>0</v>
      </c>
      <c r="V5" s="23">
        <f ca="1">IFERROR(__xludf.DUMMYFUNCTION("""COMPUTED_VALUE"""),0)</f>
        <v>0</v>
      </c>
      <c r="W5" s="23">
        <f ca="1">IFERROR(__xludf.DUMMYFUNCTION("""COMPUTED_VALUE"""),0)</f>
        <v>0</v>
      </c>
      <c r="X5" s="23">
        <f ca="1">IFERROR(__xludf.DUMMYFUNCTION("""COMPUTED_VALUE"""),0)</f>
        <v>0</v>
      </c>
      <c r="Y5" s="25">
        <f ca="1">IFERROR(__xludf.DUMMYFUNCTION("""COMPUTED_VALUE"""),0)</f>
        <v>0</v>
      </c>
      <c r="Z5" s="25">
        <f ca="1">IFERROR(__xludf.DUMMYFUNCTION("""COMPUTED_VALUE"""),0)</f>
        <v>0</v>
      </c>
      <c r="AA5" s="25">
        <f ca="1">IFERROR(__xludf.DUMMYFUNCTION("""COMPUTED_VALUE"""),0)</f>
        <v>0</v>
      </c>
      <c r="AB5" s="25">
        <f ca="1">IFERROR(__xludf.DUMMYFUNCTION("""COMPUTED_VALUE"""),0)</f>
        <v>0</v>
      </c>
      <c r="AC5" s="23">
        <f ca="1">IFERROR(__xludf.DUMMYFUNCTION("""COMPUTED_VALUE"""),0)</f>
        <v>0</v>
      </c>
      <c r="AD5" s="26"/>
      <c r="AE5" s="27"/>
    </row>
    <row r="6" spans="1:31" ht="14.3">
      <c r="A6" s="18" t="str">
        <f ca="1">IFERROR(__xludf.DUMMYFUNCTION("""COMPUTED_VALUE"""),"23SDSCE01003")</f>
        <v>23SDSCE01003</v>
      </c>
      <c r="B6" s="19" t="str">
        <f ca="1">IFERROR(__xludf.DUMMYFUNCTION("""COMPUTED_VALUE"""),"BHESANIYA VED DHARMESHBHAI")</f>
        <v>BHESANIYA VED DHARMESHBHAI</v>
      </c>
      <c r="C6" s="18" t="str">
        <f ca="1">IFERROR(__xludf.DUMMYFUNCTION("""COMPUTED_VALUE"""),"SDS")</f>
        <v>SDS</v>
      </c>
      <c r="D6" s="18" t="str">
        <f ca="1">IFERROR(__xludf.DUMMYFUNCTION("""COMPUTED_VALUE"""),"DCE")</f>
        <v>DCE</v>
      </c>
      <c r="E6" s="18">
        <f ca="1">IFERROR(__xludf.DUMMYFUNCTION("""COMPUTED_VALUE"""),2)</f>
        <v>2</v>
      </c>
      <c r="F6" s="18" t="str">
        <f ca="1">IFERROR(__xludf.DUMMYFUNCTION("""COMPUTED_VALUE"""),"6351343892 9879270500")</f>
        <v>6351343892 9879270500</v>
      </c>
      <c r="G6" s="18" t="str">
        <f ca="1">IFERROR(__xludf.DUMMYFUNCTION("""COMPUTED_VALUE"""),"6351343892 9879270500")</f>
        <v>6351343892 9879270500</v>
      </c>
      <c r="H6" s="18" t="str">
        <f ca="1">IFERROR(__xludf.DUMMYFUNCTION("""COMPUTED_VALUE"""),"DCE_2023-26")</f>
        <v>DCE_2023-26</v>
      </c>
      <c r="I6" s="20"/>
      <c r="J6" s="21">
        <f ca="1">IFERROR(__xludf.DUMMYFUNCTION("""COMPUTED_VALUE"""),27500)</f>
        <v>27500</v>
      </c>
      <c r="K6" s="21">
        <f ca="1">IFERROR(__xludf.DUMMYFUNCTION("""COMPUTED_VALUE"""),27500)</f>
        <v>27500</v>
      </c>
      <c r="L6" s="21">
        <f ca="1">IFERROR(__xludf.DUMMYFUNCTION("""COMPUTED_VALUE"""),0)</f>
        <v>0</v>
      </c>
      <c r="M6" s="21">
        <f ca="1">IFERROR(__xludf.DUMMYFUNCTION("""COMPUTED_VALUE"""),0)</f>
        <v>0</v>
      </c>
      <c r="N6" s="21">
        <f ca="1">IFERROR(__xludf.DUMMYFUNCTION("""COMPUTED_VALUE"""),0)</f>
        <v>0</v>
      </c>
      <c r="O6" s="21">
        <f ca="1">IFERROR(__xludf.DUMMYFUNCTION("""COMPUTED_VALUE"""),3000)</f>
        <v>3000</v>
      </c>
      <c r="P6" s="21">
        <f ca="1">IFERROR(__xludf.DUMMYFUNCTION("""COMPUTED_VALUE"""),3000)</f>
        <v>3000</v>
      </c>
      <c r="Q6" s="21">
        <f ca="1">IFERROR(__xludf.DUMMYFUNCTION("""COMPUTED_VALUE"""),0)</f>
        <v>0</v>
      </c>
      <c r="R6" s="22">
        <f ca="1">IFERROR(__xludf.DUMMYFUNCTION("""COMPUTED_VALUE"""),0)</f>
        <v>0</v>
      </c>
      <c r="S6" s="23">
        <f ca="1">IFERROR(__xludf.DUMMYFUNCTION("""COMPUTED_VALUE"""),0)</f>
        <v>0</v>
      </c>
      <c r="T6" s="24">
        <f ca="1">IFERROR(__xludf.DUMMYFUNCTION("""COMPUTED_VALUE"""),0)</f>
        <v>0</v>
      </c>
      <c r="U6" s="23">
        <f ca="1">IFERROR(__xludf.DUMMYFUNCTION("""COMPUTED_VALUE"""),0)</f>
        <v>0</v>
      </c>
      <c r="V6" s="23">
        <f ca="1">IFERROR(__xludf.DUMMYFUNCTION("""COMPUTED_VALUE"""),0)</f>
        <v>0</v>
      </c>
      <c r="W6" s="23">
        <f ca="1">IFERROR(__xludf.DUMMYFUNCTION("""COMPUTED_VALUE"""),0)</f>
        <v>0</v>
      </c>
      <c r="X6" s="23">
        <f ca="1">IFERROR(__xludf.DUMMYFUNCTION("""COMPUTED_VALUE"""),0)</f>
        <v>0</v>
      </c>
      <c r="Y6" s="25">
        <f ca="1">IFERROR(__xludf.DUMMYFUNCTION("""COMPUTED_VALUE"""),0)</f>
        <v>0</v>
      </c>
      <c r="Z6" s="25">
        <f ca="1">IFERROR(__xludf.DUMMYFUNCTION("""COMPUTED_VALUE"""),0)</f>
        <v>0</v>
      </c>
      <c r="AA6" s="25">
        <f ca="1">IFERROR(__xludf.DUMMYFUNCTION("""COMPUTED_VALUE"""),0)</f>
        <v>0</v>
      </c>
      <c r="AB6" s="25">
        <f ca="1">IFERROR(__xludf.DUMMYFUNCTION("""COMPUTED_VALUE"""),0)</f>
        <v>0</v>
      </c>
      <c r="AC6" s="23">
        <f ca="1">IFERROR(__xludf.DUMMYFUNCTION("""COMPUTED_VALUE"""),0)</f>
        <v>0</v>
      </c>
      <c r="AD6" s="26"/>
      <c r="AE6" s="27"/>
    </row>
    <row r="7" spans="1:31" ht="14.3">
      <c r="A7" s="18" t="str">
        <f ca="1">IFERROR(__xludf.DUMMYFUNCTION("""COMPUTED_VALUE"""),"23SDSCE01005")</f>
        <v>23SDSCE01005</v>
      </c>
      <c r="B7" s="19" t="str">
        <f ca="1">IFERROR(__xludf.DUMMYFUNCTION("""COMPUTED_VALUE"""),"CHHATBAR TISHA MANISH")</f>
        <v>CHHATBAR TISHA MANISH</v>
      </c>
      <c r="C7" s="18" t="str">
        <f ca="1">IFERROR(__xludf.DUMMYFUNCTION("""COMPUTED_VALUE"""),"SDS")</f>
        <v>SDS</v>
      </c>
      <c r="D7" s="18" t="str">
        <f ca="1">IFERROR(__xludf.DUMMYFUNCTION("""COMPUTED_VALUE"""),"DCE")</f>
        <v>DCE</v>
      </c>
      <c r="E7" s="18">
        <f ca="1">IFERROR(__xludf.DUMMYFUNCTION("""COMPUTED_VALUE"""),2)</f>
        <v>2</v>
      </c>
      <c r="F7" s="18" t="str">
        <f ca="1">IFERROR(__xludf.DUMMYFUNCTION("""COMPUTED_VALUE"""),"9409015399 9825913299")</f>
        <v>9409015399 9825913299</v>
      </c>
      <c r="G7" s="18" t="str">
        <f ca="1">IFERROR(__xludf.DUMMYFUNCTION("""COMPUTED_VALUE"""),"9409015399 9825913299")</f>
        <v>9409015399 9825913299</v>
      </c>
      <c r="H7" s="18" t="str">
        <f ca="1">IFERROR(__xludf.DUMMYFUNCTION("""COMPUTED_VALUE"""),"DCE_2023-26")</f>
        <v>DCE_2023-26</v>
      </c>
      <c r="I7" s="20"/>
      <c r="J7" s="21">
        <f ca="1">IFERROR(__xludf.DUMMYFUNCTION("""COMPUTED_VALUE"""),27500)</f>
        <v>27500</v>
      </c>
      <c r="K7" s="21">
        <f ca="1">IFERROR(__xludf.DUMMYFUNCTION("""COMPUTED_VALUE"""),27500)</f>
        <v>27500</v>
      </c>
      <c r="L7" s="21">
        <f ca="1">IFERROR(__xludf.DUMMYFUNCTION("""COMPUTED_VALUE"""),0)</f>
        <v>0</v>
      </c>
      <c r="M7" s="21">
        <f ca="1">IFERROR(__xludf.DUMMYFUNCTION("""COMPUTED_VALUE"""),0)</f>
        <v>0</v>
      </c>
      <c r="N7" s="21">
        <f ca="1">IFERROR(__xludf.DUMMYFUNCTION("""COMPUTED_VALUE"""),0)</f>
        <v>0</v>
      </c>
      <c r="O7" s="21">
        <f ca="1">IFERROR(__xludf.DUMMYFUNCTION("""COMPUTED_VALUE"""),3000)</f>
        <v>3000</v>
      </c>
      <c r="P7" s="21">
        <f ca="1">IFERROR(__xludf.DUMMYFUNCTION("""COMPUTED_VALUE"""),3000)</f>
        <v>3000</v>
      </c>
      <c r="Q7" s="21">
        <f ca="1">IFERROR(__xludf.DUMMYFUNCTION("""COMPUTED_VALUE"""),0)</f>
        <v>0</v>
      </c>
      <c r="R7" s="22">
        <f ca="1">IFERROR(__xludf.DUMMYFUNCTION("""COMPUTED_VALUE"""),0)</f>
        <v>0</v>
      </c>
      <c r="S7" s="23">
        <f ca="1">IFERROR(__xludf.DUMMYFUNCTION("""COMPUTED_VALUE"""),0)</f>
        <v>0</v>
      </c>
      <c r="T7" s="24">
        <f ca="1">IFERROR(__xludf.DUMMYFUNCTION("""COMPUTED_VALUE"""),0)</f>
        <v>0</v>
      </c>
      <c r="U7" s="23">
        <f ca="1">IFERROR(__xludf.DUMMYFUNCTION("""COMPUTED_VALUE"""),0)</f>
        <v>0</v>
      </c>
      <c r="V7" s="23">
        <f ca="1">IFERROR(__xludf.DUMMYFUNCTION("""COMPUTED_VALUE"""),0)</f>
        <v>0</v>
      </c>
      <c r="W7" s="23">
        <f ca="1">IFERROR(__xludf.DUMMYFUNCTION("""COMPUTED_VALUE"""),0)</f>
        <v>0</v>
      </c>
      <c r="X7" s="23">
        <f ca="1">IFERROR(__xludf.DUMMYFUNCTION("""COMPUTED_VALUE"""),0)</f>
        <v>0</v>
      </c>
      <c r="Y7" s="25">
        <f ca="1">IFERROR(__xludf.DUMMYFUNCTION("""COMPUTED_VALUE"""),0)</f>
        <v>0</v>
      </c>
      <c r="Z7" s="25">
        <f ca="1">IFERROR(__xludf.DUMMYFUNCTION("""COMPUTED_VALUE"""),0)</f>
        <v>0</v>
      </c>
      <c r="AA7" s="25">
        <f ca="1">IFERROR(__xludf.DUMMYFUNCTION("""COMPUTED_VALUE"""),0)</f>
        <v>0</v>
      </c>
      <c r="AB7" s="25">
        <f ca="1">IFERROR(__xludf.DUMMYFUNCTION("""COMPUTED_VALUE"""),0)</f>
        <v>0</v>
      </c>
      <c r="AC7" s="23">
        <f ca="1">IFERROR(__xludf.DUMMYFUNCTION("""COMPUTED_VALUE"""),0)</f>
        <v>0</v>
      </c>
      <c r="AD7" s="26"/>
      <c r="AE7" s="27"/>
    </row>
    <row r="8" spans="1:31" ht="14.3">
      <c r="A8" s="18" t="str">
        <f ca="1">IFERROR(__xludf.DUMMYFUNCTION("""COMPUTED_VALUE"""),"23SDSCE01006")</f>
        <v>23SDSCE01006</v>
      </c>
      <c r="B8" s="19" t="str">
        <f ca="1">IFERROR(__xludf.DUMMYFUNCTION("""COMPUTED_VALUE"""),"CHOTHANI MEET RAMESHBHAI")</f>
        <v>CHOTHANI MEET RAMESHBHAI</v>
      </c>
      <c r="C8" s="18" t="str">
        <f ca="1">IFERROR(__xludf.DUMMYFUNCTION("""COMPUTED_VALUE"""),"SDS")</f>
        <v>SDS</v>
      </c>
      <c r="D8" s="18" t="str">
        <f ca="1">IFERROR(__xludf.DUMMYFUNCTION("""COMPUTED_VALUE"""),"DCE")</f>
        <v>DCE</v>
      </c>
      <c r="E8" s="18">
        <f ca="1">IFERROR(__xludf.DUMMYFUNCTION("""COMPUTED_VALUE"""),2)</f>
        <v>2</v>
      </c>
      <c r="F8" s="18" t="str">
        <f ca="1">IFERROR(__xludf.DUMMYFUNCTION("""COMPUTED_VALUE"""),"7600396265 7600817693")</f>
        <v>7600396265 7600817693</v>
      </c>
      <c r="G8" s="18" t="str">
        <f ca="1">IFERROR(__xludf.DUMMYFUNCTION("""COMPUTED_VALUE"""),"7600396265 7600817693")</f>
        <v>7600396265 7600817693</v>
      </c>
      <c r="H8" s="18" t="str">
        <f ca="1">IFERROR(__xludf.DUMMYFUNCTION("""COMPUTED_VALUE"""),"DCE_2023-26")</f>
        <v>DCE_2023-26</v>
      </c>
      <c r="I8" s="20" t="str">
        <f ca="1">IFERROR(__xludf.DUMMYFUNCTION("""COMPUTED_VALUE"""),"MYSY")</f>
        <v>MYSY</v>
      </c>
      <c r="J8" s="21">
        <f ca="1">IFERROR(__xludf.DUMMYFUNCTION("""COMPUTED_VALUE"""),27500)</f>
        <v>27500</v>
      </c>
      <c r="K8" s="21">
        <f ca="1">IFERROR(__xludf.DUMMYFUNCTION("""COMPUTED_VALUE"""),0)</f>
        <v>0</v>
      </c>
      <c r="L8" s="21">
        <f ca="1">IFERROR(__xludf.DUMMYFUNCTION("""COMPUTED_VALUE"""),0)</f>
        <v>0</v>
      </c>
      <c r="M8" s="21">
        <f ca="1">IFERROR(__xludf.DUMMYFUNCTION("""COMPUTED_VALUE"""),0)</f>
        <v>0</v>
      </c>
      <c r="N8" s="21">
        <f ca="1">IFERROR(__xludf.DUMMYFUNCTION("""COMPUTED_VALUE"""),27500)</f>
        <v>27500</v>
      </c>
      <c r="O8" s="21">
        <f ca="1">IFERROR(__xludf.DUMMYFUNCTION("""COMPUTED_VALUE"""),3000)</f>
        <v>3000</v>
      </c>
      <c r="P8" s="21">
        <f ca="1">IFERROR(__xludf.DUMMYFUNCTION("""COMPUTED_VALUE"""),3000)</f>
        <v>3000</v>
      </c>
      <c r="Q8" s="21">
        <f ca="1">IFERROR(__xludf.DUMMYFUNCTION("""COMPUTED_VALUE"""),0)</f>
        <v>0</v>
      </c>
      <c r="R8" s="22">
        <f ca="1">IFERROR(__xludf.DUMMYFUNCTION("""COMPUTED_VALUE"""),0)</f>
        <v>0</v>
      </c>
      <c r="S8" s="23">
        <f ca="1">IFERROR(__xludf.DUMMYFUNCTION("""COMPUTED_VALUE"""),0)</f>
        <v>0</v>
      </c>
      <c r="T8" s="24">
        <f ca="1">IFERROR(__xludf.DUMMYFUNCTION("""COMPUTED_VALUE"""),0)</f>
        <v>0</v>
      </c>
      <c r="U8" s="23">
        <f ca="1">IFERROR(__xludf.DUMMYFUNCTION("""COMPUTED_VALUE"""),0)</f>
        <v>0</v>
      </c>
      <c r="V8" s="23">
        <f ca="1">IFERROR(__xludf.DUMMYFUNCTION("""COMPUTED_VALUE"""),0)</f>
        <v>0</v>
      </c>
      <c r="W8" s="23">
        <f ca="1">IFERROR(__xludf.DUMMYFUNCTION("""COMPUTED_VALUE"""),0)</f>
        <v>0</v>
      </c>
      <c r="X8" s="23">
        <f ca="1">IFERROR(__xludf.DUMMYFUNCTION("""COMPUTED_VALUE"""),0)</f>
        <v>0</v>
      </c>
      <c r="Y8" s="25">
        <f ca="1">IFERROR(__xludf.DUMMYFUNCTION("""COMPUTED_VALUE"""),0)</f>
        <v>0</v>
      </c>
      <c r="Z8" s="25">
        <f ca="1">IFERROR(__xludf.DUMMYFUNCTION("""COMPUTED_VALUE"""),0)</f>
        <v>0</v>
      </c>
      <c r="AA8" s="25">
        <f ca="1">IFERROR(__xludf.DUMMYFUNCTION("""COMPUTED_VALUE"""),0)</f>
        <v>0</v>
      </c>
      <c r="AB8" s="25">
        <f ca="1">IFERROR(__xludf.DUMMYFUNCTION("""COMPUTED_VALUE"""),0)</f>
        <v>0</v>
      </c>
      <c r="AC8" s="23">
        <f ca="1">IFERROR(__xludf.DUMMYFUNCTION("""COMPUTED_VALUE"""),0)</f>
        <v>0</v>
      </c>
      <c r="AD8" s="26" t="str">
        <f ca="1">IFERROR(__xludf.DUMMYFUNCTION("""COMPUTED_VALUE"""),"80 UP PR STUDENT")</f>
        <v>80 UP PR STUDENT</v>
      </c>
      <c r="AE8" s="27"/>
    </row>
    <row r="9" spans="1:31" ht="14.3">
      <c r="A9" s="18" t="str">
        <f ca="1">IFERROR(__xludf.DUMMYFUNCTION("""COMPUTED_VALUE"""),"23SDSCE01007")</f>
        <v>23SDSCE01007</v>
      </c>
      <c r="B9" s="19" t="str">
        <f ca="1">IFERROR(__xludf.DUMMYFUNCTION("""COMPUTED_VALUE"""),"DANGARIYA RAJ KHIMJIBHAI")</f>
        <v>DANGARIYA RAJ KHIMJIBHAI</v>
      </c>
      <c r="C9" s="18" t="str">
        <f ca="1">IFERROR(__xludf.DUMMYFUNCTION("""COMPUTED_VALUE"""),"SDS")</f>
        <v>SDS</v>
      </c>
      <c r="D9" s="18" t="str">
        <f ca="1">IFERROR(__xludf.DUMMYFUNCTION("""COMPUTED_VALUE"""),"DCE")</f>
        <v>DCE</v>
      </c>
      <c r="E9" s="18">
        <f ca="1">IFERROR(__xludf.DUMMYFUNCTION("""COMPUTED_VALUE"""),2)</f>
        <v>2</v>
      </c>
      <c r="F9" s="18" t="str">
        <f ca="1">IFERROR(__xludf.DUMMYFUNCTION("""COMPUTED_VALUE"""),"6353531041 9586535344 9925565411")</f>
        <v>6353531041 9586535344 9925565411</v>
      </c>
      <c r="G9" s="18" t="str">
        <f ca="1">IFERROR(__xludf.DUMMYFUNCTION("""COMPUTED_VALUE"""),"6353531041 9586535344 9925565411")</f>
        <v>6353531041 9586535344 9925565411</v>
      </c>
      <c r="H9" s="18" t="str">
        <f ca="1">IFERROR(__xludf.DUMMYFUNCTION("""COMPUTED_VALUE"""),"DCE_2023-26")</f>
        <v>DCE_2023-26</v>
      </c>
      <c r="I9" s="20" t="str">
        <f ca="1">IFERROR(__xludf.DUMMYFUNCTION("""COMPUTED_VALUE"""),"MYSY")</f>
        <v>MYSY</v>
      </c>
      <c r="J9" s="21">
        <f ca="1">IFERROR(__xludf.DUMMYFUNCTION("""COMPUTED_VALUE"""),27500)</f>
        <v>27500</v>
      </c>
      <c r="K9" s="21">
        <f ca="1">IFERROR(__xludf.DUMMYFUNCTION("""COMPUTED_VALUE"""),0)</f>
        <v>0</v>
      </c>
      <c r="L9" s="21">
        <f ca="1">IFERROR(__xludf.DUMMYFUNCTION("""COMPUTED_VALUE"""),0)</f>
        <v>0</v>
      </c>
      <c r="M9" s="21">
        <f ca="1">IFERROR(__xludf.DUMMYFUNCTION("""COMPUTED_VALUE"""),0)</f>
        <v>0</v>
      </c>
      <c r="N9" s="21">
        <f ca="1">IFERROR(__xludf.DUMMYFUNCTION("""COMPUTED_VALUE"""),27500)</f>
        <v>27500</v>
      </c>
      <c r="O9" s="21">
        <f ca="1">IFERROR(__xludf.DUMMYFUNCTION("""COMPUTED_VALUE"""),3000)</f>
        <v>3000</v>
      </c>
      <c r="P9" s="21">
        <f ca="1">IFERROR(__xludf.DUMMYFUNCTION("""COMPUTED_VALUE"""),3000)</f>
        <v>3000</v>
      </c>
      <c r="Q9" s="21">
        <f ca="1">IFERROR(__xludf.DUMMYFUNCTION("""COMPUTED_VALUE"""),0)</f>
        <v>0</v>
      </c>
      <c r="R9" s="22">
        <f ca="1">IFERROR(__xludf.DUMMYFUNCTION("""COMPUTED_VALUE"""),0)</f>
        <v>0</v>
      </c>
      <c r="S9" s="23">
        <f ca="1">IFERROR(__xludf.DUMMYFUNCTION("""COMPUTED_VALUE"""),0)</f>
        <v>0</v>
      </c>
      <c r="T9" s="24">
        <f ca="1">IFERROR(__xludf.DUMMYFUNCTION("""COMPUTED_VALUE"""),0)</f>
        <v>0</v>
      </c>
      <c r="U9" s="23">
        <f ca="1">IFERROR(__xludf.DUMMYFUNCTION("""COMPUTED_VALUE"""),0)</f>
        <v>0</v>
      </c>
      <c r="V9" s="23">
        <f ca="1">IFERROR(__xludf.DUMMYFUNCTION("""COMPUTED_VALUE"""),0)</f>
        <v>0</v>
      </c>
      <c r="W9" s="23">
        <f ca="1">IFERROR(__xludf.DUMMYFUNCTION("""COMPUTED_VALUE"""),0)</f>
        <v>0</v>
      </c>
      <c r="X9" s="23">
        <f ca="1">IFERROR(__xludf.DUMMYFUNCTION("""COMPUTED_VALUE"""),0)</f>
        <v>0</v>
      </c>
      <c r="Y9" s="25">
        <f ca="1">IFERROR(__xludf.DUMMYFUNCTION("""COMPUTED_VALUE"""),0)</f>
        <v>0</v>
      </c>
      <c r="Z9" s="25">
        <f ca="1">IFERROR(__xludf.DUMMYFUNCTION("""COMPUTED_VALUE"""),0)</f>
        <v>0</v>
      </c>
      <c r="AA9" s="25">
        <f ca="1">IFERROR(__xludf.DUMMYFUNCTION("""COMPUTED_VALUE"""),0)</f>
        <v>0</v>
      </c>
      <c r="AB9" s="25">
        <f ca="1">IFERROR(__xludf.DUMMYFUNCTION("""COMPUTED_VALUE"""),0)</f>
        <v>0</v>
      </c>
      <c r="AC9" s="23">
        <f ca="1">IFERROR(__xludf.DUMMYFUNCTION("""COMPUTED_VALUE"""),0)</f>
        <v>0</v>
      </c>
      <c r="AD9" s="26"/>
      <c r="AE9" s="27"/>
    </row>
    <row r="10" spans="1:31" ht="14.3">
      <c r="A10" s="18" t="str">
        <f ca="1">IFERROR(__xludf.DUMMYFUNCTION("""COMPUTED_VALUE"""),"23SDSCE01008")</f>
        <v>23SDSCE01008</v>
      </c>
      <c r="B10" s="19" t="str">
        <f ca="1">IFERROR(__xludf.DUMMYFUNCTION("""COMPUTED_VALUE"""),"DAVDA ARYAN JAGDISHBHAI")</f>
        <v>DAVDA ARYAN JAGDISHBHAI</v>
      </c>
      <c r="C10" s="18" t="str">
        <f ca="1">IFERROR(__xludf.DUMMYFUNCTION("""COMPUTED_VALUE"""),"SDS")</f>
        <v>SDS</v>
      </c>
      <c r="D10" s="18" t="str">
        <f ca="1">IFERROR(__xludf.DUMMYFUNCTION("""COMPUTED_VALUE"""),"DCE")</f>
        <v>DCE</v>
      </c>
      <c r="E10" s="18">
        <f ca="1">IFERROR(__xludf.DUMMYFUNCTION("""COMPUTED_VALUE"""),2)</f>
        <v>2</v>
      </c>
      <c r="F10" s="18" t="str">
        <f ca="1">IFERROR(__xludf.DUMMYFUNCTION("""COMPUTED_VALUE"""),"9265856649 9427732824")</f>
        <v>9265856649 9427732824</v>
      </c>
      <c r="G10" s="18" t="str">
        <f ca="1">IFERROR(__xludf.DUMMYFUNCTION("""COMPUTED_VALUE"""),"9265856649 9427732824")</f>
        <v>9265856649 9427732824</v>
      </c>
      <c r="H10" s="18" t="str">
        <f ca="1">IFERROR(__xludf.DUMMYFUNCTION("""COMPUTED_VALUE"""),"DCE_2023-26")</f>
        <v>DCE_2023-26</v>
      </c>
      <c r="I10" s="20" t="str">
        <f ca="1">IFERROR(__xludf.DUMMYFUNCTION("""COMPUTED_VALUE"""),"TFW")</f>
        <v>TFW</v>
      </c>
      <c r="J10" s="21">
        <f ca="1">IFERROR(__xludf.DUMMYFUNCTION("""COMPUTED_VALUE"""),27500)</f>
        <v>27500</v>
      </c>
      <c r="K10" s="21">
        <f ca="1">IFERROR(__xludf.DUMMYFUNCTION("""COMPUTED_VALUE"""),0)</f>
        <v>0</v>
      </c>
      <c r="L10" s="21">
        <f ca="1">IFERROR(__xludf.DUMMYFUNCTION("""COMPUTED_VALUE"""),0)</f>
        <v>0</v>
      </c>
      <c r="M10" s="21">
        <f ca="1">IFERROR(__xludf.DUMMYFUNCTION("""COMPUTED_VALUE"""),0)</f>
        <v>0</v>
      </c>
      <c r="N10" s="21">
        <f ca="1">IFERROR(__xludf.DUMMYFUNCTION("""COMPUTED_VALUE"""),27500)</f>
        <v>27500</v>
      </c>
      <c r="O10" s="21">
        <f ca="1">IFERROR(__xludf.DUMMYFUNCTION("""COMPUTED_VALUE"""),3000)</f>
        <v>3000</v>
      </c>
      <c r="P10" s="21">
        <f ca="1">IFERROR(__xludf.DUMMYFUNCTION("""COMPUTED_VALUE"""),3000)</f>
        <v>3000</v>
      </c>
      <c r="Q10" s="21">
        <f ca="1">IFERROR(__xludf.DUMMYFUNCTION("""COMPUTED_VALUE"""),0)</f>
        <v>0</v>
      </c>
      <c r="R10" s="22">
        <f ca="1">IFERROR(__xludf.DUMMYFUNCTION("""COMPUTED_VALUE"""),0)</f>
        <v>0</v>
      </c>
      <c r="S10" s="23">
        <f ca="1">IFERROR(__xludf.DUMMYFUNCTION("""COMPUTED_VALUE"""),0)</f>
        <v>0</v>
      </c>
      <c r="T10" s="24">
        <f ca="1">IFERROR(__xludf.DUMMYFUNCTION("""COMPUTED_VALUE"""),0)</f>
        <v>0</v>
      </c>
      <c r="U10" s="23">
        <f ca="1">IFERROR(__xludf.DUMMYFUNCTION("""COMPUTED_VALUE"""),0)</f>
        <v>0</v>
      </c>
      <c r="V10" s="23">
        <f ca="1">IFERROR(__xludf.DUMMYFUNCTION("""COMPUTED_VALUE"""),0)</f>
        <v>0</v>
      </c>
      <c r="W10" s="23">
        <f ca="1">IFERROR(__xludf.DUMMYFUNCTION("""COMPUTED_VALUE"""),0)</f>
        <v>0</v>
      </c>
      <c r="X10" s="23">
        <f ca="1">IFERROR(__xludf.DUMMYFUNCTION("""COMPUTED_VALUE"""),0)</f>
        <v>0</v>
      </c>
      <c r="Y10" s="25">
        <f ca="1">IFERROR(__xludf.DUMMYFUNCTION("""COMPUTED_VALUE"""),0)</f>
        <v>0</v>
      </c>
      <c r="Z10" s="25">
        <f ca="1">IFERROR(__xludf.DUMMYFUNCTION("""COMPUTED_VALUE"""),0)</f>
        <v>0</v>
      </c>
      <c r="AA10" s="25">
        <f ca="1">IFERROR(__xludf.DUMMYFUNCTION("""COMPUTED_VALUE"""),0)</f>
        <v>0</v>
      </c>
      <c r="AB10" s="25">
        <f ca="1">IFERROR(__xludf.DUMMYFUNCTION("""COMPUTED_VALUE"""),0)</f>
        <v>0</v>
      </c>
      <c r="AC10" s="23">
        <f ca="1">IFERROR(__xludf.DUMMYFUNCTION("""COMPUTED_VALUE"""),0)</f>
        <v>0</v>
      </c>
      <c r="AD10" s="26"/>
      <c r="AE10" s="27"/>
    </row>
    <row r="11" spans="1:31" ht="14.3">
      <c r="A11" s="18" t="str">
        <f ca="1">IFERROR(__xludf.DUMMYFUNCTION("""COMPUTED_VALUE"""),"23SDSCE01009")</f>
        <v>23SDSCE01009</v>
      </c>
      <c r="B11" s="19" t="str">
        <f ca="1">IFERROR(__xludf.DUMMYFUNCTION("""COMPUTED_VALUE"""),"DUDAKIYA PARAM RAJESHBHAI")</f>
        <v>DUDAKIYA PARAM RAJESHBHAI</v>
      </c>
      <c r="C11" s="18" t="str">
        <f ca="1">IFERROR(__xludf.DUMMYFUNCTION("""COMPUTED_VALUE"""),"SDS")</f>
        <v>SDS</v>
      </c>
      <c r="D11" s="18" t="str">
        <f ca="1">IFERROR(__xludf.DUMMYFUNCTION("""COMPUTED_VALUE"""),"DCE")</f>
        <v>DCE</v>
      </c>
      <c r="E11" s="18">
        <f ca="1">IFERROR(__xludf.DUMMYFUNCTION("""COMPUTED_VALUE"""),2)</f>
        <v>2</v>
      </c>
      <c r="F11" s="18" t="str">
        <f ca="1">IFERROR(__xludf.DUMMYFUNCTION("""COMPUTED_VALUE"""),"9023281112 9425484973")</f>
        <v>9023281112 9425484973</v>
      </c>
      <c r="G11" s="18" t="str">
        <f ca="1">IFERROR(__xludf.DUMMYFUNCTION("""COMPUTED_VALUE"""),"9023281112 9425484973")</f>
        <v>9023281112 9425484973</v>
      </c>
      <c r="H11" s="18" t="str">
        <f ca="1">IFERROR(__xludf.DUMMYFUNCTION("""COMPUTED_VALUE"""),"DCE_2023-26")</f>
        <v>DCE_2023-26</v>
      </c>
      <c r="I11" s="20" t="str">
        <f ca="1">IFERROR(__xludf.DUMMYFUNCTION("""COMPUTED_VALUE"""),"TFW")</f>
        <v>TFW</v>
      </c>
      <c r="J11" s="21">
        <f ca="1">IFERROR(__xludf.DUMMYFUNCTION("""COMPUTED_VALUE"""),27500)</f>
        <v>27500</v>
      </c>
      <c r="K11" s="21">
        <f ca="1">IFERROR(__xludf.DUMMYFUNCTION("""COMPUTED_VALUE"""),0)</f>
        <v>0</v>
      </c>
      <c r="L11" s="21">
        <f ca="1">IFERROR(__xludf.DUMMYFUNCTION("""COMPUTED_VALUE"""),0)</f>
        <v>0</v>
      </c>
      <c r="M11" s="21">
        <f ca="1">IFERROR(__xludf.DUMMYFUNCTION("""COMPUTED_VALUE"""),0)</f>
        <v>0</v>
      </c>
      <c r="N11" s="21">
        <f ca="1">IFERROR(__xludf.DUMMYFUNCTION("""COMPUTED_VALUE"""),27500)</f>
        <v>27500</v>
      </c>
      <c r="O11" s="21">
        <f ca="1">IFERROR(__xludf.DUMMYFUNCTION("""COMPUTED_VALUE"""),3000)</f>
        <v>3000</v>
      </c>
      <c r="P11" s="21">
        <f ca="1">IFERROR(__xludf.DUMMYFUNCTION("""COMPUTED_VALUE"""),3000)</f>
        <v>3000</v>
      </c>
      <c r="Q11" s="21">
        <f ca="1">IFERROR(__xludf.DUMMYFUNCTION("""COMPUTED_VALUE"""),0)</f>
        <v>0</v>
      </c>
      <c r="R11" s="22">
        <f ca="1">IFERROR(__xludf.DUMMYFUNCTION("""COMPUTED_VALUE"""),0)</f>
        <v>0</v>
      </c>
      <c r="S11" s="23">
        <f ca="1">IFERROR(__xludf.DUMMYFUNCTION("""COMPUTED_VALUE"""),0)</f>
        <v>0</v>
      </c>
      <c r="T11" s="24">
        <f ca="1">IFERROR(__xludf.DUMMYFUNCTION("""COMPUTED_VALUE"""),0)</f>
        <v>0</v>
      </c>
      <c r="U11" s="23">
        <f ca="1">IFERROR(__xludf.DUMMYFUNCTION("""COMPUTED_VALUE"""),0)</f>
        <v>0</v>
      </c>
      <c r="V11" s="23">
        <f ca="1">IFERROR(__xludf.DUMMYFUNCTION("""COMPUTED_VALUE"""),0)</f>
        <v>0</v>
      </c>
      <c r="W11" s="23">
        <f ca="1">IFERROR(__xludf.DUMMYFUNCTION("""COMPUTED_VALUE"""),0)</f>
        <v>0</v>
      </c>
      <c r="X11" s="23">
        <f ca="1">IFERROR(__xludf.DUMMYFUNCTION("""COMPUTED_VALUE"""),0)</f>
        <v>0</v>
      </c>
      <c r="Y11" s="25">
        <f ca="1">IFERROR(__xludf.DUMMYFUNCTION("""COMPUTED_VALUE"""),0)</f>
        <v>0</v>
      </c>
      <c r="Z11" s="25">
        <f ca="1">IFERROR(__xludf.DUMMYFUNCTION("""COMPUTED_VALUE"""),0)</f>
        <v>0</v>
      </c>
      <c r="AA11" s="25">
        <f ca="1">IFERROR(__xludf.DUMMYFUNCTION("""COMPUTED_VALUE"""),0)</f>
        <v>0</v>
      </c>
      <c r="AB11" s="25">
        <f ca="1">IFERROR(__xludf.DUMMYFUNCTION("""COMPUTED_VALUE"""),0)</f>
        <v>0</v>
      </c>
      <c r="AC11" s="23">
        <f ca="1">IFERROR(__xludf.DUMMYFUNCTION("""COMPUTED_VALUE"""),0)</f>
        <v>0</v>
      </c>
      <c r="AD11" s="26"/>
      <c r="AE11" s="27"/>
    </row>
    <row r="12" spans="1:31" ht="14.3">
      <c r="A12" s="18" t="str">
        <f ca="1">IFERROR(__xludf.DUMMYFUNCTION("""COMPUTED_VALUE"""),"23SDSCE01010")</f>
        <v>23SDSCE01010</v>
      </c>
      <c r="B12" s="19" t="str">
        <f ca="1">IFERROR(__xludf.DUMMYFUNCTION("""COMPUTED_VALUE"""),"DUDAKIYA PUJEN ANKITBHAI")</f>
        <v>DUDAKIYA PUJEN ANKITBHAI</v>
      </c>
      <c r="C12" s="18" t="str">
        <f ca="1">IFERROR(__xludf.DUMMYFUNCTION("""COMPUTED_VALUE"""),"SDS")</f>
        <v>SDS</v>
      </c>
      <c r="D12" s="18" t="str">
        <f ca="1">IFERROR(__xludf.DUMMYFUNCTION("""COMPUTED_VALUE"""),"DCE")</f>
        <v>DCE</v>
      </c>
      <c r="E12" s="18">
        <f ca="1">IFERROR(__xludf.DUMMYFUNCTION("""COMPUTED_VALUE"""),2)</f>
        <v>2</v>
      </c>
      <c r="F12" s="18" t="str">
        <f ca="1">IFERROR(__xludf.DUMMYFUNCTION("""COMPUTED_VALUE"""),"8140565604 8140404640")</f>
        <v>8140565604 8140404640</v>
      </c>
      <c r="G12" s="18" t="str">
        <f ca="1">IFERROR(__xludf.DUMMYFUNCTION("""COMPUTED_VALUE"""),"8140565604 8140404640")</f>
        <v>8140565604 8140404640</v>
      </c>
      <c r="H12" s="18" t="str">
        <f ca="1">IFERROR(__xludf.DUMMYFUNCTION("""COMPUTED_VALUE"""),"DCE_2023-26")</f>
        <v>DCE_2023-26</v>
      </c>
      <c r="I12" s="20"/>
      <c r="J12" s="21">
        <f ca="1">IFERROR(__xludf.DUMMYFUNCTION("""COMPUTED_VALUE"""),27500)</f>
        <v>27500</v>
      </c>
      <c r="K12" s="21">
        <f ca="1">IFERROR(__xludf.DUMMYFUNCTION("""COMPUTED_VALUE"""),0)</f>
        <v>0</v>
      </c>
      <c r="L12" s="21">
        <f ca="1">IFERROR(__xludf.DUMMYFUNCTION("""COMPUTED_VALUE"""),0)</f>
        <v>0</v>
      </c>
      <c r="M12" s="21">
        <f ca="1">IFERROR(__xludf.DUMMYFUNCTION("""COMPUTED_VALUE"""),0)</f>
        <v>0</v>
      </c>
      <c r="N12" s="21">
        <f ca="1">IFERROR(__xludf.DUMMYFUNCTION("""COMPUTED_VALUE"""),27500)</f>
        <v>27500</v>
      </c>
      <c r="O12" s="21">
        <f ca="1">IFERROR(__xludf.DUMMYFUNCTION("""COMPUTED_VALUE"""),3000)</f>
        <v>3000</v>
      </c>
      <c r="P12" s="21">
        <f ca="1">IFERROR(__xludf.DUMMYFUNCTION("""COMPUTED_VALUE"""),3000)</f>
        <v>3000</v>
      </c>
      <c r="Q12" s="21">
        <f ca="1">IFERROR(__xludf.DUMMYFUNCTION("""COMPUTED_VALUE"""),0)</f>
        <v>0</v>
      </c>
      <c r="R12" s="22">
        <f ca="1">IFERROR(__xludf.DUMMYFUNCTION("""COMPUTED_VALUE"""),0)</f>
        <v>0</v>
      </c>
      <c r="S12" s="23">
        <f ca="1">IFERROR(__xludf.DUMMYFUNCTION("""COMPUTED_VALUE"""),0)</f>
        <v>0</v>
      </c>
      <c r="T12" s="24">
        <f ca="1">IFERROR(__xludf.DUMMYFUNCTION("""COMPUTED_VALUE"""),0)</f>
        <v>0</v>
      </c>
      <c r="U12" s="23">
        <f ca="1">IFERROR(__xludf.DUMMYFUNCTION("""COMPUTED_VALUE"""),0)</f>
        <v>0</v>
      </c>
      <c r="V12" s="23">
        <f ca="1">IFERROR(__xludf.DUMMYFUNCTION("""COMPUTED_VALUE"""),0)</f>
        <v>0</v>
      </c>
      <c r="W12" s="23">
        <f ca="1">IFERROR(__xludf.DUMMYFUNCTION("""COMPUTED_VALUE"""),0)</f>
        <v>0</v>
      </c>
      <c r="X12" s="23">
        <f ca="1">IFERROR(__xludf.DUMMYFUNCTION("""COMPUTED_VALUE"""),0)</f>
        <v>0</v>
      </c>
      <c r="Y12" s="25">
        <f ca="1">IFERROR(__xludf.DUMMYFUNCTION("""COMPUTED_VALUE"""),0)</f>
        <v>0</v>
      </c>
      <c r="Z12" s="25">
        <f ca="1">IFERROR(__xludf.DUMMYFUNCTION("""COMPUTED_VALUE"""),0)</f>
        <v>0</v>
      </c>
      <c r="AA12" s="25">
        <f ca="1">IFERROR(__xludf.DUMMYFUNCTION("""COMPUTED_VALUE"""),0)</f>
        <v>0</v>
      </c>
      <c r="AB12" s="25">
        <f ca="1">IFERROR(__xludf.DUMMYFUNCTION("""COMPUTED_VALUE"""),0)</f>
        <v>0</v>
      </c>
      <c r="AC12" s="23">
        <f ca="1">IFERROR(__xludf.DUMMYFUNCTION("""COMPUTED_VALUE"""),0)</f>
        <v>0</v>
      </c>
      <c r="AD12" s="26"/>
      <c r="AE12" s="27"/>
    </row>
    <row r="13" spans="1:31" ht="14.3">
      <c r="A13" s="18" t="str">
        <f ca="1">IFERROR(__xludf.DUMMYFUNCTION("""COMPUTED_VALUE"""),"23SDSCE01011")</f>
        <v>23SDSCE01011</v>
      </c>
      <c r="B13" s="19" t="str">
        <f ca="1">IFERROR(__xludf.DUMMYFUNCTION("""COMPUTED_VALUE"""),"GONDALIYA VYOM VISHNUDAS")</f>
        <v>GONDALIYA VYOM VISHNUDAS</v>
      </c>
      <c r="C13" s="18" t="str">
        <f ca="1">IFERROR(__xludf.DUMMYFUNCTION("""COMPUTED_VALUE"""),"SDS")</f>
        <v>SDS</v>
      </c>
      <c r="D13" s="18" t="str">
        <f ca="1">IFERROR(__xludf.DUMMYFUNCTION("""COMPUTED_VALUE"""),"DCE")</f>
        <v>DCE</v>
      </c>
      <c r="E13" s="18">
        <f ca="1">IFERROR(__xludf.DUMMYFUNCTION("""COMPUTED_VALUE"""),2)</f>
        <v>2</v>
      </c>
      <c r="F13" s="18" t="str">
        <f ca="1">IFERROR(__xludf.DUMMYFUNCTION("""COMPUTED_VALUE"""),"9974801784 9937499307")</f>
        <v>9974801784 9937499307</v>
      </c>
      <c r="G13" s="18" t="str">
        <f ca="1">IFERROR(__xludf.DUMMYFUNCTION("""COMPUTED_VALUE"""),"9974801784 9937499307")</f>
        <v>9974801784 9937499307</v>
      </c>
      <c r="H13" s="18" t="str">
        <f ca="1">IFERROR(__xludf.DUMMYFUNCTION("""COMPUTED_VALUE"""),"DCE_2023-26")</f>
        <v>DCE_2023-26</v>
      </c>
      <c r="I13" s="20"/>
      <c r="J13" s="21">
        <f ca="1">IFERROR(__xludf.DUMMYFUNCTION("""COMPUTED_VALUE"""),27500)</f>
        <v>27500</v>
      </c>
      <c r="K13" s="21">
        <f ca="1">IFERROR(__xludf.DUMMYFUNCTION("""COMPUTED_VALUE"""),27500)</f>
        <v>27500</v>
      </c>
      <c r="L13" s="21">
        <f ca="1">IFERROR(__xludf.DUMMYFUNCTION("""COMPUTED_VALUE"""),0)</f>
        <v>0</v>
      </c>
      <c r="M13" s="21">
        <f ca="1">IFERROR(__xludf.DUMMYFUNCTION("""COMPUTED_VALUE"""),0)</f>
        <v>0</v>
      </c>
      <c r="N13" s="21">
        <f ca="1">IFERROR(__xludf.DUMMYFUNCTION("""COMPUTED_VALUE"""),0)</f>
        <v>0</v>
      </c>
      <c r="O13" s="21">
        <f ca="1">IFERROR(__xludf.DUMMYFUNCTION("""COMPUTED_VALUE"""),3000)</f>
        <v>3000</v>
      </c>
      <c r="P13" s="21">
        <f ca="1">IFERROR(__xludf.DUMMYFUNCTION("""COMPUTED_VALUE"""),3000)</f>
        <v>3000</v>
      </c>
      <c r="Q13" s="21">
        <f ca="1">IFERROR(__xludf.DUMMYFUNCTION("""COMPUTED_VALUE"""),0)</f>
        <v>0</v>
      </c>
      <c r="R13" s="22">
        <f ca="1">IFERROR(__xludf.DUMMYFUNCTION("""COMPUTED_VALUE"""),0)</f>
        <v>0</v>
      </c>
      <c r="S13" s="23">
        <f ca="1">IFERROR(__xludf.DUMMYFUNCTION("""COMPUTED_VALUE"""),0)</f>
        <v>0</v>
      </c>
      <c r="T13" s="24">
        <f ca="1">IFERROR(__xludf.DUMMYFUNCTION("""COMPUTED_VALUE"""),0)</f>
        <v>0</v>
      </c>
      <c r="U13" s="23">
        <f ca="1">IFERROR(__xludf.DUMMYFUNCTION("""COMPUTED_VALUE"""),0)</f>
        <v>0</v>
      </c>
      <c r="V13" s="23">
        <f ca="1">IFERROR(__xludf.DUMMYFUNCTION("""COMPUTED_VALUE"""),0)</f>
        <v>0</v>
      </c>
      <c r="W13" s="23">
        <f ca="1">IFERROR(__xludf.DUMMYFUNCTION("""COMPUTED_VALUE"""),0)</f>
        <v>0</v>
      </c>
      <c r="X13" s="23">
        <f ca="1">IFERROR(__xludf.DUMMYFUNCTION("""COMPUTED_VALUE"""),0)</f>
        <v>0</v>
      </c>
      <c r="Y13" s="25">
        <f ca="1">IFERROR(__xludf.DUMMYFUNCTION("""COMPUTED_VALUE"""),0)</f>
        <v>0</v>
      </c>
      <c r="Z13" s="25">
        <f ca="1">IFERROR(__xludf.DUMMYFUNCTION("""COMPUTED_VALUE"""),0)</f>
        <v>0</v>
      </c>
      <c r="AA13" s="25">
        <f ca="1">IFERROR(__xludf.DUMMYFUNCTION("""COMPUTED_VALUE"""),0)</f>
        <v>0</v>
      </c>
      <c r="AB13" s="25">
        <f ca="1">IFERROR(__xludf.DUMMYFUNCTION("""COMPUTED_VALUE"""),0)</f>
        <v>0</v>
      </c>
      <c r="AC13" s="23">
        <f ca="1">IFERROR(__xludf.DUMMYFUNCTION("""COMPUTED_VALUE"""),0)</f>
        <v>0</v>
      </c>
      <c r="AD13" s="26"/>
      <c r="AE13" s="27"/>
    </row>
    <row r="14" spans="1:31" ht="14.3">
      <c r="A14" s="18" t="str">
        <f ca="1">IFERROR(__xludf.DUMMYFUNCTION("""COMPUTED_VALUE"""),"23SDSCE01012")</f>
        <v>23SDSCE01012</v>
      </c>
      <c r="B14" s="19" t="str">
        <f ca="1">IFERROR(__xludf.DUMMYFUNCTION("""COMPUTED_VALUE"""),"HAPALIYA ARYAN RAMESHBHAI")</f>
        <v>HAPALIYA ARYAN RAMESHBHAI</v>
      </c>
      <c r="C14" s="18" t="str">
        <f ca="1">IFERROR(__xludf.DUMMYFUNCTION("""COMPUTED_VALUE"""),"SDS")</f>
        <v>SDS</v>
      </c>
      <c r="D14" s="18" t="str">
        <f ca="1">IFERROR(__xludf.DUMMYFUNCTION("""COMPUTED_VALUE"""),"DCE")</f>
        <v>DCE</v>
      </c>
      <c r="E14" s="18">
        <f ca="1">IFERROR(__xludf.DUMMYFUNCTION("""COMPUTED_VALUE"""),2)</f>
        <v>2</v>
      </c>
      <c r="F14" s="18" t="str">
        <f ca="1">IFERROR(__xludf.DUMMYFUNCTION("""COMPUTED_VALUE"""),"6353689298 9664610525 9723254525")</f>
        <v>6353689298 9664610525 9723254525</v>
      </c>
      <c r="G14" s="18" t="str">
        <f ca="1">IFERROR(__xludf.DUMMYFUNCTION("""COMPUTED_VALUE"""),"6353689298 9664610525 9723254525")</f>
        <v>6353689298 9664610525 9723254525</v>
      </c>
      <c r="H14" s="18" t="str">
        <f ca="1">IFERROR(__xludf.DUMMYFUNCTION("""COMPUTED_VALUE"""),"DCE_2023-26")</f>
        <v>DCE_2023-26</v>
      </c>
      <c r="I14" s="20" t="str">
        <f ca="1">IFERROR(__xludf.DUMMYFUNCTION("""COMPUTED_VALUE"""),"MYSY")</f>
        <v>MYSY</v>
      </c>
      <c r="J14" s="21">
        <f ca="1">IFERROR(__xludf.DUMMYFUNCTION("""COMPUTED_VALUE"""),27500)</f>
        <v>27500</v>
      </c>
      <c r="K14" s="21">
        <f ca="1">IFERROR(__xludf.DUMMYFUNCTION("""COMPUTED_VALUE"""),0)</f>
        <v>0</v>
      </c>
      <c r="L14" s="21">
        <f ca="1">IFERROR(__xludf.DUMMYFUNCTION("""COMPUTED_VALUE"""),0)</f>
        <v>0</v>
      </c>
      <c r="M14" s="21">
        <f ca="1">IFERROR(__xludf.DUMMYFUNCTION("""COMPUTED_VALUE"""),0)</f>
        <v>0</v>
      </c>
      <c r="N14" s="21">
        <f ca="1">IFERROR(__xludf.DUMMYFUNCTION("""COMPUTED_VALUE"""),27500)</f>
        <v>27500</v>
      </c>
      <c r="O14" s="21">
        <f ca="1">IFERROR(__xludf.DUMMYFUNCTION("""COMPUTED_VALUE"""),3000)</f>
        <v>3000</v>
      </c>
      <c r="P14" s="21">
        <f ca="1">IFERROR(__xludf.DUMMYFUNCTION("""COMPUTED_VALUE"""),3000)</f>
        <v>3000</v>
      </c>
      <c r="Q14" s="21">
        <f ca="1">IFERROR(__xludf.DUMMYFUNCTION("""COMPUTED_VALUE"""),0)</f>
        <v>0</v>
      </c>
      <c r="R14" s="22">
        <f ca="1">IFERROR(__xludf.DUMMYFUNCTION("""COMPUTED_VALUE"""),0)</f>
        <v>0</v>
      </c>
      <c r="S14" s="23">
        <f ca="1">IFERROR(__xludf.DUMMYFUNCTION("""COMPUTED_VALUE"""),0)</f>
        <v>0</v>
      </c>
      <c r="T14" s="24">
        <f ca="1">IFERROR(__xludf.DUMMYFUNCTION("""COMPUTED_VALUE"""),0)</f>
        <v>0</v>
      </c>
      <c r="U14" s="23">
        <f ca="1">IFERROR(__xludf.DUMMYFUNCTION("""COMPUTED_VALUE"""),0)</f>
        <v>0</v>
      </c>
      <c r="V14" s="23">
        <f ca="1">IFERROR(__xludf.DUMMYFUNCTION("""COMPUTED_VALUE"""),0)</f>
        <v>0</v>
      </c>
      <c r="W14" s="23">
        <f ca="1">IFERROR(__xludf.DUMMYFUNCTION("""COMPUTED_VALUE"""),0)</f>
        <v>0</v>
      </c>
      <c r="X14" s="23">
        <f ca="1">IFERROR(__xludf.DUMMYFUNCTION("""COMPUTED_VALUE"""),0)</f>
        <v>0</v>
      </c>
      <c r="Y14" s="25">
        <f ca="1">IFERROR(__xludf.DUMMYFUNCTION("""COMPUTED_VALUE"""),0)</f>
        <v>0</v>
      </c>
      <c r="Z14" s="25">
        <f ca="1">IFERROR(__xludf.DUMMYFUNCTION("""COMPUTED_VALUE"""),0)</f>
        <v>0</v>
      </c>
      <c r="AA14" s="25">
        <f ca="1">IFERROR(__xludf.DUMMYFUNCTION("""COMPUTED_VALUE"""),0)</f>
        <v>0</v>
      </c>
      <c r="AB14" s="25">
        <f ca="1">IFERROR(__xludf.DUMMYFUNCTION("""COMPUTED_VALUE"""),0)</f>
        <v>0</v>
      </c>
      <c r="AC14" s="23">
        <f ca="1">IFERROR(__xludf.DUMMYFUNCTION("""COMPUTED_VALUE"""),0)</f>
        <v>0</v>
      </c>
      <c r="AD14" s="26"/>
      <c r="AE14" s="27"/>
    </row>
    <row r="15" spans="1:31" ht="14.3">
      <c r="A15" s="18" t="str">
        <f ca="1">IFERROR(__xludf.DUMMYFUNCTION("""COMPUTED_VALUE"""),"23SDSCE01013")</f>
        <v>23SDSCE01013</v>
      </c>
      <c r="B15" s="19" t="str">
        <f ca="1">IFERROR(__xludf.DUMMYFUNCTION("""COMPUTED_VALUE"""),"HARASODA SAKSHI SHAILESHBHAI")</f>
        <v>HARASODA SAKSHI SHAILESHBHAI</v>
      </c>
      <c r="C15" s="18" t="str">
        <f ca="1">IFERROR(__xludf.DUMMYFUNCTION("""COMPUTED_VALUE"""),"SDS")</f>
        <v>SDS</v>
      </c>
      <c r="D15" s="18" t="str">
        <f ca="1">IFERROR(__xludf.DUMMYFUNCTION("""COMPUTED_VALUE"""),"DCE")</f>
        <v>DCE</v>
      </c>
      <c r="E15" s="18">
        <f ca="1">IFERROR(__xludf.DUMMYFUNCTION("""COMPUTED_VALUE"""),2)</f>
        <v>2</v>
      </c>
      <c r="F15" s="18" t="str">
        <f ca="1">IFERROR(__xludf.DUMMYFUNCTION("""COMPUTED_VALUE"""),"9924305003
7096805103")</f>
        <v>9924305003
7096805103</v>
      </c>
      <c r="G15" s="18" t="str">
        <f ca="1">IFERROR(__xludf.DUMMYFUNCTION("""COMPUTED_VALUE"""),"9924305003
7096805103")</f>
        <v>9924305003
7096805103</v>
      </c>
      <c r="H15" s="18" t="str">
        <f ca="1">IFERROR(__xludf.DUMMYFUNCTION("""COMPUTED_VALUE"""),"DCE_2023-26")</f>
        <v>DCE_2023-26</v>
      </c>
      <c r="I15" s="20" t="str">
        <f ca="1">IFERROR(__xludf.DUMMYFUNCTION("""COMPUTED_VALUE"""),"MYSY")</f>
        <v>MYSY</v>
      </c>
      <c r="J15" s="21">
        <f ca="1">IFERROR(__xludf.DUMMYFUNCTION("""COMPUTED_VALUE"""),27500)</f>
        <v>27500</v>
      </c>
      <c r="K15" s="21">
        <f ca="1">IFERROR(__xludf.DUMMYFUNCTION("""COMPUTED_VALUE"""),0)</f>
        <v>0</v>
      </c>
      <c r="L15" s="21">
        <f ca="1">IFERROR(__xludf.DUMMYFUNCTION("""COMPUTED_VALUE"""),0)</f>
        <v>0</v>
      </c>
      <c r="M15" s="21">
        <f ca="1">IFERROR(__xludf.DUMMYFUNCTION("""COMPUTED_VALUE"""),0)</f>
        <v>0</v>
      </c>
      <c r="N15" s="21">
        <f ca="1">IFERROR(__xludf.DUMMYFUNCTION("""COMPUTED_VALUE"""),27500)</f>
        <v>27500</v>
      </c>
      <c r="O15" s="21">
        <f ca="1">IFERROR(__xludf.DUMMYFUNCTION("""COMPUTED_VALUE"""),3000)</f>
        <v>3000</v>
      </c>
      <c r="P15" s="21">
        <f ca="1">IFERROR(__xludf.DUMMYFUNCTION("""COMPUTED_VALUE"""),3000)</f>
        <v>3000</v>
      </c>
      <c r="Q15" s="21">
        <f ca="1">IFERROR(__xludf.DUMMYFUNCTION("""COMPUTED_VALUE"""),0)</f>
        <v>0</v>
      </c>
      <c r="R15" s="22">
        <f ca="1">IFERROR(__xludf.DUMMYFUNCTION("""COMPUTED_VALUE"""),0)</f>
        <v>0</v>
      </c>
      <c r="S15" s="23">
        <f ca="1">IFERROR(__xludf.DUMMYFUNCTION("""COMPUTED_VALUE"""),0)</f>
        <v>0</v>
      </c>
      <c r="T15" s="24">
        <f ca="1">IFERROR(__xludf.DUMMYFUNCTION("""COMPUTED_VALUE"""),0)</f>
        <v>0</v>
      </c>
      <c r="U15" s="23">
        <f ca="1">IFERROR(__xludf.DUMMYFUNCTION("""COMPUTED_VALUE"""),0)</f>
        <v>0</v>
      </c>
      <c r="V15" s="23">
        <f ca="1">IFERROR(__xludf.DUMMYFUNCTION("""COMPUTED_VALUE"""),0)</f>
        <v>0</v>
      </c>
      <c r="W15" s="23">
        <f ca="1">IFERROR(__xludf.DUMMYFUNCTION("""COMPUTED_VALUE"""),0)</f>
        <v>0</v>
      </c>
      <c r="X15" s="23">
        <f ca="1">IFERROR(__xludf.DUMMYFUNCTION("""COMPUTED_VALUE"""),0)</f>
        <v>0</v>
      </c>
      <c r="Y15" s="25">
        <f ca="1">IFERROR(__xludf.DUMMYFUNCTION("""COMPUTED_VALUE"""),0)</f>
        <v>0</v>
      </c>
      <c r="Z15" s="25">
        <f ca="1">IFERROR(__xludf.DUMMYFUNCTION("""COMPUTED_VALUE"""),0)</f>
        <v>0</v>
      </c>
      <c r="AA15" s="25">
        <f ca="1">IFERROR(__xludf.DUMMYFUNCTION("""COMPUTED_VALUE"""),0)</f>
        <v>0</v>
      </c>
      <c r="AB15" s="25">
        <f ca="1">IFERROR(__xludf.DUMMYFUNCTION("""COMPUTED_VALUE"""),0)</f>
        <v>0</v>
      </c>
      <c r="AC15" s="23">
        <f ca="1">IFERROR(__xludf.DUMMYFUNCTION("""COMPUTED_VALUE"""),0)</f>
        <v>0</v>
      </c>
      <c r="AD15" s="26" t="str">
        <f ca="1">IFERROR(__xludf.DUMMYFUNCTION("""COMPUTED_VALUE"""),"MYSY (25000/-)	KSPS ( 12500/- )")</f>
        <v>MYSY (25000/-)	KSPS ( 12500/- )</v>
      </c>
      <c r="AE15" s="27"/>
    </row>
    <row r="16" spans="1:31" ht="28.55">
      <c r="A16" s="18" t="str">
        <f ca="1">IFERROR(__xludf.DUMMYFUNCTION("""COMPUTED_VALUE"""),"23SDSCE01014")</f>
        <v>23SDSCE01014</v>
      </c>
      <c r="B16" s="19" t="str">
        <f ca="1">IFERROR(__xludf.DUMMYFUNCTION("""COMPUTED_VALUE"""),"JADAV MAYUR GOVINDBHAI")</f>
        <v>JADAV MAYUR GOVINDBHAI</v>
      </c>
      <c r="C16" s="18" t="str">
        <f ca="1">IFERROR(__xludf.DUMMYFUNCTION("""COMPUTED_VALUE"""),"SDS")</f>
        <v>SDS</v>
      </c>
      <c r="D16" s="18" t="str">
        <f ca="1">IFERROR(__xludf.DUMMYFUNCTION("""COMPUTED_VALUE"""),"DCE")</f>
        <v>DCE</v>
      </c>
      <c r="E16" s="18">
        <f ca="1">IFERROR(__xludf.DUMMYFUNCTION("""COMPUTED_VALUE"""),2)</f>
        <v>2</v>
      </c>
      <c r="F16" s="20" t="str">
        <f ca="1">IFERROR(__xludf.DUMMYFUNCTION("""COMPUTED_VALUE"""),"8200553537 9723364164")</f>
        <v>8200553537 9723364164</v>
      </c>
      <c r="G16" s="18" t="str">
        <f ca="1">IFERROR(__xludf.DUMMYFUNCTION("""COMPUTED_VALUE"""),"8200553537 9723364164")</f>
        <v>8200553537 9723364164</v>
      </c>
      <c r="H16" s="18" t="str">
        <f ca="1">IFERROR(__xludf.DUMMYFUNCTION("""COMPUTED_VALUE"""),"DCE_2023-26")</f>
        <v>DCE_2023-26</v>
      </c>
      <c r="I16" s="20" t="str">
        <f ca="1">IFERROR(__xludf.DUMMYFUNCTION("""COMPUTED_VALUE"""),"MYSY")</f>
        <v>MYSY</v>
      </c>
      <c r="J16" s="21">
        <f ca="1">IFERROR(__xludf.DUMMYFUNCTION("""COMPUTED_VALUE"""),27500)</f>
        <v>27500</v>
      </c>
      <c r="K16" s="21">
        <f ca="1">IFERROR(__xludf.DUMMYFUNCTION("""COMPUTED_VALUE"""),0)</f>
        <v>0</v>
      </c>
      <c r="L16" s="21">
        <f ca="1">IFERROR(__xludf.DUMMYFUNCTION("""COMPUTED_VALUE"""),0)</f>
        <v>0</v>
      </c>
      <c r="M16" s="21">
        <f ca="1">IFERROR(__xludf.DUMMYFUNCTION("""COMPUTED_VALUE"""),0)</f>
        <v>0</v>
      </c>
      <c r="N16" s="21">
        <f ca="1">IFERROR(__xludf.DUMMYFUNCTION("""COMPUTED_VALUE"""),27500)</f>
        <v>27500</v>
      </c>
      <c r="O16" s="21">
        <f ca="1">IFERROR(__xludf.DUMMYFUNCTION("""COMPUTED_VALUE"""),3000)</f>
        <v>3000</v>
      </c>
      <c r="P16" s="21">
        <f ca="1">IFERROR(__xludf.DUMMYFUNCTION("""COMPUTED_VALUE"""),0)</f>
        <v>0</v>
      </c>
      <c r="Q16" s="21">
        <f ca="1">IFERROR(__xludf.DUMMYFUNCTION("""COMPUTED_VALUE"""),0)</f>
        <v>0</v>
      </c>
      <c r="R16" s="22">
        <f ca="1">IFERROR(__xludf.DUMMYFUNCTION("""COMPUTED_VALUE"""),0)</f>
        <v>0</v>
      </c>
      <c r="S16" s="23">
        <f ca="1">IFERROR(__xludf.DUMMYFUNCTION("""COMPUTED_VALUE"""),3000)</f>
        <v>3000</v>
      </c>
      <c r="T16" s="24">
        <f ca="1">IFERROR(__xludf.DUMMYFUNCTION("""COMPUTED_VALUE"""),0)</f>
        <v>0</v>
      </c>
      <c r="U16" s="23">
        <f ca="1">IFERROR(__xludf.DUMMYFUNCTION("""COMPUTED_VALUE"""),0)</f>
        <v>0</v>
      </c>
      <c r="V16" s="23">
        <f ca="1">IFERROR(__xludf.DUMMYFUNCTION("""COMPUTED_VALUE"""),0)</f>
        <v>0</v>
      </c>
      <c r="W16" s="23">
        <f ca="1">IFERROR(__xludf.DUMMYFUNCTION("""COMPUTED_VALUE"""),0)</f>
        <v>0</v>
      </c>
      <c r="X16" s="23">
        <f ca="1">IFERROR(__xludf.DUMMYFUNCTION("""COMPUTED_VALUE"""),0)</f>
        <v>0</v>
      </c>
      <c r="Y16" s="25">
        <f ca="1">IFERROR(__xludf.DUMMYFUNCTION("""COMPUTED_VALUE"""),0)</f>
        <v>0</v>
      </c>
      <c r="Z16" s="25">
        <f ca="1">IFERROR(__xludf.DUMMYFUNCTION("""COMPUTED_VALUE"""),0)</f>
        <v>0</v>
      </c>
      <c r="AA16" s="25">
        <f ca="1">IFERROR(__xludf.DUMMYFUNCTION("""COMPUTED_VALUE"""),0)</f>
        <v>0</v>
      </c>
      <c r="AB16" s="25">
        <f ca="1">IFERROR(__xludf.DUMMYFUNCTION("""COMPUTED_VALUE"""),0)</f>
        <v>0</v>
      </c>
      <c r="AC16" s="23">
        <f ca="1">IFERROR(__xludf.DUMMYFUNCTION("""COMPUTED_VALUE"""),0)</f>
        <v>0</v>
      </c>
      <c r="AD16" s="26" t="str">
        <f ca="1">IFERROR(__xludf.DUMMYFUNCTION("""COMPUTED_VALUE"""),"MYSY (25000/-)	KSPS ( 12500/- )")</f>
        <v>MYSY (25000/-)	KSPS ( 12500/- )</v>
      </c>
      <c r="AE16" s="27"/>
    </row>
    <row r="17" spans="1:31" ht="14.3">
      <c r="A17" s="18" t="str">
        <f ca="1">IFERROR(__xludf.DUMMYFUNCTION("""COMPUTED_VALUE"""),"23SDSCE01015")</f>
        <v>23SDSCE01015</v>
      </c>
      <c r="B17" s="19" t="str">
        <f ca="1">IFERROR(__xludf.DUMMYFUNCTION("""COMPUTED_VALUE"""),"KANJARIYA KIRIT JAYSUKHBHAI")</f>
        <v>KANJARIYA KIRIT JAYSUKHBHAI</v>
      </c>
      <c r="C17" s="18" t="str">
        <f ca="1">IFERROR(__xludf.DUMMYFUNCTION("""COMPUTED_VALUE"""),"SDS")</f>
        <v>SDS</v>
      </c>
      <c r="D17" s="18" t="str">
        <f ca="1">IFERROR(__xludf.DUMMYFUNCTION("""COMPUTED_VALUE"""),"DCE")</f>
        <v>DCE</v>
      </c>
      <c r="E17" s="18">
        <f ca="1">IFERROR(__xludf.DUMMYFUNCTION("""COMPUTED_VALUE"""),2)</f>
        <v>2</v>
      </c>
      <c r="F17" s="18" t="str">
        <f ca="1">IFERROR(__xludf.DUMMYFUNCTION("""COMPUTED_VALUE"""),"9408186776 9427722011")</f>
        <v>9408186776 9427722011</v>
      </c>
      <c r="G17" s="18" t="str">
        <f ca="1">IFERROR(__xludf.DUMMYFUNCTION("""COMPUTED_VALUE"""),"9408186776 9427722011")</f>
        <v>9408186776 9427722011</v>
      </c>
      <c r="H17" s="18" t="str">
        <f ca="1">IFERROR(__xludf.DUMMYFUNCTION("""COMPUTED_VALUE"""),"DCE_2023-26")</f>
        <v>DCE_2023-26</v>
      </c>
      <c r="I17" s="20" t="str">
        <f ca="1">IFERROR(__xludf.DUMMYFUNCTION("""COMPUTED_VALUE"""),"TFW")</f>
        <v>TFW</v>
      </c>
      <c r="J17" s="21">
        <f ca="1">IFERROR(__xludf.DUMMYFUNCTION("""COMPUTED_VALUE"""),0)</f>
        <v>0</v>
      </c>
      <c r="K17" s="21">
        <f ca="1">IFERROR(__xludf.DUMMYFUNCTION("""COMPUTED_VALUE"""),0)</f>
        <v>0</v>
      </c>
      <c r="L17" s="21">
        <f ca="1">IFERROR(__xludf.DUMMYFUNCTION("""COMPUTED_VALUE"""),0)</f>
        <v>0</v>
      </c>
      <c r="M17" s="21">
        <f ca="1">IFERROR(__xludf.DUMMYFUNCTION("""COMPUTED_VALUE"""),0)</f>
        <v>0</v>
      </c>
      <c r="N17" s="21">
        <f ca="1">IFERROR(__xludf.DUMMYFUNCTION("""COMPUTED_VALUE"""),0)</f>
        <v>0</v>
      </c>
      <c r="O17" s="21">
        <f ca="1">IFERROR(__xludf.DUMMYFUNCTION("""COMPUTED_VALUE"""),3000)</f>
        <v>3000</v>
      </c>
      <c r="P17" s="21">
        <f ca="1">IFERROR(__xludf.DUMMYFUNCTION("""COMPUTED_VALUE"""),3000)</f>
        <v>3000</v>
      </c>
      <c r="Q17" s="21">
        <f ca="1">IFERROR(__xludf.DUMMYFUNCTION("""COMPUTED_VALUE"""),0)</f>
        <v>0</v>
      </c>
      <c r="R17" s="22">
        <f ca="1">IFERROR(__xludf.DUMMYFUNCTION("""COMPUTED_VALUE"""),0)</f>
        <v>0</v>
      </c>
      <c r="S17" s="23">
        <f ca="1">IFERROR(__xludf.DUMMYFUNCTION("""COMPUTED_VALUE"""),0)</f>
        <v>0</v>
      </c>
      <c r="T17" s="24">
        <f ca="1">IFERROR(__xludf.DUMMYFUNCTION("""COMPUTED_VALUE"""),0)</f>
        <v>0</v>
      </c>
      <c r="U17" s="23">
        <f ca="1">IFERROR(__xludf.DUMMYFUNCTION("""COMPUTED_VALUE"""),0)</f>
        <v>0</v>
      </c>
      <c r="V17" s="23">
        <f ca="1">IFERROR(__xludf.DUMMYFUNCTION("""COMPUTED_VALUE"""),0)</f>
        <v>0</v>
      </c>
      <c r="W17" s="23">
        <f ca="1">IFERROR(__xludf.DUMMYFUNCTION("""COMPUTED_VALUE"""),0)</f>
        <v>0</v>
      </c>
      <c r="X17" s="23">
        <f ca="1">IFERROR(__xludf.DUMMYFUNCTION("""COMPUTED_VALUE"""),0)</f>
        <v>0</v>
      </c>
      <c r="Y17" s="25">
        <f ca="1">IFERROR(__xludf.DUMMYFUNCTION("""COMPUTED_VALUE"""),0)</f>
        <v>0</v>
      </c>
      <c r="Z17" s="25">
        <f ca="1">IFERROR(__xludf.DUMMYFUNCTION("""COMPUTED_VALUE"""),0)</f>
        <v>0</v>
      </c>
      <c r="AA17" s="25">
        <f ca="1">IFERROR(__xludf.DUMMYFUNCTION("""COMPUTED_VALUE"""),0)</f>
        <v>0</v>
      </c>
      <c r="AB17" s="25">
        <f ca="1">IFERROR(__xludf.DUMMYFUNCTION("""COMPUTED_VALUE"""),0)</f>
        <v>0</v>
      </c>
      <c r="AC17" s="23">
        <f ca="1">IFERROR(__xludf.DUMMYFUNCTION("""COMPUTED_VALUE"""),0)</f>
        <v>0</v>
      </c>
      <c r="AD17" s="26"/>
      <c r="AE17" s="27"/>
    </row>
    <row r="18" spans="1:31" ht="14.3">
      <c r="A18" s="18" t="str">
        <f ca="1">IFERROR(__xludf.DUMMYFUNCTION("""COMPUTED_VALUE"""),"23SDSCE01016")</f>
        <v>23SDSCE01016</v>
      </c>
      <c r="B18" s="19" t="str">
        <f ca="1">IFERROR(__xludf.DUMMYFUNCTION("""COMPUTED_VALUE"""),"KANZARIYA TRUSHA")</f>
        <v>KANZARIYA TRUSHA</v>
      </c>
      <c r="C18" s="18" t="str">
        <f ca="1">IFERROR(__xludf.DUMMYFUNCTION("""COMPUTED_VALUE"""),"SDS")</f>
        <v>SDS</v>
      </c>
      <c r="D18" s="18" t="str">
        <f ca="1">IFERROR(__xludf.DUMMYFUNCTION("""COMPUTED_VALUE"""),"DCE")</f>
        <v>DCE</v>
      </c>
      <c r="E18" s="18">
        <f ca="1">IFERROR(__xludf.DUMMYFUNCTION("""COMPUTED_VALUE"""),2)</f>
        <v>2</v>
      </c>
      <c r="F18" s="18" t="str">
        <f ca="1">IFERROR(__xludf.DUMMYFUNCTION("""COMPUTED_VALUE"""),"9904412288 9825416253")</f>
        <v>9904412288 9825416253</v>
      </c>
      <c r="G18" s="18" t="str">
        <f ca="1">IFERROR(__xludf.DUMMYFUNCTION("""COMPUTED_VALUE"""),"9904412288 9825416253")</f>
        <v>9904412288 9825416253</v>
      </c>
      <c r="H18" s="18" t="str">
        <f ca="1">IFERROR(__xludf.DUMMYFUNCTION("""COMPUTED_VALUE"""),"DCE_2023-26")</f>
        <v>DCE_2023-26</v>
      </c>
      <c r="I18" s="20"/>
      <c r="J18" s="21">
        <f ca="1">IFERROR(__xludf.DUMMYFUNCTION("""COMPUTED_VALUE"""),27500)</f>
        <v>27500</v>
      </c>
      <c r="K18" s="21">
        <f ca="1">IFERROR(__xludf.DUMMYFUNCTION("""COMPUTED_VALUE"""),27500)</f>
        <v>27500</v>
      </c>
      <c r="L18" s="21">
        <f ca="1">IFERROR(__xludf.DUMMYFUNCTION("""COMPUTED_VALUE"""),0)</f>
        <v>0</v>
      </c>
      <c r="M18" s="21">
        <f ca="1">IFERROR(__xludf.DUMMYFUNCTION("""COMPUTED_VALUE"""),0)</f>
        <v>0</v>
      </c>
      <c r="N18" s="21">
        <f ca="1">IFERROR(__xludf.DUMMYFUNCTION("""COMPUTED_VALUE"""),0)</f>
        <v>0</v>
      </c>
      <c r="O18" s="21">
        <f ca="1">IFERROR(__xludf.DUMMYFUNCTION("""COMPUTED_VALUE"""),3000)</f>
        <v>3000</v>
      </c>
      <c r="P18" s="21">
        <f ca="1">IFERROR(__xludf.DUMMYFUNCTION("""COMPUTED_VALUE"""),3000)</f>
        <v>3000</v>
      </c>
      <c r="Q18" s="21">
        <f ca="1">IFERROR(__xludf.DUMMYFUNCTION("""COMPUTED_VALUE"""),0)</f>
        <v>0</v>
      </c>
      <c r="R18" s="22">
        <f ca="1">IFERROR(__xludf.DUMMYFUNCTION("""COMPUTED_VALUE"""),0)</f>
        <v>0</v>
      </c>
      <c r="S18" s="23">
        <f ca="1">IFERROR(__xludf.DUMMYFUNCTION("""COMPUTED_VALUE"""),0)</f>
        <v>0</v>
      </c>
      <c r="T18" s="24">
        <f ca="1">IFERROR(__xludf.DUMMYFUNCTION("""COMPUTED_VALUE"""),0)</f>
        <v>0</v>
      </c>
      <c r="U18" s="23">
        <f ca="1">IFERROR(__xludf.DUMMYFUNCTION("""COMPUTED_VALUE"""),0)</f>
        <v>0</v>
      </c>
      <c r="V18" s="23">
        <f ca="1">IFERROR(__xludf.DUMMYFUNCTION("""COMPUTED_VALUE"""),0)</f>
        <v>0</v>
      </c>
      <c r="W18" s="23">
        <f ca="1">IFERROR(__xludf.DUMMYFUNCTION("""COMPUTED_VALUE"""),0)</f>
        <v>0</v>
      </c>
      <c r="X18" s="23">
        <f ca="1">IFERROR(__xludf.DUMMYFUNCTION("""COMPUTED_VALUE"""),0)</f>
        <v>0</v>
      </c>
      <c r="Y18" s="25">
        <f ca="1">IFERROR(__xludf.DUMMYFUNCTION("""COMPUTED_VALUE"""),0)</f>
        <v>0</v>
      </c>
      <c r="Z18" s="25">
        <f ca="1">IFERROR(__xludf.DUMMYFUNCTION("""COMPUTED_VALUE"""),0)</f>
        <v>0</v>
      </c>
      <c r="AA18" s="25">
        <f ca="1">IFERROR(__xludf.DUMMYFUNCTION("""COMPUTED_VALUE"""),0)</f>
        <v>0</v>
      </c>
      <c r="AB18" s="25">
        <f ca="1">IFERROR(__xludf.DUMMYFUNCTION("""COMPUTED_VALUE"""),0)</f>
        <v>0</v>
      </c>
      <c r="AC18" s="23">
        <f ca="1">IFERROR(__xludf.DUMMYFUNCTION("""COMPUTED_VALUE"""),0)</f>
        <v>0</v>
      </c>
      <c r="AD18" s="26"/>
      <c r="AE18" s="27"/>
    </row>
    <row r="19" spans="1:31" ht="14.3">
      <c r="A19" s="18" t="str">
        <f ca="1">IFERROR(__xludf.DUMMYFUNCTION("""COMPUTED_VALUE"""),"23SDSCE01017")</f>
        <v>23SDSCE01017</v>
      </c>
      <c r="B19" s="19" t="str">
        <f ca="1">IFERROR(__xludf.DUMMYFUNCTION("""COMPUTED_VALUE"""),"TAASHI KOTA")</f>
        <v>TAASHI KOTA</v>
      </c>
      <c r="C19" s="18" t="str">
        <f ca="1">IFERROR(__xludf.DUMMYFUNCTION("""COMPUTED_VALUE"""),"SDS")</f>
        <v>SDS</v>
      </c>
      <c r="D19" s="18" t="str">
        <f ca="1">IFERROR(__xludf.DUMMYFUNCTION("""COMPUTED_VALUE"""),"DCE")</f>
        <v>DCE</v>
      </c>
      <c r="E19" s="18">
        <f ca="1">IFERROR(__xludf.DUMMYFUNCTION("""COMPUTED_VALUE"""),2)</f>
        <v>2</v>
      </c>
      <c r="F19" s="18" t="str">
        <f ca="1">IFERROR(__xludf.DUMMYFUNCTION("""COMPUTED_VALUE"""),"7984457877 9978406836")</f>
        <v>7984457877 9978406836</v>
      </c>
      <c r="G19" s="18" t="str">
        <f ca="1">IFERROR(__xludf.DUMMYFUNCTION("""COMPUTED_VALUE"""),"7984457877 9978406836")</f>
        <v>7984457877 9978406836</v>
      </c>
      <c r="H19" s="18" t="str">
        <f ca="1">IFERROR(__xludf.DUMMYFUNCTION("""COMPUTED_VALUE"""),"DCE_2023-26")</f>
        <v>DCE_2023-26</v>
      </c>
      <c r="I19" s="20"/>
      <c r="J19" s="21">
        <f ca="1">IFERROR(__xludf.DUMMYFUNCTION("""COMPUTED_VALUE"""),27500)</f>
        <v>27500</v>
      </c>
      <c r="K19" s="21">
        <f ca="1">IFERROR(__xludf.DUMMYFUNCTION("""COMPUTED_VALUE"""),27500)</f>
        <v>27500</v>
      </c>
      <c r="L19" s="21">
        <f ca="1">IFERROR(__xludf.DUMMYFUNCTION("""COMPUTED_VALUE"""),0)</f>
        <v>0</v>
      </c>
      <c r="M19" s="21">
        <f ca="1">IFERROR(__xludf.DUMMYFUNCTION("""COMPUTED_VALUE"""),0)</f>
        <v>0</v>
      </c>
      <c r="N19" s="21">
        <f ca="1">IFERROR(__xludf.DUMMYFUNCTION("""COMPUTED_VALUE"""),0)</f>
        <v>0</v>
      </c>
      <c r="O19" s="21">
        <f ca="1">IFERROR(__xludf.DUMMYFUNCTION("""COMPUTED_VALUE"""),3000)</f>
        <v>3000</v>
      </c>
      <c r="P19" s="21">
        <f ca="1">IFERROR(__xludf.DUMMYFUNCTION("""COMPUTED_VALUE"""),3000)</f>
        <v>3000</v>
      </c>
      <c r="Q19" s="21">
        <f ca="1">IFERROR(__xludf.DUMMYFUNCTION("""COMPUTED_VALUE"""),0)</f>
        <v>0</v>
      </c>
      <c r="R19" s="22">
        <f ca="1">IFERROR(__xludf.DUMMYFUNCTION("""COMPUTED_VALUE"""),0)</f>
        <v>0</v>
      </c>
      <c r="S19" s="23">
        <f ca="1">IFERROR(__xludf.DUMMYFUNCTION("""COMPUTED_VALUE"""),0)</f>
        <v>0</v>
      </c>
      <c r="T19" s="24">
        <f ca="1">IFERROR(__xludf.DUMMYFUNCTION("""COMPUTED_VALUE"""),0)</f>
        <v>0</v>
      </c>
      <c r="U19" s="23">
        <f ca="1">IFERROR(__xludf.DUMMYFUNCTION("""COMPUTED_VALUE"""),0)</f>
        <v>0</v>
      </c>
      <c r="V19" s="23">
        <f ca="1">IFERROR(__xludf.DUMMYFUNCTION("""COMPUTED_VALUE"""),0)</f>
        <v>0</v>
      </c>
      <c r="W19" s="23">
        <f ca="1">IFERROR(__xludf.DUMMYFUNCTION("""COMPUTED_VALUE"""),0)</f>
        <v>0</v>
      </c>
      <c r="X19" s="23">
        <f ca="1">IFERROR(__xludf.DUMMYFUNCTION("""COMPUTED_VALUE"""),0)</f>
        <v>0</v>
      </c>
      <c r="Y19" s="25">
        <f ca="1">IFERROR(__xludf.DUMMYFUNCTION("""COMPUTED_VALUE"""),0)</f>
        <v>0</v>
      </c>
      <c r="Z19" s="25">
        <f ca="1">IFERROR(__xludf.DUMMYFUNCTION("""COMPUTED_VALUE"""),0)</f>
        <v>0</v>
      </c>
      <c r="AA19" s="25">
        <f ca="1">IFERROR(__xludf.DUMMYFUNCTION("""COMPUTED_VALUE"""),0)</f>
        <v>0</v>
      </c>
      <c r="AB19" s="25">
        <f ca="1">IFERROR(__xludf.DUMMYFUNCTION("""COMPUTED_VALUE"""),0)</f>
        <v>0</v>
      </c>
      <c r="AC19" s="23">
        <f ca="1">IFERROR(__xludf.DUMMYFUNCTION("""COMPUTED_VALUE"""),0)</f>
        <v>0</v>
      </c>
      <c r="AD19" s="26"/>
      <c r="AE19" s="27"/>
    </row>
    <row r="20" spans="1:31" ht="14.3">
      <c r="A20" s="18" t="str">
        <f ca="1">IFERROR(__xludf.DUMMYFUNCTION("""COMPUTED_VALUE"""),"23SDSCE01018")</f>
        <v>23SDSCE01018</v>
      </c>
      <c r="B20" s="19" t="str">
        <f ca="1">IFERROR(__xludf.DUMMYFUNCTION("""COMPUTED_VALUE"""),"MADLANI KALASH BHARATBHAI")</f>
        <v>MADLANI KALASH BHARATBHAI</v>
      </c>
      <c r="C20" s="18" t="str">
        <f ca="1">IFERROR(__xludf.DUMMYFUNCTION("""COMPUTED_VALUE"""),"SDS")</f>
        <v>SDS</v>
      </c>
      <c r="D20" s="18" t="str">
        <f ca="1">IFERROR(__xludf.DUMMYFUNCTION("""COMPUTED_VALUE"""),"DCE")</f>
        <v>DCE</v>
      </c>
      <c r="E20" s="18">
        <f ca="1">IFERROR(__xludf.DUMMYFUNCTION("""COMPUTED_VALUE"""),2)</f>
        <v>2</v>
      </c>
      <c r="F20" s="18" t="str">
        <f ca="1">IFERROR(__xludf.DUMMYFUNCTION("""COMPUTED_VALUE"""),"7046996650 9714972440 9925032440")</f>
        <v>7046996650 9714972440 9925032440</v>
      </c>
      <c r="G20" s="18" t="str">
        <f ca="1">IFERROR(__xludf.DUMMYFUNCTION("""COMPUTED_VALUE"""),"7046996650 9714972440 9925032440")</f>
        <v>7046996650 9714972440 9925032440</v>
      </c>
      <c r="H20" s="18" t="str">
        <f ca="1">IFERROR(__xludf.DUMMYFUNCTION("""COMPUTED_VALUE"""),"DCE_2023-26")</f>
        <v>DCE_2023-26</v>
      </c>
      <c r="I20" s="20"/>
      <c r="J20" s="21">
        <f ca="1">IFERROR(__xludf.DUMMYFUNCTION("""COMPUTED_VALUE"""),27500)</f>
        <v>27500</v>
      </c>
      <c r="K20" s="21">
        <f ca="1">IFERROR(__xludf.DUMMYFUNCTION("""COMPUTED_VALUE"""),0)</f>
        <v>0</v>
      </c>
      <c r="L20" s="21">
        <f ca="1">IFERROR(__xludf.DUMMYFUNCTION("""COMPUTED_VALUE"""),0)</f>
        <v>0</v>
      </c>
      <c r="M20" s="21">
        <f ca="1">IFERROR(__xludf.DUMMYFUNCTION("""COMPUTED_VALUE"""),0)</f>
        <v>0</v>
      </c>
      <c r="N20" s="21">
        <f ca="1">IFERROR(__xludf.DUMMYFUNCTION("""COMPUTED_VALUE"""),27500)</f>
        <v>27500</v>
      </c>
      <c r="O20" s="21">
        <f ca="1">IFERROR(__xludf.DUMMYFUNCTION("""COMPUTED_VALUE"""),3000)</f>
        <v>3000</v>
      </c>
      <c r="P20" s="21">
        <f ca="1">IFERROR(__xludf.DUMMYFUNCTION("""COMPUTED_VALUE"""),0)</f>
        <v>0</v>
      </c>
      <c r="Q20" s="21">
        <f ca="1">IFERROR(__xludf.DUMMYFUNCTION("""COMPUTED_VALUE"""),0)</f>
        <v>0</v>
      </c>
      <c r="R20" s="22">
        <f ca="1">IFERROR(__xludf.DUMMYFUNCTION("""COMPUTED_VALUE"""),0)</f>
        <v>0</v>
      </c>
      <c r="S20" s="23">
        <f ca="1">IFERROR(__xludf.DUMMYFUNCTION("""COMPUTED_VALUE"""),3000)</f>
        <v>3000</v>
      </c>
      <c r="T20" s="24">
        <f ca="1">IFERROR(__xludf.DUMMYFUNCTION("""COMPUTED_VALUE"""),0)</f>
        <v>0</v>
      </c>
      <c r="U20" s="23">
        <f ca="1">IFERROR(__xludf.DUMMYFUNCTION("""COMPUTED_VALUE"""),0)</f>
        <v>0</v>
      </c>
      <c r="V20" s="23">
        <f ca="1">IFERROR(__xludf.DUMMYFUNCTION("""COMPUTED_VALUE"""),0)</f>
        <v>0</v>
      </c>
      <c r="W20" s="23">
        <f ca="1">IFERROR(__xludf.DUMMYFUNCTION("""COMPUTED_VALUE"""),0)</f>
        <v>0</v>
      </c>
      <c r="X20" s="23">
        <f ca="1">IFERROR(__xludf.DUMMYFUNCTION("""COMPUTED_VALUE"""),0)</f>
        <v>0</v>
      </c>
      <c r="Y20" s="25">
        <f ca="1">IFERROR(__xludf.DUMMYFUNCTION("""COMPUTED_VALUE"""),0)</f>
        <v>0</v>
      </c>
      <c r="Z20" s="25">
        <f ca="1">IFERROR(__xludf.DUMMYFUNCTION("""COMPUTED_VALUE"""),0)</f>
        <v>0</v>
      </c>
      <c r="AA20" s="25">
        <f ca="1">IFERROR(__xludf.DUMMYFUNCTION("""COMPUTED_VALUE"""),0)</f>
        <v>0</v>
      </c>
      <c r="AB20" s="25">
        <f ca="1">IFERROR(__xludf.DUMMYFUNCTION("""COMPUTED_VALUE"""),0)</f>
        <v>0</v>
      </c>
      <c r="AC20" s="23">
        <f ca="1">IFERROR(__xludf.DUMMYFUNCTION("""COMPUTED_VALUE"""),0)</f>
        <v>0</v>
      </c>
      <c r="AD20" s="26"/>
      <c r="AE20" s="27"/>
    </row>
    <row r="21" spans="1:31" ht="28.55">
      <c r="A21" s="18" t="str">
        <f ca="1">IFERROR(__xludf.DUMMYFUNCTION("""COMPUTED_VALUE"""),"23SDSCE01019")</f>
        <v>23SDSCE01019</v>
      </c>
      <c r="B21" s="19" t="str">
        <f ca="1">IFERROR(__xludf.DUMMYFUNCTION("""COMPUTED_VALUE"""),"MAKWANA YASH YOGESHBHAI")</f>
        <v>MAKWANA YASH YOGESHBHAI</v>
      </c>
      <c r="C21" s="18" t="str">
        <f ca="1">IFERROR(__xludf.DUMMYFUNCTION("""COMPUTED_VALUE"""),"SDS")</f>
        <v>SDS</v>
      </c>
      <c r="D21" s="18" t="str">
        <f ca="1">IFERROR(__xludf.DUMMYFUNCTION("""COMPUTED_VALUE"""),"DCE")</f>
        <v>DCE</v>
      </c>
      <c r="E21" s="18">
        <f ca="1">IFERROR(__xludf.DUMMYFUNCTION("""COMPUTED_VALUE"""),2)</f>
        <v>2</v>
      </c>
      <c r="F21" s="28" t="str">
        <f ca="1">IFERROR(__xludf.DUMMYFUNCTION("""COMPUTED_VALUE"""),"9879793117 9879793917")</f>
        <v>9879793117 9879793917</v>
      </c>
      <c r="G21" s="18" t="str">
        <f ca="1">IFERROR(__xludf.DUMMYFUNCTION("""COMPUTED_VALUE"""),"9879793117 9879793917")</f>
        <v>9879793117 9879793917</v>
      </c>
      <c r="H21" s="18" t="str">
        <f ca="1">IFERROR(__xludf.DUMMYFUNCTION("""COMPUTED_VALUE"""),"DCE_2023-26")</f>
        <v>DCE_2023-26</v>
      </c>
      <c r="I21" s="20" t="str">
        <f ca="1">IFERROR(__xludf.DUMMYFUNCTION("""COMPUTED_VALUE"""),"KSP")</f>
        <v>KSP</v>
      </c>
      <c r="J21" s="21">
        <f ca="1">IFERROR(__xludf.DUMMYFUNCTION("""COMPUTED_VALUE"""),27500)</f>
        <v>27500</v>
      </c>
      <c r="K21" s="21">
        <f ca="1">IFERROR(__xludf.DUMMYFUNCTION("""COMPUTED_VALUE"""),21250)</f>
        <v>21250</v>
      </c>
      <c r="L21" s="21">
        <f ca="1">IFERROR(__xludf.DUMMYFUNCTION("""COMPUTED_VALUE"""),0)</f>
        <v>0</v>
      </c>
      <c r="M21" s="21">
        <f ca="1">IFERROR(__xludf.DUMMYFUNCTION("""COMPUTED_VALUE"""),6250)</f>
        <v>6250</v>
      </c>
      <c r="N21" s="21">
        <f ca="1">IFERROR(__xludf.DUMMYFUNCTION("""COMPUTED_VALUE"""),0)</f>
        <v>0</v>
      </c>
      <c r="O21" s="21">
        <f ca="1">IFERROR(__xludf.DUMMYFUNCTION("""COMPUTED_VALUE"""),3000)</f>
        <v>3000</v>
      </c>
      <c r="P21" s="21">
        <f ca="1">IFERROR(__xludf.DUMMYFUNCTION("""COMPUTED_VALUE"""),3000)</f>
        <v>3000</v>
      </c>
      <c r="Q21" s="21">
        <f ca="1">IFERROR(__xludf.DUMMYFUNCTION("""COMPUTED_VALUE"""),0)</f>
        <v>0</v>
      </c>
      <c r="R21" s="22">
        <f ca="1">IFERROR(__xludf.DUMMYFUNCTION("""COMPUTED_VALUE"""),0)</f>
        <v>0</v>
      </c>
      <c r="S21" s="23">
        <f ca="1">IFERROR(__xludf.DUMMYFUNCTION("""COMPUTED_VALUE"""),0)</f>
        <v>0</v>
      </c>
      <c r="T21" s="24">
        <f ca="1">IFERROR(__xludf.DUMMYFUNCTION("""COMPUTED_VALUE"""),0)</f>
        <v>0</v>
      </c>
      <c r="U21" s="23">
        <f ca="1">IFERROR(__xludf.DUMMYFUNCTION("""COMPUTED_VALUE"""),0)</f>
        <v>0</v>
      </c>
      <c r="V21" s="23">
        <f ca="1">IFERROR(__xludf.DUMMYFUNCTION("""COMPUTED_VALUE"""),0)</f>
        <v>0</v>
      </c>
      <c r="W21" s="23">
        <f ca="1">IFERROR(__xludf.DUMMYFUNCTION("""COMPUTED_VALUE"""),0)</f>
        <v>0</v>
      </c>
      <c r="X21" s="23">
        <f ca="1">IFERROR(__xludf.DUMMYFUNCTION("""COMPUTED_VALUE"""),0)</f>
        <v>0</v>
      </c>
      <c r="Y21" s="25">
        <f ca="1">IFERROR(__xludf.DUMMYFUNCTION("""COMPUTED_VALUE"""),0)</f>
        <v>0</v>
      </c>
      <c r="Z21" s="25">
        <f ca="1">IFERROR(__xludf.DUMMYFUNCTION("""COMPUTED_VALUE"""),0)</f>
        <v>0</v>
      </c>
      <c r="AA21" s="25">
        <f ca="1">IFERROR(__xludf.DUMMYFUNCTION("""COMPUTED_VALUE"""),0)</f>
        <v>0</v>
      </c>
      <c r="AB21" s="25">
        <f ca="1">IFERROR(__xludf.DUMMYFUNCTION("""COMPUTED_VALUE"""),0)</f>
        <v>0</v>
      </c>
      <c r="AC21" s="23">
        <f ca="1">IFERROR(__xludf.DUMMYFUNCTION("""COMPUTED_VALUE"""),0)</f>
        <v>0</v>
      </c>
      <c r="AD21" s="26" t="str">
        <f ca="1">IFERROR(__xludf.DUMMYFUNCTION("""COMPUTED_VALUE"""),"KSPS ( 6250/- )")</f>
        <v>KSPS ( 6250/- )</v>
      </c>
      <c r="AE21" s="27"/>
    </row>
    <row r="22" spans="1:31" ht="14.3">
      <c r="A22" s="18" t="str">
        <f ca="1">IFERROR(__xludf.DUMMYFUNCTION("""COMPUTED_VALUE"""),"23SDSCE01020")</f>
        <v>23SDSCE01020</v>
      </c>
      <c r="B22" s="19" t="str">
        <f ca="1">IFERROR(__xludf.DUMMYFUNCTION("""COMPUTED_VALUE"""),"MEHTA VISHVA DUSHYANTBHAI")</f>
        <v>MEHTA VISHVA DUSHYANTBHAI</v>
      </c>
      <c r="C22" s="18" t="str">
        <f ca="1">IFERROR(__xludf.DUMMYFUNCTION("""COMPUTED_VALUE"""),"SDS")</f>
        <v>SDS</v>
      </c>
      <c r="D22" s="18" t="str">
        <f ca="1">IFERROR(__xludf.DUMMYFUNCTION("""COMPUTED_VALUE"""),"DCE")</f>
        <v>DCE</v>
      </c>
      <c r="E22" s="18">
        <f ca="1">IFERROR(__xludf.DUMMYFUNCTION("""COMPUTED_VALUE"""),2)</f>
        <v>2</v>
      </c>
      <c r="F22" s="18" t="str">
        <f ca="1">IFERROR(__xludf.DUMMYFUNCTION("""COMPUTED_VALUE"""),"6351343892 9879270500")</f>
        <v>6351343892 9879270500</v>
      </c>
      <c r="G22" s="18" t="str">
        <f ca="1">IFERROR(__xludf.DUMMYFUNCTION("""COMPUTED_VALUE"""),"6351343892 9879270500")</f>
        <v>6351343892 9879270500</v>
      </c>
      <c r="H22" s="18" t="str">
        <f ca="1">IFERROR(__xludf.DUMMYFUNCTION("""COMPUTED_VALUE"""),"DCE_2023-26")</f>
        <v>DCE_2023-26</v>
      </c>
      <c r="I22" s="20"/>
      <c r="J22" s="21">
        <f ca="1">IFERROR(__xludf.DUMMYFUNCTION("""COMPUTED_VALUE"""),27500)</f>
        <v>27500</v>
      </c>
      <c r="K22" s="21">
        <f ca="1">IFERROR(__xludf.DUMMYFUNCTION("""COMPUTED_VALUE"""),27500)</f>
        <v>27500</v>
      </c>
      <c r="L22" s="21">
        <f ca="1">IFERROR(__xludf.DUMMYFUNCTION("""COMPUTED_VALUE"""),0)</f>
        <v>0</v>
      </c>
      <c r="M22" s="21">
        <f ca="1">IFERROR(__xludf.DUMMYFUNCTION("""COMPUTED_VALUE"""),0)</f>
        <v>0</v>
      </c>
      <c r="N22" s="21">
        <f ca="1">IFERROR(__xludf.DUMMYFUNCTION("""COMPUTED_VALUE"""),0)</f>
        <v>0</v>
      </c>
      <c r="O22" s="21">
        <f ca="1">IFERROR(__xludf.DUMMYFUNCTION("""COMPUTED_VALUE"""),3000)</f>
        <v>3000</v>
      </c>
      <c r="P22" s="21">
        <f ca="1">IFERROR(__xludf.DUMMYFUNCTION("""COMPUTED_VALUE"""),3000)</f>
        <v>3000</v>
      </c>
      <c r="Q22" s="21">
        <f ca="1">IFERROR(__xludf.DUMMYFUNCTION("""COMPUTED_VALUE"""),0)</f>
        <v>0</v>
      </c>
      <c r="R22" s="22">
        <f ca="1">IFERROR(__xludf.DUMMYFUNCTION("""COMPUTED_VALUE"""),0)</f>
        <v>0</v>
      </c>
      <c r="S22" s="23">
        <f ca="1">IFERROR(__xludf.DUMMYFUNCTION("""COMPUTED_VALUE"""),0)</f>
        <v>0</v>
      </c>
      <c r="T22" s="24">
        <f ca="1">IFERROR(__xludf.DUMMYFUNCTION("""COMPUTED_VALUE"""),0)</f>
        <v>0</v>
      </c>
      <c r="U22" s="23">
        <f ca="1">IFERROR(__xludf.DUMMYFUNCTION("""COMPUTED_VALUE"""),0)</f>
        <v>0</v>
      </c>
      <c r="V22" s="23">
        <f ca="1">IFERROR(__xludf.DUMMYFUNCTION("""COMPUTED_VALUE"""),0)</f>
        <v>0</v>
      </c>
      <c r="W22" s="23">
        <f ca="1">IFERROR(__xludf.DUMMYFUNCTION("""COMPUTED_VALUE"""),0)</f>
        <v>0</v>
      </c>
      <c r="X22" s="23">
        <f ca="1">IFERROR(__xludf.DUMMYFUNCTION("""COMPUTED_VALUE"""),0)</f>
        <v>0</v>
      </c>
      <c r="Y22" s="25">
        <f ca="1">IFERROR(__xludf.DUMMYFUNCTION("""COMPUTED_VALUE"""),0)</f>
        <v>0</v>
      </c>
      <c r="Z22" s="25">
        <f ca="1">IFERROR(__xludf.DUMMYFUNCTION("""COMPUTED_VALUE"""),0)</f>
        <v>0</v>
      </c>
      <c r="AA22" s="25">
        <f ca="1">IFERROR(__xludf.DUMMYFUNCTION("""COMPUTED_VALUE"""),0)</f>
        <v>0</v>
      </c>
      <c r="AB22" s="25">
        <f ca="1">IFERROR(__xludf.DUMMYFUNCTION("""COMPUTED_VALUE"""),0)</f>
        <v>0</v>
      </c>
      <c r="AC22" s="23">
        <f ca="1">IFERROR(__xludf.DUMMYFUNCTION("""COMPUTED_VALUE"""),0)</f>
        <v>0</v>
      </c>
      <c r="AD22" s="26"/>
      <c r="AE22" s="27"/>
    </row>
    <row r="23" spans="1:31" ht="14.3">
      <c r="A23" s="18" t="str">
        <f ca="1">IFERROR(__xludf.DUMMYFUNCTION("""COMPUTED_VALUE"""),"23SDSCE01021")</f>
        <v>23SDSCE01021</v>
      </c>
      <c r="B23" s="19" t="str">
        <f ca="1">IFERROR(__xludf.DUMMYFUNCTION("""COMPUTED_VALUE"""),"NASIT KASHISH UMESHBHAI")</f>
        <v>NASIT KASHISH UMESHBHAI</v>
      </c>
      <c r="C23" s="18" t="str">
        <f ca="1">IFERROR(__xludf.DUMMYFUNCTION("""COMPUTED_VALUE"""),"SDS")</f>
        <v>SDS</v>
      </c>
      <c r="D23" s="18" t="str">
        <f ca="1">IFERROR(__xludf.DUMMYFUNCTION("""COMPUTED_VALUE"""),"DCE")</f>
        <v>DCE</v>
      </c>
      <c r="E23" s="18">
        <f ca="1">IFERROR(__xludf.DUMMYFUNCTION("""COMPUTED_VALUE"""),2)</f>
        <v>2</v>
      </c>
      <c r="F23" s="18" t="str">
        <f ca="1">IFERROR(__xludf.DUMMYFUNCTION("""COMPUTED_VALUE"""),"9638824103 9512640663")</f>
        <v>9638824103 9512640663</v>
      </c>
      <c r="G23" s="18" t="str">
        <f ca="1">IFERROR(__xludf.DUMMYFUNCTION("""COMPUTED_VALUE"""),"9638824103 9512640663")</f>
        <v>9638824103 9512640663</v>
      </c>
      <c r="H23" s="18" t="str">
        <f ca="1">IFERROR(__xludf.DUMMYFUNCTION("""COMPUTED_VALUE"""),"DCE_2023-26")</f>
        <v>DCE_2023-26</v>
      </c>
      <c r="I23" s="20" t="str">
        <f ca="1">IFERROR(__xludf.DUMMYFUNCTION("""COMPUTED_VALUE"""),"MYSY")</f>
        <v>MYSY</v>
      </c>
      <c r="J23" s="21">
        <f ca="1">IFERROR(__xludf.DUMMYFUNCTION("""COMPUTED_VALUE"""),27500)</f>
        <v>27500</v>
      </c>
      <c r="K23" s="21">
        <f ca="1">IFERROR(__xludf.DUMMYFUNCTION("""COMPUTED_VALUE"""),0)</f>
        <v>0</v>
      </c>
      <c r="L23" s="21">
        <f ca="1">IFERROR(__xludf.DUMMYFUNCTION("""COMPUTED_VALUE"""),0)</f>
        <v>0</v>
      </c>
      <c r="M23" s="21">
        <f ca="1">IFERROR(__xludf.DUMMYFUNCTION("""COMPUTED_VALUE"""),0)</f>
        <v>0</v>
      </c>
      <c r="N23" s="21">
        <f ca="1">IFERROR(__xludf.DUMMYFUNCTION("""COMPUTED_VALUE"""),27500)</f>
        <v>27500</v>
      </c>
      <c r="O23" s="21">
        <f ca="1">IFERROR(__xludf.DUMMYFUNCTION("""COMPUTED_VALUE"""),3000)</f>
        <v>3000</v>
      </c>
      <c r="P23" s="21">
        <f ca="1">IFERROR(__xludf.DUMMYFUNCTION("""COMPUTED_VALUE"""),3000)</f>
        <v>3000</v>
      </c>
      <c r="Q23" s="21">
        <f ca="1">IFERROR(__xludf.DUMMYFUNCTION("""COMPUTED_VALUE"""),0)</f>
        <v>0</v>
      </c>
      <c r="R23" s="29">
        <f ca="1">IFERROR(__xludf.DUMMYFUNCTION("""COMPUTED_VALUE"""),0)</f>
        <v>0</v>
      </c>
      <c r="S23" s="23">
        <f ca="1">IFERROR(__xludf.DUMMYFUNCTION("""COMPUTED_VALUE"""),0)</f>
        <v>0</v>
      </c>
      <c r="T23" s="24">
        <f ca="1">IFERROR(__xludf.DUMMYFUNCTION("""COMPUTED_VALUE"""),0)</f>
        <v>0</v>
      </c>
      <c r="U23" s="23">
        <f ca="1">IFERROR(__xludf.DUMMYFUNCTION("""COMPUTED_VALUE"""),0)</f>
        <v>0</v>
      </c>
      <c r="V23" s="23">
        <f ca="1">IFERROR(__xludf.DUMMYFUNCTION("""COMPUTED_VALUE"""),0)</f>
        <v>0</v>
      </c>
      <c r="W23" s="23">
        <f ca="1">IFERROR(__xludf.DUMMYFUNCTION("""COMPUTED_VALUE"""),0)</f>
        <v>0</v>
      </c>
      <c r="X23" s="23">
        <f ca="1">IFERROR(__xludf.DUMMYFUNCTION("""COMPUTED_VALUE"""),0)</f>
        <v>0</v>
      </c>
      <c r="Y23" s="25">
        <f ca="1">IFERROR(__xludf.DUMMYFUNCTION("""COMPUTED_VALUE"""),0)</f>
        <v>0</v>
      </c>
      <c r="Z23" s="25">
        <f ca="1">IFERROR(__xludf.DUMMYFUNCTION("""COMPUTED_VALUE"""),0)</f>
        <v>0</v>
      </c>
      <c r="AA23" s="25">
        <f ca="1">IFERROR(__xludf.DUMMYFUNCTION("""COMPUTED_VALUE"""),0)</f>
        <v>0</v>
      </c>
      <c r="AB23" s="25">
        <f ca="1">IFERROR(__xludf.DUMMYFUNCTION("""COMPUTED_VALUE"""),0)</f>
        <v>0</v>
      </c>
      <c r="AC23" s="23">
        <f ca="1">IFERROR(__xludf.DUMMYFUNCTION("""COMPUTED_VALUE"""),0)</f>
        <v>0</v>
      </c>
      <c r="AD23" s="26" t="str">
        <f ca="1">IFERROR(__xludf.DUMMYFUNCTION("""COMPUTED_VALUE"""),"MYSY (25000/-)")</f>
        <v>MYSY (25000/-)</v>
      </c>
      <c r="AE23" s="27"/>
    </row>
    <row r="24" spans="1:31" ht="14.3">
      <c r="A24" s="18" t="str">
        <f ca="1">IFERROR(__xludf.DUMMYFUNCTION("""COMPUTED_VALUE"""),"23SDSCE01022")</f>
        <v>23SDSCE01022</v>
      </c>
      <c r="B24" s="19" t="str">
        <f ca="1">IFERROR(__xludf.DUMMYFUNCTION("""COMPUTED_VALUE"""),"PADHARIYA KEVAL MAHESHBHAI")</f>
        <v>PADHARIYA KEVAL MAHESHBHAI</v>
      </c>
      <c r="C24" s="18" t="str">
        <f ca="1">IFERROR(__xludf.DUMMYFUNCTION("""COMPUTED_VALUE"""),"SDS")</f>
        <v>SDS</v>
      </c>
      <c r="D24" s="18" t="str">
        <f ca="1">IFERROR(__xludf.DUMMYFUNCTION("""COMPUTED_VALUE"""),"DCE")</f>
        <v>DCE</v>
      </c>
      <c r="E24" s="18">
        <f ca="1">IFERROR(__xludf.DUMMYFUNCTION("""COMPUTED_VALUE"""),2)</f>
        <v>2</v>
      </c>
      <c r="F24" s="18" t="str">
        <f ca="1">IFERROR(__xludf.DUMMYFUNCTION("""COMPUTED_VALUE"""),"7984022689 9737310903")</f>
        <v>7984022689 9737310903</v>
      </c>
      <c r="G24" s="18" t="str">
        <f ca="1">IFERROR(__xludf.DUMMYFUNCTION("""COMPUTED_VALUE"""),"7984022689 9737310903")</f>
        <v>7984022689 9737310903</v>
      </c>
      <c r="H24" s="18" t="str">
        <f ca="1">IFERROR(__xludf.DUMMYFUNCTION("""COMPUTED_VALUE"""),"DCE_2023-26")</f>
        <v>DCE_2023-26</v>
      </c>
      <c r="I24" s="20"/>
      <c r="J24" s="21">
        <f ca="1">IFERROR(__xludf.DUMMYFUNCTION("""COMPUTED_VALUE"""),27500)</f>
        <v>27500</v>
      </c>
      <c r="K24" s="21">
        <f ca="1">IFERROR(__xludf.DUMMYFUNCTION("""COMPUTED_VALUE"""),27500)</f>
        <v>27500</v>
      </c>
      <c r="L24" s="21">
        <f ca="1">IFERROR(__xludf.DUMMYFUNCTION("""COMPUTED_VALUE"""),0)</f>
        <v>0</v>
      </c>
      <c r="M24" s="21">
        <f ca="1">IFERROR(__xludf.DUMMYFUNCTION("""COMPUTED_VALUE"""),0)</f>
        <v>0</v>
      </c>
      <c r="N24" s="21">
        <f ca="1">IFERROR(__xludf.DUMMYFUNCTION("""COMPUTED_VALUE"""),0)</f>
        <v>0</v>
      </c>
      <c r="O24" s="21">
        <f ca="1">IFERROR(__xludf.DUMMYFUNCTION("""COMPUTED_VALUE"""),3000)</f>
        <v>3000</v>
      </c>
      <c r="P24" s="21">
        <f ca="1">IFERROR(__xludf.DUMMYFUNCTION("""COMPUTED_VALUE"""),3000)</f>
        <v>3000</v>
      </c>
      <c r="Q24" s="21">
        <f ca="1">IFERROR(__xludf.DUMMYFUNCTION("""COMPUTED_VALUE"""),0)</f>
        <v>0</v>
      </c>
      <c r="R24" s="30">
        <f ca="1">IFERROR(__xludf.DUMMYFUNCTION("""COMPUTED_VALUE"""),0)</f>
        <v>0</v>
      </c>
      <c r="S24" s="23">
        <f ca="1">IFERROR(__xludf.DUMMYFUNCTION("""COMPUTED_VALUE"""),0)</f>
        <v>0</v>
      </c>
      <c r="T24" s="24">
        <f ca="1">IFERROR(__xludf.DUMMYFUNCTION("""COMPUTED_VALUE"""),0)</f>
        <v>0</v>
      </c>
      <c r="U24" s="23">
        <f ca="1">IFERROR(__xludf.DUMMYFUNCTION("""COMPUTED_VALUE"""),0)</f>
        <v>0</v>
      </c>
      <c r="V24" s="23">
        <f ca="1">IFERROR(__xludf.DUMMYFUNCTION("""COMPUTED_VALUE"""),0)</f>
        <v>0</v>
      </c>
      <c r="W24" s="23">
        <f ca="1">IFERROR(__xludf.DUMMYFUNCTION("""COMPUTED_VALUE"""),0)</f>
        <v>0</v>
      </c>
      <c r="X24" s="23">
        <f ca="1">IFERROR(__xludf.DUMMYFUNCTION("""COMPUTED_VALUE"""),0)</f>
        <v>0</v>
      </c>
      <c r="Y24" s="25">
        <f ca="1">IFERROR(__xludf.DUMMYFUNCTION("""COMPUTED_VALUE"""),0)</f>
        <v>0</v>
      </c>
      <c r="Z24" s="25">
        <f ca="1">IFERROR(__xludf.DUMMYFUNCTION("""COMPUTED_VALUE"""),0)</f>
        <v>0</v>
      </c>
      <c r="AA24" s="25">
        <f ca="1">IFERROR(__xludf.DUMMYFUNCTION("""COMPUTED_VALUE"""),0)</f>
        <v>0</v>
      </c>
      <c r="AB24" s="25">
        <f ca="1">IFERROR(__xludf.DUMMYFUNCTION("""COMPUTED_VALUE"""),0)</f>
        <v>0</v>
      </c>
      <c r="AC24" s="23">
        <f ca="1">IFERROR(__xludf.DUMMYFUNCTION("""COMPUTED_VALUE"""),0)</f>
        <v>0</v>
      </c>
      <c r="AD24" s="26"/>
      <c r="AE24" s="27"/>
    </row>
    <row r="25" spans="1:31" ht="14.3">
      <c r="A25" s="18" t="str">
        <f ca="1">IFERROR(__xludf.DUMMYFUNCTION("""COMPUTED_VALUE"""),"23SDSCE01023")</f>
        <v>23SDSCE01023</v>
      </c>
      <c r="B25" s="19" t="str">
        <f ca="1">IFERROR(__xludf.DUMMYFUNCTION("""COMPUTED_VALUE"""),"PAREKHIYA YASH BIPINBHAI")</f>
        <v>PAREKHIYA YASH BIPINBHAI</v>
      </c>
      <c r="C25" s="18" t="str">
        <f ca="1">IFERROR(__xludf.DUMMYFUNCTION("""COMPUTED_VALUE"""),"SDS")</f>
        <v>SDS</v>
      </c>
      <c r="D25" s="18" t="str">
        <f ca="1">IFERROR(__xludf.DUMMYFUNCTION("""COMPUTED_VALUE"""),"DCE")</f>
        <v>DCE</v>
      </c>
      <c r="E25" s="18">
        <f ca="1">IFERROR(__xludf.DUMMYFUNCTION("""COMPUTED_VALUE"""),2)</f>
        <v>2</v>
      </c>
      <c r="F25" s="18" t="str">
        <f ca="1">IFERROR(__xludf.DUMMYFUNCTION("""COMPUTED_VALUE"""),"9998899373 7779000015")</f>
        <v>9998899373 7779000015</v>
      </c>
      <c r="G25" s="18" t="str">
        <f ca="1">IFERROR(__xludf.DUMMYFUNCTION("""COMPUTED_VALUE"""),"9998899373 7779000015")</f>
        <v>9998899373 7779000015</v>
      </c>
      <c r="H25" s="18" t="str">
        <f ca="1">IFERROR(__xludf.DUMMYFUNCTION("""COMPUTED_VALUE"""),"DCE_2023-26")</f>
        <v>DCE_2023-26</v>
      </c>
      <c r="I25" s="20" t="str">
        <f ca="1">IFERROR(__xludf.DUMMYFUNCTION("""COMPUTED_VALUE"""),"TFW")</f>
        <v>TFW</v>
      </c>
      <c r="J25" s="21">
        <f ca="1">IFERROR(__xludf.DUMMYFUNCTION("""COMPUTED_VALUE"""),0)</f>
        <v>0</v>
      </c>
      <c r="K25" s="21">
        <f ca="1">IFERROR(__xludf.DUMMYFUNCTION("""COMPUTED_VALUE"""),0)</f>
        <v>0</v>
      </c>
      <c r="L25" s="21">
        <f ca="1">IFERROR(__xludf.DUMMYFUNCTION("""COMPUTED_VALUE"""),0)</f>
        <v>0</v>
      </c>
      <c r="M25" s="21">
        <f ca="1">IFERROR(__xludf.DUMMYFUNCTION("""COMPUTED_VALUE"""),0)</f>
        <v>0</v>
      </c>
      <c r="N25" s="21">
        <f ca="1">IFERROR(__xludf.DUMMYFUNCTION("""COMPUTED_VALUE"""),0)</f>
        <v>0</v>
      </c>
      <c r="O25" s="21">
        <f ca="1">IFERROR(__xludf.DUMMYFUNCTION("""COMPUTED_VALUE"""),3000)</f>
        <v>3000</v>
      </c>
      <c r="P25" s="21">
        <f ca="1">IFERROR(__xludf.DUMMYFUNCTION("""COMPUTED_VALUE"""),3000)</f>
        <v>3000</v>
      </c>
      <c r="Q25" s="21">
        <f ca="1">IFERROR(__xludf.DUMMYFUNCTION("""COMPUTED_VALUE"""),0)</f>
        <v>0</v>
      </c>
      <c r="R25" s="22">
        <f ca="1">IFERROR(__xludf.DUMMYFUNCTION("""COMPUTED_VALUE"""),0)</f>
        <v>0</v>
      </c>
      <c r="S25" s="23">
        <f ca="1">IFERROR(__xludf.DUMMYFUNCTION("""COMPUTED_VALUE"""),0)</f>
        <v>0</v>
      </c>
      <c r="T25" s="24">
        <f ca="1">IFERROR(__xludf.DUMMYFUNCTION("""COMPUTED_VALUE"""),0)</f>
        <v>0</v>
      </c>
      <c r="U25" s="23">
        <f ca="1">IFERROR(__xludf.DUMMYFUNCTION("""COMPUTED_VALUE"""),0)</f>
        <v>0</v>
      </c>
      <c r="V25" s="23">
        <f ca="1">IFERROR(__xludf.DUMMYFUNCTION("""COMPUTED_VALUE"""),0)</f>
        <v>0</v>
      </c>
      <c r="W25" s="23">
        <f ca="1">IFERROR(__xludf.DUMMYFUNCTION("""COMPUTED_VALUE"""),0)</f>
        <v>0</v>
      </c>
      <c r="X25" s="23">
        <f ca="1">IFERROR(__xludf.DUMMYFUNCTION("""COMPUTED_VALUE"""),0)</f>
        <v>0</v>
      </c>
      <c r="Y25" s="25">
        <f ca="1">IFERROR(__xludf.DUMMYFUNCTION("""COMPUTED_VALUE"""),0)</f>
        <v>0</v>
      </c>
      <c r="Z25" s="25">
        <f ca="1">IFERROR(__xludf.DUMMYFUNCTION("""COMPUTED_VALUE"""),0)</f>
        <v>0</v>
      </c>
      <c r="AA25" s="25">
        <f ca="1">IFERROR(__xludf.DUMMYFUNCTION("""COMPUTED_VALUE"""),0)</f>
        <v>0</v>
      </c>
      <c r="AB25" s="25">
        <f ca="1">IFERROR(__xludf.DUMMYFUNCTION("""COMPUTED_VALUE"""),0)</f>
        <v>0</v>
      </c>
      <c r="AC25" s="23">
        <f ca="1">IFERROR(__xludf.DUMMYFUNCTION("""COMPUTED_VALUE"""),0)</f>
        <v>0</v>
      </c>
      <c r="AD25" s="26"/>
      <c r="AE25" s="27"/>
    </row>
    <row r="26" spans="1:31" ht="14.3">
      <c r="A26" s="18" t="str">
        <f ca="1">IFERROR(__xludf.DUMMYFUNCTION("""COMPUTED_VALUE"""),"23SDSCE01024")</f>
        <v>23SDSCE01024</v>
      </c>
      <c r="B26" s="19" t="str">
        <f ca="1">IFERROR(__xludf.DUMMYFUNCTION("""COMPUTED_VALUE"""),"PARMAR HIREN PRAVINBHAI")</f>
        <v>PARMAR HIREN PRAVINBHAI</v>
      </c>
      <c r="C26" s="18" t="str">
        <f ca="1">IFERROR(__xludf.DUMMYFUNCTION("""COMPUTED_VALUE"""),"SDS")</f>
        <v>SDS</v>
      </c>
      <c r="D26" s="18" t="str">
        <f ca="1">IFERROR(__xludf.DUMMYFUNCTION("""COMPUTED_VALUE"""),"DCE")</f>
        <v>DCE</v>
      </c>
      <c r="E26" s="18">
        <f ca="1">IFERROR(__xludf.DUMMYFUNCTION("""COMPUTED_VALUE"""),2)</f>
        <v>2</v>
      </c>
      <c r="F26" s="18" t="str">
        <f ca="1">IFERROR(__xludf.DUMMYFUNCTION("""COMPUTED_VALUE"""),"9687889523 9925853004")</f>
        <v>9687889523 9925853004</v>
      </c>
      <c r="G26" s="18" t="str">
        <f ca="1">IFERROR(__xludf.DUMMYFUNCTION("""COMPUTED_VALUE"""),"9687889523 9925853004")</f>
        <v>9687889523 9925853004</v>
      </c>
      <c r="H26" s="18" t="str">
        <f ca="1">IFERROR(__xludf.DUMMYFUNCTION("""COMPUTED_VALUE"""),"DCE_2023-26")</f>
        <v>DCE_2023-26</v>
      </c>
      <c r="I26" s="20"/>
      <c r="J26" s="21">
        <f ca="1">IFERROR(__xludf.DUMMYFUNCTION("""COMPUTED_VALUE"""),27500)</f>
        <v>27500</v>
      </c>
      <c r="K26" s="21">
        <f ca="1">IFERROR(__xludf.DUMMYFUNCTION("""COMPUTED_VALUE"""),0)</f>
        <v>0</v>
      </c>
      <c r="L26" s="21">
        <f ca="1">IFERROR(__xludf.DUMMYFUNCTION("""COMPUTED_VALUE"""),0)</f>
        <v>0</v>
      </c>
      <c r="M26" s="21">
        <f ca="1">IFERROR(__xludf.DUMMYFUNCTION("""COMPUTED_VALUE"""),0)</f>
        <v>0</v>
      </c>
      <c r="N26" s="21">
        <f ca="1">IFERROR(__xludf.DUMMYFUNCTION("""COMPUTED_VALUE"""),27500)</f>
        <v>27500</v>
      </c>
      <c r="O26" s="21">
        <f ca="1">IFERROR(__xludf.DUMMYFUNCTION("""COMPUTED_VALUE"""),3000)</f>
        <v>3000</v>
      </c>
      <c r="P26" s="21">
        <f ca="1">IFERROR(__xludf.DUMMYFUNCTION("""COMPUTED_VALUE"""),0)</f>
        <v>0</v>
      </c>
      <c r="Q26" s="21">
        <f ca="1">IFERROR(__xludf.DUMMYFUNCTION("""COMPUTED_VALUE"""),0)</f>
        <v>0</v>
      </c>
      <c r="R26" s="22">
        <f ca="1">IFERROR(__xludf.DUMMYFUNCTION("""COMPUTED_VALUE"""),0)</f>
        <v>0</v>
      </c>
      <c r="S26" s="23">
        <f ca="1">IFERROR(__xludf.DUMMYFUNCTION("""COMPUTED_VALUE"""),3000)</f>
        <v>3000</v>
      </c>
      <c r="T26" s="24">
        <f ca="1">IFERROR(__xludf.DUMMYFUNCTION("""COMPUTED_VALUE"""),0)</f>
        <v>0</v>
      </c>
      <c r="U26" s="23">
        <f ca="1">IFERROR(__xludf.DUMMYFUNCTION("""COMPUTED_VALUE"""),0)</f>
        <v>0</v>
      </c>
      <c r="V26" s="23">
        <f ca="1">IFERROR(__xludf.DUMMYFUNCTION("""COMPUTED_VALUE"""),0)</f>
        <v>0</v>
      </c>
      <c r="W26" s="23">
        <f ca="1">IFERROR(__xludf.DUMMYFUNCTION("""COMPUTED_VALUE"""),0)</f>
        <v>0</v>
      </c>
      <c r="X26" s="23">
        <f ca="1">IFERROR(__xludf.DUMMYFUNCTION("""COMPUTED_VALUE"""),0)</f>
        <v>0</v>
      </c>
      <c r="Y26" s="25">
        <f ca="1">IFERROR(__xludf.DUMMYFUNCTION("""COMPUTED_VALUE"""),0)</f>
        <v>0</v>
      </c>
      <c r="Z26" s="25">
        <f ca="1">IFERROR(__xludf.DUMMYFUNCTION("""COMPUTED_VALUE"""),0)</f>
        <v>0</v>
      </c>
      <c r="AA26" s="25">
        <f ca="1">IFERROR(__xludf.DUMMYFUNCTION("""COMPUTED_VALUE"""),0)</f>
        <v>0</v>
      </c>
      <c r="AB26" s="25">
        <f ca="1">IFERROR(__xludf.DUMMYFUNCTION("""COMPUTED_VALUE"""),0)</f>
        <v>0</v>
      </c>
      <c r="AC26" s="23">
        <f ca="1">IFERROR(__xludf.DUMMYFUNCTION("""COMPUTED_VALUE"""),0)</f>
        <v>0</v>
      </c>
      <c r="AD26" s="26"/>
      <c r="AE26" s="27"/>
    </row>
    <row r="27" spans="1:31" ht="14.3">
      <c r="A27" s="18" t="str">
        <f ca="1">IFERROR(__xludf.DUMMYFUNCTION("""COMPUTED_VALUE"""),"23SDSCE01025")</f>
        <v>23SDSCE01025</v>
      </c>
      <c r="B27" s="19" t="str">
        <f ca="1">IFERROR(__xludf.DUMMYFUNCTION("""COMPUTED_VALUE"""),"RAIYANI RAJ")</f>
        <v>RAIYANI RAJ</v>
      </c>
      <c r="C27" s="18" t="str">
        <f ca="1">IFERROR(__xludf.DUMMYFUNCTION("""COMPUTED_VALUE"""),"SDS")</f>
        <v>SDS</v>
      </c>
      <c r="D27" s="18" t="str">
        <f ca="1">IFERROR(__xludf.DUMMYFUNCTION("""COMPUTED_VALUE"""),"DCE")</f>
        <v>DCE</v>
      </c>
      <c r="E27" s="18">
        <f ca="1">IFERROR(__xludf.DUMMYFUNCTION("""COMPUTED_VALUE"""),2)</f>
        <v>2</v>
      </c>
      <c r="F27" s="18" t="str">
        <f ca="1">IFERROR(__xludf.DUMMYFUNCTION("""COMPUTED_VALUE"""),"9998096663 9898243143")</f>
        <v>9998096663 9898243143</v>
      </c>
      <c r="G27" s="18" t="str">
        <f ca="1">IFERROR(__xludf.DUMMYFUNCTION("""COMPUTED_VALUE"""),"9998096663 9898243143")</f>
        <v>9998096663 9898243143</v>
      </c>
      <c r="H27" s="18" t="str">
        <f ca="1">IFERROR(__xludf.DUMMYFUNCTION("""COMPUTED_VALUE"""),"DCE_2023-26")</f>
        <v>DCE_2023-26</v>
      </c>
      <c r="I27" s="20"/>
      <c r="J27" s="21">
        <f ca="1">IFERROR(__xludf.DUMMYFUNCTION("""COMPUTED_VALUE"""),27500)</f>
        <v>27500</v>
      </c>
      <c r="K27" s="21">
        <f ca="1">IFERROR(__xludf.DUMMYFUNCTION("""COMPUTED_VALUE"""),27500)</f>
        <v>27500</v>
      </c>
      <c r="L27" s="21">
        <f ca="1">IFERROR(__xludf.DUMMYFUNCTION("""COMPUTED_VALUE"""),0)</f>
        <v>0</v>
      </c>
      <c r="M27" s="21">
        <f ca="1">IFERROR(__xludf.DUMMYFUNCTION("""COMPUTED_VALUE"""),0)</f>
        <v>0</v>
      </c>
      <c r="N27" s="21">
        <f ca="1">IFERROR(__xludf.DUMMYFUNCTION("""COMPUTED_VALUE"""),0)</f>
        <v>0</v>
      </c>
      <c r="O27" s="21">
        <f ca="1">IFERROR(__xludf.DUMMYFUNCTION("""COMPUTED_VALUE"""),3000)</f>
        <v>3000</v>
      </c>
      <c r="P27" s="21">
        <f ca="1">IFERROR(__xludf.DUMMYFUNCTION("""COMPUTED_VALUE"""),3000)</f>
        <v>3000</v>
      </c>
      <c r="Q27" s="21">
        <f ca="1">IFERROR(__xludf.DUMMYFUNCTION("""COMPUTED_VALUE"""),0)</f>
        <v>0</v>
      </c>
      <c r="R27" s="22">
        <f ca="1">IFERROR(__xludf.DUMMYFUNCTION("""COMPUTED_VALUE"""),0)</f>
        <v>0</v>
      </c>
      <c r="S27" s="23">
        <f ca="1">IFERROR(__xludf.DUMMYFUNCTION("""COMPUTED_VALUE"""),0)</f>
        <v>0</v>
      </c>
      <c r="T27" s="24">
        <f ca="1">IFERROR(__xludf.DUMMYFUNCTION("""COMPUTED_VALUE"""),0)</f>
        <v>0</v>
      </c>
      <c r="U27" s="23">
        <f ca="1">IFERROR(__xludf.DUMMYFUNCTION("""COMPUTED_VALUE"""),0)</f>
        <v>0</v>
      </c>
      <c r="V27" s="23">
        <f ca="1">IFERROR(__xludf.DUMMYFUNCTION("""COMPUTED_VALUE"""),0)</f>
        <v>0</v>
      </c>
      <c r="W27" s="23">
        <f ca="1">IFERROR(__xludf.DUMMYFUNCTION("""COMPUTED_VALUE"""),0)</f>
        <v>0</v>
      </c>
      <c r="X27" s="23">
        <f ca="1">IFERROR(__xludf.DUMMYFUNCTION("""COMPUTED_VALUE"""),0)</f>
        <v>0</v>
      </c>
      <c r="Y27" s="25">
        <f ca="1">IFERROR(__xludf.DUMMYFUNCTION("""COMPUTED_VALUE"""),0)</f>
        <v>0</v>
      </c>
      <c r="Z27" s="25">
        <f ca="1">IFERROR(__xludf.DUMMYFUNCTION("""COMPUTED_VALUE"""),0)</f>
        <v>0</v>
      </c>
      <c r="AA27" s="25">
        <f ca="1">IFERROR(__xludf.DUMMYFUNCTION("""COMPUTED_VALUE"""),0)</f>
        <v>0</v>
      </c>
      <c r="AB27" s="25">
        <f ca="1">IFERROR(__xludf.DUMMYFUNCTION("""COMPUTED_VALUE"""),0)</f>
        <v>0</v>
      </c>
      <c r="AC27" s="23">
        <f ca="1">IFERROR(__xludf.DUMMYFUNCTION("""COMPUTED_VALUE"""),0)</f>
        <v>0</v>
      </c>
      <c r="AD27" s="26"/>
      <c r="AE27" s="27"/>
    </row>
    <row r="28" spans="1:31" ht="14.3">
      <c r="A28" s="18" t="str">
        <f ca="1">IFERROR(__xludf.DUMMYFUNCTION("""COMPUTED_VALUE"""),"23SDSCE01026")</f>
        <v>23SDSCE01026</v>
      </c>
      <c r="B28" s="19" t="str">
        <f ca="1">IFERROR(__xludf.DUMMYFUNCTION("""COMPUTED_VALUE"""),"RANK RUSHIT PRAVINBHAI")</f>
        <v>RANK RUSHIT PRAVINBHAI</v>
      </c>
      <c r="C28" s="18" t="str">
        <f ca="1">IFERROR(__xludf.DUMMYFUNCTION("""COMPUTED_VALUE"""),"SDS")</f>
        <v>SDS</v>
      </c>
      <c r="D28" s="18" t="str">
        <f ca="1">IFERROR(__xludf.DUMMYFUNCTION("""COMPUTED_VALUE"""),"DCE")</f>
        <v>DCE</v>
      </c>
      <c r="E28" s="18">
        <f ca="1">IFERROR(__xludf.DUMMYFUNCTION("""COMPUTED_VALUE"""),2)</f>
        <v>2</v>
      </c>
      <c r="F28" s="18" t="str">
        <f ca="1">IFERROR(__xludf.DUMMYFUNCTION("""COMPUTED_VALUE"""),"7016578336 9727184429")</f>
        <v>7016578336 9727184429</v>
      </c>
      <c r="G28" s="18" t="str">
        <f ca="1">IFERROR(__xludf.DUMMYFUNCTION("""COMPUTED_VALUE"""),"7016578336 9727184429")</f>
        <v>7016578336 9727184429</v>
      </c>
      <c r="H28" s="18" t="str">
        <f ca="1">IFERROR(__xludf.DUMMYFUNCTION("""COMPUTED_VALUE"""),"DCE_2023-26")</f>
        <v>DCE_2023-26</v>
      </c>
      <c r="I28" s="20" t="str">
        <f ca="1">IFERROR(__xludf.DUMMYFUNCTION("""COMPUTED_VALUE"""),"MYSY")</f>
        <v>MYSY</v>
      </c>
      <c r="J28" s="21">
        <f ca="1">IFERROR(__xludf.DUMMYFUNCTION("""COMPUTED_VALUE"""),27500)</f>
        <v>27500</v>
      </c>
      <c r="K28" s="21">
        <f ca="1">IFERROR(__xludf.DUMMYFUNCTION("""COMPUTED_VALUE"""),0)</f>
        <v>0</v>
      </c>
      <c r="L28" s="21">
        <f ca="1">IFERROR(__xludf.DUMMYFUNCTION("""COMPUTED_VALUE"""),0)</f>
        <v>0</v>
      </c>
      <c r="M28" s="21">
        <f ca="1">IFERROR(__xludf.DUMMYFUNCTION("""COMPUTED_VALUE"""),0)</f>
        <v>0</v>
      </c>
      <c r="N28" s="21">
        <f ca="1">IFERROR(__xludf.DUMMYFUNCTION("""COMPUTED_VALUE"""),27500)</f>
        <v>27500</v>
      </c>
      <c r="O28" s="21">
        <f ca="1">IFERROR(__xludf.DUMMYFUNCTION("""COMPUTED_VALUE"""),3000)</f>
        <v>3000</v>
      </c>
      <c r="P28" s="21">
        <f ca="1">IFERROR(__xludf.DUMMYFUNCTION("""COMPUTED_VALUE"""),3000)</f>
        <v>3000</v>
      </c>
      <c r="Q28" s="21">
        <f ca="1">IFERROR(__xludf.DUMMYFUNCTION("""COMPUTED_VALUE"""),0)</f>
        <v>0</v>
      </c>
      <c r="R28" s="11">
        <f ca="1">IFERROR(__xludf.DUMMYFUNCTION("""COMPUTED_VALUE"""),0)</f>
        <v>0</v>
      </c>
      <c r="S28" s="23">
        <f ca="1">IFERROR(__xludf.DUMMYFUNCTION("""COMPUTED_VALUE"""),0)</f>
        <v>0</v>
      </c>
      <c r="T28" s="24">
        <f ca="1">IFERROR(__xludf.DUMMYFUNCTION("""COMPUTED_VALUE"""),0)</f>
        <v>0</v>
      </c>
      <c r="U28" s="23">
        <f ca="1">IFERROR(__xludf.DUMMYFUNCTION("""COMPUTED_VALUE"""),0)</f>
        <v>0</v>
      </c>
      <c r="V28" s="23">
        <f ca="1">IFERROR(__xludf.DUMMYFUNCTION("""COMPUTED_VALUE"""),0)</f>
        <v>0</v>
      </c>
      <c r="W28" s="23">
        <f ca="1">IFERROR(__xludf.DUMMYFUNCTION("""COMPUTED_VALUE"""),0)</f>
        <v>0</v>
      </c>
      <c r="X28" s="23">
        <f ca="1">IFERROR(__xludf.DUMMYFUNCTION("""COMPUTED_VALUE"""),0)</f>
        <v>0</v>
      </c>
      <c r="Y28" s="25">
        <f ca="1">IFERROR(__xludf.DUMMYFUNCTION("""COMPUTED_VALUE"""),0)</f>
        <v>0</v>
      </c>
      <c r="Z28" s="25">
        <f ca="1">IFERROR(__xludf.DUMMYFUNCTION("""COMPUTED_VALUE"""),0)</f>
        <v>0</v>
      </c>
      <c r="AA28" s="25">
        <f ca="1">IFERROR(__xludf.DUMMYFUNCTION("""COMPUTED_VALUE"""),0)</f>
        <v>0</v>
      </c>
      <c r="AB28" s="25">
        <f ca="1">IFERROR(__xludf.DUMMYFUNCTION("""COMPUTED_VALUE"""),0)</f>
        <v>0</v>
      </c>
      <c r="AC28" s="23">
        <f ca="1">IFERROR(__xludf.DUMMYFUNCTION("""COMPUTED_VALUE"""),0)</f>
        <v>0</v>
      </c>
      <c r="AD28" s="26" t="str">
        <f ca="1">IFERROR(__xludf.DUMMYFUNCTION("""COMPUTED_VALUE"""),"MYSY (25000/-)	KSPS ( 12500/- )")</f>
        <v>MYSY (25000/-)	KSPS ( 12500/- )</v>
      </c>
      <c r="AE28" s="27"/>
    </row>
    <row r="29" spans="1:31" ht="14.3">
      <c r="A29" s="18" t="str">
        <f ca="1">IFERROR(__xludf.DUMMYFUNCTION("""COMPUTED_VALUE"""),"23SDSCE01027")</f>
        <v>23SDSCE01027</v>
      </c>
      <c r="B29" s="19" t="str">
        <f ca="1">IFERROR(__xludf.DUMMYFUNCTION("""COMPUTED_VALUE"""),"JAYRAJSINH DEEPAKBHAI RATHOD")</f>
        <v>JAYRAJSINH DEEPAKBHAI RATHOD</v>
      </c>
      <c r="C29" s="18" t="str">
        <f ca="1">IFERROR(__xludf.DUMMYFUNCTION("""COMPUTED_VALUE"""),"SDS")</f>
        <v>SDS</v>
      </c>
      <c r="D29" s="18" t="str">
        <f ca="1">IFERROR(__xludf.DUMMYFUNCTION("""COMPUTED_VALUE"""),"DCE")</f>
        <v>DCE</v>
      </c>
      <c r="E29" s="18">
        <f ca="1">IFERROR(__xludf.DUMMYFUNCTION("""COMPUTED_VALUE"""),2)</f>
        <v>2</v>
      </c>
      <c r="F29" s="6" t="str">
        <f ca="1">IFERROR(__xludf.DUMMYFUNCTION("""COMPUTED_VALUE"""),"9173434743 9537662757 9824208487")</f>
        <v>9173434743 9537662757 9824208487</v>
      </c>
      <c r="G29" s="6" t="str">
        <f ca="1">IFERROR(__xludf.DUMMYFUNCTION("""COMPUTED_VALUE"""),"9173434743 9537662757 9824208487")</f>
        <v>9173434743 9537662757 9824208487</v>
      </c>
      <c r="H29" s="18" t="str">
        <f ca="1">IFERROR(__xludf.DUMMYFUNCTION("""COMPUTED_VALUE"""),"DCE_2023-26")</f>
        <v>DCE_2023-26</v>
      </c>
      <c r="I29" s="20"/>
      <c r="J29" s="21">
        <f ca="1">IFERROR(__xludf.DUMMYFUNCTION("""COMPUTED_VALUE"""),27500)</f>
        <v>27500</v>
      </c>
      <c r="K29" s="21">
        <f ca="1">IFERROR(__xludf.DUMMYFUNCTION("""COMPUTED_VALUE"""),27500)</f>
        <v>27500</v>
      </c>
      <c r="L29" s="21">
        <f ca="1">IFERROR(__xludf.DUMMYFUNCTION("""COMPUTED_VALUE"""),0)</f>
        <v>0</v>
      </c>
      <c r="M29" s="21">
        <f ca="1">IFERROR(__xludf.DUMMYFUNCTION("""COMPUTED_VALUE"""),0)</f>
        <v>0</v>
      </c>
      <c r="N29" s="21">
        <f ca="1">IFERROR(__xludf.DUMMYFUNCTION("""COMPUTED_VALUE"""),0)</f>
        <v>0</v>
      </c>
      <c r="O29" s="21">
        <f ca="1">IFERROR(__xludf.DUMMYFUNCTION("""COMPUTED_VALUE"""),3000)</f>
        <v>3000</v>
      </c>
      <c r="P29" s="21">
        <f ca="1">IFERROR(__xludf.DUMMYFUNCTION("""COMPUTED_VALUE"""),3000)</f>
        <v>3000</v>
      </c>
      <c r="Q29" s="21">
        <f ca="1">IFERROR(__xludf.DUMMYFUNCTION("""COMPUTED_VALUE"""),0)</f>
        <v>0</v>
      </c>
      <c r="R29" s="11">
        <f ca="1">IFERROR(__xludf.DUMMYFUNCTION("""COMPUTED_VALUE"""),0)</f>
        <v>0</v>
      </c>
      <c r="S29" s="23">
        <f ca="1">IFERROR(__xludf.DUMMYFUNCTION("""COMPUTED_VALUE"""),0)</f>
        <v>0</v>
      </c>
      <c r="T29" s="24">
        <f ca="1">IFERROR(__xludf.DUMMYFUNCTION("""COMPUTED_VALUE"""),0)</f>
        <v>0</v>
      </c>
      <c r="U29" s="23">
        <f ca="1">IFERROR(__xludf.DUMMYFUNCTION("""COMPUTED_VALUE"""),0)</f>
        <v>0</v>
      </c>
      <c r="V29" s="23">
        <f ca="1">IFERROR(__xludf.DUMMYFUNCTION("""COMPUTED_VALUE"""),0)</f>
        <v>0</v>
      </c>
      <c r="W29" s="23">
        <f ca="1">IFERROR(__xludf.DUMMYFUNCTION("""COMPUTED_VALUE"""),0)</f>
        <v>0</v>
      </c>
      <c r="X29" s="23">
        <f ca="1">IFERROR(__xludf.DUMMYFUNCTION("""COMPUTED_VALUE"""),0)</f>
        <v>0</v>
      </c>
      <c r="Y29" s="25">
        <f ca="1">IFERROR(__xludf.DUMMYFUNCTION("""COMPUTED_VALUE"""),0)</f>
        <v>0</v>
      </c>
      <c r="Z29" s="25">
        <f ca="1">IFERROR(__xludf.DUMMYFUNCTION("""COMPUTED_VALUE"""),0)</f>
        <v>0</v>
      </c>
      <c r="AA29" s="25">
        <f ca="1">IFERROR(__xludf.DUMMYFUNCTION("""COMPUTED_VALUE"""),0)</f>
        <v>0</v>
      </c>
      <c r="AB29" s="25">
        <f ca="1">IFERROR(__xludf.DUMMYFUNCTION("""COMPUTED_VALUE"""),0)</f>
        <v>0</v>
      </c>
      <c r="AC29" s="23">
        <f ca="1">IFERROR(__xludf.DUMMYFUNCTION("""COMPUTED_VALUE"""),0)</f>
        <v>0</v>
      </c>
      <c r="AD29" s="26"/>
      <c r="AE29" s="27"/>
    </row>
    <row r="30" spans="1:31" ht="14.3">
      <c r="A30" s="18" t="str">
        <f ca="1">IFERROR(__xludf.DUMMYFUNCTION("""COMPUTED_VALUE"""),"23SDSCE01028")</f>
        <v>23SDSCE01028</v>
      </c>
      <c r="B30" s="19" t="str">
        <f ca="1">IFERROR(__xludf.DUMMYFUNCTION("""COMPUTED_VALUE"""),"SARVAIYA NILKUMAR TEJASHBHAI")</f>
        <v>SARVAIYA NILKUMAR TEJASHBHAI</v>
      </c>
      <c r="C30" s="18" t="str">
        <f ca="1">IFERROR(__xludf.DUMMYFUNCTION("""COMPUTED_VALUE"""),"SDS")</f>
        <v>SDS</v>
      </c>
      <c r="D30" s="18" t="str">
        <f ca="1">IFERROR(__xludf.DUMMYFUNCTION("""COMPUTED_VALUE"""),"DCE")</f>
        <v>DCE</v>
      </c>
      <c r="E30" s="18">
        <f ca="1">IFERROR(__xludf.DUMMYFUNCTION("""COMPUTED_VALUE"""),2)</f>
        <v>2</v>
      </c>
      <c r="F30" s="6" t="str">
        <f ca="1">IFERROR(__xludf.DUMMYFUNCTION("""COMPUTED_VALUE"""),"9408186776 9427722011")</f>
        <v>9408186776 9427722011</v>
      </c>
      <c r="G30" s="6" t="str">
        <f ca="1">IFERROR(__xludf.DUMMYFUNCTION("""COMPUTED_VALUE"""),"9408186776 9427722011")</f>
        <v>9408186776 9427722011</v>
      </c>
      <c r="H30" s="18" t="str">
        <f ca="1">IFERROR(__xludf.DUMMYFUNCTION("""COMPUTED_VALUE"""),"DCE_2023-26")</f>
        <v>DCE_2023-26</v>
      </c>
      <c r="I30" s="20" t="str">
        <f ca="1">IFERROR(__xludf.DUMMYFUNCTION("""COMPUTED_VALUE"""),"TFW")</f>
        <v>TFW</v>
      </c>
      <c r="J30" s="21">
        <f ca="1">IFERROR(__xludf.DUMMYFUNCTION("""COMPUTED_VALUE"""),0)</f>
        <v>0</v>
      </c>
      <c r="K30" s="21">
        <f ca="1">IFERROR(__xludf.DUMMYFUNCTION("""COMPUTED_VALUE"""),0)</f>
        <v>0</v>
      </c>
      <c r="L30" s="21">
        <f ca="1">IFERROR(__xludf.DUMMYFUNCTION("""COMPUTED_VALUE"""),0)</f>
        <v>0</v>
      </c>
      <c r="M30" s="21">
        <f ca="1">IFERROR(__xludf.DUMMYFUNCTION("""COMPUTED_VALUE"""),0)</f>
        <v>0</v>
      </c>
      <c r="N30" s="21">
        <f ca="1">IFERROR(__xludf.DUMMYFUNCTION("""COMPUTED_VALUE"""),0)</f>
        <v>0</v>
      </c>
      <c r="O30" s="21">
        <f ca="1">IFERROR(__xludf.DUMMYFUNCTION("""COMPUTED_VALUE"""),3000)</f>
        <v>3000</v>
      </c>
      <c r="P30" s="21">
        <f ca="1">IFERROR(__xludf.DUMMYFUNCTION("""COMPUTED_VALUE"""),3000)</f>
        <v>3000</v>
      </c>
      <c r="Q30" s="21">
        <f ca="1">IFERROR(__xludf.DUMMYFUNCTION("""COMPUTED_VALUE"""),0)</f>
        <v>0</v>
      </c>
      <c r="R30" s="11">
        <f ca="1">IFERROR(__xludf.DUMMYFUNCTION("""COMPUTED_VALUE"""),0)</f>
        <v>0</v>
      </c>
      <c r="S30" s="23">
        <f ca="1">IFERROR(__xludf.DUMMYFUNCTION("""COMPUTED_VALUE"""),0)</f>
        <v>0</v>
      </c>
      <c r="T30" s="24">
        <f ca="1">IFERROR(__xludf.DUMMYFUNCTION("""COMPUTED_VALUE"""),0)</f>
        <v>0</v>
      </c>
      <c r="U30" s="23">
        <f ca="1">IFERROR(__xludf.DUMMYFUNCTION("""COMPUTED_VALUE"""),0)</f>
        <v>0</v>
      </c>
      <c r="V30" s="23">
        <f ca="1">IFERROR(__xludf.DUMMYFUNCTION("""COMPUTED_VALUE"""),0)</f>
        <v>0</v>
      </c>
      <c r="W30" s="23">
        <f ca="1">IFERROR(__xludf.DUMMYFUNCTION("""COMPUTED_VALUE"""),0)</f>
        <v>0</v>
      </c>
      <c r="X30" s="23">
        <f ca="1">IFERROR(__xludf.DUMMYFUNCTION("""COMPUTED_VALUE"""),0)</f>
        <v>0</v>
      </c>
      <c r="Y30" s="25">
        <f ca="1">IFERROR(__xludf.DUMMYFUNCTION("""COMPUTED_VALUE"""),0)</f>
        <v>0</v>
      </c>
      <c r="Z30" s="25">
        <f ca="1">IFERROR(__xludf.DUMMYFUNCTION("""COMPUTED_VALUE"""),0)</f>
        <v>0</v>
      </c>
      <c r="AA30" s="25">
        <f ca="1">IFERROR(__xludf.DUMMYFUNCTION("""COMPUTED_VALUE"""),0)</f>
        <v>0</v>
      </c>
      <c r="AB30" s="25">
        <f ca="1">IFERROR(__xludf.DUMMYFUNCTION("""COMPUTED_VALUE"""),0)</f>
        <v>0</v>
      </c>
      <c r="AC30" s="23">
        <f ca="1">IFERROR(__xludf.DUMMYFUNCTION("""COMPUTED_VALUE"""),0)</f>
        <v>0</v>
      </c>
      <c r="AD30" s="26"/>
      <c r="AE30" s="27"/>
    </row>
    <row r="31" spans="1:31" ht="14.3">
      <c r="A31" s="18" t="str">
        <f ca="1">IFERROR(__xludf.DUMMYFUNCTION("""COMPUTED_VALUE"""),"23SDSCE01029")</f>
        <v>23SDSCE01029</v>
      </c>
      <c r="B31" s="19" t="str">
        <f ca="1">IFERROR(__xludf.DUMMYFUNCTION("""COMPUTED_VALUE"""),"SAVALIYA HENISH NIKUNJBHAI")</f>
        <v>SAVALIYA HENISH NIKUNJBHAI</v>
      </c>
      <c r="C31" s="18" t="str">
        <f ca="1">IFERROR(__xludf.DUMMYFUNCTION("""COMPUTED_VALUE"""),"SDS")</f>
        <v>SDS</v>
      </c>
      <c r="D31" s="18" t="str">
        <f ca="1">IFERROR(__xludf.DUMMYFUNCTION("""COMPUTED_VALUE"""),"DCE")</f>
        <v>DCE</v>
      </c>
      <c r="E31" s="18">
        <f ca="1">IFERROR(__xludf.DUMMYFUNCTION("""COMPUTED_VALUE"""),2)</f>
        <v>2</v>
      </c>
      <c r="F31" s="18" t="str">
        <f ca="1">IFERROR(__xludf.DUMMYFUNCTION("""COMPUTED_VALUE"""),"8780422315 9724034600")</f>
        <v>8780422315 9724034600</v>
      </c>
      <c r="G31" s="18" t="str">
        <f ca="1">IFERROR(__xludf.DUMMYFUNCTION("""COMPUTED_VALUE"""),"8780422315 9724034600")</f>
        <v>8780422315 9724034600</v>
      </c>
      <c r="H31" s="18" t="str">
        <f ca="1">IFERROR(__xludf.DUMMYFUNCTION("""COMPUTED_VALUE"""),"DCE_2023-26")</f>
        <v>DCE_2023-26</v>
      </c>
      <c r="I31" s="20" t="str">
        <f ca="1">IFERROR(__xludf.DUMMYFUNCTION("""COMPUTED_VALUE"""),"TFW")</f>
        <v>TFW</v>
      </c>
      <c r="J31" s="21">
        <f ca="1">IFERROR(__xludf.DUMMYFUNCTION("""COMPUTED_VALUE"""),0)</f>
        <v>0</v>
      </c>
      <c r="K31" s="21">
        <f ca="1">IFERROR(__xludf.DUMMYFUNCTION("""COMPUTED_VALUE"""),0)</f>
        <v>0</v>
      </c>
      <c r="L31" s="21">
        <f ca="1">IFERROR(__xludf.DUMMYFUNCTION("""COMPUTED_VALUE"""),0)</f>
        <v>0</v>
      </c>
      <c r="M31" s="21">
        <f ca="1">IFERROR(__xludf.DUMMYFUNCTION("""COMPUTED_VALUE"""),0)</f>
        <v>0</v>
      </c>
      <c r="N31" s="21">
        <f ca="1">IFERROR(__xludf.DUMMYFUNCTION("""COMPUTED_VALUE"""),0)</f>
        <v>0</v>
      </c>
      <c r="O31" s="21">
        <f ca="1">IFERROR(__xludf.DUMMYFUNCTION("""COMPUTED_VALUE"""),3000)</f>
        <v>3000</v>
      </c>
      <c r="P31" s="21">
        <f ca="1">IFERROR(__xludf.DUMMYFUNCTION("""COMPUTED_VALUE"""),3000)</f>
        <v>3000</v>
      </c>
      <c r="Q31" s="21">
        <f ca="1">IFERROR(__xludf.DUMMYFUNCTION("""COMPUTED_VALUE"""),0)</f>
        <v>0</v>
      </c>
      <c r="R31" s="11">
        <f ca="1">IFERROR(__xludf.DUMMYFUNCTION("""COMPUTED_VALUE"""),0)</f>
        <v>0</v>
      </c>
      <c r="S31" s="23">
        <f ca="1">IFERROR(__xludf.DUMMYFUNCTION("""COMPUTED_VALUE"""),0)</f>
        <v>0</v>
      </c>
      <c r="T31" s="24">
        <f ca="1">IFERROR(__xludf.DUMMYFUNCTION("""COMPUTED_VALUE"""),0)</f>
        <v>0</v>
      </c>
      <c r="U31" s="23">
        <f ca="1">IFERROR(__xludf.DUMMYFUNCTION("""COMPUTED_VALUE"""),0)</f>
        <v>0</v>
      </c>
      <c r="V31" s="23">
        <f ca="1">IFERROR(__xludf.DUMMYFUNCTION("""COMPUTED_VALUE"""),0)</f>
        <v>0</v>
      </c>
      <c r="W31" s="23">
        <f ca="1">IFERROR(__xludf.DUMMYFUNCTION("""COMPUTED_VALUE"""),0)</f>
        <v>0</v>
      </c>
      <c r="X31" s="23">
        <f ca="1">IFERROR(__xludf.DUMMYFUNCTION("""COMPUTED_VALUE"""),0)</f>
        <v>0</v>
      </c>
      <c r="Y31" s="25">
        <f ca="1">IFERROR(__xludf.DUMMYFUNCTION("""COMPUTED_VALUE"""),0)</f>
        <v>0</v>
      </c>
      <c r="Z31" s="25">
        <f ca="1">IFERROR(__xludf.DUMMYFUNCTION("""COMPUTED_VALUE"""),0)</f>
        <v>0</v>
      </c>
      <c r="AA31" s="25">
        <f ca="1">IFERROR(__xludf.DUMMYFUNCTION("""COMPUTED_VALUE"""),0)</f>
        <v>0</v>
      </c>
      <c r="AB31" s="25">
        <f ca="1">IFERROR(__xludf.DUMMYFUNCTION("""COMPUTED_VALUE"""),0)</f>
        <v>0</v>
      </c>
      <c r="AC31" s="23">
        <f ca="1">IFERROR(__xludf.DUMMYFUNCTION("""COMPUTED_VALUE"""),0)</f>
        <v>0</v>
      </c>
      <c r="AD31" s="26"/>
      <c r="AE31" s="27"/>
    </row>
    <row r="32" spans="1:31" ht="14.3">
      <c r="A32" s="31" t="str">
        <f ca="1">IFERROR(__xludf.DUMMYFUNCTION("""COMPUTED_VALUE"""),"23SDSCE01030")</f>
        <v>23SDSCE01030</v>
      </c>
      <c r="B32" s="32" t="str">
        <f ca="1">IFERROR(__xludf.DUMMYFUNCTION("""COMPUTED_VALUE"""),"SIROYA HET BIPINBHAI")</f>
        <v>SIROYA HET BIPINBHAI</v>
      </c>
      <c r="C32" s="18" t="str">
        <f ca="1">IFERROR(__xludf.DUMMYFUNCTION("""COMPUTED_VALUE"""),"SDS")</f>
        <v>SDS</v>
      </c>
      <c r="D32" s="18" t="str">
        <f ca="1">IFERROR(__xludf.DUMMYFUNCTION("""COMPUTED_VALUE"""),"DCE")</f>
        <v>DCE</v>
      </c>
      <c r="E32" s="18">
        <f ca="1">IFERROR(__xludf.DUMMYFUNCTION("""COMPUTED_VALUE"""),2)</f>
        <v>2</v>
      </c>
      <c r="F32" s="18" t="str">
        <f ca="1">IFERROR(__xludf.DUMMYFUNCTION("""COMPUTED_VALUE"""),"9712192434 9426826384 9824696455")</f>
        <v>9712192434 9426826384 9824696455</v>
      </c>
      <c r="G32" s="18" t="str">
        <f ca="1">IFERROR(__xludf.DUMMYFUNCTION("""COMPUTED_VALUE"""),"9712192434 9426826384 9824696455")</f>
        <v>9712192434 9426826384 9824696455</v>
      </c>
      <c r="H32" s="18" t="str">
        <f ca="1">IFERROR(__xludf.DUMMYFUNCTION("""COMPUTED_VALUE"""),"DCE_2023-26")</f>
        <v>DCE_2023-26</v>
      </c>
      <c r="I32" s="20"/>
      <c r="J32" s="21">
        <f ca="1">IFERROR(__xludf.DUMMYFUNCTION("""COMPUTED_VALUE"""),27500)</f>
        <v>27500</v>
      </c>
      <c r="K32" s="21">
        <f ca="1">IFERROR(__xludf.DUMMYFUNCTION("""COMPUTED_VALUE"""),5000)</f>
        <v>5000</v>
      </c>
      <c r="L32" s="21">
        <f ca="1">IFERROR(__xludf.DUMMYFUNCTION("""COMPUTED_VALUE"""),0)</f>
        <v>0</v>
      </c>
      <c r="M32" s="21">
        <f ca="1">IFERROR(__xludf.DUMMYFUNCTION("""COMPUTED_VALUE"""),0)</f>
        <v>0</v>
      </c>
      <c r="N32" s="21">
        <f ca="1">IFERROR(__xludf.DUMMYFUNCTION("""COMPUTED_VALUE"""),22500)</f>
        <v>22500</v>
      </c>
      <c r="O32" s="21">
        <f ca="1">IFERROR(__xludf.DUMMYFUNCTION("""COMPUTED_VALUE"""),3000)</f>
        <v>3000</v>
      </c>
      <c r="P32" s="21">
        <f ca="1">IFERROR(__xludf.DUMMYFUNCTION("""COMPUTED_VALUE"""),3000)</f>
        <v>3000</v>
      </c>
      <c r="Q32" s="21">
        <f ca="1">IFERROR(__xludf.DUMMYFUNCTION("""COMPUTED_VALUE"""),0)</f>
        <v>0</v>
      </c>
      <c r="R32" s="11">
        <f ca="1">IFERROR(__xludf.DUMMYFUNCTION("""COMPUTED_VALUE"""),0)</f>
        <v>0</v>
      </c>
      <c r="S32" s="23">
        <f ca="1">IFERROR(__xludf.DUMMYFUNCTION("""COMPUTED_VALUE"""),0)</f>
        <v>0</v>
      </c>
      <c r="T32" s="24">
        <f ca="1">IFERROR(__xludf.DUMMYFUNCTION("""COMPUTED_VALUE"""),0)</f>
        <v>0</v>
      </c>
      <c r="U32" s="23">
        <f ca="1">IFERROR(__xludf.DUMMYFUNCTION("""COMPUTED_VALUE"""),0)</f>
        <v>0</v>
      </c>
      <c r="V32" s="23">
        <f ca="1">IFERROR(__xludf.DUMMYFUNCTION("""COMPUTED_VALUE"""),0)</f>
        <v>0</v>
      </c>
      <c r="W32" s="23">
        <f ca="1">IFERROR(__xludf.DUMMYFUNCTION("""COMPUTED_VALUE"""),0)</f>
        <v>0</v>
      </c>
      <c r="X32" s="23">
        <f ca="1">IFERROR(__xludf.DUMMYFUNCTION("""COMPUTED_VALUE"""),0)</f>
        <v>0</v>
      </c>
      <c r="Y32" s="25">
        <f ca="1">IFERROR(__xludf.DUMMYFUNCTION("""COMPUTED_VALUE"""),0)</f>
        <v>0</v>
      </c>
      <c r="Z32" s="25">
        <f ca="1">IFERROR(__xludf.DUMMYFUNCTION("""COMPUTED_VALUE"""),0)</f>
        <v>0</v>
      </c>
      <c r="AA32" s="25">
        <f ca="1">IFERROR(__xludf.DUMMYFUNCTION("""COMPUTED_VALUE"""),0)</f>
        <v>0</v>
      </c>
      <c r="AB32" s="25">
        <f ca="1">IFERROR(__xludf.DUMMYFUNCTION("""COMPUTED_VALUE"""),0)</f>
        <v>0</v>
      </c>
      <c r="AC32" s="23">
        <f ca="1">IFERROR(__xludf.DUMMYFUNCTION("""COMPUTED_VALUE"""),0)</f>
        <v>0</v>
      </c>
      <c r="AD32" s="26"/>
      <c r="AE32" s="27"/>
    </row>
    <row r="33" spans="1:31" ht="14.3">
      <c r="A33" s="31" t="str">
        <f ca="1">IFERROR(__xludf.DUMMYFUNCTION("""COMPUTED_VALUE"""),"23SDSCE01031")</f>
        <v>23SDSCE01031</v>
      </c>
      <c r="B33" s="32" t="str">
        <f ca="1">IFERROR(__xludf.DUMMYFUNCTION("""COMPUTED_VALUE"""),"MITESH RAVJI SIYANI")</f>
        <v>MITESH RAVJI SIYANI</v>
      </c>
      <c r="C33" s="18" t="str">
        <f ca="1">IFERROR(__xludf.DUMMYFUNCTION("""COMPUTED_VALUE"""),"SDS")</f>
        <v>SDS</v>
      </c>
      <c r="D33" s="18" t="str">
        <f ca="1">IFERROR(__xludf.DUMMYFUNCTION("""COMPUTED_VALUE"""),"DCE")</f>
        <v>DCE</v>
      </c>
      <c r="E33" s="18">
        <f ca="1">IFERROR(__xludf.DUMMYFUNCTION("""COMPUTED_VALUE"""),2)</f>
        <v>2</v>
      </c>
      <c r="F33" s="18" t="str">
        <f ca="1">IFERROR(__xludf.DUMMYFUNCTION("""COMPUTED_VALUE"""),"8200476071 
9925133656")</f>
        <v>8200476071 
9925133656</v>
      </c>
      <c r="G33" s="18" t="str">
        <f ca="1">IFERROR(__xludf.DUMMYFUNCTION("""COMPUTED_VALUE"""),"8200476071 
9925133656")</f>
        <v>8200476071 
9925133656</v>
      </c>
      <c r="H33" s="18" t="str">
        <f ca="1">IFERROR(__xludf.DUMMYFUNCTION("""COMPUTED_VALUE"""),"DCE_2023-26")</f>
        <v>DCE_2023-26</v>
      </c>
      <c r="I33" s="20"/>
      <c r="J33" s="21">
        <f ca="1">IFERROR(__xludf.DUMMYFUNCTION("""COMPUTED_VALUE"""),27500)</f>
        <v>27500</v>
      </c>
      <c r="K33" s="21">
        <f ca="1">IFERROR(__xludf.DUMMYFUNCTION("""COMPUTED_VALUE"""),27500)</f>
        <v>27500</v>
      </c>
      <c r="L33" s="21">
        <f ca="1">IFERROR(__xludf.DUMMYFUNCTION("""COMPUTED_VALUE"""),0)</f>
        <v>0</v>
      </c>
      <c r="M33" s="21">
        <f ca="1">IFERROR(__xludf.DUMMYFUNCTION("""COMPUTED_VALUE"""),0)</f>
        <v>0</v>
      </c>
      <c r="N33" s="21">
        <f ca="1">IFERROR(__xludf.DUMMYFUNCTION("""COMPUTED_VALUE"""),0)</f>
        <v>0</v>
      </c>
      <c r="O33" s="21">
        <f ca="1">IFERROR(__xludf.DUMMYFUNCTION("""COMPUTED_VALUE"""),3000)</f>
        <v>3000</v>
      </c>
      <c r="P33" s="21">
        <f ca="1">IFERROR(__xludf.DUMMYFUNCTION("""COMPUTED_VALUE"""),3000)</f>
        <v>3000</v>
      </c>
      <c r="Q33" s="21">
        <f ca="1">IFERROR(__xludf.DUMMYFUNCTION("""COMPUTED_VALUE"""),0)</f>
        <v>0</v>
      </c>
      <c r="R33" s="11">
        <f ca="1">IFERROR(__xludf.DUMMYFUNCTION("""COMPUTED_VALUE"""),0)</f>
        <v>0</v>
      </c>
      <c r="S33" s="23">
        <f ca="1">IFERROR(__xludf.DUMMYFUNCTION("""COMPUTED_VALUE"""),0)</f>
        <v>0</v>
      </c>
      <c r="T33" s="24">
        <f ca="1">IFERROR(__xludf.DUMMYFUNCTION("""COMPUTED_VALUE"""),0)</f>
        <v>0</v>
      </c>
      <c r="U33" s="23">
        <f ca="1">IFERROR(__xludf.DUMMYFUNCTION("""COMPUTED_VALUE"""),0)</f>
        <v>0</v>
      </c>
      <c r="V33" s="23">
        <f ca="1">IFERROR(__xludf.DUMMYFUNCTION("""COMPUTED_VALUE"""),0)</f>
        <v>0</v>
      </c>
      <c r="W33" s="23">
        <f ca="1">IFERROR(__xludf.DUMMYFUNCTION("""COMPUTED_VALUE"""),0)</f>
        <v>0</v>
      </c>
      <c r="X33" s="23">
        <f ca="1">IFERROR(__xludf.DUMMYFUNCTION("""COMPUTED_VALUE"""),0)</f>
        <v>0</v>
      </c>
      <c r="Y33" s="25">
        <f ca="1">IFERROR(__xludf.DUMMYFUNCTION("""COMPUTED_VALUE"""),0)</f>
        <v>0</v>
      </c>
      <c r="Z33" s="25">
        <f ca="1">IFERROR(__xludf.DUMMYFUNCTION("""COMPUTED_VALUE"""),0)</f>
        <v>0</v>
      </c>
      <c r="AA33" s="25">
        <f ca="1">IFERROR(__xludf.DUMMYFUNCTION("""COMPUTED_VALUE"""),0)</f>
        <v>0</v>
      </c>
      <c r="AB33" s="25">
        <f ca="1">IFERROR(__xludf.DUMMYFUNCTION("""COMPUTED_VALUE"""),0)</f>
        <v>0</v>
      </c>
      <c r="AC33" s="23">
        <f ca="1">IFERROR(__xludf.DUMMYFUNCTION("""COMPUTED_VALUE"""),0)</f>
        <v>0</v>
      </c>
      <c r="AD33" s="26"/>
      <c r="AE33" s="27"/>
    </row>
    <row r="34" spans="1:31" ht="14.3">
      <c r="A34" s="31" t="str">
        <f ca="1">IFERROR(__xludf.DUMMYFUNCTION("""COMPUTED_VALUE"""),"23SDSCE01032")</f>
        <v>23SDSCE01032</v>
      </c>
      <c r="B34" s="32" t="str">
        <f ca="1">IFERROR(__xludf.DUMMYFUNCTION("""COMPUTED_VALUE"""),"SORATHIYA HETVI VIPULBHAI")</f>
        <v>SORATHIYA HETVI VIPULBHAI</v>
      </c>
      <c r="C34" s="18" t="str">
        <f ca="1">IFERROR(__xludf.DUMMYFUNCTION("""COMPUTED_VALUE"""),"SDS")</f>
        <v>SDS</v>
      </c>
      <c r="D34" s="18" t="str">
        <f ca="1">IFERROR(__xludf.DUMMYFUNCTION("""COMPUTED_VALUE"""),"DCE")</f>
        <v>DCE</v>
      </c>
      <c r="E34" s="18">
        <f ca="1">IFERROR(__xludf.DUMMYFUNCTION("""COMPUTED_VALUE"""),2)</f>
        <v>2</v>
      </c>
      <c r="F34" s="18" t="str">
        <f ca="1">IFERROR(__xludf.DUMMYFUNCTION("""COMPUTED_VALUE"""),"9879225420 9409431380")</f>
        <v>9879225420 9409431380</v>
      </c>
      <c r="G34" s="18" t="str">
        <f ca="1">IFERROR(__xludf.DUMMYFUNCTION("""COMPUTED_VALUE"""),"9879225420 9409431380")</f>
        <v>9879225420 9409431380</v>
      </c>
      <c r="H34" s="18" t="str">
        <f ca="1">IFERROR(__xludf.DUMMYFUNCTION("""COMPUTED_VALUE"""),"DCE_2023-26")</f>
        <v>DCE_2023-26</v>
      </c>
      <c r="I34" s="20"/>
      <c r="J34" s="21">
        <f ca="1">IFERROR(__xludf.DUMMYFUNCTION("""COMPUTED_VALUE"""),27500)</f>
        <v>27500</v>
      </c>
      <c r="K34" s="21">
        <f ca="1">IFERROR(__xludf.DUMMYFUNCTION("""COMPUTED_VALUE"""),0)</f>
        <v>0</v>
      </c>
      <c r="L34" s="21">
        <f ca="1">IFERROR(__xludf.DUMMYFUNCTION("""COMPUTED_VALUE"""),0)</f>
        <v>0</v>
      </c>
      <c r="M34" s="21">
        <f ca="1">IFERROR(__xludf.DUMMYFUNCTION("""COMPUTED_VALUE"""),0)</f>
        <v>0</v>
      </c>
      <c r="N34" s="21">
        <f ca="1">IFERROR(__xludf.DUMMYFUNCTION("""COMPUTED_VALUE"""),27500)</f>
        <v>27500</v>
      </c>
      <c r="O34" s="21">
        <f ca="1">IFERROR(__xludf.DUMMYFUNCTION("""COMPUTED_VALUE"""),3000)</f>
        <v>3000</v>
      </c>
      <c r="P34" s="21">
        <f ca="1">IFERROR(__xludf.DUMMYFUNCTION("""COMPUTED_VALUE"""),3000)</f>
        <v>3000</v>
      </c>
      <c r="Q34" s="21">
        <f ca="1">IFERROR(__xludf.DUMMYFUNCTION("""COMPUTED_VALUE"""),0)</f>
        <v>0</v>
      </c>
      <c r="R34" s="29">
        <f ca="1">IFERROR(__xludf.DUMMYFUNCTION("""COMPUTED_VALUE"""),0)</f>
        <v>0</v>
      </c>
      <c r="S34" s="23">
        <f ca="1">IFERROR(__xludf.DUMMYFUNCTION("""COMPUTED_VALUE"""),0)</f>
        <v>0</v>
      </c>
      <c r="T34" s="24">
        <f ca="1">IFERROR(__xludf.DUMMYFUNCTION("""COMPUTED_VALUE"""),0)</f>
        <v>0</v>
      </c>
      <c r="U34" s="23">
        <f ca="1">IFERROR(__xludf.DUMMYFUNCTION("""COMPUTED_VALUE"""),0)</f>
        <v>0</v>
      </c>
      <c r="V34" s="23">
        <f ca="1">IFERROR(__xludf.DUMMYFUNCTION("""COMPUTED_VALUE"""),0)</f>
        <v>0</v>
      </c>
      <c r="W34" s="23">
        <f ca="1">IFERROR(__xludf.DUMMYFUNCTION("""COMPUTED_VALUE"""),0)</f>
        <v>0</v>
      </c>
      <c r="X34" s="23">
        <f ca="1">IFERROR(__xludf.DUMMYFUNCTION("""COMPUTED_VALUE"""),0)</f>
        <v>0</v>
      </c>
      <c r="Y34" s="25">
        <f ca="1">IFERROR(__xludf.DUMMYFUNCTION("""COMPUTED_VALUE"""),0)</f>
        <v>0</v>
      </c>
      <c r="Z34" s="25">
        <f ca="1">IFERROR(__xludf.DUMMYFUNCTION("""COMPUTED_VALUE"""),0)</f>
        <v>0</v>
      </c>
      <c r="AA34" s="25">
        <f ca="1">IFERROR(__xludf.DUMMYFUNCTION("""COMPUTED_VALUE"""),0)</f>
        <v>0</v>
      </c>
      <c r="AB34" s="25">
        <f ca="1">IFERROR(__xludf.DUMMYFUNCTION("""COMPUTED_VALUE"""),0)</f>
        <v>0</v>
      </c>
      <c r="AC34" s="23">
        <f ca="1">IFERROR(__xludf.DUMMYFUNCTION("""COMPUTED_VALUE"""),0)</f>
        <v>0</v>
      </c>
      <c r="AD34" s="26"/>
      <c r="AE34" s="27"/>
    </row>
    <row r="35" spans="1:31" ht="14.3">
      <c r="A35" s="31" t="str">
        <f ca="1">IFERROR(__xludf.DUMMYFUNCTION("""COMPUTED_VALUE"""),"23SDSCE01033")</f>
        <v>23SDSCE01033</v>
      </c>
      <c r="B35" s="32" t="str">
        <f ca="1">IFERROR(__xludf.DUMMYFUNCTION("""COMPUTED_VALUE"""),"TANK YASHVI SHAILESHBHAI")</f>
        <v>TANK YASHVI SHAILESHBHAI</v>
      </c>
      <c r="C35" s="18" t="str">
        <f ca="1">IFERROR(__xludf.DUMMYFUNCTION("""COMPUTED_VALUE"""),"SDS")</f>
        <v>SDS</v>
      </c>
      <c r="D35" s="18" t="str">
        <f ca="1">IFERROR(__xludf.DUMMYFUNCTION("""COMPUTED_VALUE"""),"DCE")</f>
        <v>DCE</v>
      </c>
      <c r="E35" s="18">
        <f ca="1">IFERROR(__xludf.DUMMYFUNCTION("""COMPUTED_VALUE"""),2)</f>
        <v>2</v>
      </c>
      <c r="F35" s="6" t="str">
        <f ca="1">IFERROR(__xludf.DUMMYFUNCTION("""COMPUTED_VALUE"""),"9737728147 9376089288")</f>
        <v>9737728147 9376089288</v>
      </c>
      <c r="G35" s="6" t="str">
        <f ca="1">IFERROR(__xludf.DUMMYFUNCTION("""COMPUTED_VALUE"""),"9737728147 9376089288")</f>
        <v>9737728147 9376089288</v>
      </c>
      <c r="H35" s="18" t="str">
        <f ca="1">IFERROR(__xludf.DUMMYFUNCTION("""COMPUTED_VALUE"""),"DCE_2023-26")</f>
        <v>DCE_2023-26</v>
      </c>
      <c r="I35" s="20"/>
      <c r="J35" s="21">
        <f ca="1">IFERROR(__xludf.DUMMYFUNCTION("""COMPUTED_VALUE"""),27500)</f>
        <v>27500</v>
      </c>
      <c r="K35" s="21">
        <f ca="1">IFERROR(__xludf.DUMMYFUNCTION("""COMPUTED_VALUE"""),0)</f>
        <v>0</v>
      </c>
      <c r="L35" s="21">
        <f ca="1">IFERROR(__xludf.DUMMYFUNCTION("""COMPUTED_VALUE"""),0)</f>
        <v>0</v>
      </c>
      <c r="M35" s="21">
        <f ca="1">IFERROR(__xludf.DUMMYFUNCTION("""COMPUTED_VALUE"""),0)</f>
        <v>0</v>
      </c>
      <c r="N35" s="21">
        <f ca="1">IFERROR(__xludf.DUMMYFUNCTION("""COMPUTED_VALUE"""),27500)</f>
        <v>27500</v>
      </c>
      <c r="O35" s="21">
        <f ca="1">IFERROR(__xludf.DUMMYFUNCTION("""COMPUTED_VALUE"""),3000)</f>
        <v>3000</v>
      </c>
      <c r="P35" s="21">
        <f ca="1">IFERROR(__xludf.DUMMYFUNCTION("""COMPUTED_VALUE"""),3000)</f>
        <v>3000</v>
      </c>
      <c r="Q35" s="21">
        <f ca="1">IFERROR(__xludf.DUMMYFUNCTION("""COMPUTED_VALUE"""),0)</f>
        <v>0</v>
      </c>
      <c r="R35" s="11">
        <f ca="1">IFERROR(__xludf.DUMMYFUNCTION("""COMPUTED_VALUE"""),0)</f>
        <v>0</v>
      </c>
      <c r="S35" s="23">
        <f ca="1">IFERROR(__xludf.DUMMYFUNCTION("""COMPUTED_VALUE"""),0)</f>
        <v>0</v>
      </c>
      <c r="T35" s="24">
        <f ca="1">IFERROR(__xludf.DUMMYFUNCTION("""COMPUTED_VALUE"""),0)</f>
        <v>0</v>
      </c>
      <c r="U35" s="23">
        <f ca="1">IFERROR(__xludf.DUMMYFUNCTION("""COMPUTED_VALUE"""),0)</f>
        <v>0</v>
      </c>
      <c r="V35" s="23">
        <f ca="1">IFERROR(__xludf.DUMMYFUNCTION("""COMPUTED_VALUE"""),0)</f>
        <v>0</v>
      </c>
      <c r="W35" s="23">
        <f ca="1">IFERROR(__xludf.DUMMYFUNCTION("""COMPUTED_VALUE"""),0)</f>
        <v>0</v>
      </c>
      <c r="X35" s="23">
        <f ca="1">IFERROR(__xludf.DUMMYFUNCTION("""COMPUTED_VALUE"""),0)</f>
        <v>0</v>
      </c>
      <c r="Y35" s="25">
        <f ca="1">IFERROR(__xludf.DUMMYFUNCTION("""COMPUTED_VALUE"""),0)</f>
        <v>0</v>
      </c>
      <c r="Z35" s="25">
        <f ca="1">IFERROR(__xludf.DUMMYFUNCTION("""COMPUTED_VALUE"""),0)</f>
        <v>0</v>
      </c>
      <c r="AA35" s="25">
        <f ca="1">IFERROR(__xludf.DUMMYFUNCTION("""COMPUTED_VALUE"""),0)</f>
        <v>0</v>
      </c>
      <c r="AB35" s="25">
        <f ca="1">IFERROR(__xludf.DUMMYFUNCTION("""COMPUTED_VALUE"""),0)</f>
        <v>0</v>
      </c>
      <c r="AC35" s="23">
        <f ca="1">IFERROR(__xludf.DUMMYFUNCTION("""COMPUTED_VALUE"""),0)</f>
        <v>0</v>
      </c>
      <c r="AD35" s="26"/>
      <c r="AE35" s="27"/>
    </row>
    <row r="36" spans="1:31" ht="14.3">
      <c r="A36" s="31" t="str">
        <f ca="1">IFERROR(__xludf.DUMMYFUNCTION("""COMPUTED_VALUE"""),"23SDSCE01034")</f>
        <v>23SDSCE01034</v>
      </c>
      <c r="B36" s="32" t="str">
        <f ca="1">IFERROR(__xludf.DUMMYFUNCTION("""COMPUTED_VALUE"""),"THAKAR PREM NILESHBHAI")</f>
        <v>THAKAR PREM NILESHBHAI</v>
      </c>
      <c r="C36" s="18" t="str">
        <f ca="1">IFERROR(__xludf.DUMMYFUNCTION("""COMPUTED_VALUE"""),"SDS")</f>
        <v>SDS</v>
      </c>
      <c r="D36" s="18" t="str">
        <f ca="1">IFERROR(__xludf.DUMMYFUNCTION("""COMPUTED_VALUE"""),"DCE")</f>
        <v>DCE</v>
      </c>
      <c r="E36" s="18">
        <f ca="1">IFERROR(__xludf.DUMMYFUNCTION("""COMPUTED_VALUE"""),2)</f>
        <v>2</v>
      </c>
      <c r="F36" s="18" t="str">
        <f ca="1">IFERROR(__xludf.DUMMYFUNCTION("""COMPUTED_VALUE"""),"7874503176 7874503176")</f>
        <v>7874503176 7874503176</v>
      </c>
      <c r="G36" s="18" t="str">
        <f ca="1">IFERROR(__xludf.DUMMYFUNCTION("""COMPUTED_VALUE"""),"7874503176 7874503176")</f>
        <v>7874503176 7874503176</v>
      </c>
      <c r="H36" s="18" t="str">
        <f ca="1">IFERROR(__xludf.DUMMYFUNCTION("""COMPUTED_VALUE"""),"DCE_2023-26")</f>
        <v>DCE_2023-26</v>
      </c>
      <c r="I36" s="20" t="str">
        <f ca="1">IFERROR(__xludf.DUMMYFUNCTION("""COMPUTED_VALUE"""),"TFW")</f>
        <v>TFW</v>
      </c>
      <c r="J36" s="21">
        <f ca="1">IFERROR(__xludf.DUMMYFUNCTION("""COMPUTED_VALUE"""),0)</f>
        <v>0</v>
      </c>
      <c r="K36" s="21">
        <f ca="1">IFERROR(__xludf.DUMMYFUNCTION("""COMPUTED_VALUE"""),0)</f>
        <v>0</v>
      </c>
      <c r="L36" s="21">
        <f ca="1">IFERROR(__xludf.DUMMYFUNCTION("""COMPUTED_VALUE"""),0)</f>
        <v>0</v>
      </c>
      <c r="M36" s="21">
        <f ca="1">IFERROR(__xludf.DUMMYFUNCTION("""COMPUTED_VALUE"""),0)</f>
        <v>0</v>
      </c>
      <c r="N36" s="21">
        <f ca="1">IFERROR(__xludf.DUMMYFUNCTION("""COMPUTED_VALUE"""),0)</f>
        <v>0</v>
      </c>
      <c r="O36" s="21">
        <f ca="1">IFERROR(__xludf.DUMMYFUNCTION("""COMPUTED_VALUE"""),3000)</f>
        <v>3000</v>
      </c>
      <c r="P36" s="21">
        <f ca="1">IFERROR(__xludf.DUMMYFUNCTION("""COMPUTED_VALUE"""),3000)</f>
        <v>3000</v>
      </c>
      <c r="Q36" s="21">
        <f ca="1">IFERROR(__xludf.DUMMYFUNCTION("""COMPUTED_VALUE"""),0)</f>
        <v>0</v>
      </c>
      <c r="R36" s="11">
        <f ca="1">IFERROR(__xludf.DUMMYFUNCTION("""COMPUTED_VALUE"""),0)</f>
        <v>0</v>
      </c>
      <c r="S36" s="23">
        <f ca="1">IFERROR(__xludf.DUMMYFUNCTION("""COMPUTED_VALUE"""),0)</f>
        <v>0</v>
      </c>
      <c r="T36" s="24">
        <f ca="1">IFERROR(__xludf.DUMMYFUNCTION("""COMPUTED_VALUE"""),0)</f>
        <v>0</v>
      </c>
      <c r="U36" s="23">
        <f ca="1">IFERROR(__xludf.DUMMYFUNCTION("""COMPUTED_VALUE"""),0)</f>
        <v>0</v>
      </c>
      <c r="V36" s="23">
        <f ca="1">IFERROR(__xludf.DUMMYFUNCTION("""COMPUTED_VALUE"""),0)</f>
        <v>0</v>
      </c>
      <c r="W36" s="23">
        <f ca="1">IFERROR(__xludf.DUMMYFUNCTION("""COMPUTED_VALUE"""),0)</f>
        <v>0</v>
      </c>
      <c r="X36" s="23">
        <f ca="1">IFERROR(__xludf.DUMMYFUNCTION("""COMPUTED_VALUE"""),0)</f>
        <v>0</v>
      </c>
      <c r="Y36" s="25">
        <f ca="1">IFERROR(__xludf.DUMMYFUNCTION("""COMPUTED_VALUE"""),0)</f>
        <v>0</v>
      </c>
      <c r="Z36" s="25">
        <f ca="1">IFERROR(__xludf.DUMMYFUNCTION("""COMPUTED_VALUE"""),0)</f>
        <v>0</v>
      </c>
      <c r="AA36" s="25">
        <f ca="1">IFERROR(__xludf.DUMMYFUNCTION("""COMPUTED_VALUE"""),0)</f>
        <v>0</v>
      </c>
      <c r="AB36" s="25">
        <f ca="1">IFERROR(__xludf.DUMMYFUNCTION("""COMPUTED_VALUE"""),0)</f>
        <v>0</v>
      </c>
      <c r="AC36" s="23">
        <f ca="1">IFERROR(__xludf.DUMMYFUNCTION("""COMPUTED_VALUE"""),0)</f>
        <v>0</v>
      </c>
      <c r="AD36" s="26"/>
      <c r="AE36" s="27"/>
    </row>
    <row r="37" spans="1:31" ht="14.3">
      <c r="A37" s="31" t="str">
        <f ca="1">IFERROR(__xludf.DUMMYFUNCTION("""COMPUTED_VALUE"""),"23SDSCE01035")</f>
        <v>23SDSCE01035</v>
      </c>
      <c r="B37" s="32" t="str">
        <f ca="1">IFERROR(__xludf.DUMMYFUNCTION("""COMPUTED_VALUE"""),"THUMAR DHYANI PARESHBHAI")</f>
        <v>THUMAR DHYANI PARESHBHAI</v>
      </c>
      <c r="C37" s="18" t="str">
        <f ca="1">IFERROR(__xludf.DUMMYFUNCTION("""COMPUTED_VALUE"""),"SDS")</f>
        <v>SDS</v>
      </c>
      <c r="D37" s="18" t="str">
        <f ca="1">IFERROR(__xludf.DUMMYFUNCTION("""COMPUTED_VALUE"""),"DCE")</f>
        <v>DCE</v>
      </c>
      <c r="E37" s="18">
        <f ca="1">IFERROR(__xludf.DUMMYFUNCTION("""COMPUTED_VALUE"""),2)</f>
        <v>2</v>
      </c>
      <c r="F37" s="18" t="str">
        <f ca="1">IFERROR(__xludf.DUMMYFUNCTION("""COMPUTED_VALUE"""),"7046269056 7990110840 9409300001")</f>
        <v>7046269056 7990110840 9409300001</v>
      </c>
      <c r="G37" s="18" t="str">
        <f ca="1">IFERROR(__xludf.DUMMYFUNCTION("""COMPUTED_VALUE"""),"7046269056 7990110840 9409300001")</f>
        <v>7046269056 7990110840 9409300001</v>
      </c>
      <c r="H37" s="18" t="str">
        <f ca="1">IFERROR(__xludf.DUMMYFUNCTION("""COMPUTED_VALUE"""),"DCE_2023-26")</f>
        <v>DCE_2023-26</v>
      </c>
      <c r="I37" s="20"/>
      <c r="J37" s="21">
        <f ca="1">IFERROR(__xludf.DUMMYFUNCTION("""COMPUTED_VALUE"""),27500)</f>
        <v>27500</v>
      </c>
      <c r="K37" s="21">
        <f ca="1">IFERROR(__xludf.DUMMYFUNCTION("""COMPUTED_VALUE"""),27500)</f>
        <v>27500</v>
      </c>
      <c r="L37" s="21">
        <f ca="1">IFERROR(__xludf.DUMMYFUNCTION("""COMPUTED_VALUE"""),0)</f>
        <v>0</v>
      </c>
      <c r="M37" s="21">
        <f ca="1">IFERROR(__xludf.DUMMYFUNCTION("""COMPUTED_VALUE"""),0)</f>
        <v>0</v>
      </c>
      <c r="N37" s="21">
        <f ca="1">IFERROR(__xludf.DUMMYFUNCTION("""COMPUTED_VALUE"""),0)</f>
        <v>0</v>
      </c>
      <c r="O37" s="21">
        <f ca="1">IFERROR(__xludf.DUMMYFUNCTION("""COMPUTED_VALUE"""),3000)</f>
        <v>3000</v>
      </c>
      <c r="P37" s="21">
        <f ca="1">IFERROR(__xludf.DUMMYFUNCTION("""COMPUTED_VALUE"""),3000)</f>
        <v>3000</v>
      </c>
      <c r="Q37" s="21">
        <f ca="1">IFERROR(__xludf.DUMMYFUNCTION("""COMPUTED_VALUE"""),0)</f>
        <v>0</v>
      </c>
      <c r="R37" s="11">
        <f ca="1">IFERROR(__xludf.DUMMYFUNCTION("""COMPUTED_VALUE"""),0)</f>
        <v>0</v>
      </c>
      <c r="S37" s="23">
        <f ca="1">IFERROR(__xludf.DUMMYFUNCTION("""COMPUTED_VALUE"""),0)</f>
        <v>0</v>
      </c>
      <c r="T37" s="24">
        <f ca="1">IFERROR(__xludf.DUMMYFUNCTION("""COMPUTED_VALUE"""),0)</f>
        <v>0</v>
      </c>
      <c r="U37" s="23">
        <f ca="1">IFERROR(__xludf.DUMMYFUNCTION("""COMPUTED_VALUE"""),0)</f>
        <v>0</v>
      </c>
      <c r="V37" s="23">
        <f ca="1">IFERROR(__xludf.DUMMYFUNCTION("""COMPUTED_VALUE"""),0)</f>
        <v>0</v>
      </c>
      <c r="W37" s="23">
        <f ca="1">IFERROR(__xludf.DUMMYFUNCTION("""COMPUTED_VALUE"""),0)</f>
        <v>0</v>
      </c>
      <c r="X37" s="23">
        <f ca="1">IFERROR(__xludf.DUMMYFUNCTION("""COMPUTED_VALUE"""),0)</f>
        <v>0</v>
      </c>
      <c r="Y37" s="25">
        <f ca="1">IFERROR(__xludf.DUMMYFUNCTION("""COMPUTED_VALUE"""),0)</f>
        <v>0</v>
      </c>
      <c r="Z37" s="25">
        <f ca="1">IFERROR(__xludf.DUMMYFUNCTION("""COMPUTED_VALUE"""),0)</f>
        <v>0</v>
      </c>
      <c r="AA37" s="25">
        <f ca="1">IFERROR(__xludf.DUMMYFUNCTION("""COMPUTED_VALUE"""),0)</f>
        <v>0</v>
      </c>
      <c r="AB37" s="25">
        <f ca="1">IFERROR(__xludf.DUMMYFUNCTION("""COMPUTED_VALUE"""),0)</f>
        <v>0</v>
      </c>
      <c r="AC37" s="23">
        <f ca="1">IFERROR(__xludf.DUMMYFUNCTION("""COMPUTED_VALUE"""),0)</f>
        <v>0</v>
      </c>
      <c r="AD37" s="26"/>
      <c r="AE37" s="27"/>
    </row>
    <row r="38" spans="1:31" ht="14.3">
      <c r="A38" s="31" t="str">
        <f ca="1">IFERROR(__xludf.DUMMYFUNCTION("""COMPUTED_VALUE"""),"23SDSCE01036")</f>
        <v>23SDSCE01036</v>
      </c>
      <c r="B38" s="32" t="str">
        <f ca="1">IFERROR(__xludf.DUMMYFUNCTION("""COMPUTED_VALUE"""),"UKANI HEET JIGNESHKUMAR")</f>
        <v>UKANI HEET JIGNESHKUMAR</v>
      </c>
      <c r="C38" s="18" t="str">
        <f ca="1">IFERROR(__xludf.DUMMYFUNCTION("""COMPUTED_VALUE"""),"SDS")</f>
        <v>SDS</v>
      </c>
      <c r="D38" s="18" t="str">
        <f ca="1">IFERROR(__xludf.DUMMYFUNCTION("""COMPUTED_VALUE"""),"DCE")</f>
        <v>DCE</v>
      </c>
      <c r="E38" s="18">
        <f ca="1">IFERROR(__xludf.DUMMYFUNCTION("""COMPUTED_VALUE"""),2)</f>
        <v>2</v>
      </c>
      <c r="F38" s="18" t="str">
        <f ca="1">IFERROR(__xludf.DUMMYFUNCTION("""COMPUTED_VALUE"""),"6353045906 9879455065")</f>
        <v>6353045906 9879455065</v>
      </c>
      <c r="G38" s="18" t="str">
        <f ca="1">IFERROR(__xludf.DUMMYFUNCTION("""COMPUTED_VALUE"""),"6353045906 9879455065")</f>
        <v>6353045906 9879455065</v>
      </c>
      <c r="H38" s="18" t="str">
        <f ca="1">IFERROR(__xludf.DUMMYFUNCTION("""COMPUTED_VALUE"""),"DCE_2023-26")</f>
        <v>DCE_2023-26</v>
      </c>
      <c r="I38" s="20"/>
      <c r="J38" s="21">
        <f ca="1">IFERROR(__xludf.DUMMYFUNCTION("""COMPUTED_VALUE"""),27500)</f>
        <v>27500</v>
      </c>
      <c r="K38" s="21">
        <f ca="1">IFERROR(__xludf.DUMMYFUNCTION("""COMPUTED_VALUE"""),27500)</f>
        <v>27500</v>
      </c>
      <c r="L38" s="21">
        <f ca="1">IFERROR(__xludf.DUMMYFUNCTION("""COMPUTED_VALUE"""),0)</f>
        <v>0</v>
      </c>
      <c r="M38" s="21">
        <f ca="1">IFERROR(__xludf.DUMMYFUNCTION("""COMPUTED_VALUE"""),0)</f>
        <v>0</v>
      </c>
      <c r="N38" s="21">
        <f ca="1">IFERROR(__xludf.DUMMYFUNCTION("""COMPUTED_VALUE"""),0)</f>
        <v>0</v>
      </c>
      <c r="O38" s="21">
        <f ca="1">IFERROR(__xludf.DUMMYFUNCTION("""COMPUTED_VALUE"""),3000)</f>
        <v>3000</v>
      </c>
      <c r="P38" s="21">
        <f ca="1">IFERROR(__xludf.DUMMYFUNCTION("""COMPUTED_VALUE"""),3000)</f>
        <v>3000</v>
      </c>
      <c r="Q38" s="21">
        <f ca="1">IFERROR(__xludf.DUMMYFUNCTION("""COMPUTED_VALUE"""),0)</f>
        <v>0</v>
      </c>
      <c r="R38" s="11">
        <f ca="1">IFERROR(__xludf.DUMMYFUNCTION("""COMPUTED_VALUE"""),0)</f>
        <v>0</v>
      </c>
      <c r="S38" s="23">
        <f ca="1">IFERROR(__xludf.DUMMYFUNCTION("""COMPUTED_VALUE"""),0)</f>
        <v>0</v>
      </c>
      <c r="T38" s="24">
        <f ca="1">IFERROR(__xludf.DUMMYFUNCTION("""COMPUTED_VALUE"""),0)</f>
        <v>0</v>
      </c>
      <c r="U38" s="23">
        <f ca="1">IFERROR(__xludf.DUMMYFUNCTION("""COMPUTED_VALUE"""),0)</f>
        <v>0</v>
      </c>
      <c r="V38" s="23">
        <f ca="1">IFERROR(__xludf.DUMMYFUNCTION("""COMPUTED_VALUE"""),0)</f>
        <v>0</v>
      </c>
      <c r="W38" s="23">
        <f ca="1">IFERROR(__xludf.DUMMYFUNCTION("""COMPUTED_VALUE"""),0)</f>
        <v>0</v>
      </c>
      <c r="X38" s="23">
        <f ca="1">IFERROR(__xludf.DUMMYFUNCTION("""COMPUTED_VALUE"""),0)</f>
        <v>0</v>
      </c>
      <c r="Y38" s="25">
        <f ca="1">IFERROR(__xludf.DUMMYFUNCTION("""COMPUTED_VALUE"""),0)</f>
        <v>0</v>
      </c>
      <c r="Z38" s="25">
        <f ca="1">IFERROR(__xludf.DUMMYFUNCTION("""COMPUTED_VALUE"""),0)</f>
        <v>0</v>
      </c>
      <c r="AA38" s="25">
        <f ca="1">IFERROR(__xludf.DUMMYFUNCTION("""COMPUTED_VALUE"""),0)</f>
        <v>0</v>
      </c>
      <c r="AB38" s="25">
        <f ca="1">IFERROR(__xludf.DUMMYFUNCTION("""COMPUTED_VALUE"""),0)</f>
        <v>0</v>
      </c>
      <c r="AC38" s="23">
        <f ca="1">IFERROR(__xludf.DUMMYFUNCTION("""COMPUTED_VALUE"""),0)</f>
        <v>0</v>
      </c>
      <c r="AD38" s="26"/>
      <c r="AE38" s="27"/>
    </row>
    <row r="39" spans="1:31" ht="14.3">
      <c r="A39" s="31" t="str">
        <f ca="1">IFERROR(__xludf.DUMMYFUNCTION("""COMPUTED_VALUE"""),"23SDSCE01037")</f>
        <v>23SDSCE01037</v>
      </c>
      <c r="B39" s="32" t="str">
        <f ca="1">IFERROR(__xludf.DUMMYFUNCTION("""COMPUTED_VALUE"""),"VADGAMA PAVAN")</f>
        <v>VADGAMA PAVAN</v>
      </c>
      <c r="C39" s="18" t="str">
        <f ca="1">IFERROR(__xludf.DUMMYFUNCTION("""COMPUTED_VALUE"""),"SDS")</f>
        <v>SDS</v>
      </c>
      <c r="D39" s="18" t="str">
        <f ca="1">IFERROR(__xludf.DUMMYFUNCTION("""COMPUTED_VALUE"""),"DCE")</f>
        <v>DCE</v>
      </c>
      <c r="E39" s="18">
        <f ca="1">IFERROR(__xludf.DUMMYFUNCTION("""COMPUTED_VALUE"""),2)</f>
        <v>2</v>
      </c>
      <c r="F39" s="6" t="str">
        <f ca="1">IFERROR(__xludf.DUMMYFUNCTION("""COMPUTED_VALUE"""),"7990772340 
9824875226")</f>
        <v>7990772340 
9824875226</v>
      </c>
      <c r="G39" s="6" t="str">
        <f ca="1">IFERROR(__xludf.DUMMYFUNCTION("""COMPUTED_VALUE"""),"7990772340 
9824875226")</f>
        <v>7990772340 
9824875226</v>
      </c>
      <c r="H39" s="18" t="str">
        <f ca="1">IFERROR(__xludf.DUMMYFUNCTION("""COMPUTED_VALUE"""),"DCE_2023-26")</f>
        <v>DCE_2023-26</v>
      </c>
      <c r="I39" s="20"/>
      <c r="J39" s="21">
        <f ca="1">IFERROR(__xludf.DUMMYFUNCTION("""COMPUTED_VALUE"""),27500)</f>
        <v>27500</v>
      </c>
      <c r="K39" s="21">
        <f ca="1">IFERROR(__xludf.DUMMYFUNCTION("""COMPUTED_VALUE"""),0)</f>
        <v>0</v>
      </c>
      <c r="L39" s="21">
        <f ca="1">IFERROR(__xludf.DUMMYFUNCTION("""COMPUTED_VALUE"""),0)</f>
        <v>0</v>
      </c>
      <c r="M39" s="21">
        <f ca="1">IFERROR(__xludf.DUMMYFUNCTION("""COMPUTED_VALUE"""),0)</f>
        <v>0</v>
      </c>
      <c r="N39" s="21">
        <f ca="1">IFERROR(__xludf.DUMMYFUNCTION("""COMPUTED_VALUE"""),27500)</f>
        <v>27500</v>
      </c>
      <c r="O39" s="21">
        <f ca="1">IFERROR(__xludf.DUMMYFUNCTION("""COMPUTED_VALUE"""),3000)</f>
        <v>3000</v>
      </c>
      <c r="P39" s="21">
        <f ca="1">IFERROR(__xludf.DUMMYFUNCTION("""COMPUTED_VALUE"""),0)</f>
        <v>0</v>
      </c>
      <c r="Q39" s="21">
        <f ca="1">IFERROR(__xludf.DUMMYFUNCTION("""COMPUTED_VALUE"""),0)</f>
        <v>0</v>
      </c>
      <c r="R39" s="11">
        <f ca="1">IFERROR(__xludf.DUMMYFUNCTION("""COMPUTED_VALUE"""),0)</f>
        <v>0</v>
      </c>
      <c r="S39" s="23">
        <f ca="1">IFERROR(__xludf.DUMMYFUNCTION("""COMPUTED_VALUE"""),3000)</f>
        <v>3000</v>
      </c>
      <c r="T39" s="24">
        <f ca="1">IFERROR(__xludf.DUMMYFUNCTION("""COMPUTED_VALUE"""),0)</f>
        <v>0</v>
      </c>
      <c r="U39" s="23">
        <f ca="1">IFERROR(__xludf.DUMMYFUNCTION("""COMPUTED_VALUE"""),0)</f>
        <v>0</v>
      </c>
      <c r="V39" s="23">
        <f ca="1">IFERROR(__xludf.DUMMYFUNCTION("""COMPUTED_VALUE"""),0)</f>
        <v>0</v>
      </c>
      <c r="W39" s="23">
        <f ca="1">IFERROR(__xludf.DUMMYFUNCTION("""COMPUTED_VALUE"""),0)</f>
        <v>0</v>
      </c>
      <c r="X39" s="23">
        <f ca="1">IFERROR(__xludf.DUMMYFUNCTION("""COMPUTED_VALUE"""),0)</f>
        <v>0</v>
      </c>
      <c r="Y39" s="25">
        <f ca="1">IFERROR(__xludf.DUMMYFUNCTION("""COMPUTED_VALUE"""),0)</f>
        <v>0</v>
      </c>
      <c r="Z39" s="25">
        <f ca="1">IFERROR(__xludf.DUMMYFUNCTION("""COMPUTED_VALUE"""),0)</f>
        <v>0</v>
      </c>
      <c r="AA39" s="25">
        <f ca="1">IFERROR(__xludf.DUMMYFUNCTION("""COMPUTED_VALUE"""),0)</f>
        <v>0</v>
      </c>
      <c r="AB39" s="25">
        <f ca="1">IFERROR(__xludf.DUMMYFUNCTION("""COMPUTED_VALUE"""),0)</f>
        <v>0</v>
      </c>
      <c r="AC39" s="23">
        <f ca="1">IFERROR(__xludf.DUMMYFUNCTION("""COMPUTED_VALUE"""),0)</f>
        <v>0</v>
      </c>
      <c r="AD39" s="26"/>
      <c r="AE39" s="27"/>
    </row>
    <row r="40" spans="1:31" ht="14.3">
      <c r="A40" s="31" t="str">
        <f ca="1">IFERROR(__xludf.DUMMYFUNCTION("""COMPUTED_VALUE"""),"23SDSCE01038")</f>
        <v>23SDSCE01038</v>
      </c>
      <c r="B40" s="32" t="str">
        <f ca="1">IFERROR(__xludf.DUMMYFUNCTION("""COMPUTED_VALUE"""),"VADODARIYA SHIHANS SHAILESHBHAI")</f>
        <v>VADODARIYA SHIHANS SHAILESHBHAI</v>
      </c>
      <c r="C40" s="18" t="str">
        <f ca="1">IFERROR(__xludf.DUMMYFUNCTION("""COMPUTED_VALUE"""),"SDS")</f>
        <v>SDS</v>
      </c>
      <c r="D40" s="18" t="str">
        <f ca="1">IFERROR(__xludf.DUMMYFUNCTION("""COMPUTED_VALUE"""),"DCE")</f>
        <v>DCE</v>
      </c>
      <c r="E40" s="18">
        <f ca="1">IFERROR(__xludf.DUMMYFUNCTION("""COMPUTED_VALUE"""),2)</f>
        <v>2</v>
      </c>
      <c r="F40" s="6" t="str">
        <f ca="1">IFERROR(__xludf.DUMMYFUNCTION("""COMPUTED_VALUE"""),"8780074890 9924052001")</f>
        <v>8780074890 9924052001</v>
      </c>
      <c r="G40" s="6" t="str">
        <f ca="1">IFERROR(__xludf.DUMMYFUNCTION("""COMPUTED_VALUE"""),"8780074890 9924052001")</f>
        <v>8780074890 9924052001</v>
      </c>
      <c r="H40" s="18" t="str">
        <f ca="1">IFERROR(__xludf.DUMMYFUNCTION("""COMPUTED_VALUE"""),"DCE_2023-26")</f>
        <v>DCE_2023-26</v>
      </c>
      <c r="I40" s="20" t="str">
        <f ca="1">IFERROR(__xludf.DUMMYFUNCTION("""COMPUTED_VALUE"""),"TFW")</f>
        <v>TFW</v>
      </c>
      <c r="J40" s="21">
        <f ca="1">IFERROR(__xludf.DUMMYFUNCTION("""COMPUTED_VALUE"""),0)</f>
        <v>0</v>
      </c>
      <c r="K40" s="21">
        <f ca="1">IFERROR(__xludf.DUMMYFUNCTION("""COMPUTED_VALUE"""),0)</f>
        <v>0</v>
      </c>
      <c r="L40" s="21">
        <f ca="1">IFERROR(__xludf.DUMMYFUNCTION("""COMPUTED_VALUE"""),0)</f>
        <v>0</v>
      </c>
      <c r="M40" s="21">
        <f ca="1">IFERROR(__xludf.DUMMYFUNCTION("""COMPUTED_VALUE"""),0)</f>
        <v>0</v>
      </c>
      <c r="N40" s="21">
        <f ca="1">IFERROR(__xludf.DUMMYFUNCTION("""COMPUTED_VALUE"""),0)</f>
        <v>0</v>
      </c>
      <c r="O40" s="21">
        <f ca="1">IFERROR(__xludf.DUMMYFUNCTION("""COMPUTED_VALUE"""),3000)</f>
        <v>3000</v>
      </c>
      <c r="P40" s="21">
        <f ca="1">IFERROR(__xludf.DUMMYFUNCTION("""COMPUTED_VALUE"""),3000)</f>
        <v>3000</v>
      </c>
      <c r="Q40" s="21">
        <f ca="1">IFERROR(__xludf.DUMMYFUNCTION("""COMPUTED_VALUE"""),0)</f>
        <v>0</v>
      </c>
      <c r="R40" s="11">
        <f ca="1">IFERROR(__xludf.DUMMYFUNCTION("""COMPUTED_VALUE"""),0)</f>
        <v>0</v>
      </c>
      <c r="S40" s="23">
        <f ca="1">IFERROR(__xludf.DUMMYFUNCTION("""COMPUTED_VALUE"""),0)</f>
        <v>0</v>
      </c>
      <c r="T40" s="24">
        <f ca="1">IFERROR(__xludf.DUMMYFUNCTION("""COMPUTED_VALUE"""),0)</f>
        <v>0</v>
      </c>
      <c r="U40" s="23">
        <f ca="1">IFERROR(__xludf.DUMMYFUNCTION("""COMPUTED_VALUE"""),0)</f>
        <v>0</v>
      </c>
      <c r="V40" s="23">
        <f ca="1">IFERROR(__xludf.DUMMYFUNCTION("""COMPUTED_VALUE"""),0)</f>
        <v>0</v>
      </c>
      <c r="W40" s="23">
        <f ca="1">IFERROR(__xludf.DUMMYFUNCTION("""COMPUTED_VALUE"""),0)</f>
        <v>0</v>
      </c>
      <c r="X40" s="23">
        <f ca="1">IFERROR(__xludf.DUMMYFUNCTION("""COMPUTED_VALUE"""),0)</f>
        <v>0</v>
      </c>
      <c r="Y40" s="25">
        <f ca="1">IFERROR(__xludf.DUMMYFUNCTION("""COMPUTED_VALUE"""),0)</f>
        <v>0</v>
      </c>
      <c r="Z40" s="25">
        <f ca="1">IFERROR(__xludf.DUMMYFUNCTION("""COMPUTED_VALUE"""),0)</f>
        <v>0</v>
      </c>
      <c r="AA40" s="25">
        <f ca="1">IFERROR(__xludf.DUMMYFUNCTION("""COMPUTED_VALUE"""),0)</f>
        <v>0</v>
      </c>
      <c r="AB40" s="25">
        <f ca="1">IFERROR(__xludf.DUMMYFUNCTION("""COMPUTED_VALUE"""),0)</f>
        <v>0</v>
      </c>
      <c r="AC40" s="23">
        <f ca="1">IFERROR(__xludf.DUMMYFUNCTION("""COMPUTED_VALUE"""),0)</f>
        <v>0</v>
      </c>
      <c r="AD40" s="26"/>
      <c r="AE40" s="27"/>
    </row>
    <row r="41" spans="1:31" ht="14.3">
      <c r="A41" s="31" t="str">
        <f ca="1">IFERROR(__xludf.DUMMYFUNCTION("""COMPUTED_VALUE"""),"23SDSCE01039")</f>
        <v>23SDSCE01039</v>
      </c>
      <c r="B41" s="32" t="str">
        <f ca="1">IFERROR(__xludf.DUMMYFUNCTION("""COMPUTED_VALUE"""),"VAISHNANI SHRUTI BHARATBHAI")</f>
        <v>VAISHNANI SHRUTI BHARATBHAI</v>
      </c>
      <c r="C41" s="18" t="str">
        <f ca="1">IFERROR(__xludf.DUMMYFUNCTION("""COMPUTED_VALUE"""),"SDS")</f>
        <v>SDS</v>
      </c>
      <c r="D41" s="18" t="str">
        <f ca="1">IFERROR(__xludf.DUMMYFUNCTION("""COMPUTED_VALUE"""),"DCE")</f>
        <v>DCE</v>
      </c>
      <c r="E41" s="18">
        <f ca="1">IFERROR(__xludf.DUMMYFUNCTION("""COMPUTED_VALUE"""),2)</f>
        <v>2</v>
      </c>
      <c r="F41" s="18" t="str">
        <f ca="1">IFERROR(__xludf.DUMMYFUNCTION("""COMPUTED_VALUE"""),"9512552750 8980261936")</f>
        <v>9512552750 8980261936</v>
      </c>
      <c r="G41" s="18" t="str">
        <f ca="1">IFERROR(__xludf.DUMMYFUNCTION("""COMPUTED_VALUE"""),"9512552750 8980261936")</f>
        <v>9512552750 8980261936</v>
      </c>
      <c r="H41" s="18" t="str">
        <f ca="1">IFERROR(__xludf.DUMMYFUNCTION("""COMPUTED_VALUE"""),"DCE_2023-26")</f>
        <v>DCE_2023-26</v>
      </c>
      <c r="I41" s="20" t="str">
        <f ca="1">IFERROR(__xludf.DUMMYFUNCTION("""COMPUTED_VALUE"""),"KSP")</f>
        <v>KSP</v>
      </c>
      <c r="J41" s="21">
        <f ca="1">IFERROR(__xludf.DUMMYFUNCTION("""COMPUTED_VALUE"""),27500)</f>
        <v>27500</v>
      </c>
      <c r="K41" s="21">
        <f ca="1">IFERROR(__xludf.DUMMYFUNCTION("""COMPUTED_VALUE"""),25000)</f>
        <v>25000</v>
      </c>
      <c r="L41" s="21">
        <f ca="1">IFERROR(__xludf.DUMMYFUNCTION("""COMPUTED_VALUE"""),0)</f>
        <v>0</v>
      </c>
      <c r="M41" s="21">
        <f ca="1">IFERROR(__xludf.DUMMYFUNCTION("""COMPUTED_VALUE"""),2500)</f>
        <v>2500</v>
      </c>
      <c r="N41" s="21">
        <f ca="1">IFERROR(__xludf.DUMMYFUNCTION("""COMPUTED_VALUE"""),0)</f>
        <v>0</v>
      </c>
      <c r="O41" s="21">
        <f ca="1">IFERROR(__xludf.DUMMYFUNCTION("""COMPUTED_VALUE"""),3000)</f>
        <v>3000</v>
      </c>
      <c r="P41" s="21">
        <f ca="1">IFERROR(__xludf.DUMMYFUNCTION("""COMPUTED_VALUE"""),3000)</f>
        <v>3000</v>
      </c>
      <c r="Q41" s="21">
        <f ca="1">IFERROR(__xludf.DUMMYFUNCTION("""COMPUTED_VALUE"""),0)</f>
        <v>0</v>
      </c>
      <c r="R41" s="29">
        <f ca="1">IFERROR(__xludf.DUMMYFUNCTION("""COMPUTED_VALUE"""),0)</f>
        <v>0</v>
      </c>
      <c r="S41" s="23">
        <f ca="1">IFERROR(__xludf.DUMMYFUNCTION("""COMPUTED_VALUE"""),0)</f>
        <v>0</v>
      </c>
      <c r="T41" s="24">
        <f ca="1">IFERROR(__xludf.DUMMYFUNCTION("""COMPUTED_VALUE"""),0)</f>
        <v>0</v>
      </c>
      <c r="U41" s="23">
        <f ca="1">IFERROR(__xludf.DUMMYFUNCTION("""COMPUTED_VALUE"""),0)</f>
        <v>0</v>
      </c>
      <c r="V41" s="23">
        <f ca="1">IFERROR(__xludf.DUMMYFUNCTION("""COMPUTED_VALUE"""),0)</f>
        <v>0</v>
      </c>
      <c r="W41" s="23">
        <f ca="1">IFERROR(__xludf.DUMMYFUNCTION("""COMPUTED_VALUE"""),0)</f>
        <v>0</v>
      </c>
      <c r="X41" s="23">
        <f ca="1">IFERROR(__xludf.DUMMYFUNCTION("""COMPUTED_VALUE"""),0)</f>
        <v>0</v>
      </c>
      <c r="Y41" s="25">
        <f ca="1">IFERROR(__xludf.DUMMYFUNCTION("""COMPUTED_VALUE"""),0)</f>
        <v>0</v>
      </c>
      <c r="Z41" s="25">
        <f ca="1">IFERROR(__xludf.DUMMYFUNCTION("""COMPUTED_VALUE"""),0)</f>
        <v>0</v>
      </c>
      <c r="AA41" s="25">
        <f ca="1">IFERROR(__xludf.DUMMYFUNCTION("""COMPUTED_VALUE"""),0)</f>
        <v>0</v>
      </c>
      <c r="AB41" s="25">
        <f ca="1">IFERROR(__xludf.DUMMYFUNCTION("""COMPUTED_VALUE"""),0)</f>
        <v>0</v>
      </c>
      <c r="AC41" s="23">
        <f ca="1">IFERROR(__xludf.DUMMYFUNCTION("""COMPUTED_VALUE"""),0)</f>
        <v>0</v>
      </c>
      <c r="AD41" s="26"/>
      <c r="AE41" s="27"/>
    </row>
    <row r="42" spans="1:31" ht="14.3">
      <c r="A42" s="31" t="str">
        <f ca="1">IFERROR(__xludf.DUMMYFUNCTION("""COMPUTED_VALUE"""),"23SDSCE01040")</f>
        <v>23SDSCE01040</v>
      </c>
      <c r="B42" s="32" t="str">
        <f ca="1">IFERROR(__xludf.DUMMYFUNCTION("""COMPUTED_VALUE"""),"VEKARIYA NISARG RITEN")</f>
        <v>VEKARIYA NISARG RITEN</v>
      </c>
      <c r="C42" s="18" t="str">
        <f ca="1">IFERROR(__xludf.DUMMYFUNCTION("""COMPUTED_VALUE"""),"SDS")</f>
        <v>SDS</v>
      </c>
      <c r="D42" s="18" t="str">
        <f ca="1">IFERROR(__xludf.DUMMYFUNCTION("""COMPUTED_VALUE"""),"DCE")</f>
        <v>DCE</v>
      </c>
      <c r="E42" s="18">
        <f ca="1">IFERROR(__xludf.DUMMYFUNCTION("""COMPUTED_VALUE"""),2)</f>
        <v>2</v>
      </c>
      <c r="F42" s="6" t="str">
        <f ca="1">IFERROR(__xludf.DUMMYFUNCTION("""COMPUTED_VALUE"""),"9723700169
8866500169")</f>
        <v>9723700169
8866500169</v>
      </c>
      <c r="G42" s="6" t="str">
        <f ca="1">IFERROR(__xludf.DUMMYFUNCTION("""COMPUTED_VALUE"""),"9723700169
8866500169")</f>
        <v>9723700169
8866500169</v>
      </c>
      <c r="H42" s="18" t="str">
        <f ca="1">IFERROR(__xludf.DUMMYFUNCTION("""COMPUTED_VALUE"""),"DME_2023-26")</f>
        <v>DME_2023-26</v>
      </c>
      <c r="I42" s="20"/>
      <c r="J42" s="21">
        <f ca="1">IFERROR(__xludf.DUMMYFUNCTION("""COMPUTED_VALUE"""),27500)</f>
        <v>27500</v>
      </c>
      <c r="K42" s="21">
        <f ca="1">IFERROR(__xludf.DUMMYFUNCTION("""COMPUTED_VALUE"""),27500)</f>
        <v>27500</v>
      </c>
      <c r="L42" s="21">
        <f ca="1">IFERROR(__xludf.DUMMYFUNCTION("""COMPUTED_VALUE"""),0)</f>
        <v>0</v>
      </c>
      <c r="M42" s="21">
        <f ca="1">IFERROR(__xludf.DUMMYFUNCTION("""COMPUTED_VALUE"""),0)</f>
        <v>0</v>
      </c>
      <c r="N42" s="21">
        <f ca="1">IFERROR(__xludf.DUMMYFUNCTION("""COMPUTED_VALUE"""),0)</f>
        <v>0</v>
      </c>
      <c r="O42" s="21">
        <f ca="1">IFERROR(__xludf.DUMMYFUNCTION("""COMPUTED_VALUE"""),3000)</f>
        <v>3000</v>
      </c>
      <c r="P42" s="21">
        <f ca="1">IFERROR(__xludf.DUMMYFUNCTION("""COMPUTED_VALUE"""),3000)</f>
        <v>3000</v>
      </c>
      <c r="Q42" s="21">
        <f ca="1">IFERROR(__xludf.DUMMYFUNCTION("""COMPUTED_VALUE"""),0)</f>
        <v>0</v>
      </c>
      <c r="R42" s="11">
        <f ca="1">IFERROR(__xludf.DUMMYFUNCTION("""COMPUTED_VALUE"""),0)</f>
        <v>0</v>
      </c>
      <c r="S42" s="23">
        <f ca="1">IFERROR(__xludf.DUMMYFUNCTION("""COMPUTED_VALUE"""),0)</f>
        <v>0</v>
      </c>
      <c r="T42" s="24">
        <f ca="1">IFERROR(__xludf.DUMMYFUNCTION("""COMPUTED_VALUE"""),0)</f>
        <v>0</v>
      </c>
      <c r="U42" s="23">
        <f ca="1">IFERROR(__xludf.DUMMYFUNCTION("""COMPUTED_VALUE"""),0)</f>
        <v>0</v>
      </c>
      <c r="V42" s="23">
        <f ca="1">IFERROR(__xludf.DUMMYFUNCTION("""COMPUTED_VALUE"""),0)</f>
        <v>0</v>
      </c>
      <c r="W42" s="23">
        <f ca="1">IFERROR(__xludf.DUMMYFUNCTION("""COMPUTED_VALUE"""),0)</f>
        <v>0</v>
      </c>
      <c r="X42" s="23">
        <f ca="1">IFERROR(__xludf.DUMMYFUNCTION("""COMPUTED_VALUE"""),0)</f>
        <v>0</v>
      </c>
      <c r="Y42" s="25">
        <f ca="1">IFERROR(__xludf.DUMMYFUNCTION("""COMPUTED_VALUE"""),0)</f>
        <v>0</v>
      </c>
      <c r="Z42" s="25">
        <f ca="1">IFERROR(__xludf.DUMMYFUNCTION("""COMPUTED_VALUE"""),0)</f>
        <v>0</v>
      </c>
      <c r="AA42" s="25">
        <f ca="1">IFERROR(__xludf.DUMMYFUNCTION("""COMPUTED_VALUE"""),0)</f>
        <v>0</v>
      </c>
      <c r="AB42" s="25">
        <f ca="1">IFERROR(__xludf.DUMMYFUNCTION("""COMPUTED_VALUE"""),0)</f>
        <v>0</v>
      </c>
      <c r="AC42" s="23">
        <f ca="1">IFERROR(__xludf.DUMMYFUNCTION("""COMPUTED_VALUE"""),0)</f>
        <v>0</v>
      </c>
      <c r="AD42" s="26"/>
      <c r="AE42" s="27"/>
    </row>
    <row r="43" spans="1:31" ht="14.3">
      <c r="A43" s="31" t="str">
        <f ca="1">IFERROR(__xludf.DUMMYFUNCTION("""COMPUTED_VALUE"""),"23SDSCE01041")</f>
        <v>23SDSCE01041</v>
      </c>
      <c r="B43" s="32" t="str">
        <f ca="1">IFERROR(__xludf.DUMMYFUNCTION("""COMPUTED_VALUE"""),"ZIYAN SHERASIYA")</f>
        <v>ZIYAN SHERASIYA</v>
      </c>
      <c r="C43" s="18" t="str">
        <f ca="1">IFERROR(__xludf.DUMMYFUNCTION("""COMPUTED_VALUE"""),"SDS")</f>
        <v>SDS</v>
      </c>
      <c r="D43" s="18" t="str">
        <f ca="1">IFERROR(__xludf.DUMMYFUNCTION("""COMPUTED_VALUE"""),"DCE")</f>
        <v>DCE</v>
      </c>
      <c r="E43" s="18">
        <f ca="1">IFERROR(__xludf.DUMMYFUNCTION("""COMPUTED_VALUE"""),2)</f>
        <v>2</v>
      </c>
      <c r="F43" s="18" t="str">
        <f ca="1">IFERROR(__xludf.DUMMYFUNCTION("""COMPUTED_VALUE"""),"8780123953 9537745323")</f>
        <v>8780123953 9537745323</v>
      </c>
      <c r="G43" s="18" t="str">
        <f ca="1">IFERROR(__xludf.DUMMYFUNCTION("""COMPUTED_VALUE"""),"8780123953 9537745323")</f>
        <v>8780123953 9537745323</v>
      </c>
      <c r="H43" s="18" t="str">
        <f ca="1">IFERROR(__xludf.DUMMYFUNCTION("""COMPUTED_VALUE"""),"DCE_2023-26")</f>
        <v>DCE_2023-26</v>
      </c>
      <c r="I43" s="20"/>
      <c r="J43" s="21">
        <f ca="1">IFERROR(__xludf.DUMMYFUNCTION("""COMPUTED_VALUE"""),27500)</f>
        <v>27500</v>
      </c>
      <c r="K43" s="21">
        <f ca="1">IFERROR(__xludf.DUMMYFUNCTION("""COMPUTED_VALUE"""),27500)</f>
        <v>27500</v>
      </c>
      <c r="L43" s="21">
        <f ca="1">IFERROR(__xludf.DUMMYFUNCTION("""COMPUTED_VALUE"""),0)</f>
        <v>0</v>
      </c>
      <c r="M43" s="21">
        <f ca="1">IFERROR(__xludf.DUMMYFUNCTION("""COMPUTED_VALUE"""),0)</f>
        <v>0</v>
      </c>
      <c r="N43" s="21">
        <f ca="1">IFERROR(__xludf.DUMMYFUNCTION("""COMPUTED_VALUE"""),0)</f>
        <v>0</v>
      </c>
      <c r="O43" s="21">
        <f ca="1">IFERROR(__xludf.DUMMYFUNCTION("""COMPUTED_VALUE"""),3000)</f>
        <v>3000</v>
      </c>
      <c r="P43" s="21">
        <f ca="1">IFERROR(__xludf.DUMMYFUNCTION("""COMPUTED_VALUE"""),3000)</f>
        <v>3000</v>
      </c>
      <c r="Q43" s="21">
        <f ca="1">IFERROR(__xludf.DUMMYFUNCTION("""COMPUTED_VALUE"""),0)</f>
        <v>0</v>
      </c>
      <c r="R43" s="11">
        <f ca="1">IFERROR(__xludf.DUMMYFUNCTION("""COMPUTED_VALUE"""),0)</f>
        <v>0</v>
      </c>
      <c r="S43" s="23">
        <f ca="1">IFERROR(__xludf.DUMMYFUNCTION("""COMPUTED_VALUE"""),0)</f>
        <v>0</v>
      </c>
      <c r="T43" s="24">
        <f ca="1">IFERROR(__xludf.DUMMYFUNCTION("""COMPUTED_VALUE"""),0)</f>
        <v>0</v>
      </c>
      <c r="U43" s="23">
        <f ca="1">IFERROR(__xludf.DUMMYFUNCTION("""COMPUTED_VALUE"""),0)</f>
        <v>0</v>
      </c>
      <c r="V43" s="23">
        <f ca="1">IFERROR(__xludf.DUMMYFUNCTION("""COMPUTED_VALUE"""),0)</f>
        <v>0</v>
      </c>
      <c r="W43" s="23">
        <f ca="1">IFERROR(__xludf.DUMMYFUNCTION("""COMPUTED_VALUE"""),0)</f>
        <v>0</v>
      </c>
      <c r="X43" s="23">
        <f ca="1">IFERROR(__xludf.DUMMYFUNCTION("""COMPUTED_VALUE"""),0)</f>
        <v>0</v>
      </c>
      <c r="Y43" s="25">
        <f ca="1">IFERROR(__xludf.DUMMYFUNCTION("""COMPUTED_VALUE"""),0)</f>
        <v>0</v>
      </c>
      <c r="Z43" s="25">
        <f ca="1">IFERROR(__xludf.DUMMYFUNCTION("""COMPUTED_VALUE"""),0)</f>
        <v>0</v>
      </c>
      <c r="AA43" s="25">
        <f ca="1">IFERROR(__xludf.DUMMYFUNCTION("""COMPUTED_VALUE"""),0)</f>
        <v>0</v>
      </c>
      <c r="AB43" s="25">
        <f ca="1">IFERROR(__xludf.DUMMYFUNCTION("""COMPUTED_VALUE"""),0)</f>
        <v>0</v>
      </c>
      <c r="AC43" s="23">
        <f ca="1">IFERROR(__xludf.DUMMYFUNCTION("""COMPUTED_VALUE"""),0)</f>
        <v>0</v>
      </c>
      <c r="AD43" s="26"/>
      <c r="AE43" s="27"/>
    </row>
    <row r="44" spans="1:31" ht="14.3">
      <c r="A44" s="31" t="str">
        <f ca="1">IFERROR(__xludf.DUMMYFUNCTION("""COMPUTED_VALUE"""),"23SDSCE01153")</f>
        <v>23SDSCE01153</v>
      </c>
      <c r="B44" s="32" t="str">
        <f ca="1">IFERROR(__xludf.DUMMYFUNCTION("""COMPUTED_VALUE"""),"ANTALA PRIYAL JAYANTIBHAI")</f>
        <v>ANTALA PRIYAL JAYANTIBHAI</v>
      </c>
      <c r="C44" s="18" t="str">
        <f ca="1">IFERROR(__xludf.DUMMYFUNCTION("""COMPUTED_VALUE"""),"SDS")</f>
        <v>SDS</v>
      </c>
      <c r="D44" s="18" t="str">
        <f ca="1">IFERROR(__xludf.DUMMYFUNCTION("""COMPUTED_VALUE"""),"DCE")</f>
        <v>DCE</v>
      </c>
      <c r="E44" s="18">
        <f ca="1">IFERROR(__xludf.DUMMYFUNCTION("""COMPUTED_VALUE"""),2)</f>
        <v>2</v>
      </c>
      <c r="F44" s="18" t="str">
        <f ca="1">IFERROR(__xludf.DUMMYFUNCTION("""COMPUTED_VALUE"""),"8469845115 9879038904")</f>
        <v>8469845115 9879038904</v>
      </c>
      <c r="G44" s="18" t="str">
        <f ca="1">IFERROR(__xludf.DUMMYFUNCTION("""COMPUTED_VALUE"""),"8469845115 9879038904")</f>
        <v>8469845115 9879038904</v>
      </c>
      <c r="H44" s="18" t="str">
        <f ca="1">IFERROR(__xludf.DUMMYFUNCTION("""COMPUTED_VALUE"""),"DCE_2023-26")</f>
        <v>DCE_2023-26</v>
      </c>
      <c r="I44" s="20" t="str">
        <f ca="1">IFERROR(__xludf.DUMMYFUNCTION("""COMPUTED_VALUE"""),"MYSY")</f>
        <v>MYSY</v>
      </c>
      <c r="J44" s="21">
        <f ca="1">IFERROR(__xludf.DUMMYFUNCTION("""COMPUTED_VALUE"""),27500)</f>
        <v>27500</v>
      </c>
      <c r="K44" s="21">
        <f ca="1">IFERROR(__xludf.DUMMYFUNCTION("""COMPUTED_VALUE"""),0)</f>
        <v>0</v>
      </c>
      <c r="L44" s="21">
        <f ca="1">IFERROR(__xludf.DUMMYFUNCTION("""COMPUTED_VALUE"""),27500)</f>
        <v>27500</v>
      </c>
      <c r="M44" s="21">
        <f ca="1">IFERROR(__xludf.DUMMYFUNCTION("""COMPUTED_VALUE"""),0)</f>
        <v>0</v>
      </c>
      <c r="N44" s="21">
        <f ca="1">IFERROR(__xludf.DUMMYFUNCTION("""COMPUTED_VALUE"""),27500)</f>
        <v>27500</v>
      </c>
      <c r="O44" s="21">
        <f ca="1">IFERROR(__xludf.DUMMYFUNCTION("""COMPUTED_VALUE"""),3000)</f>
        <v>3000</v>
      </c>
      <c r="P44" s="21">
        <f ca="1">IFERROR(__xludf.DUMMYFUNCTION("""COMPUTED_VALUE"""),3000)</f>
        <v>3000</v>
      </c>
      <c r="Q44" s="21">
        <f ca="1">IFERROR(__xludf.DUMMYFUNCTION("""COMPUTED_VALUE"""),0)</f>
        <v>0</v>
      </c>
      <c r="R44" s="11">
        <f ca="1">IFERROR(__xludf.DUMMYFUNCTION("""COMPUTED_VALUE"""),0)</f>
        <v>0</v>
      </c>
      <c r="S44" s="23">
        <f ca="1">IFERROR(__xludf.DUMMYFUNCTION("""COMPUTED_VALUE"""),0)</f>
        <v>0</v>
      </c>
      <c r="T44" s="24">
        <f ca="1">IFERROR(__xludf.DUMMYFUNCTION("""COMPUTED_VALUE"""),0)</f>
        <v>0</v>
      </c>
      <c r="U44" s="23">
        <f ca="1">IFERROR(__xludf.DUMMYFUNCTION("""COMPUTED_VALUE"""),0)</f>
        <v>0</v>
      </c>
      <c r="V44" s="23">
        <f ca="1">IFERROR(__xludf.DUMMYFUNCTION("""COMPUTED_VALUE"""),0)</f>
        <v>0</v>
      </c>
      <c r="W44" s="23">
        <f ca="1">IFERROR(__xludf.DUMMYFUNCTION("""COMPUTED_VALUE"""),0)</f>
        <v>0</v>
      </c>
      <c r="X44" s="23">
        <f ca="1">IFERROR(__xludf.DUMMYFUNCTION("""COMPUTED_VALUE"""),0)</f>
        <v>0</v>
      </c>
      <c r="Y44" s="25">
        <f ca="1">IFERROR(__xludf.DUMMYFUNCTION("""COMPUTED_VALUE"""),0)</f>
        <v>0</v>
      </c>
      <c r="Z44" s="25">
        <f ca="1">IFERROR(__xludf.DUMMYFUNCTION("""COMPUTED_VALUE"""),0)</f>
        <v>0</v>
      </c>
      <c r="AA44" s="25">
        <f ca="1">IFERROR(__xludf.DUMMYFUNCTION("""COMPUTED_VALUE"""),0)</f>
        <v>0</v>
      </c>
      <c r="AB44" s="25">
        <f ca="1">IFERROR(__xludf.DUMMYFUNCTION("""COMPUTED_VALUE"""),0)</f>
        <v>0</v>
      </c>
      <c r="AC44" s="23">
        <f ca="1">IFERROR(__xludf.DUMMYFUNCTION("""COMPUTED_VALUE"""),0)</f>
        <v>0</v>
      </c>
      <c r="AD44" s="26" t="str">
        <f ca="1">IFERROR(__xludf.DUMMYFUNCTION("""COMPUTED_VALUE"""),"MYSY 25000")</f>
        <v>MYSY 25000</v>
      </c>
      <c r="AE44" s="27"/>
    </row>
    <row r="45" spans="1:31" ht="14.3">
      <c r="A45" s="31" t="str">
        <f ca="1">IFERROR(__xludf.DUMMYFUNCTION("""COMPUTED_VALUE"""),"23SDSCE01154")</f>
        <v>23SDSCE01154</v>
      </c>
      <c r="B45" s="32" t="str">
        <f ca="1">IFERROR(__xludf.DUMMYFUNCTION("""COMPUTED_VALUE"""),"BHATTI FARDIN RAFIQBHAI")</f>
        <v>BHATTI FARDIN RAFIQBHAI</v>
      </c>
      <c r="C45" s="18" t="str">
        <f ca="1">IFERROR(__xludf.DUMMYFUNCTION("""COMPUTED_VALUE"""),"SDS")</f>
        <v>SDS</v>
      </c>
      <c r="D45" s="18" t="str">
        <f ca="1">IFERROR(__xludf.DUMMYFUNCTION("""COMPUTED_VALUE"""),"DCE")</f>
        <v>DCE</v>
      </c>
      <c r="E45" s="18">
        <f ca="1">IFERROR(__xludf.DUMMYFUNCTION("""COMPUTED_VALUE"""),2)</f>
        <v>2</v>
      </c>
      <c r="F45" s="6" t="str">
        <f ca="1">IFERROR(__xludf.DUMMYFUNCTION("""COMPUTED_VALUE"""),"9313170166 9537556747")</f>
        <v>9313170166 9537556747</v>
      </c>
      <c r="G45" s="6" t="str">
        <f ca="1">IFERROR(__xludf.DUMMYFUNCTION("""COMPUTED_VALUE"""),"9313170166 9537556747")</f>
        <v>9313170166 9537556747</v>
      </c>
      <c r="H45" s="18" t="str">
        <f ca="1">IFERROR(__xludf.DUMMYFUNCTION("""COMPUTED_VALUE"""),"DCE_2023-26")</f>
        <v>DCE_2023-26</v>
      </c>
      <c r="I45" s="20"/>
      <c r="J45" s="21">
        <f ca="1">IFERROR(__xludf.DUMMYFUNCTION("""COMPUTED_VALUE"""),27500)</f>
        <v>27500</v>
      </c>
      <c r="K45" s="21">
        <f ca="1">IFERROR(__xludf.DUMMYFUNCTION("""COMPUTED_VALUE"""),27500)</f>
        <v>27500</v>
      </c>
      <c r="L45" s="21">
        <f ca="1">IFERROR(__xludf.DUMMYFUNCTION("""COMPUTED_VALUE"""),0)</f>
        <v>0</v>
      </c>
      <c r="M45" s="21">
        <f ca="1">IFERROR(__xludf.DUMMYFUNCTION("""COMPUTED_VALUE"""),0)</f>
        <v>0</v>
      </c>
      <c r="N45" s="21">
        <f ca="1">IFERROR(__xludf.DUMMYFUNCTION("""COMPUTED_VALUE"""),0)</f>
        <v>0</v>
      </c>
      <c r="O45" s="21">
        <f ca="1">IFERROR(__xludf.DUMMYFUNCTION("""COMPUTED_VALUE"""),3000)</f>
        <v>3000</v>
      </c>
      <c r="P45" s="21">
        <f ca="1">IFERROR(__xludf.DUMMYFUNCTION("""COMPUTED_VALUE"""),3000)</f>
        <v>3000</v>
      </c>
      <c r="Q45" s="21">
        <f ca="1">IFERROR(__xludf.DUMMYFUNCTION("""COMPUTED_VALUE"""),0)</f>
        <v>0</v>
      </c>
      <c r="R45" s="11">
        <f ca="1">IFERROR(__xludf.DUMMYFUNCTION("""COMPUTED_VALUE"""),0)</f>
        <v>0</v>
      </c>
      <c r="S45" s="23">
        <f ca="1">IFERROR(__xludf.DUMMYFUNCTION("""COMPUTED_VALUE"""),0)</f>
        <v>0</v>
      </c>
      <c r="T45" s="24">
        <f ca="1">IFERROR(__xludf.DUMMYFUNCTION("""COMPUTED_VALUE"""),0)</f>
        <v>0</v>
      </c>
      <c r="U45" s="23">
        <f ca="1">IFERROR(__xludf.DUMMYFUNCTION("""COMPUTED_VALUE"""),0)</f>
        <v>0</v>
      </c>
      <c r="V45" s="23">
        <f ca="1">IFERROR(__xludf.DUMMYFUNCTION("""COMPUTED_VALUE"""),0)</f>
        <v>0</v>
      </c>
      <c r="W45" s="23">
        <f ca="1">IFERROR(__xludf.DUMMYFUNCTION("""COMPUTED_VALUE"""),0)</f>
        <v>0</v>
      </c>
      <c r="X45" s="23">
        <f ca="1">IFERROR(__xludf.DUMMYFUNCTION("""COMPUTED_VALUE"""),0)</f>
        <v>0</v>
      </c>
      <c r="Y45" s="25">
        <f ca="1">IFERROR(__xludf.DUMMYFUNCTION("""COMPUTED_VALUE"""),0)</f>
        <v>0</v>
      </c>
      <c r="Z45" s="25">
        <f ca="1">IFERROR(__xludf.DUMMYFUNCTION("""COMPUTED_VALUE"""),0)</f>
        <v>0</v>
      </c>
      <c r="AA45" s="25">
        <f ca="1">IFERROR(__xludf.DUMMYFUNCTION("""COMPUTED_VALUE"""),0)</f>
        <v>0</v>
      </c>
      <c r="AB45" s="25">
        <f ca="1">IFERROR(__xludf.DUMMYFUNCTION("""COMPUTED_VALUE"""),0)</f>
        <v>0</v>
      </c>
      <c r="AC45" s="23">
        <f ca="1">IFERROR(__xludf.DUMMYFUNCTION("""COMPUTED_VALUE"""),0)</f>
        <v>0</v>
      </c>
      <c r="AD45" s="26"/>
      <c r="AE45" s="27"/>
    </row>
    <row r="46" spans="1:31" ht="14.3">
      <c r="A46" s="31" t="str">
        <f ca="1">IFERROR(__xludf.DUMMYFUNCTION("""COMPUTED_VALUE"""),"23SDSCE01155")</f>
        <v>23SDSCE01155</v>
      </c>
      <c r="B46" s="32" t="str">
        <f ca="1">IFERROR(__xludf.DUMMYFUNCTION("""COMPUTED_VALUE"""),"BHUVA MILAN BHARAT")</f>
        <v>BHUVA MILAN BHARAT</v>
      </c>
      <c r="C46" s="18" t="str">
        <f ca="1">IFERROR(__xludf.DUMMYFUNCTION("""COMPUTED_VALUE"""),"SDS")</f>
        <v>SDS</v>
      </c>
      <c r="D46" s="18" t="str">
        <f ca="1">IFERROR(__xludf.DUMMYFUNCTION("""COMPUTED_VALUE"""),"DCE")</f>
        <v>DCE</v>
      </c>
      <c r="E46" s="18">
        <f ca="1">IFERROR(__xludf.DUMMYFUNCTION("""COMPUTED_VALUE"""),2)</f>
        <v>2</v>
      </c>
      <c r="F46" s="6" t="str">
        <f ca="1">IFERROR(__xludf.DUMMYFUNCTION("""COMPUTED_VALUE"""),"6354048995 9879360245")</f>
        <v>6354048995 9879360245</v>
      </c>
      <c r="G46" s="6" t="str">
        <f ca="1">IFERROR(__xludf.DUMMYFUNCTION("""COMPUTED_VALUE"""),"6354048995 9879360245")</f>
        <v>6354048995 9879360245</v>
      </c>
      <c r="H46" s="18" t="str">
        <f ca="1">IFERROR(__xludf.DUMMYFUNCTION("""COMPUTED_VALUE"""),"DCE_2023-26")</f>
        <v>DCE_2023-26</v>
      </c>
      <c r="I46" s="20"/>
      <c r="J46" s="21">
        <f ca="1">IFERROR(__xludf.DUMMYFUNCTION("""COMPUTED_VALUE"""),27500)</f>
        <v>27500</v>
      </c>
      <c r="K46" s="21">
        <f ca="1">IFERROR(__xludf.DUMMYFUNCTION("""COMPUTED_VALUE"""),27500)</f>
        <v>27500</v>
      </c>
      <c r="L46" s="21">
        <f ca="1">IFERROR(__xludf.DUMMYFUNCTION("""COMPUTED_VALUE"""),0)</f>
        <v>0</v>
      </c>
      <c r="M46" s="21">
        <f ca="1">IFERROR(__xludf.DUMMYFUNCTION("""COMPUTED_VALUE"""),0)</f>
        <v>0</v>
      </c>
      <c r="N46" s="21">
        <f ca="1">IFERROR(__xludf.DUMMYFUNCTION("""COMPUTED_VALUE"""),0)</f>
        <v>0</v>
      </c>
      <c r="O46" s="21">
        <f ca="1">IFERROR(__xludf.DUMMYFUNCTION("""COMPUTED_VALUE"""),3000)</f>
        <v>3000</v>
      </c>
      <c r="P46" s="21">
        <f ca="1">IFERROR(__xludf.DUMMYFUNCTION("""COMPUTED_VALUE"""),3000)</f>
        <v>3000</v>
      </c>
      <c r="Q46" s="21">
        <f ca="1">IFERROR(__xludf.DUMMYFUNCTION("""COMPUTED_VALUE"""),0)</f>
        <v>0</v>
      </c>
      <c r="R46" s="11">
        <f ca="1">IFERROR(__xludf.DUMMYFUNCTION("""COMPUTED_VALUE"""),0)</f>
        <v>0</v>
      </c>
      <c r="S46" s="23">
        <f ca="1">IFERROR(__xludf.DUMMYFUNCTION("""COMPUTED_VALUE"""),0)</f>
        <v>0</v>
      </c>
      <c r="T46" s="24">
        <f ca="1">IFERROR(__xludf.DUMMYFUNCTION("""COMPUTED_VALUE"""),0)</f>
        <v>0</v>
      </c>
      <c r="U46" s="23">
        <f ca="1">IFERROR(__xludf.DUMMYFUNCTION("""COMPUTED_VALUE"""),0)</f>
        <v>0</v>
      </c>
      <c r="V46" s="23">
        <f ca="1">IFERROR(__xludf.DUMMYFUNCTION("""COMPUTED_VALUE"""),0)</f>
        <v>0</v>
      </c>
      <c r="W46" s="23">
        <f ca="1">IFERROR(__xludf.DUMMYFUNCTION("""COMPUTED_VALUE"""),0)</f>
        <v>0</v>
      </c>
      <c r="X46" s="23">
        <f ca="1">IFERROR(__xludf.DUMMYFUNCTION("""COMPUTED_VALUE"""),0)</f>
        <v>0</v>
      </c>
      <c r="Y46" s="25">
        <f ca="1">IFERROR(__xludf.DUMMYFUNCTION("""COMPUTED_VALUE"""),0)</f>
        <v>0</v>
      </c>
      <c r="Z46" s="25">
        <f ca="1">IFERROR(__xludf.DUMMYFUNCTION("""COMPUTED_VALUE"""),0)</f>
        <v>0</v>
      </c>
      <c r="AA46" s="25">
        <f ca="1">IFERROR(__xludf.DUMMYFUNCTION("""COMPUTED_VALUE"""),0)</f>
        <v>0</v>
      </c>
      <c r="AB46" s="25">
        <f ca="1">IFERROR(__xludf.DUMMYFUNCTION("""COMPUTED_VALUE"""),0)</f>
        <v>0</v>
      </c>
      <c r="AC46" s="23">
        <f ca="1">IFERROR(__xludf.DUMMYFUNCTION("""COMPUTED_VALUE"""),0)</f>
        <v>0</v>
      </c>
      <c r="AD46" s="26"/>
      <c r="AE46" s="27"/>
    </row>
    <row r="47" spans="1:31" ht="14.3">
      <c r="A47" s="31" t="str">
        <f ca="1">IFERROR(__xludf.DUMMYFUNCTION("""COMPUTED_VALUE"""),"23SDSCE01156")</f>
        <v>23SDSCE01156</v>
      </c>
      <c r="B47" s="32" t="str">
        <f ca="1">IFERROR(__xludf.DUMMYFUNCTION("""COMPUTED_VALUE"""),"BHUVA PRINCE MANSUKHBHAI")</f>
        <v>BHUVA PRINCE MANSUKHBHAI</v>
      </c>
      <c r="C47" s="18" t="str">
        <f ca="1">IFERROR(__xludf.DUMMYFUNCTION("""COMPUTED_VALUE"""),"SDS")</f>
        <v>SDS</v>
      </c>
      <c r="D47" s="18" t="str">
        <f ca="1">IFERROR(__xludf.DUMMYFUNCTION("""COMPUTED_VALUE"""),"DCE")</f>
        <v>DCE</v>
      </c>
      <c r="E47" s="18">
        <f ca="1">IFERROR(__xludf.DUMMYFUNCTION("""COMPUTED_VALUE"""),2)</f>
        <v>2</v>
      </c>
      <c r="F47" s="18" t="str">
        <f ca="1">IFERROR(__xludf.DUMMYFUNCTION("""COMPUTED_VALUE"""),"9714514642
9429981483")</f>
        <v>9714514642
9429981483</v>
      </c>
      <c r="G47" s="18" t="str">
        <f ca="1">IFERROR(__xludf.DUMMYFUNCTION("""COMPUTED_VALUE"""),"9714514642
9429981483")</f>
        <v>9714514642
9429981483</v>
      </c>
      <c r="H47" s="18" t="str">
        <f ca="1">IFERROR(__xludf.DUMMYFUNCTION("""COMPUTED_VALUE"""),"DCE_2023-26")</f>
        <v>DCE_2023-26</v>
      </c>
      <c r="I47" s="20"/>
      <c r="J47" s="21">
        <f ca="1">IFERROR(__xludf.DUMMYFUNCTION("""COMPUTED_VALUE"""),27500)</f>
        <v>27500</v>
      </c>
      <c r="K47" s="21">
        <f ca="1">IFERROR(__xludf.DUMMYFUNCTION("""COMPUTED_VALUE"""),27500)</f>
        <v>27500</v>
      </c>
      <c r="L47" s="21">
        <f ca="1">IFERROR(__xludf.DUMMYFUNCTION("""COMPUTED_VALUE"""),0)</f>
        <v>0</v>
      </c>
      <c r="M47" s="21">
        <f ca="1">IFERROR(__xludf.DUMMYFUNCTION("""COMPUTED_VALUE"""),0)</f>
        <v>0</v>
      </c>
      <c r="N47" s="21">
        <f ca="1">IFERROR(__xludf.DUMMYFUNCTION("""COMPUTED_VALUE"""),0)</f>
        <v>0</v>
      </c>
      <c r="O47" s="21">
        <f ca="1">IFERROR(__xludf.DUMMYFUNCTION("""COMPUTED_VALUE"""),3000)</f>
        <v>3000</v>
      </c>
      <c r="P47" s="21">
        <f ca="1">IFERROR(__xludf.DUMMYFUNCTION("""COMPUTED_VALUE"""),3000)</f>
        <v>3000</v>
      </c>
      <c r="Q47" s="21">
        <f ca="1">IFERROR(__xludf.DUMMYFUNCTION("""COMPUTED_VALUE"""),0)</f>
        <v>0</v>
      </c>
      <c r="R47" s="11">
        <f ca="1">IFERROR(__xludf.DUMMYFUNCTION("""COMPUTED_VALUE"""),0)</f>
        <v>0</v>
      </c>
      <c r="S47" s="23">
        <f ca="1">IFERROR(__xludf.DUMMYFUNCTION("""COMPUTED_VALUE"""),0)</f>
        <v>0</v>
      </c>
      <c r="T47" s="24">
        <f ca="1">IFERROR(__xludf.DUMMYFUNCTION("""COMPUTED_VALUE"""),0)</f>
        <v>0</v>
      </c>
      <c r="U47" s="23">
        <f ca="1">IFERROR(__xludf.DUMMYFUNCTION("""COMPUTED_VALUE"""),0)</f>
        <v>0</v>
      </c>
      <c r="V47" s="23">
        <f ca="1">IFERROR(__xludf.DUMMYFUNCTION("""COMPUTED_VALUE"""),0)</f>
        <v>0</v>
      </c>
      <c r="W47" s="23">
        <f ca="1">IFERROR(__xludf.DUMMYFUNCTION("""COMPUTED_VALUE"""),0)</f>
        <v>0</v>
      </c>
      <c r="X47" s="23">
        <f ca="1">IFERROR(__xludf.DUMMYFUNCTION("""COMPUTED_VALUE"""),0)</f>
        <v>0</v>
      </c>
      <c r="Y47" s="25">
        <f ca="1">IFERROR(__xludf.DUMMYFUNCTION("""COMPUTED_VALUE"""),0)</f>
        <v>0</v>
      </c>
      <c r="Z47" s="25">
        <f ca="1">IFERROR(__xludf.DUMMYFUNCTION("""COMPUTED_VALUE"""),0)</f>
        <v>0</v>
      </c>
      <c r="AA47" s="25">
        <f ca="1">IFERROR(__xludf.DUMMYFUNCTION("""COMPUTED_VALUE"""),0)</f>
        <v>0</v>
      </c>
      <c r="AB47" s="25">
        <f ca="1">IFERROR(__xludf.DUMMYFUNCTION("""COMPUTED_VALUE"""),0)</f>
        <v>0</v>
      </c>
      <c r="AC47" s="23">
        <f ca="1">IFERROR(__xludf.DUMMYFUNCTION("""COMPUTED_VALUE"""),0)</f>
        <v>0</v>
      </c>
      <c r="AD47" s="26"/>
      <c r="AE47" s="27"/>
    </row>
    <row r="48" spans="1:31" ht="14.3">
      <c r="A48" s="31" t="str">
        <f ca="1">IFERROR(__xludf.DUMMYFUNCTION("""COMPUTED_VALUE"""),"23SDSCE01157")</f>
        <v>23SDSCE01157</v>
      </c>
      <c r="B48" s="32" t="str">
        <f ca="1">IFERROR(__xludf.DUMMYFUNCTION("""COMPUTED_VALUE"""),"CHAVDA ABHISHEK MAHESHBHAI")</f>
        <v>CHAVDA ABHISHEK MAHESHBHAI</v>
      </c>
      <c r="C48" s="18" t="str">
        <f ca="1">IFERROR(__xludf.DUMMYFUNCTION("""COMPUTED_VALUE"""),"SDS")</f>
        <v>SDS</v>
      </c>
      <c r="D48" s="18" t="str">
        <f ca="1">IFERROR(__xludf.DUMMYFUNCTION("""COMPUTED_VALUE"""),"DCE")</f>
        <v>DCE</v>
      </c>
      <c r="E48" s="18">
        <f ca="1">IFERROR(__xludf.DUMMYFUNCTION("""COMPUTED_VALUE"""),2)</f>
        <v>2</v>
      </c>
      <c r="F48" s="6" t="str">
        <f ca="1">IFERROR(__xludf.DUMMYFUNCTION("""COMPUTED_VALUE"""),"6356388426 6353430120")</f>
        <v>6356388426 6353430120</v>
      </c>
      <c r="G48" s="6" t="str">
        <f ca="1">IFERROR(__xludf.DUMMYFUNCTION("""COMPUTED_VALUE"""),"6356388426 6353430120")</f>
        <v>6356388426 6353430120</v>
      </c>
      <c r="H48" s="18" t="str">
        <f ca="1">IFERROR(__xludf.DUMMYFUNCTION("""COMPUTED_VALUE"""),"DCE_2023-26")</f>
        <v>DCE_2023-26</v>
      </c>
      <c r="I48" s="20"/>
      <c r="J48" s="21">
        <f ca="1">IFERROR(__xludf.DUMMYFUNCTION("""COMPUTED_VALUE"""),27500)</f>
        <v>27500</v>
      </c>
      <c r="K48" s="21">
        <f ca="1">IFERROR(__xludf.DUMMYFUNCTION("""COMPUTED_VALUE"""),27500)</f>
        <v>27500</v>
      </c>
      <c r="L48" s="21">
        <f ca="1">IFERROR(__xludf.DUMMYFUNCTION("""COMPUTED_VALUE"""),0)</f>
        <v>0</v>
      </c>
      <c r="M48" s="21">
        <f ca="1">IFERROR(__xludf.DUMMYFUNCTION("""COMPUTED_VALUE"""),0)</f>
        <v>0</v>
      </c>
      <c r="N48" s="21">
        <f ca="1">IFERROR(__xludf.DUMMYFUNCTION("""COMPUTED_VALUE"""),0)</f>
        <v>0</v>
      </c>
      <c r="O48" s="21">
        <f ca="1">IFERROR(__xludf.DUMMYFUNCTION("""COMPUTED_VALUE"""),3000)</f>
        <v>3000</v>
      </c>
      <c r="P48" s="21">
        <f ca="1">IFERROR(__xludf.DUMMYFUNCTION("""COMPUTED_VALUE"""),3000)</f>
        <v>3000</v>
      </c>
      <c r="Q48" s="21">
        <f ca="1">IFERROR(__xludf.DUMMYFUNCTION("""COMPUTED_VALUE"""),0)</f>
        <v>0</v>
      </c>
      <c r="R48" s="11">
        <f ca="1">IFERROR(__xludf.DUMMYFUNCTION("""COMPUTED_VALUE"""),0)</f>
        <v>0</v>
      </c>
      <c r="S48" s="23">
        <f ca="1">IFERROR(__xludf.DUMMYFUNCTION("""COMPUTED_VALUE"""),0)</f>
        <v>0</v>
      </c>
      <c r="T48" s="24">
        <f ca="1">IFERROR(__xludf.DUMMYFUNCTION("""COMPUTED_VALUE"""),0)</f>
        <v>0</v>
      </c>
      <c r="U48" s="23">
        <f ca="1">IFERROR(__xludf.DUMMYFUNCTION("""COMPUTED_VALUE"""),0)</f>
        <v>0</v>
      </c>
      <c r="V48" s="23">
        <f ca="1">IFERROR(__xludf.DUMMYFUNCTION("""COMPUTED_VALUE"""),0)</f>
        <v>0</v>
      </c>
      <c r="W48" s="23">
        <f ca="1">IFERROR(__xludf.DUMMYFUNCTION("""COMPUTED_VALUE"""),0)</f>
        <v>0</v>
      </c>
      <c r="X48" s="23">
        <f ca="1">IFERROR(__xludf.DUMMYFUNCTION("""COMPUTED_VALUE"""),0)</f>
        <v>0</v>
      </c>
      <c r="Y48" s="25">
        <f ca="1">IFERROR(__xludf.DUMMYFUNCTION("""COMPUTED_VALUE"""),0)</f>
        <v>0</v>
      </c>
      <c r="Z48" s="25">
        <f ca="1">IFERROR(__xludf.DUMMYFUNCTION("""COMPUTED_VALUE"""),0)</f>
        <v>0</v>
      </c>
      <c r="AA48" s="25">
        <f ca="1">IFERROR(__xludf.DUMMYFUNCTION("""COMPUTED_VALUE"""),0)</f>
        <v>0</v>
      </c>
      <c r="AB48" s="25">
        <f ca="1">IFERROR(__xludf.DUMMYFUNCTION("""COMPUTED_VALUE"""),0)</f>
        <v>0</v>
      </c>
      <c r="AC48" s="23">
        <f ca="1">IFERROR(__xludf.DUMMYFUNCTION("""COMPUTED_VALUE"""),0)</f>
        <v>0</v>
      </c>
      <c r="AD48" s="26"/>
      <c r="AE48" s="27"/>
    </row>
    <row r="49" spans="1:31" ht="14.3">
      <c r="A49" s="31" t="str">
        <f ca="1">IFERROR(__xludf.DUMMYFUNCTION("""COMPUTED_VALUE"""),"23SDSCE01158")</f>
        <v>23SDSCE01158</v>
      </c>
      <c r="B49" s="32" t="str">
        <f ca="1">IFERROR(__xludf.DUMMYFUNCTION("""COMPUTED_VALUE"""),"DESAI SHUBHAM BHARATBHAI")</f>
        <v>DESAI SHUBHAM BHARATBHAI</v>
      </c>
      <c r="C49" s="18" t="str">
        <f ca="1">IFERROR(__xludf.DUMMYFUNCTION("""COMPUTED_VALUE"""),"SDS")</f>
        <v>SDS</v>
      </c>
      <c r="D49" s="18" t="str">
        <f ca="1">IFERROR(__xludf.DUMMYFUNCTION("""COMPUTED_VALUE"""),"DCE")</f>
        <v>DCE</v>
      </c>
      <c r="E49" s="18">
        <f ca="1">IFERROR(__xludf.DUMMYFUNCTION("""COMPUTED_VALUE"""),2)</f>
        <v>2</v>
      </c>
      <c r="F49" s="18" t="str">
        <f ca="1">IFERROR(__xludf.DUMMYFUNCTION("""COMPUTED_VALUE"""),"9510429617 7990293700")</f>
        <v>9510429617 7990293700</v>
      </c>
      <c r="G49" s="18" t="str">
        <f ca="1">IFERROR(__xludf.DUMMYFUNCTION("""COMPUTED_VALUE"""),"9510429617 7990293700")</f>
        <v>9510429617 7990293700</v>
      </c>
      <c r="H49" s="18" t="str">
        <f ca="1">IFERROR(__xludf.DUMMYFUNCTION("""COMPUTED_VALUE"""),"DCE_2023-26")</f>
        <v>DCE_2023-26</v>
      </c>
      <c r="I49" s="20"/>
      <c r="J49" s="21">
        <f ca="1">IFERROR(__xludf.DUMMYFUNCTION("""COMPUTED_VALUE"""),27500)</f>
        <v>27500</v>
      </c>
      <c r="K49" s="21">
        <f ca="1">IFERROR(__xludf.DUMMYFUNCTION("""COMPUTED_VALUE"""),27500)</f>
        <v>27500</v>
      </c>
      <c r="L49" s="21">
        <f ca="1">IFERROR(__xludf.DUMMYFUNCTION("""COMPUTED_VALUE"""),0)</f>
        <v>0</v>
      </c>
      <c r="M49" s="21">
        <f ca="1">IFERROR(__xludf.DUMMYFUNCTION("""COMPUTED_VALUE"""),0)</f>
        <v>0</v>
      </c>
      <c r="N49" s="21">
        <f ca="1">IFERROR(__xludf.DUMMYFUNCTION("""COMPUTED_VALUE"""),0)</f>
        <v>0</v>
      </c>
      <c r="O49" s="21">
        <f ca="1">IFERROR(__xludf.DUMMYFUNCTION("""COMPUTED_VALUE"""),3000)</f>
        <v>3000</v>
      </c>
      <c r="P49" s="21">
        <f ca="1">IFERROR(__xludf.DUMMYFUNCTION("""COMPUTED_VALUE"""),3000)</f>
        <v>3000</v>
      </c>
      <c r="Q49" s="21">
        <f ca="1">IFERROR(__xludf.DUMMYFUNCTION("""COMPUTED_VALUE"""),0)</f>
        <v>0</v>
      </c>
      <c r="R49" s="11">
        <f ca="1">IFERROR(__xludf.DUMMYFUNCTION("""COMPUTED_VALUE"""),0)</f>
        <v>0</v>
      </c>
      <c r="S49" s="23">
        <f ca="1">IFERROR(__xludf.DUMMYFUNCTION("""COMPUTED_VALUE"""),0)</f>
        <v>0</v>
      </c>
      <c r="T49" s="24">
        <f ca="1">IFERROR(__xludf.DUMMYFUNCTION("""COMPUTED_VALUE"""),0)</f>
        <v>0</v>
      </c>
      <c r="U49" s="23">
        <f ca="1">IFERROR(__xludf.DUMMYFUNCTION("""COMPUTED_VALUE"""),0)</f>
        <v>0</v>
      </c>
      <c r="V49" s="23">
        <f ca="1">IFERROR(__xludf.DUMMYFUNCTION("""COMPUTED_VALUE"""),0)</f>
        <v>0</v>
      </c>
      <c r="W49" s="23">
        <f ca="1">IFERROR(__xludf.DUMMYFUNCTION("""COMPUTED_VALUE"""),0)</f>
        <v>0</v>
      </c>
      <c r="X49" s="23">
        <f ca="1">IFERROR(__xludf.DUMMYFUNCTION("""COMPUTED_VALUE"""),0)</f>
        <v>0</v>
      </c>
      <c r="Y49" s="25">
        <f ca="1">IFERROR(__xludf.DUMMYFUNCTION("""COMPUTED_VALUE"""),0)</f>
        <v>0</v>
      </c>
      <c r="Z49" s="25">
        <f ca="1">IFERROR(__xludf.DUMMYFUNCTION("""COMPUTED_VALUE"""),0)</f>
        <v>0</v>
      </c>
      <c r="AA49" s="25">
        <f ca="1">IFERROR(__xludf.DUMMYFUNCTION("""COMPUTED_VALUE"""),0)</f>
        <v>0</v>
      </c>
      <c r="AB49" s="25">
        <f ca="1">IFERROR(__xludf.DUMMYFUNCTION("""COMPUTED_VALUE"""),0)</f>
        <v>0</v>
      </c>
      <c r="AC49" s="23">
        <f ca="1">IFERROR(__xludf.DUMMYFUNCTION("""COMPUTED_VALUE"""),0)</f>
        <v>0</v>
      </c>
      <c r="AD49" s="26"/>
      <c r="AE49" s="27"/>
    </row>
    <row r="50" spans="1:31" ht="14.3">
      <c r="A50" s="31" t="str">
        <f ca="1">IFERROR(__xludf.DUMMYFUNCTION("""COMPUTED_VALUE"""),"23SDSCE01159")</f>
        <v>23SDSCE01159</v>
      </c>
      <c r="B50" s="32" t="str">
        <f ca="1">IFERROR(__xludf.DUMMYFUNCTION("""COMPUTED_VALUE"""),"KAKADIYA YUG DINESHBHAI")</f>
        <v>KAKADIYA YUG DINESHBHAI</v>
      </c>
      <c r="C50" s="18" t="str">
        <f ca="1">IFERROR(__xludf.DUMMYFUNCTION("""COMPUTED_VALUE"""),"SDS")</f>
        <v>SDS</v>
      </c>
      <c r="D50" s="18" t="str">
        <f ca="1">IFERROR(__xludf.DUMMYFUNCTION("""COMPUTED_VALUE"""),"DCE")</f>
        <v>DCE</v>
      </c>
      <c r="E50" s="18">
        <f ca="1">IFERROR(__xludf.DUMMYFUNCTION("""COMPUTED_VALUE"""),2)</f>
        <v>2</v>
      </c>
      <c r="F50" s="6" t="str">
        <f ca="1">IFERROR(__xludf.DUMMYFUNCTION("""COMPUTED_VALUE"""),"8780060639
9998889879")</f>
        <v>8780060639
9998889879</v>
      </c>
      <c r="G50" s="6" t="str">
        <f ca="1">IFERROR(__xludf.DUMMYFUNCTION("""COMPUTED_VALUE"""),"8780060639
9998889879")</f>
        <v>8780060639
9998889879</v>
      </c>
      <c r="H50" s="18" t="str">
        <f ca="1">IFERROR(__xludf.DUMMYFUNCTION("""COMPUTED_VALUE"""),"DCE_2023-26")</f>
        <v>DCE_2023-26</v>
      </c>
      <c r="I50" s="20" t="str">
        <f ca="1">IFERROR(__xludf.DUMMYFUNCTION("""COMPUTED_VALUE"""),"MYSY")</f>
        <v>MYSY</v>
      </c>
      <c r="J50" s="21">
        <f ca="1">IFERROR(__xludf.DUMMYFUNCTION("""COMPUTED_VALUE"""),27500)</f>
        <v>27500</v>
      </c>
      <c r="K50" s="21">
        <f ca="1">IFERROR(__xludf.DUMMYFUNCTION("""COMPUTED_VALUE"""),27500)</f>
        <v>27500</v>
      </c>
      <c r="L50" s="21">
        <f ca="1">IFERROR(__xludf.DUMMYFUNCTION("""COMPUTED_VALUE"""),0)</f>
        <v>0</v>
      </c>
      <c r="M50" s="21">
        <f ca="1">IFERROR(__xludf.DUMMYFUNCTION("""COMPUTED_VALUE"""),0)</f>
        <v>0</v>
      </c>
      <c r="N50" s="21">
        <f ca="1">IFERROR(__xludf.DUMMYFUNCTION("""COMPUTED_VALUE"""),0)</f>
        <v>0</v>
      </c>
      <c r="O50" s="21">
        <f ca="1">IFERROR(__xludf.DUMMYFUNCTION("""COMPUTED_VALUE"""),3000)</f>
        <v>3000</v>
      </c>
      <c r="P50" s="21">
        <f ca="1">IFERROR(__xludf.DUMMYFUNCTION("""COMPUTED_VALUE"""),3000)</f>
        <v>3000</v>
      </c>
      <c r="Q50" s="21">
        <f ca="1">IFERROR(__xludf.DUMMYFUNCTION("""COMPUTED_VALUE"""),0)</f>
        <v>0</v>
      </c>
      <c r="R50" s="11">
        <f ca="1">IFERROR(__xludf.DUMMYFUNCTION("""COMPUTED_VALUE"""),0)</f>
        <v>0</v>
      </c>
      <c r="S50" s="23">
        <f ca="1">IFERROR(__xludf.DUMMYFUNCTION("""COMPUTED_VALUE"""),0)</f>
        <v>0</v>
      </c>
      <c r="T50" s="24">
        <f ca="1">IFERROR(__xludf.DUMMYFUNCTION("""COMPUTED_VALUE"""),0)</f>
        <v>0</v>
      </c>
      <c r="U50" s="23">
        <f ca="1">IFERROR(__xludf.DUMMYFUNCTION("""COMPUTED_VALUE"""),0)</f>
        <v>0</v>
      </c>
      <c r="V50" s="23">
        <f ca="1">IFERROR(__xludf.DUMMYFUNCTION("""COMPUTED_VALUE"""),0)</f>
        <v>0</v>
      </c>
      <c r="W50" s="23">
        <f ca="1">IFERROR(__xludf.DUMMYFUNCTION("""COMPUTED_VALUE"""),0)</f>
        <v>0</v>
      </c>
      <c r="X50" s="23">
        <f ca="1">IFERROR(__xludf.DUMMYFUNCTION("""COMPUTED_VALUE"""),0)</f>
        <v>0</v>
      </c>
      <c r="Y50" s="25">
        <f ca="1">IFERROR(__xludf.DUMMYFUNCTION("""COMPUTED_VALUE"""),0)</f>
        <v>0</v>
      </c>
      <c r="Z50" s="25">
        <f ca="1">IFERROR(__xludf.DUMMYFUNCTION("""COMPUTED_VALUE"""),0)</f>
        <v>0</v>
      </c>
      <c r="AA50" s="25">
        <f ca="1">IFERROR(__xludf.DUMMYFUNCTION("""COMPUTED_VALUE"""),0)</f>
        <v>0</v>
      </c>
      <c r="AB50" s="25">
        <f ca="1">IFERROR(__xludf.DUMMYFUNCTION("""COMPUTED_VALUE"""),0)</f>
        <v>0</v>
      </c>
      <c r="AC50" s="23">
        <f ca="1">IFERROR(__xludf.DUMMYFUNCTION("""COMPUTED_VALUE"""),0)</f>
        <v>0</v>
      </c>
      <c r="AD50" s="26" t="str">
        <f ca="1">IFERROR(__xludf.DUMMYFUNCTION("""COMPUTED_VALUE"""),"MYSY (25000/-)	KSPS ( 12500/- )")</f>
        <v>MYSY (25000/-)	KSPS ( 12500/- )</v>
      </c>
      <c r="AE50" s="27"/>
    </row>
    <row r="51" spans="1:31" ht="14.3">
      <c r="A51" s="31" t="str">
        <f ca="1">IFERROR(__xludf.DUMMYFUNCTION("""COMPUTED_VALUE"""),"23SDSCE01160")</f>
        <v>23SDSCE01160</v>
      </c>
      <c r="B51" s="32" t="str">
        <f ca="1">IFERROR(__xludf.DUMMYFUNCTION("""COMPUTED_VALUE"""),"KOTECHA HEET PANISHBHAI")</f>
        <v>KOTECHA HEET PANISHBHAI</v>
      </c>
      <c r="C51" s="18" t="str">
        <f ca="1">IFERROR(__xludf.DUMMYFUNCTION("""COMPUTED_VALUE"""),"SDS")</f>
        <v>SDS</v>
      </c>
      <c r="D51" s="18" t="str">
        <f ca="1">IFERROR(__xludf.DUMMYFUNCTION("""COMPUTED_VALUE"""),"DCE")</f>
        <v>DCE</v>
      </c>
      <c r="E51" s="18">
        <f ca="1">IFERROR(__xludf.DUMMYFUNCTION("""COMPUTED_VALUE"""),2)</f>
        <v>2</v>
      </c>
      <c r="F51" s="18" t="str">
        <f ca="1">IFERROR(__xludf.DUMMYFUNCTION("""COMPUTED_VALUE"""),"9023352560 9429980315")</f>
        <v>9023352560 9429980315</v>
      </c>
      <c r="G51" s="18" t="str">
        <f ca="1">IFERROR(__xludf.DUMMYFUNCTION("""COMPUTED_VALUE"""),"9023352560 9429980315")</f>
        <v>9023352560 9429980315</v>
      </c>
      <c r="H51" s="18" t="str">
        <f ca="1">IFERROR(__xludf.DUMMYFUNCTION("""COMPUTED_VALUE"""),"DCE_2023-26")</f>
        <v>DCE_2023-26</v>
      </c>
      <c r="I51" s="20"/>
      <c r="J51" s="21">
        <f ca="1">IFERROR(__xludf.DUMMYFUNCTION("""COMPUTED_VALUE"""),27500)</f>
        <v>27500</v>
      </c>
      <c r="K51" s="21">
        <f ca="1">IFERROR(__xludf.DUMMYFUNCTION("""COMPUTED_VALUE"""),27500)</f>
        <v>27500</v>
      </c>
      <c r="L51" s="21">
        <f ca="1">IFERROR(__xludf.DUMMYFUNCTION("""COMPUTED_VALUE"""),0)</f>
        <v>0</v>
      </c>
      <c r="M51" s="21">
        <f ca="1">IFERROR(__xludf.DUMMYFUNCTION("""COMPUTED_VALUE"""),0)</f>
        <v>0</v>
      </c>
      <c r="N51" s="21">
        <f ca="1">IFERROR(__xludf.DUMMYFUNCTION("""COMPUTED_VALUE"""),0)</f>
        <v>0</v>
      </c>
      <c r="O51" s="21">
        <f ca="1">IFERROR(__xludf.DUMMYFUNCTION("""COMPUTED_VALUE"""),3000)</f>
        <v>3000</v>
      </c>
      <c r="P51" s="21">
        <f ca="1">IFERROR(__xludf.DUMMYFUNCTION("""COMPUTED_VALUE"""),3000)</f>
        <v>3000</v>
      </c>
      <c r="Q51" s="21">
        <f ca="1">IFERROR(__xludf.DUMMYFUNCTION("""COMPUTED_VALUE"""),0)</f>
        <v>0</v>
      </c>
      <c r="R51" s="11">
        <f ca="1">IFERROR(__xludf.DUMMYFUNCTION("""COMPUTED_VALUE"""),0)</f>
        <v>0</v>
      </c>
      <c r="S51" s="23">
        <f ca="1">IFERROR(__xludf.DUMMYFUNCTION("""COMPUTED_VALUE"""),0)</f>
        <v>0</v>
      </c>
      <c r="T51" s="24">
        <f ca="1">IFERROR(__xludf.DUMMYFUNCTION("""COMPUTED_VALUE"""),0)</f>
        <v>0</v>
      </c>
      <c r="U51" s="23">
        <f ca="1">IFERROR(__xludf.DUMMYFUNCTION("""COMPUTED_VALUE"""),0)</f>
        <v>0</v>
      </c>
      <c r="V51" s="23">
        <f ca="1">IFERROR(__xludf.DUMMYFUNCTION("""COMPUTED_VALUE"""),0)</f>
        <v>0</v>
      </c>
      <c r="W51" s="23">
        <f ca="1">IFERROR(__xludf.DUMMYFUNCTION("""COMPUTED_VALUE"""),0)</f>
        <v>0</v>
      </c>
      <c r="X51" s="23">
        <f ca="1">IFERROR(__xludf.DUMMYFUNCTION("""COMPUTED_VALUE"""),0)</f>
        <v>0</v>
      </c>
      <c r="Y51" s="25">
        <f ca="1">IFERROR(__xludf.DUMMYFUNCTION("""COMPUTED_VALUE"""),0)</f>
        <v>0</v>
      </c>
      <c r="Z51" s="25">
        <f ca="1">IFERROR(__xludf.DUMMYFUNCTION("""COMPUTED_VALUE"""),0)</f>
        <v>0</v>
      </c>
      <c r="AA51" s="25">
        <f ca="1">IFERROR(__xludf.DUMMYFUNCTION("""COMPUTED_VALUE"""),0)</f>
        <v>0</v>
      </c>
      <c r="AB51" s="25">
        <f ca="1">IFERROR(__xludf.DUMMYFUNCTION("""COMPUTED_VALUE"""),0)</f>
        <v>0</v>
      </c>
      <c r="AC51" s="23">
        <f ca="1">IFERROR(__xludf.DUMMYFUNCTION("""COMPUTED_VALUE"""),0)</f>
        <v>0</v>
      </c>
      <c r="AD51" s="26"/>
      <c r="AE51" s="27"/>
    </row>
    <row r="52" spans="1:31" ht="14.3">
      <c r="A52" s="31" t="str">
        <f ca="1">IFERROR(__xludf.DUMMYFUNCTION("""COMPUTED_VALUE"""),"23SDSCE01161")</f>
        <v>23SDSCE01161</v>
      </c>
      <c r="B52" s="32" t="str">
        <f ca="1">IFERROR(__xludf.DUMMYFUNCTION("""COMPUTED_VALUE"""),"JAINIL AMITBHAI LATHIGARA")</f>
        <v>JAINIL AMITBHAI LATHIGARA</v>
      </c>
      <c r="C52" s="18" t="str">
        <f ca="1">IFERROR(__xludf.DUMMYFUNCTION("""COMPUTED_VALUE"""),"SDS")</f>
        <v>SDS</v>
      </c>
      <c r="D52" s="18" t="str">
        <f ca="1">IFERROR(__xludf.DUMMYFUNCTION("""COMPUTED_VALUE"""),"DCE")</f>
        <v>DCE</v>
      </c>
      <c r="E52" s="18">
        <f ca="1">IFERROR(__xludf.DUMMYFUNCTION("""COMPUTED_VALUE"""),2)</f>
        <v>2</v>
      </c>
      <c r="F52" s="18" t="str">
        <f ca="1">IFERROR(__xludf.DUMMYFUNCTION("""COMPUTED_VALUE"""),"9925011422
9925011422")</f>
        <v>9925011422
9925011422</v>
      </c>
      <c r="G52" s="18" t="str">
        <f ca="1">IFERROR(__xludf.DUMMYFUNCTION("""COMPUTED_VALUE"""),"9925011422
9925011422")</f>
        <v>9925011422
9925011422</v>
      </c>
      <c r="H52" s="18" t="str">
        <f ca="1">IFERROR(__xludf.DUMMYFUNCTION("""COMPUTED_VALUE"""),"DCE_2023-26")</f>
        <v>DCE_2023-26</v>
      </c>
      <c r="I52" s="20" t="str">
        <f ca="1">IFERROR(__xludf.DUMMYFUNCTION("""COMPUTED_VALUE"""),"KSP")</f>
        <v>KSP</v>
      </c>
      <c r="J52" s="21">
        <f ca="1">IFERROR(__xludf.DUMMYFUNCTION("""COMPUTED_VALUE"""),27500)</f>
        <v>27500</v>
      </c>
      <c r="K52" s="21">
        <f ca="1">IFERROR(__xludf.DUMMYFUNCTION("""COMPUTED_VALUE"""),27500)</f>
        <v>27500</v>
      </c>
      <c r="L52" s="21">
        <f ca="1">IFERROR(__xludf.DUMMYFUNCTION("""COMPUTED_VALUE"""),0)</f>
        <v>0</v>
      </c>
      <c r="M52" s="21">
        <f ca="1">IFERROR(__xludf.DUMMYFUNCTION("""COMPUTED_VALUE"""),15000)</f>
        <v>15000</v>
      </c>
      <c r="N52" s="21">
        <f ca="1">IFERROR(__xludf.DUMMYFUNCTION("""COMPUTED_VALUE"""),-15000)</f>
        <v>-15000</v>
      </c>
      <c r="O52" s="21">
        <f ca="1">IFERROR(__xludf.DUMMYFUNCTION("""COMPUTED_VALUE"""),3000)</f>
        <v>3000</v>
      </c>
      <c r="P52" s="21">
        <f ca="1">IFERROR(__xludf.DUMMYFUNCTION("""COMPUTED_VALUE"""),3000)</f>
        <v>3000</v>
      </c>
      <c r="Q52" s="21">
        <f ca="1">IFERROR(__xludf.DUMMYFUNCTION("""COMPUTED_VALUE"""),0)</f>
        <v>0</v>
      </c>
      <c r="R52" s="11">
        <f ca="1">IFERROR(__xludf.DUMMYFUNCTION("""COMPUTED_VALUE"""),0)</f>
        <v>0</v>
      </c>
      <c r="S52" s="23">
        <f ca="1">IFERROR(__xludf.DUMMYFUNCTION("""COMPUTED_VALUE"""),0)</f>
        <v>0</v>
      </c>
      <c r="T52" s="24">
        <f ca="1">IFERROR(__xludf.DUMMYFUNCTION("""COMPUTED_VALUE"""),0)</f>
        <v>0</v>
      </c>
      <c r="U52" s="23">
        <f ca="1">IFERROR(__xludf.DUMMYFUNCTION("""COMPUTED_VALUE"""),0)</f>
        <v>0</v>
      </c>
      <c r="V52" s="23">
        <f ca="1">IFERROR(__xludf.DUMMYFUNCTION("""COMPUTED_VALUE"""),0)</f>
        <v>0</v>
      </c>
      <c r="W52" s="23">
        <f ca="1">IFERROR(__xludf.DUMMYFUNCTION("""COMPUTED_VALUE"""),0)</f>
        <v>0</v>
      </c>
      <c r="X52" s="23">
        <f ca="1">IFERROR(__xludf.DUMMYFUNCTION("""COMPUTED_VALUE"""),0)</f>
        <v>0</v>
      </c>
      <c r="Y52" s="25">
        <f ca="1">IFERROR(__xludf.DUMMYFUNCTION("""COMPUTED_VALUE"""),0)</f>
        <v>0</v>
      </c>
      <c r="Z52" s="25">
        <f ca="1">IFERROR(__xludf.DUMMYFUNCTION("""COMPUTED_VALUE"""),0)</f>
        <v>0</v>
      </c>
      <c r="AA52" s="25">
        <f ca="1">IFERROR(__xludf.DUMMYFUNCTION("""COMPUTED_VALUE"""),0)</f>
        <v>0</v>
      </c>
      <c r="AB52" s="25">
        <f ca="1">IFERROR(__xludf.DUMMYFUNCTION("""COMPUTED_VALUE"""),0)</f>
        <v>0</v>
      </c>
      <c r="AC52" s="23">
        <f ca="1">IFERROR(__xludf.DUMMYFUNCTION("""COMPUTED_VALUE"""),0)</f>
        <v>0</v>
      </c>
      <c r="AD52" s="26" t="str">
        <f ca="1">IFERROR(__xludf.DUMMYFUNCTION("""COMPUTED_VALUE"""),"KSPS ( 12500/- )")</f>
        <v>KSPS ( 12500/- )</v>
      </c>
      <c r="AE52" s="27"/>
    </row>
    <row r="53" spans="1:31" ht="34.65">
      <c r="A53" s="31" t="str">
        <f ca="1">IFERROR(__xludf.DUMMYFUNCTION("""COMPUTED_VALUE"""),"23SDSCE01162")</f>
        <v>23SDSCE01162</v>
      </c>
      <c r="B53" s="32" t="str">
        <f ca="1">IFERROR(__xludf.DUMMYFUNCTION("""COMPUTED_VALUE"""),"MAKADIYA VED RAJESHBHAI")</f>
        <v>MAKADIYA VED RAJESHBHAI</v>
      </c>
      <c r="C53" s="18" t="str">
        <f ca="1">IFERROR(__xludf.DUMMYFUNCTION("""COMPUTED_VALUE"""),"SDS")</f>
        <v>SDS</v>
      </c>
      <c r="D53" s="18" t="str">
        <f ca="1">IFERROR(__xludf.DUMMYFUNCTION("""COMPUTED_VALUE"""),"DCE")</f>
        <v>DCE</v>
      </c>
      <c r="E53" s="18">
        <f ca="1">IFERROR(__xludf.DUMMYFUNCTION("""COMPUTED_VALUE"""),2)</f>
        <v>2</v>
      </c>
      <c r="F53" s="18" t="str">
        <f ca="1">IFERROR(__xludf.DUMMYFUNCTION("""COMPUTED_VALUE"""),"9725117593 9909012371")</f>
        <v>9725117593 9909012371</v>
      </c>
      <c r="G53" s="18" t="str">
        <f ca="1">IFERROR(__xludf.DUMMYFUNCTION("""COMPUTED_VALUE"""),"9725117593 9909012371")</f>
        <v>9725117593 9909012371</v>
      </c>
      <c r="H53" s="18" t="str">
        <f ca="1">IFERROR(__xludf.DUMMYFUNCTION("""COMPUTED_VALUE"""),"DCE_2023-26")</f>
        <v>DCE_2023-26</v>
      </c>
      <c r="I53" s="20" t="str">
        <f ca="1">IFERROR(__xludf.DUMMYFUNCTION("""COMPUTED_VALUE"""),"KSP")</f>
        <v>KSP</v>
      </c>
      <c r="J53" s="21">
        <f ca="1">IFERROR(__xludf.DUMMYFUNCTION("""COMPUTED_VALUE"""),27500)</f>
        <v>27500</v>
      </c>
      <c r="K53" s="21">
        <f ca="1">IFERROR(__xludf.DUMMYFUNCTION("""COMPUTED_VALUE"""),15000)</f>
        <v>15000</v>
      </c>
      <c r="L53" s="21">
        <f ca="1">IFERROR(__xludf.DUMMYFUNCTION("""COMPUTED_VALUE"""),0)</f>
        <v>0</v>
      </c>
      <c r="M53" s="21">
        <f ca="1">IFERROR(__xludf.DUMMYFUNCTION("""COMPUTED_VALUE"""),12500)</f>
        <v>12500</v>
      </c>
      <c r="N53" s="21">
        <f ca="1">IFERROR(__xludf.DUMMYFUNCTION("""COMPUTED_VALUE"""),0)</f>
        <v>0</v>
      </c>
      <c r="O53" s="21">
        <f ca="1">IFERROR(__xludf.DUMMYFUNCTION("""COMPUTED_VALUE"""),3000)</f>
        <v>3000</v>
      </c>
      <c r="P53" s="21">
        <f ca="1">IFERROR(__xludf.DUMMYFUNCTION("""COMPUTED_VALUE"""),3000)</f>
        <v>3000</v>
      </c>
      <c r="Q53" s="21">
        <f ca="1">IFERROR(__xludf.DUMMYFUNCTION("""COMPUTED_VALUE"""),0)</f>
        <v>0</v>
      </c>
      <c r="R53" s="11">
        <f ca="1">IFERROR(__xludf.DUMMYFUNCTION("""COMPUTED_VALUE"""),0)</f>
        <v>0</v>
      </c>
      <c r="S53" s="23">
        <f ca="1">IFERROR(__xludf.DUMMYFUNCTION("""COMPUTED_VALUE"""),0)</f>
        <v>0</v>
      </c>
      <c r="T53" s="24">
        <f ca="1">IFERROR(__xludf.DUMMYFUNCTION("""COMPUTED_VALUE"""),0)</f>
        <v>0</v>
      </c>
      <c r="U53" s="23">
        <f ca="1">IFERROR(__xludf.DUMMYFUNCTION("""COMPUTED_VALUE"""),0)</f>
        <v>0</v>
      </c>
      <c r="V53" s="23">
        <f ca="1">IFERROR(__xludf.DUMMYFUNCTION("""COMPUTED_VALUE"""),0)</f>
        <v>0</v>
      </c>
      <c r="W53" s="23">
        <f ca="1">IFERROR(__xludf.DUMMYFUNCTION("""COMPUTED_VALUE"""),0)</f>
        <v>0</v>
      </c>
      <c r="X53" s="23">
        <f ca="1">IFERROR(__xludf.DUMMYFUNCTION("""COMPUTED_VALUE"""),0)</f>
        <v>0</v>
      </c>
      <c r="Y53" s="25">
        <f ca="1">IFERROR(__xludf.DUMMYFUNCTION("""COMPUTED_VALUE"""),0)</f>
        <v>0</v>
      </c>
      <c r="Z53" s="25">
        <f ca="1">IFERROR(__xludf.DUMMYFUNCTION("""COMPUTED_VALUE"""),0)</f>
        <v>0</v>
      </c>
      <c r="AA53" s="25">
        <f ca="1">IFERROR(__xludf.DUMMYFUNCTION("""COMPUTED_VALUE"""),0)</f>
        <v>0</v>
      </c>
      <c r="AB53" s="25">
        <f ca="1">IFERROR(__xludf.DUMMYFUNCTION("""COMPUTED_VALUE"""),0)</f>
        <v>0</v>
      </c>
      <c r="AC53" s="23">
        <f ca="1">IFERROR(__xludf.DUMMYFUNCTION("""COMPUTED_VALUE"""),0)</f>
        <v>0</v>
      </c>
      <c r="AD53" s="26" t="str">
        <f ca="1">IFERROR(__xludf.DUMMYFUNCTION("""COMPUTED_VALUE"""),"KSPS ( 6250/- )
RS 6250 1ST SEM SCHOLARSHIP TRANSFER IN 2ND SEM")</f>
        <v>KSPS ( 6250/- )
RS 6250 1ST SEM SCHOLARSHIP TRANSFER IN 2ND SEM</v>
      </c>
      <c r="AE53" s="27"/>
    </row>
    <row r="54" spans="1:31" ht="14.3">
      <c r="A54" s="31" t="str">
        <f ca="1">IFERROR(__xludf.DUMMYFUNCTION("""COMPUTED_VALUE"""),"23SDSCE01163")</f>
        <v>23SDSCE01163</v>
      </c>
      <c r="B54" s="32" t="str">
        <f ca="1">IFERROR(__xludf.DUMMYFUNCTION("""COMPUTED_VALUE"""),"NIMAVAT ABHISHEK HARESHBHAI")</f>
        <v>NIMAVAT ABHISHEK HARESHBHAI</v>
      </c>
      <c r="C54" s="18" t="str">
        <f ca="1">IFERROR(__xludf.DUMMYFUNCTION("""COMPUTED_VALUE"""),"SDS")</f>
        <v>SDS</v>
      </c>
      <c r="D54" s="18" t="str">
        <f ca="1">IFERROR(__xludf.DUMMYFUNCTION("""COMPUTED_VALUE"""),"DCE")</f>
        <v>DCE</v>
      </c>
      <c r="E54" s="18">
        <f ca="1">IFERROR(__xludf.DUMMYFUNCTION("""COMPUTED_VALUE"""),2)</f>
        <v>2</v>
      </c>
      <c r="F54" s="6" t="str">
        <f ca="1">IFERROR(__xludf.DUMMYFUNCTION("""COMPUTED_VALUE"""),"9490907794 9925068350")</f>
        <v>9490907794 9925068350</v>
      </c>
      <c r="G54" s="6" t="str">
        <f ca="1">IFERROR(__xludf.DUMMYFUNCTION("""COMPUTED_VALUE"""),"9490907794 9925068350")</f>
        <v>9490907794 9925068350</v>
      </c>
      <c r="H54" s="18" t="str">
        <f ca="1">IFERROR(__xludf.DUMMYFUNCTION("""COMPUTED_VALUE"""),"DCE_2023-26")</f>
        <v>DCE_2023-26</v>
      </c>
      <c r="I54" s="20" t="str">
        <f ca="1">IFERROR(__xludf.DUMMYFUNCTION("""COMPUTED_VALUE"""),"MYSY")</f>
        <v>MYSY</v>
      </c>
      <c r="J54" s="21">
        <f ca="1">IFERROR(__xludf.DUMMYFUNCTION("""COMPUTED_VALUE"""),27500)</f>
        <v>27500</v>
      </c>
      <c r="K54" s="21">
        <f ca="1">IFERROR(__xludf.DUMMYFUNCTION("""COMPUTED_VALUE"""),0)</f>
        <v>0</v>
      </c>
      <c r="L54" s="21">
        <f ca="1">IFERROR(__xludf.DUMMYFUNCTION("""COMPUTED_VALUE"""),0)</f>
        <v>0</v>
      </c>
      <c r="M54" s="21">
        <f ca="1">IFERROR(__xludf.DUMMYFUNCTION("""COMPUTED_VALUE"""),0)</f>
        <v>0</v>
      </c>
      <c r="N54" s="21">
        <f ca="1">IFERROR(__xludf.DUMMYFUNCTION("""COMPUTED_VALUE"""),27500)</f>
        <v>27500</v>
      </c>
      <c r="O54" s="21">
        <f ca="1">IFERROR(__xludf.DUMMYFUNCTION("""COMPUTED_VALUE"""),3000)</f>
        <v>3000</v>
      </c>
      <c r="P54" s="21">
        <f ca="1">IFERROR(__xludf.DUMMYFUNCTION("""COMPUTED_VALUE"""),3000)</f>
        <v>3000</v>
      </c>
      <c r="Q54" s="21">
        <f ca="1">IFERROR(__xludf.DUMMYFUNCTION("""COMPUTED_VALUE"""),0)</f>
        <v>0</v>
      </c>
      <c r="R54" s="11">
        <f ca="1">IFERROR(__xludf.DUMMYFUNCTION("""COMPUTED_VALUE"""),0)</f>
        <v>0</v>
      </c>
      <c r="S54" s="23">
        <f ca="1">IFERROR(__xludf.DUMMYFUNCTION("""COMPUTED_VALUE"""),0)</f>
        <v>0</v>
      </c>
      <c r="T54" s="24">
        <f ca="1">IFERROR(__xludf.DUMMYFUNCTION("""COMPUTED_VALUE"""),0)</f>
        <v>0</v>
      </c>
      <c r="U54" s="23">
        <f ca="1">IFERROR(__xludf.DUMMYFUNCTION("""COMPUTED_VALUE"""),0)</f>
        <v>0</v>
      </c>
      <c r="V54" s="23">
        <f ca="1">IFERROR(__xludf.DUMMYFUNCTION("""COMPUTED_VALUE"""),0)</f>
        <v>0</v>
      </c>
      <c r="W54" s="23">
        <f ca="1">IFERROR(__xludf.DUMMYFUNCTION("""COMPUTED_VALUE"""),0)</f>
        <v>0</v>
      </c>
      <c r="X54" s="23">
        <f ca="1">IFERROR(__xludf.DUMMYFUNCTION("""COMPUTED_VALUE"""),0)</f>
        <v>0</v>
      </c>
      <c r="Y54" s="25">
        <f ca="1">IFERROR(__xludf.DUMMYFUNCTION("""COMPUTED_VALUE"""),0)</f>
        <v>0</v>
      </c>
      <c r="Z54" s="25">
        <f ca="1">IFERROR(__xludf.DUMMYFUNCTION("""COMPUTED_VALUE"""),0)</f>
        <v>0</v>
      </c>
      <c r="AA54" s="25">
        <f ca="1">IFERROR(__xludf.DUMMYFUNCTION("""COMPUTED_VALUE"""),0)</f>
        <v>0</v>
      </c>
      <c r="AB54" s="25">
        <f ca="1">IFERROR(__xludf.DUMMYFUNCTION("""COMPUTED_VALUE"""),0)</f>
        <v>0</v>
      </c>
      <c r="AC54" s="23">
        <f ca="1">IFERROR(__xludf.DUMMYFUNCTION("""COMPUTED_VALUE"""),0)</f>
        <v>0</v>
      </c>
      <c r="AD54" s="26" t="str">
        <f ca="1">IFERROR(__xludf.DUMMYFUNCTION("""COMPUTED_VALUE"""),"MYSY (25000/-)	KSPS ( 12500/- )")</f>
        <v>MYSY (25000/-)	KSPS ( 12500/- )</v>
      </c>
      <c r="AE54" s="27"/>
    </row>
    <row r="55" spans="1:31" ht="14.3">
      <c r="A55" s="31" t="str">
        <f ca="1">IFERROR(__xludf.DUMMYFUNCTION("""COMPUTED_VALUE"""),"23SDSCE01164")</f>
        <v>23SDSCE01164</v>
      </c>
      <c r="B55" s="32" t="str">
        <f ca="1">IFERROR(__xludf.DUMMYFUNCTION("""COMPUTED_VALUE"""),"PADIYA BHAKTI NAYANBHAI")</f>
        <v>PADIYA BHAKTI NAYANBHAI</v>
      </c>
      <c r="C55" s="18" t="str">
        <f ca="1">IFERROR(__xludf.DUMMYFUNCTION("""COMPUTED_VALUE"""),"SDS")</f>
        <v>SDS</v>
      </c>
      <c r="D55" s="18" t="str">
        <f ca="1">IFERROR(__xludf.DUMMYFUNCTION("""COMPUTED_VALUE"""),"DCE")</f>
        <v>DCE</v>
      </c>
      <c r="E55" s="18">
        <f ca="1">IFERROR(__xludf.DUMMYFUNCTION("""COMPUTED_VALUE"""),2)</f>
        <v>2</v>
      </c>
      <c r="F55" s="18" t="str">
        <f ca="1">IFERROR(__xludf.DUMMYFUNCTION("""COMPUTED_VALUE"""),"9714493083 9925393083")</f>
        <v>9714493083 9925393083</v>
      </c>
      <c r="G55" s="18" t="str">
        <f ca="1">IFERROR(__xludf.DUMMYFUNCTION("""COMPUTED_VALUE"""),"9714493083 9925393083")</f>
        <v>9714493083 9925393083</v>
      </c>
      <c r="H55" s="18" t="str">
        <f ca="1">IFERROR(__xludf.DUMMYFUNCTION("""COMPUTED_VALUE"""),"DCE_2023-26")</f>
        <v>DCE_2023-26</v>
      </c>
      <c r="I55" s="20"/>
      <c r="J55" s="21">
        <f ca="1">IFERROR(__xludf.DUMMYFUNCTION("""COMPUTED_VALUE"""),27500)</f>
        <v>27500</v>
      </c>
      <c r="K55" s="21">
        <f ca="1">IFERROR(__xludf.DUMMYFUNCTION("""COMPUTED_VALUE"""),0)</f>
        <v>0</v>
      </c>
      <c r="L55" s="21">
        <f ca="1">IFERROR(__xludf.DUMMYFUNCTION("""COMPUTED_VALUE"""),27500)</f>
        <v>27500</v>
      </c>
      <c r="M55" s="21">
        <f ca="1">IFERROR(__xludf.DUMMYFUNCTION("""COMPUTED_VALUE"""),0)</f>
        <v>0</v>
      </c>
      <c r="N55" s="21">
        <f ca="1">IFERROR(__xludf.DUMMYFUNCTION("""COMPUTED_VALUE"""),27500)</f>
        <v>27500</v>
      </c>
      <c r="O55" s="21">
        <f ca="1">IFERROR(__xludf.DUMMYFUNCTION("""COMPUTED_VALUE"""),3000)</f>
        <v>3000</v>
      </c>
      <c r="P55" s="21">
        <f ca="1">IFERROR(__xludf.DUMMYFUNCTION("""COMPUTED_VALUE"""),0)</f>
        <v>0</v>
      </c>
      <c r="Q55" s="21">
        <f ca="1">IFERROR(__xludf.DUMMYFUNCTION("""COMPUTED_VALUE"""),3000)</f>
        <v>3000</v>
      </c>
      <c r="R55" s="11">
        <f ca="1">IFERROR(__xludf.DUMMYFUNCTION("""COMPUTED_VALUE"""),0)</f>
        <v>0</v>
      </c>
      <c r="S55" s="23">
        <f ca="1">IFERROR(__xludf.DUMMYFUNCTION("""COMPUTED_VALUE"""),3000)</f>
        <v>3000</v>
      </c>
      <c r="T55" s="24">
        <f ca="1">IFERROR(__xludf.DUMMYFUNCTION("""COMPUTED_VALUE"""),0)</f>
        <v>0</v>
      </c>
      <c r="U55" s="23">
        <f ca="1">IFERROR(__xludf.DUMMYFUNCTION("""COMPUTED_VALUE"""),0)</f>
        <v>0</v>
      </c>
      <c r="V55" s="23">
        <f ca="1">IFERROR(__xludf.DUMMYFUNCTION("""COMPUTED_VALUE"""),0)</f>
        <v>0</v>
      </c>
      <c r="W55" s="23">
        <f ca="1">IFERROR(__xludf.DUMMYFUNCTION("""COMPUTED_VALUE"""),0)</f>
        <v>0</v>
      </c>
      <c r="X55" s="23">
        <f ca="1">IFERROR(__xludf.DUMMYFUNCTION("""COMPUTED_VALUE"""),0)</f>
        <v>0</v>
      </c>
      <c r="Y55" s="25">
        <f ca="1">IFERROR(__xludf.DUMMYFUNCTION("""COMPUTED_VALUE"""),0)</f>
        <v>0</v>
      </c>
      <c r="Z55" s="25">
        <f ca="1">IFERROR(__xludf.DUMMYFUNCTION("""COMPUTED_VALUE"""),0)</f>
        <v>0</v>
      </c>
      <c r="AA55" s="25">
        <f ca="1">IFERROR(__xludf.DUMMYFUNCTION("""COMPUTED_VALUE"""),0)</f>
        <v>0</v>
      </c>
      <c r="AB55" s="25">
        <f ca="1">IFERROR(__xludf.DUMMYFUNCTION("""COMPUTED_VALUE"""),0)</f>
        <v>0</v>
      </c>
      <c r="AC55" s="23">
        <f ca="1">IFERROR(__xludf.DUMMYFUNCTION("""COMPUTED_VALUE"""),0)</f>
        <v>0</v>
      </c>
      <c r="AD55" s="26"/>
      <c r="AE55" s="27"/>
    </row>
    <row r="56" spans="1:31" ht="14.3">
      <c r="A56" s="18" t="str">
        <f ca="1">IFERROR(__xludf.DUMMYFUNCTION("""COMPUTED_VALUE"""),"23SDSCE01165")</f>
        <v>23SDSCE01165</v>
      </c>
      <c r="B56" s="19" t="str">
        <f ca="1">IFERROR(__xludf.DUMMYFUNCTION("""COMPUTED_VALUE"""),"PADIYA BHARGEY JYOTINDRABHAI")</f>
        <v>PADIYA BHARGEY JYOTINDRABHAI</v>
      </c>
      <c r="C56" s="18" t="str">
        <f ca="1">IFERROR(__xludf.DUMMYFUNCTION("""COMPUTED_VALUE"""),"SDS")</f>
        <v>SDS</v>
      </c>
      <c r="D56" s="18" t="str">
        <f ca="1">IFERROR(__xludf.DUMMYFUNCTION("""COMPUTED_VALUE"""),"DCE")</f>
        <v>DCE</v>
      </c>
      <c r="E56" s="18">
        <f ca="1">IFERROR(__xludf.DUMMYFUNCTION("""COMPUTED_VALUE"""),2)</f>
        <v>2</v>
      </c>
      <c r="F56" s="18" t="str">
        <f ca="1">IFERROR(__xludf.DUMMYFUNCTION("""COMPUTED_VALUE"""),"9726547910 9054768502")</f>
        <v>9726547910 9054768502</v>
      </c>
      <c r="G56" s="18" t="str">
        <f ca="1">IFERROR(__xludf.DUMMYFUNCTION("""COMPUTED_VALUE"""),"9726547910 9054768502")</f>
        <v>9726547910 9054768502</v>
      </c>
      <c r="H56" s="18" t="str">
        <f ca="1">IFERROR(__xludf.DUMMYFUNCTION("""COMPUTED_VALUE"""),"DCE_2023-26")</f>
        <v>DCE_2023-26</v>
      </c>
      <c r="I56" s="20"/>
      <c r="J56" s="21">
        <f ca="1">IFERROR(__xludf.DUMMYFUNCTION("""COMPUTED_VALUE"""),27500)</f>
        <v>27500</v>
      </c>
      <c r="K56" s="21">
        <f ca="1">IFERROR(__xludf.DUMMYFUNCTION("""COMPUTED_VALUE"""),27500)</f>
        <v>27500</v>
      </c>
      <c r="L56" s="21">
        <f ca="1">IFERROR(__xludf.DUMMYFUNCTION("""COMPUTED_VALUE"""),0)</f>
        <v>0</v>
      </c>
      <c r="M56" s="23">
        <f ca="1">IFERROR(__xludf.DUMMYFUNCTION("""COMPUTED_VALUE"""),0)</f>
        <v>0</v>
      </c>
      <c r="N56" s="21">
        <f ca="1">IFERROR(__xludf.DUMMYFUNCTION("""COMPUTED_VALUE"""),0)</f>
        <v>0</v>
      </c>
      <c r="O56" s="21">
        <f ca="1">IFERROR(__xludf.DUMMYFUNCTION("""COMPUTED_VALUE"""),3000)</f>
        <v>3000</v>
      </c>
      <c r="P56" s="21">
        <f ca="1">IFERROR(__xludf.DUMMYFUNCTION("""COMPUTED_VALUE"""),3000)</f>
        <v>3000</v>
      </c>
      <c r="Q56" s="23">
        <f ca="1">IFERROR(__xludf.DUMMYFUNCTION("""COMPUTED_VALUE"""),0)</f>
        <v>0</v>
      </c>
      <c r="R56" s="11">
        <f ca="1">IFERROR(__xludf.DUMMYFUNCTION("""COMPUTED_VALUE"""),0)</f>
        <v>0</v>
      </c>
      <c r="S56" s="23">
        <f ca="1">IFERROR(__xludf.DUMMYFUNCTION("""COMPUTED_VALUE"""),0)</f>
        <v>0</v>
      </c>
      <c r="T56" s="24">
        <f ca="1">IFERROR(__xludf.DUMMYFUNCTION("""COMPUTED_VALUE"""),0)</f>
        <v>0</v>
      </c>
      <c r="U56" s="23">
        <f ca="1">IFERROR(__xludf.DUMMYFUNCTION("""COMPUTED_VALUE"""),0)</f>
        <v>0</v>
      </c>
      <c r="V56" s="23">
        <f ca="1">IFERROR(__xludf.DUMMYFUNCTION("""COMPUTED_VALUE"""),0)</f>
        <v>0</v>
      </c>
      <c r="W56" s="23">
        <f ca="1">IFERROR(__xludf.DUMMYFUNCTION("""COMPUTED_VALUE"""),0)</f>
        <v>0</v>
      </c>
      <c r="X56" s="23">
        <f ca="1">IFERROR(__xludf.DUMMYFUNCTION("""COMPUTED_VALUE"""),0)</f>
        <v>0</v>
      </c>
      <c r="Y56" s="25">
        <f ca="1">IFERROR(__xludf.DUMMYFUNCTION("""COMPUTED_VALUE"""),0)</f>
        <v>0</v>
      </c>
      <c r="Z56" s="25">
        <f ca="1">IFERROR(__xludf.DUMMYFUNCTION("""COMPUTED_VALUE"""),0)</f>
        <v>0</v>
      </c>
      <c r="AA56" s="25">
        <f ca="1">IFERROR(__xludf.DUMMYFUNCTION("""COMPUTED_VALUE"""),0)</f>
        <v>0</v>
      </c>
      <c r="AB56" s="25">
        <f ca="1">IFERROR(__xludf.DUMMYFUNCTION("""COMPUTED_VALUE"""),0)</f>
        <v>0</v>
      </c>
      <c r="AC56" s="23">
        <f ca="1">IFERROR(__xludf.DUMMYFUNCTION("""COMPUTED_VALUE"""),0)</f>
        <v>0</v>
      </c>
      <c r="AD56" s="26"/>
      <c r="AE56" s="27"/>
    </row>
    <row r="57" spans="1:31" ht="14.3">
      <c r="A57" s="18" t="str">
        <f ca="1">IFERROR(__xludf.DUMMYFUNCTION("""COMPUTED_VALUE"""),"23SDSCE01166")</f>
        <v>23SDSCE01166</v>
      </c>
      <c r="B57" s="19" t="str">
        <f ca="1">IFERROR(__xludf.DUMMYFUNCTION("""COMPUTED_VALUE"""),"PARA REHAN MOHMED JAVED")</f>
        <v>PARA REHAN MOHMED JAVED</v>
      </c>
      <c r="C57" s="18" t="str">
        <f ca="1">IFERROR(__xludf.DUMMYFUNCTION("""COMPUTED_VALUE"""),"SDS")</f>
        <v>SDS</v>
      </c>
      <c r="D57" s="18" t="str">
        <f ca="1">IFERROR(__xludf.DUMMYFUNCTION("""COMPUTED_VALUE"""),"DCE")</f>
        <v>DCE</v>
      </c>
      <c r="E57" s="18">
        <f ca="1">IFERROR(__xludf.DUMMYFUNCTION("""COMPUTED_VALUE"""),2)</f>
        <v>2</v>
      </c>
      <c r="F57" s="18" t="str">
        <f ca="1">IFERROR(__xludf.DUMMYFUNCTION("""COMPUTED_VALUE"""),"7016666370 9265676067 9824817698")</f>
        <v>7016666370 9265676067 9824817698</v>
      </c>
      <c r="G57" s="18" t="str">
        <f ca="1">IFERROR(__xludf.DUMMYFUNCTION("""COMPUTED_VALUE"""),"7016666370 9265676067 9824817698")</f>
        <v>7016666370 9265676067 9824817698</v>
      </c>
      <c r="H57" s="18" t="str">
        <f ca="1">IFERROR(__xludf.DUMMYFUNCTION("""COMPUTED_VALUE"""),"DCE_2023-26")</f>
        <v>DCE_2023-26</v>
      </c>
      <c r="I57" s="20"/>
      <c r="J57" s="21">
        <f ca="1">IFERROR(__xludf.DUMMYFUNCTION("""COMPUTED_VALUE"""),27500)</f>
        <v>27500</v>
      </c>
      <c r="K57" s="21">
        <f ca="1">IFERROR(__xludf.DUMMYFUNCTION("""COMPUTED_VALUE"""),27500)</f>
        <v>27500</v>
      </c>
      <c r="L57" s="21">
        <f ca="1">IFERROR(__xludf.DUMMYFUNCTION("""COMPUTED_VALUE"""),0)</f>
        <v>0</v>
      </c>
      <c r="M57" s="23">
        <f ca="1">IFERROR(__xludf.DUMMYFUNCTION("""COMPUTED_VALUE"""),0)</f>
        <v>0</v>
      </c>
      <c r="N57" s="21">
        <f ca="1">IFERROR(__xludf.DUMMYFUNCTION("""COMPUTED_VALUE"""),0)</f>
        <v>0</v>
      </c>
      <c r="O57" s="21">
        <f ca="1">IFERROR(__xludf.DUMMYFUNCTION("""COMPUTED_VALUE"""),3000)</f>
        <v>3000</v>
      </c>
      <c r="P57" s="21">
        <f ca="1">IFERROR(__xludf.DUMMYFUNCTION("""COMPUTED_VALUE"""),3000)</f>
        <v>3000</v>
      </c>
      <c r="Q57" s="23">
        <f ca="1">IFERROR(__xludf.DUMMYFUNCTION("""COMPUTED_VALUE"""),0)</f>
        <v>0</v>
      </c>
      <c r="R57" s="11">
        <f ca="1">IFERROR(__xludf.DUMMYFUNCTION("""COMPUTED_VALUE"""),0)</f>
        <v>0</v>
      </c>
      <c r="S57" s="23">
        <f ca="1">IFERROR(__xludf.DUMMYFUNCTION("""COMPUTED_VALUE"""),0)</f>
        <v>0</v>
      </c>
      <c r="T57" s="24">
        <f ca="1">IFERROR(__xludf.DUMMYFUNCTION("""COMPUTED_VALUE"""),0)</f>
        <v>0</v>
      </c>
      <c r="U57" s="23">
        <f ca="1">IFERROR(__xludf.DUMMYFUNCTION("""COMPUTED_VALUE"""),0)</f>
        <v>0</v>
      </c>
      <c r="V57" s="23">
        <f ca="1">IFERROR(__xludf.DUMMYFUNCTION("""COMPUTED_VALUE"""),0)</f>
        <v>0</v>
      </c>
      <c r="W57" s="23">
        <f ca="1">IFERROR(__xludf.DUMMYFUNCTION("""COMPUTED_VALUE"""),0)</f>
        <v>0</v>
      </c>
      <c r="X57" s="23">
        <f ca="1">IFERROR(__xludf.DUMMYFUNCTION("""COMPUTED_VALUE"""),0)</f>
        <v>0</v>
      </c>
      <c r="Y57" s="25">
        <f ca="1">IFERROR(__xludf.DUMMYFUNCTION("""COMPUTED_VALUE"""),0)</f>
        <v>0</v>
      </c>
      <c r="Z57" s="25">
        <f ca="1">IFERROR(__xludf.DUMMYFUNCTION("""COMPUTED_VALUE"""),0)</f>
        <v>0</v>
      </c>
      <c r="AA57" s="25">
        <f ca="1">IFERROR(__xludf.DUMMYFUNCTION("""COMPUTED_VALUE"""),0)</f>
        <v>0</v>
      </c>
      <c r="AB57" s="25">
        <f ca="1">IFERROR(__xludf.DUMMYFUNCTION("""COMPUTED_VALUE"""),0)</f>
        <v>0</v>
      </c>
      <c r="AC57" s="23">
        <f ca="1">IFERROR(__xludf.DUMMYFUNCTION("""COMPUTED_VALUE"""),0)</f>
        <v>0</v>
      </c>
      <c r="AD57" s="26"/>
      <c r="AE57" s="27"/>
    </row>
    <row r="58" spans="1:31" ht="14.3">
      <c r="A58" s="18" t="str">
        <f ca="1">IFERROR(__xludf.DUMMYFUNCTION("""COMPUTED_VALUE"""),"23SDSCE01167")</f>
        <v>23SDSCE01167</v>
      </c>
      <c r="B58" s="19" t="str">
        <f ca="1">IFERROR(__xludf.DUMMYFUNCTION("""COMPUTED_VALUE"""),"SIDDIQUI MOHAMMAD ARIFBHAI")</f>
        <v>SIDDIQUI MOHAMMAD ARIFBHAI</v>
      </c>
      <c r="C58" s="18" t="str">
        <f ca="1">IFERROR(__xludf.DUMMYFUNCTION("""COMPUTED_VALUE"""),"SDS")</f>
        <v>SDS</v>
      </c>
      <c r="D58" s="18" t="str">
        <f ca="1">IFERROR(__xludf.DUMMYFUNCTION("""COMPUTED_VALUE"""),"DCE")</f>
        <v>DCE</v>
      </c>
      <c r="E58" s="18">
        <f ca="1">IFERROR(__xludf.DUMMYFUNCTION("""COMPUTED_VALUE"""),2)</f>
        <v>2</v>
      </c>
      <c r="F58" s="6" t="str">
        <f ca="1">IFERROR(__xludf.DUMMYFUNCTION("""COMPUTED_VALUE"""),"8160043299 9904880042")</f>
        <v>8160043299 9904880042</v>
      </c>
      <c r="G58" s="6" t="str">
        <f ca="1">IFERROR(__xludf.DUMMYFUNCTION("""COMPUTED_VALUE"""),"8160043299 9904880042")</f>
        <v>8160043299 9904880042</v>
      </c>
      <c r="H58" s="18" t="str">
        <f ca="1">IFERROR(__xludf.DUMMYFUNCTION("""COMPUTED_VALUE"""),"DCE_2023-26")</f>
        <v>DCE_2023-26</v>
      </c>
      <c r="I58" s="20"/>
      <c r="J58" s="21">
        <f ca="1">IFERROR(__xludf.DUMMYFUNCTION("""COMPUTED_VALUE"""),27500)</f>
        <v>27500</v>
      </c>
      <c r="K58" s="21">
        <f ca="1">IFERROR(__xludf.DUMMYFUNCTION("""COMPUTED_VALUE"""),0)</f>
        <v>0</v>
      </c>
      <c r="L58" s="21">
        <f ca="1">IFERROR(__xludf.DUMMYFUNCTION("""COMPUTED_VALUE"""),0)</f>
        <v>0</v>
      </c>
      <c r="M58" s="23">
        <f ca="1">IFERROR(__xludf.DUMMYFUNCTION("""COMPUTED_VALUE"""),0)</f>
        <v>0</v>
      </c>
      <c r="N58" s="21">
        <f ca="1">IFERROR(__xludf.DUMMYFUNCTION("""COMPUTED_VALUE"""),27500)</f>
        <v>27500</v>
      </c>
      <c r="O58" s="21">
        <f ca="1">IFERROR(__xludf.DUMMYFUNCTION("""COMPUTED_VALUE"""),3000)</f>
        <v>3000</v>
      </c>
      <c r="P58" s="21">
        <f ca="1">IFERROR(__xludf.DUMMYFUNCTION("""COMPUTED_VALUE"""),0)</f>
        <v>0</v>
      </c>
      <c r="Q58" s="23">
        <f ca="1">IFERROR(__xludf.DUMMYFUNCTION("""COMPUTED_VALUE"""),0)</f>
        <v>0</v>
      </c>
      <c r="R58" s="11">
        <f ca="1">IFERROR(__xludf.DUMMYFUNCTION("""COMPUTED_VALUE"""),0)</f>
        <v>0</v>
      </c>
      <c r="S58" s="23">
        <f ca="1">IFERROR(__xludf.DUMMYFUNCTION("""COMPUTED_VALUE"""),3000)</f>
        <v>3000</v>
      </c>
      <c r="T58" s="24">
        <f ca="1">IFERROR(__xludf.DUMMYFUNCTION("""COMPUTED_VALUE"""),0)</f>
        <v>0</v>
      </c>
      <c r="U58" s="23">
        <f ca="1">IFERROR(__xludf.DUMMYFUNCTION("""COMPUTED_VALUE"""),0)</f>
        <v>0</v>
      </c>
      <c r="V58" s="23">
        <f ca="1">IFERROR(__xludf.DUMMYFUNCTION("""COMPUTED_VALUE"""),0)</f>
        <v>0</v>
      </c>
      <c r="W58" s="23">
        <f ca="1">IFERROR(__xludf.DUMMYFUNCTION("""COMPUTED_VALUE"""),0)</f>
        <v>0</v>
      </c>
      <c r="X58" s="23">
        <f ca="1">IFERROR(__xludf.DUMMYFUNCTION("""COMPUTED_VALUE"""),0)</f>
        <v>0</v>
      </c>
      <c r="Y58" s="25">
        <f ca="1">IFERROR(__xludf.DUMMYFUNCTION("""COMPUTED_VALUE"""),0)</f>
        <v>0</v>
      </c>
      <c r="Z58" s="25">
        <f ca="1">IFERROR(__xludf.DUMMYFUNCTION("""COMPUTED_VALUE"""),0)</f>
        <v>0</v>
      </c>
      <c r="AA58" s="25">
        <f ca="1">IFERROR(__xludf.DUMMYFUNCTION("""COMPUTED_VALUE"""),0)</f>
        <v>0</v>
      </c>
      <c r="AB58" s="25">
        <f ca="1">IFERROR(__xludf.DUMMYFUNCTION("""COMPUTED_VALUE"""),0)</f>
        <v>0</v>
      </c>
      <c r="AC58" s="23">
        <f ca="1">IFERROR(__xludf.DUMMYFUNCTION("""COMPUTED_VALUE"""),0)</f>
        <v>0</v>
      </c>
      <c r="AD58" s="26"/>
      <c r="AE58" s="27"/>
    </row>
    <row r="59" spans="1:31" ht="14.3">
      <c r="A59" s="18" t="str">
        <f ca="1">IFERROR(__xludf.DUMMYFUNCTION("""COMPUTED_VALUE"""),"23SDSCE01168")</f>
        <v>23SDSCE01168</v>
      </c>
      <c r="B59" s="19" t="str">
        <f ca="1">IFERROR(__xludf.DUMMYFUNCTION("""COMPUTED_VALUE"""),"SOLANKI HARSHIL VINODBHAI")</f>
        <v>SOLANKI HARSHIL VINODBHAI</v>
      </c>
      <c r="C59" s="18" t="str">
        <f ca="1">IFERROR(__xludf.DUMMYFUNCTION("""COMPUTED_VALUE"""),"SDS")</f>
        <v>SDS</v>
      </c>
      <c r="D59" s="18" t="str">
        <f ca="1">IFERROR(__xludf.DUMMYFUNCTION("""COMPUTED_VALUE"""),"DCE")</f>
        <v>DCE</v>
      </c>
      <c r="E59" s="18">
        <f ca="1">IFERROR(__xludf.DUMMYFUNCTION("""COMPUTED_VALUE"""),2)</f>
        <v>2</v>
      </c>
      <c r="F59" s="18" t="str">
        <f ca="1">IFERROR(__xludf.DUMMYFUNCTION("""COMPUTED_VALUE"""),"8980910636 9979102490")</f>
        <v>8980910636 9979102490</v>
      </c>
      <c r="G59" s="18" t="str">
        <f ca="1">IFERROR(__xludf.DUMMYFUNCTION("""COMPUTED_VALUE"""),"8980910636 9979102490")</f>
        <v>8980910636 9979102490</v>
      </c>
      <c r="H59" s="18" t="str">
        <f ca="1">IFERROR(__xludf.DUMMYFUNCTION("""COMPUTED_VALUE"""),"DCE_2023-26")</f>
        <v>DCE_2023-26</v>
      </c>
      <c r="I59" s="20"/>
      <c r="J59" s="21">
        <f ca="1">IFERROR(__xludf.DUMMYFUNCTION("""COMPUTED_VALUE"""),27500)</f>
        <v>27500</v>
      </c>
      <c r="K59" s="21">
        <f ca="1">IFERROR(__xludf.DUMMYFUNCTION("""COMPUTED_VALUE"""),27500)</f>
        <v>27500</v>
      </c>
      <c r="L59" s="21">
        <f ca="1">IFERROR(__xludf.DUMMYFUNCTION("""COMPUTED_VALUE"""),0)</f>
        <v>0</v>
      </c>
      <c r="M59" s="23">
        <f ca="1">IFERROR(__xludf.DUMMYFUNCTION("""COMPUTED_VALUE"""),0)</f>
        <v>0</v>
      </c>
      <c r="N59" s="21">
        <f ca="1">IFERROR(__xludf.DUMMYFUNCTION("""COMPUTED_VALUE"""),0)</f>
        <v>0</v>
      </c>
      <c r="O59" s="21">
        <f ca="1">IFERROR(__xludf.DUMMYFUNCTION("""COMPUTED_VALUE"""),3000)</f>
        <v>3000</v>
      </c>
      <c r="P59" s="21">
        <f ca="1">IFERROR(__xludf.DUMMYFUNCTION("""COMPUTED_VALUE"""),3000)</f>
        <v>3000</v>
      </c>
      <c r="Q59" s="23">
        <f ca="1">IFERROR(__xludf.DUMMYFUNCTION("""COMPUTED_VALUE"""),0)</f>
        <v>0</v>
      </c>
      <c r="R59" s="29">
        <f ca="1">IFERROR(__xludf.DUMMYFUNCTION("""COMPUTED_VALUE"""),0)</f>
        <v>0</v>
      </c>
      <c r="S59" s="23">
        <f ca="1">IFERROR(__xludf.DUMMYFUNCTION("""COMPUTED_VALUE"""),0)</f>
        <v>0</v>
      </c>
      <c r="T59" s="24">
        <f ca="1">IFERROR(__xludf.DUMMYFUNCTION("""COMPUTED_VALUE"""),0)</f>
        <v>0</v>
      </c>
      <c r="U59" s="23">
        <f ca="1">IFERROR(__xludf.DUMMYFUNCTION("""COMPUTED_VALUE"""),0)</f>
        <v>0</v>
      </c>
      <c r="V59" s="23">
        <f ca="1">IFERROR(__xludf.DUMMYFUNCTION("""COMPUTED_VALUE"""),0)</f>
        <v>0</v>
      </c>
      <c r="W59" s="23">
        <f ca="1">IFERROR(__xludf.DUMMYFUNCTION("""COMPUTED_VALUE"""),0)</f>
        <v>0</v>
      </c>
      <c r="X59" s="23">
        <f ca="1">IFERROR(__xludf.DUMMYFUNCTION("""COMPUTED_VALUE"""),0)</f>
        <v>0</v>
      </c>
      <c r="Y59" s="25">
        <f ca="1">IFERROR(__xludf.DUMMYFUNCTION("""COMPUTED_VALUE"""),0)</f>
        <v>0</v>
      </c>
      <c r="Z59" s="25">
        <f ca="1">IFERROR(__xludf.DUMMYFUNCTION("""COMPUTED_VALUE"""),0)</f>
        <v>0</v>
      </c>
      <c r="AA59" s="25">
        <f ca="1">IFERROR(__xludf.DUMMYFUNCTION("""COMPUTED_VALUE"""),0)</f>
        <v>0</v>
      </c>
      <c r="AB59" s="25">
        <f ca="1">IFERROR(__xludf.DUMMYFUNCTION("""COMPUTED_VALUE"""),0)</f>
        <v>0</v>
      </c>
      <c r="AC59" s="23">
        <f ca="1">IFERROR(__xludf.DUMMYFUNCTION("""COMPUTED_VALUE"""),0)</f>
        <v>0</v>
      </c>
      <c r="AD59" s="26"/>
      <c r="AE59" s="27"/>
    </row>
    <row r="60" spans="1:31" ht="14.3">
      <c r="A60" s="18" t="str">
        <f ca="1">IFERROR(__xludf.DUMMYFUNCTION("""COMPUTED_VALUE"""),"23SDSCE01170")</f>
        <v>23SDSCE01170</v>
      </c>
      <c r="B60" s="19" t="str">
        <f ca="1">IFERROR(__xludf.DUMMYFUNCTION("""COMPUTED_VALUE"""),"SORATHIYA NAITRI NIRANJANBHAI")</f>
        <v>SORATHIYA NAITRI NIRANJANBHAI</v>
      </c>
      <c r="C60" s="18" t="str">
        <f ca="1">IFERROR(__xludf.DUMMYFUNCTION("""COMPUTED_VALUE"""),"SDS")</f>
        <v>SDS</v>
      </c>
      <c r="D60" s="18" t="str">
        <f ca="1">IFERROR(__xludf.DUMMYFUNCTION("""COMPUTED_VALUE"""),"DCE")</f>
        <v>DCE</v>
      </c>
      <c r="E60" s="18">
        <f ca="1">IFERROR(__xludf.DUMMYFUNCTION("""COMPUTED_VALUE"""),2)</f>
        <v>2</v>
      </c>
      <c r="F60" s="6" t="str">
        <f ca="1">IFERROR(__xludf.DUMMYFUNCTION("""COMPUTED_VALUE"""),"9429315901 9913442505")</f>
        <v>9429315901 9913442505</v>
      </c>
      <c r="G60" s="6" t="str">
        <f ca="1">IFERROR(__xludf.DUMMYFUNCTION("""COMPUTED_VALUE"""),"9429315901 9913442505")</f>
        <v>9429315901 9913442505</v>
      </c>
      <c r="H60" s="18" t="str">
        <f ca="1">IFERROR(__xludf.DUMMYFUNCTION("""COMPUTED_VALUE"""),"DCE_2023-26")</f>
        <v>DCE_2023-26</v>
      </c>
      <c r="I60" s="20" t="str">
        <f ca="1">IFERROR(__xludf.DUMMYFUNCTION("""COMPUTED_VALUE"""),"MYSY")</f>
        <v>MYSY</v>
      </c>
      <c r="J60" s="21">
        <f ca="1">IFERROR(__xludf.DUMMYFUNCTION("""COMPUTED_VALUE"""),27500)</f>
        <v>27500</v>
      </c>
      <c r="K60" s="21">
        <f ca="1">IFERROR(__xludf.DUMMYFUNCTION("""COMPUTED_VALUE"""),27500)</f>
        <v>27500</v>
      </c>
      <c r="L60" s="21">
        <f ca="1">IFERROR(__xludf.DUMMYFUNCTION("""COMPUTED_VALUE"""),0)</f>
        <v>0</v>
      </c>
      <c r="M60" s="23">
        <f ca="1">IFERROR(__xludf.DUMMYFUNCTION("""COMPUTED_VALUE"""),0)</f>
        <v>0</v>
      </c>
      <c r="N60" s="21">
        <f ca="1">IFERROR(__xludf.DUMMYFUNCTION("""COMPUTED_VALUE"""),0)</f>
        <v>0</v>
      </c>
      <c r="O60" s="21">
        <f ca="1">IFERROR(__xludf.DUMMYFUNCTION("""COMPUTED_VALUE"""),3000)</f>
        <v>3000</v>
      </c>
      <c r="P60" s="21">
        <f ca="1">IFERROR(__xludf.DUMMYFUNCTION("""COMPUTED_VALUE"""),3000)</f>
        <v>3000</v>
      </c>
      <c r="Q60" s="23">
        <f ca="1">IFERROR(__xludf.DUMMYFUNCTION("""COMPUTED_VALUE"""),0)</f>
        <v>0</v>
      </c>
      <c r="R60" s="11">
        <f ca="1">IFERROR(__xludf.DUMMYFUNCTION("""COMPUTED_VALUE"""),0)</f>
        <v>0</v>
      </c>
      <c r="S60" s="23">
        <f ca="1">IFERROR(__xludf.DUMMYFUNCTION("""COMPUTED_VALUE"""),0)</f>
        <v>0</v>
      </c>
      <c r="T60" s="24">
        <f ca="1">IFERROR(__xludf.DUMMYFUNCTION("""COMPUTED_VALUE"""),0)</f>
        <v>0</v>
      </c>
      <c r="U60" s="23">
        <f ca="1">IFERROR(__xludf.DUMMYFUNCTION("""COMPUTED_VALUE"""),0)</f>
        <v>0</v>
      </c>
      <c r="V60" s="23">
        <f ca="1">IFERROR(__xludf.DUMMYFUNCTION("""COMPUTED_VALUE"""),0)</f>
        <v>0</v>
      </c>
      <c r="W60" s="23">
        <f ca="1">IFERROR(__xludf.DUMMYFUNCTION("""COMPUTED_VALUE"""),0)</f>
        <v>0</v>
      </c>
      <c r="X60" s="23">
        <f ca="1">IFERROR(__xludf.DUMMYFUNCTION("""COMPUTED_VALUE"""),0)</f>
        <v>0</v>
      </c>
      <c r="Y60" s="25">
        <f ca="1">IFERROR(__xludf.DUMMYFUNCTION("""COMPUTED_VALUE"""),0)</f>
        <v>0</v>
      </c>
      <c r="Z60" s="25">
        <f ca="1">IFERROR(__xludf.DUMMYFUNCTION("""COMPUTED_VALUE"""),0)</f>
        <v>0</v>
      </c>
      <c r="AA60" s="25">
        <f ca="1">IFERROR(__xludf.DUMMYFUNCTION("""COMPUTED_VALUE"""),0)</f>
        <v>0</v>
      </c>
      <c r="AB60" s="25">
        <f ca="1">IFERROR(__xludf.DUMMYFUNCTION("""COMPUTED_VALUE"""),0)</f>
        <v>0</v>
      </c>
      <c r="AC60" s="23">
        <f ca="1">IFERROR(__xludf.DUMMYFUNCTION("""COMPUTED_VALUE"""),0)</f>
        <v>0</v>
      </c>
      <c r="AD60" s="26" t="str">
        <f ca="1">IFERROR(__xludf.DUMMYFUNCTION("""COMPUTED_VALUE"""),"MYSY (25000/-)	KSPS ( 12500/- )")</f>
        <v>MYSY (25000/-)	KSPS ( 12500/- )</v>
      </c>
      <c r="AE60" s="27"/>
    </row>
    <row r="61" spans="1:31" ht="14.3">
      <c r="A61" s="18" t="str">
        <f ca="1">IFERROR(__xludf.DUMMYFUNCTION("""COMPUTED_VALUE"""),"23SDSCE01171")</f>
        <v>23SDSCE01171</v>
      </c>
      <c r="B61" s="19" t="str">
        <f ca="1">IFERROR(__xludf.DUMMYFUNCTION("""COMPUTED_VALUE"""),"PRACHI THANKI")</f>
        <v>PRACHI THANKI</v>
      </c>
      <c r="C61" s="18" t="str">
        <f ca="1">IFERROR(__xludf.DUMMYFUNCTION("""COMPUTED_VALUE"""),"SDS")</f>
        <v>SDS</v>
      </c>
      <c r="D61" s="18" t="str">
        <f ca="1">IFERROR(__xludf.DUMMYFUNCTION("""COMPUTED_VALUE"""),"DCE")</f>
        <v>DCE</v>
      </c>
      <c r="E61" s="18">
        <f ca="1">IFERROR(__xludf.DUMMYFUNCTION("""COMPUTED_VALUE"""),2)</f>
        <v>2</v>
      </c>
      <c r="F61" s="18" t="str">
        <f ca="1">IFERROR(__xludf.DUMMYFUNCTION("""COMPUTED_VALUE"""),"9429994885")</f>
        <v>9429994885</v>
      </c>
      <c r="G61" s="18" t="str">
        <f ca="1">IFERROR(__xludf.DUMMYFUNCTION("""COMPUTED_VALUE"""),"9429994885")</f>
        <v>9429994885</v>
      </c>
      <c r="H61" s="18" t="str">
        <f ca="1">IFERROR(__xludf.DUMMYFUNCTION("""COMPUTED_VALUE"""),"DCE_2023-26")</f>
        <v>DCE_2023-26</v>
      </c>
      <c r="I61" s="20" t="str">
        <f ca="1">IFERROR(__xludf.DUMMYFUNCTION("""COMPUTED_VALUE"""),"KSP")</f>
        <v>KSP</v>
      </c>
      <c r="J61" s="21">
        <f ca="1">IFERROR(__xludf.DUMMYFUNCTION("""COMPUTED_VALUE"""),27500)</f>
        <v>27500</v>
      </c>
      <c r="K61" s="21">
        <f ca="1">IFERROR(__xludf.DUMMYFUNCTION("""COMPUTED_VALUE"""),21250)</f>
        <v>21250</v>
      </c>
      <c r="L61" s="21">
        <f ca="1">IFERROR(__xludf.DUMMYFUNCTION("""COMPUTED_VALUE"""),0)</f>
        <v>0</v>
      </c>
      <c r="M61" s="23">
        <f ca="1">IFERROR(__xludf.DUMMYFUNCTION("""COMPUTED_VALUE"""),6250)</f>
        <v>6250</v>
      </c>
      <c r="N61" s="21">
        <f ca="1">IFERROR(__xludf.DUMMYFUNCTION("""COMPUTED_VALUE"""),0)</f>
        <v>0</v>
      </c>
      <c r="O61" s="21">
        <f ca="1">IFERROR(__xludf.DUMMYFUNCTION("""COMPUTED_VALUE"""),3000)</f>
        <v>3000</v>
      </c>
      <c r="P61" s="21">
        <f ca="1">IFERROR(__xludf.DUMMYFUNCTION("""COMPUTED_VALUE"""),3000)</f>
        <v>3000</v>
      </c>
      <c r="Q61" s="23">
        <f ca="1">IFERROR(__xludf.DUMMYFUNCTION("""COMPUTED_VALUE"""),0)</f>
        <v>0</v>
      </c>
      <c r="R61" s="29">
        <f ca="1">IFERROR(__xludf.DUMMYFUNCTION("""COMPUTED_VALUE"""),0)</f>
        <v>0</v>
      </c>
      <c r="S61" s="23">
        <f ca="1">IFERROR(__xludf.DUMMYFUNCTION("""COMPUTED_VALUE"""),0)</f>
        <v>0</v>
      </c>
      <c r="T61" s="24">
        <f ca="1">IFERROR(__xludf.DUMMYFUNCTION("""COMPUTED_VALUE"""),0)</f>
        <v>0</v>
      </c>
      <c r="U61" s="23">
        <f ca="1">IFERROR(__xludf.DUMMYFUNCTION("""COMPUTED_VALUE"""),0)</f>
        <v>0</v>
      </c>
      <c r="V61" s="23">
        <f ca="1">IFERROR(__xludf.DUMMYFUNCTION("""COMPUTED_VALUE"""),0)</f>
        <v>0</v>
      </c>
      <c r="W61" s="23">
        <f ca="1">IFERROR(__xludf.DUMMYFUNCTION("""COMPUTED_VALUE"""),0)</f>
        <v>0</v>
      </c>
      <c r="X61" s="23">
        <f ca="1">IFERROR(__xludf.DUMMYFUNCTION("""COMPUTED_VALUE"""),0)</f>
        <v>0</v>
      </c>
      <c r="Y61" s="25">
        <f ca="1">IFERROR(__xludf.DUMMYFUNCTION("""COMPUTED_VALUE"""),0)</f>
        <v>0</v>
      </c>
      <c r="Z61" s="25">
        <f ca="1">IFERROR(__xludf.DUMMYFUNCTION("""COMPUTED_VALUE"""),0)</f>
        <v>0</v>
      </c>
      <c r="AA61" s="25">
        <f ca="1">IFERROR(__xludf.DUMMYFUNCTION("""COMPUTED_VALUE"""),0)</f>
        <v>0</v>
      </c>
      <c r="AB61" s="25">
        <f ca="1">IFERROR(__xludf.DUMMYFUNCTION("""COMPUTED_VALUE"""),0)</f>
        <v>0</v>
      </c>
      <c r="AC61" s="23">
        <f ca="1">IFERROR(__xludf.DUMMYFUNCTION("""COMPUTED_VALUE"""),0)</f>
        <v>0</v>
      </c>
      <c r="AD61" s="26" t="str">
        <f ca="1">IFERROR(__xludf.DUMMYFUNCTION("""COMPUTED_VALUE"""),"KSPS ( 6250/- )")</f>
        <v>KSPS ( 6250/- )</v>
      </c>
      <c r="AE61" s="27"/>
    </row>
    <row r="62" spans="1:31" ht="14.3">
      <c r="A62" s="18" t="str">
        <f ca="1">IFERROR(__xludf.DUMMYFUNCTION("""COMPUTED_VALUE"""),"23SDSCE01172")</f>
        <v>23SDSCE01172</v>
      </c>
      <c r="B62" s="19" t="str">
        <f ca="1">IFERROR(__xludf.DUMMYFUNCTION("""COMPUTED_VALUE"""),"THUMMAR NIKUNJ SHAILESHBHAI")</f>
        <v>THUMMAR NIKUNJ SHAILESHBHAI</v>
      </c>
      <c r="C62" s="18" t="str">
        <f ca="1">IFERROR(__xludf.DUMMYFUNCTION("""COMPUTED_VALUE"""),"SDS")</f>
        <v>SDS</v>
      </c>
      <c r="D62" s="18" t="str">
        <f ca="1">IFERROR(__xludf.DUMMYFUNCTION("""COMPUTED_VALUE"""),"DCE")</f>
        <v>DCE</v>
      </c>
      <c r="E62" s="18">
        <f ca="1">IFERROR(__xludf.DUMMYFUNCTION("""COMPUTED_VALUE"""),2)</f>
        <v>2</v>
      </c>
      <c r="F62" s="18" t="str">
        <f ca="1">IFERROR(__xludf.DUMMYFUNCTION("""COMPUTED_VALUE"""),"9426969742 9664669159")</f>
        <v>9426969742 9664669159</v>
      </c>
      <c r="G62" s="18" t="str">
        <f ca="1">IFERROR(__xludf.DUMMYFUNCTION("""COMPUTED_VALUE"""),"9426969742 9664669159")</f>
        <v>9426969742 9664669159</v>
      </c>
      <c r="H62" s="18" t="str">
        <f ca="1">IFERROR(__xludf.DUMMYFUNCTION("""COMPUTED_VALUE"""),"DCE_2023-26")</f>
        <v>DCE_2023-26</v>
      </c>
      <c r="I62" s="20" t="str">
        <f ca="1">IFERROR(__xludf.DUMMYFUNCTION("""COMPUTED_VALUE"""),"MYSY")</f>
        <v>MYSY</v>
      </c>
      <c r="J62" s="21">
        <f ca="1">IFERROR(__xludf.DUMMYFUNCTION("""COMPUTED_VALUE"""),27500)</f>
        <v>27500</v>
      </c>
      <c r="K62" s="21">
        <f ca="1">IFERROR(__xludf.DUMMYFUNCTION("""COMPUTED_VALUE"""),0)</f>
        <v>0</v>
      </c>
      <c r="L62" s="21">
        <f ca="1">IFERROR(__xludf.DUMMYFUNCTION("""COMPUTED_VALUE"""),0)</f>
        <v>0</v>
      </c>
      <c r="M62" s="23">
        <f ca="1">IFERROR(__xludf.DUMMYFUNCTION("""COMPUTED_VALUE"""),0)</f>
        <v>0</v>
      </c>
      <c r="N62" s="21">
        <f ca="1">IFERROR(__xludf.DUMMYFUNCTION("""COMPUTED_VALUE"""),27500)</f>
        <v>27500</v>
      </c>
      <c r="O62" s="21">
        <f ca="1">IFERROR(__xludf.DUMMYFUNCTION("""COMPUTED_VALUE"""),3000)</f>
        <v>3000</v>
      </c>
      <c r="P62" s="21">
        <f ca="1">IFERROR(__xludf.DUMMYFUNCTION("""COMPUTED_VALUE"""),3000)</f>
        <v>3000</v>
      </c>
      <c r="Q62" s="23">
        <f ca="1">IFERROR(__xludf.DUMMYFUNCTION("""COMPUTED_VALUE"""),0)</f>
        <v>0</v>
      </c>
      <c r="R62" s="11">
        <f ca="1">IFERROR(__xludf.DUMMYFUNCTION("""COMPUTED_VALUE"""),0)</f>
        <v>0</v>
      </c>
      <c r="S62" s="23">
        <f ca="1">IFERROR(__xludf.DUMMYFUNCTION("""COMPUTED_VALUE"""),0)</f>
        <v>0</v>
      </c>
      <c r="T62" s="24">
        <f ca="1">IFERROR(__xludf.DUMMYFUNCTION("""COMPUTED_VALUE"""),0)</f>
        <v>0</v>
      </c>
      <c r="U62" s="23">
        <f ca="1">IFERROR(__xludf.DUMMYFUNCTION("""COMPUTED_VALUE"""),0)</f>
        <v>0</v>
      </c>
      <c r="V62" s="23">
        <f ca="1">IFERROR(__xludf.DUMMYFUNCTION("""COMPUTED_VALUE"""),0)</f>
        <v>0</v>
      </c>
      <c r="W62" s="23">
        <f ca="1">IFERROR(__xludf.DUMMYFUNCTION("""COMPUTED_VALUE"""),0)</f>
        <v>0</v>
      </c>
      <c r="X62" s="23">
        <f ca="1">IFERROR(__xludf.DUMMYFUNCTION("""COMPUTED_VALUE"""),0)</f>
        <v>0</v>
      </c>
      <c r="Y62" s="25">
        <f ca="1">IFERROR(__xludf.DUMMYFUNCTION("""COMPUTED_VALUE"""),0)</f>
        <v>0</v>
      </c>
      <c r="Z62" s="25">
        <f ca="1">IFERROR(__xludf.DUMMYFUNCTION("""COMPUTED_VALUE"""),0)</f>
        <v>0</v>
      </c>
      <c r="AA62" s="25">
        <f ca="1">IFERROR(__xludf.DUMMYFUNCTION("""COMPUTED_VALUE"""),0)</f>
        <v>0</v>
      </c>
      <c r="AB62" s="25">
        <f ca="1">IFERROR(__xludf.DUMMYFUNCTION("""COMPUTED_VALUE"""),0)</f>
        <v>0</v>
      </c>
      <c r="AC62" s="23">
        <f ca="1">IFERROR(__xludf.DUMMYFUNCTION("""COMPUTED_VALUE"""),0)</f>
        <v>0</v>
      </c>
      <c r="AD62" s="26"/>
      <c r="AE62" s="27"/>
    </row>
    <row r="63" spans="1:31" ht="14.3">
      <c r="A63" s="18" t="str">
        <f ca="1">IFERROR(__xludf.DUMMYFUNCTION("""COMPUTED_VALUE"""),"23SDSCE01173")</f>
        <v>23SDSCE01173</v>
      </c>
      <c r="B63" s="19" t="str">
        <f ca="1">IFERROR(__xludf.DUMMYFUNCTION("""COMPUTED_VALUE"""),"VAGHASIYA TAPAN DHARMESHBHAI")</f>
        <v>VAGHASIYA TAPAN DHARMESHBHAI</v>
      </c>
      <c r="C63" s="18" t="str">
        <f ca="1">IFERROR(__xludf.DUMMYFUNCTION("""COMPUTED_VALUE"""),"SDS")</f>
        <v>SDS</v>
      </c>
      <c r="D63" s="18" t="str">
        <f ca="1">IFERROR(__xludf.DUMMYFUNCTION("""COMPUTED_VALUE"""),"DCE")</f>
        <v>DCE</v>
      </c>
      <c r="E63" s="18">
        <f ca="1">IFERROR(__xludf.DUMMYFUNCTION("""COMPUTED_VALUE"""),2)</f>
        <v>2</v>
      </c>
      <c r="F63" s="18" t="str">
        <f ca="1">IFERROR(__xludf.DUMMYFUNCTION("""COMPUTED_VALUE"""),"9054409319 9924001189")</f>
        <v>9054409319 9924001189</v>
      </c>
      <c r="G63" s="18" t="str">
        <f ca="1">IFERROR(__xludf.DUMMYFUNCTION("""COMPUTED_VALUE"""),"9054409319 9924001189")</f>
        <v>9054409319 9924001189</v>
      </c>
      <c r="H63" s="18" t="str">
        <f ca="1">IFERROR(__xludf.DUMMYFUNCTION("""COMPUTED_VALUE"""),"DCE_2023-26")</f>
        <v>DCE_2023-26</v>
      </c>
      <c r="I63" s="20" t="str">
        <f ca="1">IFERROR(__xludf.DUMMYFUNCTION("""COMPUTED_VALUE"""),"MYSY")</f>
        <v>MYSY</v>
      </c>
      <c r="J63" s="21">
        <f ca="1">IFERROR(__xludf.DUMMYFUNCTION("""COMPUTED_VALUE"""),27500)</f>
        <v>27500</v>
      </c>
      <c r="K63" s="21">
        <f ca="1">IFERROR(__xludf.DUMMYFUNCTION("""COMPUTED_VALUE"""),27500)</f>
        <v>27500</v>
      </c>
      <c r="L63" s="21">
        <f ca="1">IFERROR(__xludf.DUMMYFUNCTION("""COMPUTED_VALUE"""),0)</f>
        <v>0</v>
      </c>
      <c r="M63" s="23">
        <f ca="1">IFERROR(__xludf.DUMMYFUNCTION("""COMPUTED_VALUE"""),0)</f>
        <v>0</v>
      </c>
      <c r="N63" s="21">
        <f ca="1">IFERROR(__xludf.DUMMYFUNCTION("""COMPUTED_VALUE"""),0)</f>
        <v>0</v>
      </c>
      <c r="O63" s="21">
        <f ca="1">IFERROR(__xludf.DUMMYFUNCTION("""COMPUTED_VALUE"""),3000)</f>
        <v>3000</v>
      </c>
      <c r="P63" s="21">
        <f ca="1">IFERROR(__xludf.DUMMYFUNCTION("""COMPUTED_VALUE"""),3000)</f>
        <v>3000</v>
      </c>
      <c r="Q63" s="23">
        <f ca="1">IFERROR(__xludf.DUMMYFUNCTION("""COMPUTED_VALUE"""),0)</f>
        <v>0</v>
      </c>
      <c r="R63" s="11">
        <f ca="1">IFERROR(__xludf.DUMMYFUNCTION("""COMPUTED_VALUE"""),0)</f>
        <v>0</v>
      </c>
      <c r="S63" s="23">
        <f ca="1">IFERROR(__xludf.DUMMYFUNCTION("""COMPUTED_VALUE"""),0)</f>
        <v>0</v>
      </c>
      <c r="T63" s="24">
        <f ca="1">IFERROR(__xludf.DUMMYFUNCTION("""COMPUTED_VALUE"""),0)</f>
        <v>0</v>
      </c>
      <c r="U63" s="23">
        <f ca="1">IFERROR(__xludf.DUMMYFUNCTION("""COMPUTED_VALUE"""),0)</f>
        <v>0</v>
      </c>
      <c r="V63" s="23">
        <f ca="1">IFERROR(__xludf.DUMMYFUNCTION("""COMPUTED_VALUE"""),0)</f>
        <v>0</v>
      </c>
      <c r="W63" s="23">
        <f ca="1">IFERROR(__xludf.DUMMYFUNCTION("""COMPUTED_VALUE"""),0)</f>
        <v>0</v>
      </c>
      <c r="X63" s="23">
        <f ca="1">IFERROR(__xludf.DUMMYFUNCTION("""COMPUTED_VALUE"""),0)</f>
        <v>0</v>
      </c>
      <c r="Y63" s="25">
        <f ca="1">IFERROR(__xludf.DUMMYFUNCTION("""COMPUTED_VALUE"""),0)</f>
        <v>0</v>
      </c>
      <c r="Z63" s="25">
        <f ca="1">IFERROR(__xludf.DUMMYFUNCTION("""COMPUTED_VALUE"""),0)</f>
        <v>0</v>
      </c>
      <c r="AA63" s="25">
        <f ca="1">IFERROR(__xludf.DUMMYFUNCTION("""COMPUTED_VALUE"""),0)</f>
        <v>0</v>
      </c>
      <c r="AB63" s="25">
        <f ca="1">IFERROR(__xludf.DUMMYFUNCTION("""COMPUTED_VALUE"""),0)</f>
        <v>0</v>
      </c>
      <c r="AC63" s="23">
        <f ca="1">IFERROR(__xludf.DUMMYFUNCTION("""COMPUTED_VALUE"""),0)</f>
        <v>0</v>
      </c>
      <c r="AD63" s="26" t="str">
        <f ca="1">IFERROR(__xludf.DUMMYFUNCTION("""COMPUTED_VALUE"""),"MYSY (25000/-)	KSPS ( 12500/- )")</f>
        <v>MYSY (25000/-)	KSPS ( 12500/- )</v>
      </c>
      <c r="AE63" s="27"/>
    </row>
    <row r="64" spans="1:31" ht="14.3">
      <c r="A64" s="18" t="str">
        <f ca="1">IFERROR(__xludf.DUMMYFUNCTION("""COMPUTED_VALUE"""),"23SDSCE01174")</f>
        <v>23SDSCE01174</v>
      </c>
      <c r="B64" s="19" t="str">
        <f ca="1">IFERROR(__xludf.DUMMYFUNCTION("""COMPUTED_VALUE"""),"VEKARIYA NIMESH RAMESH")</f>
        <v>VEKARIYA NIMESH RAMESH</v>
      </c>
      <c r="C64" s="18" t="str">
        <f ca="1">IFERROR(__xludf.DUMMYFUNCTION("""COMPUTED_VALUE"""),"SDS")</f>
        <v>SDS</v>
      </c>
      <c r="D64" s="18" t="str">
        <f ca="1">IFERROR(__xludf.DUMMYFUNCTION("""COMPUTED_VALUE"""),"DCE")</f>
        <v>DCE</v>
      </c>
      <c r="E64" s="18">
        <f ca="1">IFERROR(__xludf.DUMMYFUNCTION("""COMPUTED_VALUE"""),2)</f>
        <v>2</v>
      </c>
      <c r="F64" s="18" t="str">
        <f ca="1">IFERROR(__xludf.DUMMYFUNCTION("""COMPUTED_VALUE"""),"9316930412 9825425402")</f>
        <v>9316930412 9825425402</v>
      </c>
      <c r="G64" s="18" t="str">
        <f ca="1">IFERROR(__xludf.DUMMYFUNCTION("""COMPUTED_VALUE"""),"9316930412 9825425402")</f>
        <v>9316930412 9825425402</v>
      </c>
      <c r="H64" s="18" t="str">
        <f ca="1">IFERROR(__xludf.DUMMYFUNCTION("""COMPUTED_VALUE"""),"DCE_2023-26")</f>
        <v>DCE_2023-26</v>
      </c>
      <c r="I64" s="20"/>
      <c r="J64" s="21">
        <f ca="1">IFERROR(__xludf.DUMMYFUNCTION("""COMPUTED_VALUE"""),27500)</f>
        <v>27500</v>
      </c>
      <c r="K64" s="21">
        <f ca="1">IFERROR(__xludf.DUMMYFUNCTION("""COMPUTED_VALUE"""),27500)</f>
        <v>27500</v>
      </c>
      <c r="L64" s="21">
        <f ca="1">IFERROR(__xludf.DUMMYFUNCTION("""COMPUTED_VALUE"""),0)</f>
        <v>0</v>
      </c>
      <c r="M64" s="23">
        <f ca="1">IFERROR(__xludf.DUMMYFUNCTION("""COMPUTED_VALUE"""),0)</f>
        <v>0</v>
      </c>
      <c r="N64" s="21">
        <f ca="1">IFERROR(__xludf.DUMMYFUNCTION("""COMPUTED_VALUE"""),0)</f>
        <v>0</v>
      </c>
      <c r="O64" s="21">
        <f ca="1">IFERROR(__xludf.DUMMYFUNCTION("""COMPUTED_VALUE"""),3000)</f>
        <v>3000</v>
      </c>
      <c r="P64" s="21">
        <f ca="1">IFERROR(__xludf.DUMMYFUNCTION("""COMPUTED_VALUE"""),3000)</f>
        <v>3000</v>
      </c>
      <c r="Q64" s="23">
        <f ca="1">IFERROR(__xludf.DUMMYFUNCTION("""COMPUTED_VALUE"""),0)</f>
        <v>0</v>
      </c>
      <c r="R64" s="11">
        <f ca="1">IFERROR(__xludf.DUMMYFUNCTION("""COMPUTED_VALUE"""),0)</f>
        <v>0</v>
      </c>
      <c r="S64" s="23">
        <f ca="1">IFERROR(__xludf.DUMMYFUNCTION("""COMPUTED_VALUE"""),0)</f>
        <v>0</v>
      </c>
      <c r="T64" s="24">
        <f ca="1">IFERROR(__xludf.DUMMYFUNCTION("""COMPUTED_VALUE"""),0)</f>
        <v>0</v>
      </c>
      <c r="U64" s="23">
        <f ca="1">IFERROR(__xludf.DUMMYFUNCTION("""COMPUTED_VALUE"""),0)</f>
        <v>0</v>
      </c>
      <c r="V64" s="23">
        <f ca="1">IFERROR(__xludf.DUMMYFUNCTION("""COMPUTED_VALUE"""),0)</f>
        <v>0</v>
      </c>
      <c r="W64" s="23">
        <f ca="1">IFERROR(__xludf.DUMMYFUNCTION("""COMPUTED_VALUE"""),0)</f>
        <v>0</v>
      </c>
      <c r="X64" s="23">
        <f ca="1">IFERROR(__xludf.DUMMYFUNCTION("""COMPUTED_VALUE"""),0)</f>
        <v>0</v>
      </c>
      <c r="Y64" s="25">
        <f ca="1">IFERROR(__xludf.DUMMYFUNCTION("""COMPUTED_VALUE"""),0)</f>
        <v>0</v>
      </c>
      <c r="Z64" s="25">
        <f ca="1">IFERROR(__xludf.DUMMYFUNCTION("""COMPUTED_VALUE"""),0)</f>
        <v>0</v>
      </c>
      <c r="AA64" s="25">
        <f ca="1">IFERROR(__xludf.DUMMYFUNCTION("""COMPUTED_VALUE"""),0)</f>
        <v>0</v>
      </c>
      <c r="AB64" s="25">
        <f ca="1">IFERROR(__xludf.DUMMYFUNCTION("""COMPUTED_VALUE"""),0)</f>
        <v>0</v>
      </c>
      <c r="AC64" s="23">
        <f ca="1">IFERROR(__xludf.DUMMYFUNCTION("""COMPUTED_VALUE"""),0)</f>
        <v>0</v>
      </c>
      <c r="AD64" s="26"/>
      <c r="AE64" s="27"/>
    </row>
    <row r="65" spans="1:31" ht="14.3">
      <c r="A65" s="18" t="str">
        <f ca="1">IFERROR(__xludf.DUMMYFUNCTION("""COMPUTED_VALUE"""),"23SDSCE01244")</f>
        <v>23SDSCE01244</v>
      </c>
      <c r="B65" s="19" t="str">
        <f ca="1">IFERROR(__xludf.DUMMYFUNCTION("""COMPUTED_VALUE"""),"MAVANI MEET PRAKASHBHAI")</f>
        <v>MAVANI MEET PRAKASHBHAI</v>
      </c>
      <c r="C65" s="18" t="str">
        <f ca="1">IFERROR(__xludf.DUMMYFUNCTION("""COMPUTED_VALUE"""),"SDS")</f>
        <v>SDS</v>
      </c>
      <c r="D65" s="18" t="str">
        <f ca="1">IFERROR(__xludf.DUMMYFUNCTION("""COMPUTED_VALUE"""),"DCE")</f>
        <v>DCE</v>
      </c>
      <c r="E65" s="18">
        <f ca="1">IFERROR(__xludf.DUMMYFUNCTION("""COMPUTED_VALUE"""),2)</f>
        <v>2</v>
      </c>
      <c r="F65" s="18" t="str">
        <f ca="1">IFERROR(__xludf.DUMMYFUNCTION("""COMPUTED_VALUE"""),"9427410235 9427268730")</f>
        <v>9427410235 9427268730</v>
      </c>
      <c r="G65" s="18" t="str">
        <f ca="1">IFERROR(__xludf.DUMMYFUNCTION("""COMPUTED_VALUE"""),"9427410235 9427268730")</f>
        <v>9427410235 9427268730</v>
      </c>
      <c r="H65" s="18" t="str">
        <f ca="1">IFERROR(__xludf.DUMMYFUNCTION("""COMPUTED_VALUE"""),"DCE_2023-26")</f>
        <v>DCE_2023-26</v>
      </c>
      <c r="I65" s="20"/>
      <c r="J65" s="21">
        <f ca="1">IFERROR(__xludf.DUMMYFUNCTION("""COMPUTED_VALUE"""),27500)</f>
        <v>27500</v>
      </c>
      <c r="K65" s="21">
        <f ca="1">IFERROR(__xludf.DUMMYFUNCTION("""COMPUTED_VALUE"""),0)</f>
        <v>0</v>
      </c>
      <c r="L65" s="21">
        <f ca="1">IFERROR(__xludf.DUMMYFUNCTION("""COMPUTED_VALUE"""),0)</f>
        <v>0</v>
      </c>
      <c r="M65" s="23">
        <f ca="1">IFERROR(__xludf.DUMMYFUNCTION("""COMPUTED_VALUE"""),0)</f>
        <v>0</v>
      </c>
      <c r="N65" s="21">
        <f ca="1">IFERROR(__xludf.DUMMYFUNCTION("""COMPUTED_VALUE"""),27500)</f>
        <v>27500</v>
      </c>
      <c r="O65" s="21">
        <f ca="1">IFERROR(__xludf.DUMMYFUNCTION("""COMPUTED_VALUE"""),3000)</f>
        <v>3000</v>
      </c>
      <c r="P65" s="21">
        <f ca="1">IFERROR(__xludf.DUMMYFUNCTION("""COMPUTED_VALUE"""),0)</f>
        <v>0</v>
      </c>
      <c r="Q65" s="23">
        <f ca="1">IFERROR(__xludf.DUMMYFUNCTION("""COMPUTED_VALUE"""),0)</f>
        <v>0</v>
      </c>
      <c r="R65" s="11">
        <f ca="1">IFERROR(__xludf.DUMMYFUNCTION("""COMPUTED_VALUE"""),0)</f>
        <v>0</v>
      </c>
      <c r="S65" s="23">
        <f ca="1">IFERROR(__xludf.DUMMYFUNCTION("""COMPUTED_VALUE"""),3000)</f>
        <v>3000</v>
      </c>
      <c r="T65" s="24">
        <f ca="1">IFERROR(__xludf.DUMMYFUNCTION("""COMPUTED_VALUE"""),0)</f>
        <v>0</v>
      </c>
      <c r="U65" s="23">
        <f ca="1">IFERROR(__xludf.DUMMYFUNCTION("""COMPUTED_VALUE"""),0)</f>
        <v>0</v>
      </c>
      <c r="V65" s="23">
        <f ca="1">IFERROR(__xludf.DUMMYFUNCTION("""COMPUTED_VALUE"""),0)</f>
        <v>0</v>
      </c>
      <c r="W65" s="23">
        <f ca="1">IFERROR(__xludf.DUMMYFUNCTION("""COMPUTED_VALUE"""),0)</f>
        <v>0</v>
      </c>
      <c r="X65" s="23">
        <f ca="1">IFERROR(__xludf.DUMMYFUNCTION("""COMPUTED_VALUE"""),0)</f>
        <v>0</v>
      </c>
      <c r="Y65" s="25">
        <f ca="1">IFERROR(__xludf.DUMMYFUNCTION("""COMPUTED_VALUE"""),0)</f>
        <v>0</v>
      </c>
      <c r="Z65" s="25">
        <f ca="1">IFERROR(__xludf.DUMMYFUNCTION("""COMPUTED_VALUE"""),0)</f>
        <v>0</v>
      </c>
      <c r="AA65" s="25">
        <f ca="1">IFERROR(__xludf.DUMMYFUNCTION("""COMPUTED_VALUE"""),0)</f>
        <v>0</v>
      </c>
      <c r="AB65" s="25">
        <f ca="1">IFERROR(__xludf.DUMMYFUNCTION("""COMPUTED_VALUE"""),0)</f>
        <v>0</v>
      </c>
      <c r="AC65" s="23">
        <f ca="1">IFERROR(__xludf.DUMMYFUNCTION("""COMPUTED_VALUE"""),0)</f>
        <v>0</v>
      </c>
      <c r="AD65" s="26"/>
      <c r="AE65" s="27"/>
    </row>
    <row r="66" spans="1:31" ht="14.3">
      <c r="A66" s="18" t="str">
        <f ca="1">IFERROR(__xludf.DUMMYFUNCTION("""COMPUTED_VALUE"""),"23SDSCE01601")</f>
        <v>23SDSCE01601</v>
      </c>
      <c r="B66" s="19" t="str">
        <f ca="1">IFERROR(__xludf.DUMMYFUNCTION("""COMPUTED_VALUE"""),"GIFT REUBEN BONIFACE")</f>
        <v>GIFT REUBEN BONIFACE</v>
      </c>
      <c r="C66" s="18" t="str">
        <f ca="1">IFERROR(__xludf.DUMMYFUNCTION("""COMPUTED_VALUE"""),"SDS")</f>
        <v>SDS</v>
      </c>
      <c r="D66" s="18" t="str">
        <f ca="1">IFERROR(__xludf.DUMMYFUNCTION("""COMPUTED_VALUE"""),"DCE")</f>
        <v>DCE</v>
      </c>
      <c r="E66" s="18">
        <f ca="1">IFERROR(__xludf.DUMMYFUNCTION("""COMPUTED_VALUE"""),2)</f>
        <v>2</v>
      </c>
      <c r="F66" s="18" t="str">
        <f ca="1">IFERROR(__xludf.DUMMYFUNCTION("""COMPUTED_VALUE"""),"INTERNATIONAL")</f>
        <v>INTERNATIONAL</v>
      </c>
      <c r="G66" s="18" t="str">
        <f ca="1">IFERROR(__xludf.DUMMYFUNCTION("""COMPUTED_VALUE"""),"INR FEE STUDENT")</f>
        <v>INR FEE STUDENT</v>
      </c>
      <c r="H66" s="18" t="str">
        <f ca="1">IFERROR(__xludf.DUMMYFUNCTION("""COMPUTED_VALUE"""),"DCE_2023-26")</f>
        <v>DCE_2023-26</v>
      </c>
      <c r="I66" s="20"/>
      <c r="J66" s="21">
        <f ca="1">IFERROR(__xludf.DUMMYFUNCTION("""COMPUTED_VALUE"""),0)</f>
        <v>0</v>
      </c>
      <c r="K66" s="21">
        <f ca="1">IFERROR(__xludf.DUMMYFUNCTION("""COMPUTED_VALUE"""),0)</f>
        <v>0</v>
      </c>
      <c r="L66" s="21">
        <f ca="1">IFERROR(__xludf.DUMMYFUNCTION("""COMPUTED_VALUE"""),0)</f>
        <v>0</v>
      </c>
      <c r="M66" s="23">
        <f ca="1">IFERROR(__xludf.DUMMYFUNCTION("""COMPUTED_VALUE"""),0)</f>
        <v>0</v>
      </c>
      <c r="N66" s="21">
        <f ca="1">IFERROR(__xludf.DUMMYFUNCTION("""COMPUTED_VALUE"""),0)</f>
        <v>0</v>
      </c>
      <c r="O66" s="21">
        <f ca="1">IFERROR(__xludf.DUMMYFUNCTION("""COMPUTED_VALUE"""),3000)</f>
        <v>3000</v>
      </c>
      <c r="P66" s="21">
        <f ca="1">IFERROR(__xludf.DUMMYFUNCTION("""COMPUTED_VALUE"""),0)</f>
        <v>0</v>
      </c>
      <c r="Q66" s="23">
        <f ca="1">IFERROR(__xludf.DUMMYFUNCTION("""COMPUTED_VALUE"""),0)</f>
        <v>0</v>
      </c>
      <c r="R66" s="11">
        <f ca="1">IFERROR(__xludf.DUMMYFUNCTION("""COMPUTED_VALUE"""),0)</f>
        <v>0</v>
      </c>
      <c r="S66" s="23">
        <f ca="1">IFERROR(__xludf.DUMMYFUNCTION("""COMPUTED_VALUE"""),3000)</f>
        <v>3000</v>
      </c>
      <c r="T66" s="24">
        <f ca="1">IFERROR(__xludf.DUMMYFUNCTION("""COMPUTED_VALUE"""),0)</f>
        <v>0</v>
      </c>
      <c r="U66" s="23">
        <f ca="1">IFERROR(__xludf.DUMMYFUNCTION("""COMPUTED_VALUE"""),0)</f>
        <v>0</v>
      </c>
      <c r="V66" s="23">
        <f ca="1">IFERROR(__xludf.DUMMYFUNCTION("""COMPUTED_VALUE"""),0)</f>
        <v>0</v>
      </c>
      <c r="W66" s="23">
        <f ca="1">IFERROR(__xludf.DUMMYFUNCTION("""COMPUTED_VALUE"""),0)</f>
        <v>0</v>
      </c>
      <c r="X66" s="23">
        <f ca="1">IFERROR(__xludf.DUMMYFUNCTION("""COMPUTED_VALUE"""),0)</f>
        <v>0</v>
      </c>
      <c r="Y66" s="25">
        <f ca="1">IFERROR(__xludf.DUMMYFUNCTION("""COMPUTED_VALUE"""),0)</f>
        <v>0</v>
      </c>
      <c r="Z66" s="25">
        <f ca="1">IFERROR(__xludf.DUMMYFUNCTION("""COMPUTED_VALUE"""),0)</f>
        <v>0</v>
      </c>
      <c r="AA66" s="25">
        <f ca="1">IFERROR(__xludf.DUMMYFUNCTION("""COMPUTED_VALUE"""),0)</f>
        <v>0</v>
      </c>
      <c r="AB66" s="25">
        <f ca="1">IFERROR(__xludf.DUMMYFUNCTION("""COMPUTED_VALUE"""),0)</f>
        <v>0</v>
      </c>
      <c r="AC66" s="23">
        <f ca="1">IFERROR(__xludf.DUMMYFUNCTION("""COMPUTED_VALUE"""),0)</f>
        <v>0</v>
      </c>
      <c r="AD66" s="26"/>
      <c r="AE66" s="27"/>
    </row>
    <row r="67" spans="1:31" ht="14.3">
      <c r="A67" s="18" t="str">
        <f ca="1">IFERROR(__xludf.DUMMYFUNCTION("""COMPUTED_VALUE"""),"23SDSCE01042")</f>
        <v>23SDSCE01042</v>
      </c>
      <c r="B67" s="19" t="str">
        <f ca="1">IFERROR(__xludf.DUMMYFUNCTION("""COMPUTED_VALUE"""),"AMIPARA RAJAN MAHESHBHAI")</f>
        <v>AMIPARA RAJAN MAHESHBHAI</v>
      </c>
      <c r="C67" s="18" t="str">
        <f ca="1">IFERROR(__xludf.DUMMYFUNCTION("""COMPUTED_VALUE"""),"SDS")</f>
        <v>SDS</v>
      </c>
      <c r="D67" s="18" t="str">
        <f ca="1">IFERROR(__xludf.DUMMYFUNCTION("""COMPUTED_VALUE"""),"DCE")</f>
        <v>DCE</v>
      </c>
      <c r="E67" s="18">
        <f ca="1">IFERROR(__xludf.DUMMYFUNCTION("""COMPUTED_VALUE"""),2)</f>
        <v>2</v>
      </c>
      <c r="F67" s="18" t="str">
        <f ca="1">IFERROR(__xludf.DUMMYFUNCTION("""COMPUTED_VALUE"""),"6351733993 9601267091")</f>
        <v>6351733993 9601267091</v>
      </c>
      <c r="G67" s="18" t="str">
        <f ca="1">IFERROR(__xludf.DUMMYFUNCTION("""COMPUTED_VALUE"""),"6351733993 9601267091")</f>
        <v>6351733993 9601267091</v>
      </c>
      <c r="H67" s="18" t="str">
        <f ca="1">IFERROR(__xludf.DUMMYFUNCTION("""COMPUTED_VALUE"""),"DCE_2023-26")</f>
        <v>DCE_2023-26</v>
      </c>
      <c r="I67" s="20" t="str">
        <f ca="1">IFERROR(__xludf.DUMMYFUNCTION("""COMPUTED_VALUE"""),"KSP")</f>
        <v>KSP</v>
      </c>
      <c r="J67" s="21">
        <f ca="1">IFERROR(__xludf.DUMMYFUNCTION("""COMPUTED_VALUE"""),27500)</f>
        <v>27500</v>
      </c>
      <c r="K67" s="21">
        <f ca="1">IFERROR(__xludf.DUMMYFUNCTION("""COMPUTED_VALUE"""),0)</f>
        <v>0</v>
      </c>
      <c r="L67" s="21">
        <f ca="1">IFERROR(__xludf.DUMMYFUNCTION("""COMPUTED_VALUE"""),0)</f>
        <v>0</v>
      </c>
      <c r="M67" s="23">
        <f ca="1">IFERROR(__xludf.DUMMYFUNCTION("""COMPUTED_VALUE"""),6250)</f>
        <v>6250</v>
      </c>
      <c r="N67" s="21">
        <f ca="1">IFERROR(__xludf.DUMMYFUNCTION("""COMPUTED_VALUE"""),21250)</f>
        <v>21250</v>
      </c>
      <c r="O67" s="21">
        <f ca="1">IFERROR(__xludf.DUMMYFUNCTION("""COMPUTED_VALUE"""),3000)</f>
        <v>3000</v>
      </c>
      <c r="P67" s="21">
        <f ca="1">IFERROR(__xludf.DUMMYFUNCTION("""COMPUTED_VALUE"""),0)</f>
        <v>0</v>
      </c>
      <c r="Q67" s="23">
        <f ca="1">IFERROR(__xludf.DUMMYFUNCTION("""COMPUTED_VALUE"""),0)</f>
        <v>0</v>
      </c>
      <c r="R67" s="11">
        <f ca="1">IFERROR(__xludf.DUMMYFUNCTION("""COMPUTED_VALUE"""),0)</f>
        <v>0</v>
      </c>
      <c r="S67" s="23">
        <f ca="1">IFERROR(__xludf.DUMMYFUNCTION("""COMPUTED_VALUE"""),3000)</f>
        <v>3000</v>
      </c>
      <c r="T67" s="24">
        <f ca="1">IFERROR(__xludf.DUMMYFUNCTION("""COMPUTED_VALUE"""),0)</f>
        <v>0</v>
      </c>
      <c r="U67" s="23">
        <f ca="1">IFERROR(__xludf.DUMMYFUNCTION("""COMPUTED_VALUE"""),0)</f>
        <v>0</v>
      </c>
      <c r="V67" s="23">
        <f ca="1">IFERROR(__xludf.DUMMYFUNCTION("""COMPUTED_VALUE"""),0)</f>
        <v>0</v>
      </c>
      <c r="W67" s="23">
        <f ca="1">IFERROR(__xludf.DUMMYFUNCTION("""COMPUTED_VALUE"""),0)</f>
        <v>0</v>
      </c>
      <c r="X67" s="23">
        <f ca="1">IFERROR(__xludf.DUMMYFUNCTION("""COMPUTED_VALUE"""),0)</f>
        <v>0</v>
      </c>
      <c r="Y67" s="25">
        <f ca="1">IFERROR(__xludf.DUMMYFUNCTION("""COMPUTED_VALUE"""),0)</f>
        <v>0</v>
      </c>
      <c r="Z67" s="25">
        <f ca="1">IFERROR(__xludf.DUMMYFUNCTION("""COMPUTED_VALUE"""),0)</f>
        <v>0</v>
      </c>
      <c r="AA67" s="25">
        <f ca="1">IFERROR(__xludf.DUMMYFUNCTION("""COMPUTED_VALUE"""),0)</f>
        <v>0</v>
      </c>
      <c r="AB67" s="25">
        <f ca="1">IFERROR(__xludf.DUMMYFUNCTION("""COMPUTED_VALUE"""),0)</f>
        <v>0</v>
      </c>
      <c r="AC67" s="23">
        <f ca="1">IFERROR(__xludf.DUMMYFUNCTION("""COMPUTED_VALUE"""),0)</f>
        <v>0</v>
      </c>
      <c r="AD67" s="26" t="str">
        <f ca="1">IFERROR(__xludf.DUMMYFUNCTION("""COMPUTED_VALUE"""),"KSPS ( 6250/- )")</f>
        <v>KSPS ( 6250/- )</v>
      </c>
      <c r="AE67" s="27"/>
    </row>
    <row r="68" spans="1:31" ht="14.3">
      <c r="A68" s="18" t="str">
        <f ca="1">IFERROR(__xludf.DUMMYFUNCTION("""COMPUTED_VALUE"""),"23SDSCE01043")</f>
        <v>23SDSCE01043</v>
      </c>
      <c r="B68" s="19" t="str">
        <f ca="1">IFERROR(__xludf.DUMMYFUNCTION("""COMPUTED_VALUE"""),"ASODARIYA RUDRA RASIKBHAI")</f>
        <v>ASODARIYA RUDRA RASIKBHAI</v>
      </c>
      <c r="C68" s="18" t="str">
        <f ca="1">IFERROR(__xludf.DUMMYFUNCTION("""COMPUTED_VALUE"""),"SDS")</f>
        <v>SDS</v>
      </c>
      <c r="D68" s="18" t="str">
        <f ca="1">IFERROR(__xludf.DUMMYFUNCTION("""COMPUTED_VALUE"""),"DCE")</f>
        <v>DCE</v>
      </c>
      <c r="E68" s="18">
        <f ca="1">IFERROR(__xludf.DUMMYFUNCTION("""COMPUTED_VALUE"""),2)</f>
        <v>2</v>
      </c>
      <c r="F68" s="18" t="str">
        <f ca="1">IFERROR(__xludf.DUMMYFUNCTION("""COMPUTED_VALUE"""),"6354028109 9904682213")</f>
        <v>6354028109 9904682213</v>
      </c>
      <c r="G68" s="18" t="str">
        <f ca="1">IFERROR(__xludf.DUMMYFUNCTION("""COMPUTED_VALUE"""),"6354028109 9904682213")</f>
        <v>6354028109 9904682213</v>
      </c>
      <c r="H68" s="18" t="str">
        <f ca="1">IFERROR(__xludf.DUMMYFUNCTION("""COMPUTED_VALUE"""),"DCE_2023-26")</f>
        <v>DCE_2023-26</v>
      </c>
      <c r="I68" s="20"/>
      <c r="J68" s="21">
        <f ca="1">IFERROR(__xludf.DUMMYFUNCTION("""COMPUTED_VALUE"""),27500)</f>
        <v>27500</v>
      </c>
      <c r="K68" s="21">
        <f ca="1">IFERROR(__xludf.DUMMYFUNCTION("""COMPUTED_VALUE"""),27500)</f>
        <v>27500</v>
      </c>
      <c r="L68" s="21">
        <f ca="1">IFERROR(__xludf.DUMMYFUNCTION("""COMPUTED_VALUE"""),0)</f>
        <v>0</v>
      </c>
      <c r="M68" s="23">
        <f ca="1">IFERROR(__xludf.DUMMYFUNCTION("""COMPUTED_VALUE"""),0)</f>
        <v>0</v>
      </c>
      <c r="N68" s="21">
        <f ca="1">IFERROR(__xludf.DUMMYFUNCTION("""COMPUTED_VALUE"""),0)</f>
        <v>0</v>
      </c>
      <c r="O68" s="21">
        <f ca="1">IFERROR(__xludf.DUMMYFUNCTION("""COMPUTED_VALUE"""),3000)</f>
        <v>3000</v>
      </c>
      <c r="P68" s="21">
        <f ca="1">IFERROR(__xludf.DUMMYFUNCTION("""COMPUTED_VALUE"""),3000)</f>
        <v>3000</v>
      </c>
      <c r="Q68" s="23">
        <f ca="1">IFERROR(__xludf.DUMMYFUNCTION("""COMPUTED_VALUE"""),0)</f>
        <v>0</v>
      </c>
      <c r="R68" s="11">
        <f ca="1">IFERROR(__xludf.DUMMYFUNCTION("""COMPUTED_VALUE"""),0)</f>
        <v>0</v>
      </c>
      <c r="S68" s="23">
        <f ca="1">IFERROR(__xludf.DUMMYFUNCTION("""COMPUTED_VALUE"""),0)</f>
        <v>0</v>
      </c>
      <c r="T68" s="24">
        <f ca="1">IFERROR(__xludf.DUMMYFUNCTION("""COMPUTED_VALUE"""),0)</f>
        <v>0</v>
      </c>
      <c r="U68" s="23">
        <f ca="1">IFERROR(__xludf.DUMMYFUNCTION("""COMPUTED_VALUE"""),0)</f>
        <v>0</v>
      </c>
      <c r="V68" s="23">
        <f ca="1">IFERROR(__xludf.DUMMYFUNCTION("""COMPUTED_VALUE"""),0)</f>
        <v>0</v>
      </c>
      <c r="W68" s="23">
        <f ca="1">IFERROR(__xludf.DUMMYFUNCTION("""COMPUTED_VALUE"""),0)</f>
        <v>0</v>
      </c>
      <c r="X68" s="23">
        <f ca="1">IFERROR(__xludf.DUMMYFUNCTION("""COMPUTED_VALUE"""),0)</f>
        <v>0</v>
      </c>
      <c r="Y68" s="25">
        <f ca="1">IFERROR(__xludf.DUMMYFUNCTION("""COMPUTED_VALUE"""),0)</f>
        <v>0</v>
      </c>
      <c r="Z68" s="25">
        <f ca="1">IFERROR(__xludf.DUMMYFUNCTION("""COMPUTED_VALUE"""),0)</f>
        <v>0</v>
      </c>
      <c r="AA68" s="25">
        <f ca="1">IFERROR(__xludf.DUMMYFUNCTION("""COMPUTED_VALUE"""),0)</f>
        <v>0</v>
      </c>
      <c r="AB68" s="25">
        <f ca="1">IFERROR(__xludf.DUMMYFUNCTION("""COMPUTED_VALUE"""),0)</f>
        <v>0</v>
      </c>
      <c r="AC68" s="23">
        <f ca="1">IFERROR(__xludf.DUMMYFUNCTION("""COMPUTED_VALUE"""),0)</f>
        <v>0</v>
      </c>
      <c r="AD68" s="26"/>
      <c r="AE68" s="27"/>
    </row>
    <row r="69" spans="1:31" ht="14.3">
      <c r="A69" s="18" t="str">
        <f ca="1">IFERROR(__xludf.DUMMYFUNCTION("""COMPUTED_VALUE"""),"23SDSCE01044")</f>
        <v>23SDSCE01044</v>
      </c>
      <c r="B69" s="19" t="str">
        <f ca="1">IFERROR(__xludf.DUMMYFUNCTION("""COMPUTED_VALUE"""),"BATHANI KRISH BHARATBHAI")</f>
        <v>BATHANI KRISH BHARATBHAI</v>
      </c>
      <c r="C69" s="18" t="str">
        <f ca="1">IFERROR(__xludf.DUMMYFUNCTION("""COMPUTED_VALUE"""),"SDS")</f>
        <v>SDS</v>
      </c>
      <c r="D69" s="18" t="str">
        <f ca="1">IFERROR(__xludf.DUMMYFUNCTION("""COMPUTED_VALUE"""),"DCE")</f>
        <v>DCE</v>
      </c>
      <c r="E69" s="18">
        <f ca="1">IFERROR(__xludf.DUMMYFUNCTION("""COMPUTED_VALUE"""),2)</f>
        <v>2</v>
      </c>
      <c r="F69" s="18" t="str">
        <f ca="1">IFERROR(__xludf.DUMMYFUNCTION("""COMPUTED_VALUE"""),"7622957828 7041088285")</f>
        <v>7622957828 7041088285</v>
      </c>
      <c r="G69" s="18" t="str">
        <f ca="1">IFERROR(__xludf.DUMMYFUNCTION("""COMPUTED_VALUE"""),"7622957828 7041088285")</f>
        <v>7622957828 7041088285</v>
      </c>
      <c r="H69" s="18" t="str">
        <f ca="1">IFERROR(__xludf.DUMMYFUNCTION("""COMPUTED_VALUE"""),"DCE_2023-26")</f>
        <v>DCE_2023-26</v>
      </c>
      <c r="I69" s="20"/>
      <c r="J69" s="21">
        <f ca="1">IFERROR(__xludf.DUMMYFUNCTION("""COMPUTED_VALUE"""),27500)</f>
        <v>27500</v>
      </c>
      <c r="K69" s="21">
        <f ca="1">IFERROR(__xludf.DUMMYFUNCTION("""COMPUTED_VALUE"""),27500)</f>
        <v>27500</v>
      </c>
      <c r="L69" s="21">
        <f ca="1">IFERROR(__xludf.DUMMYFUNCTION("""COMPUTED_VALUE"""),0)</f>
        <v>0</v>
      </c>
      <c r="M69" s="23">
        <f ca="1">IFERROR(__xludf.DUMMYFUNCTION("""COMPUTED_VALUE"""),0)</f>
        <v>0</v>
      </c>
      <c r="N69" s="21">
        <f ca="1">IFERROR(__xludf.DUMMYFUNCTION("""COMPUTED_VALUE"""),0)</f>
        <v>0</v>
      </c>
      <c r="O69" s="21">
        <f ca="1">IFERROR(__xludf.DUMMYFUNCTION("""COMPUTED_VALUE"""),3000)</f>
        <v>3000</v>
      </c>
      <c r="P69" s="21">
        <f ca="1">IFERROR(__xludf.DUMMYFUNCTION("""COMPUTED_VALUE"""),3000)</f>
        <v>3000</v>
      </c>
      <c r="Q69" s="23">
        <f ca="1">IFERROR(__xludf.DUMMYFUNCTION("""COMPUTED_VALUE"""),0)</f>
        <v>0</v>
      </c>
      <c r="R69" s="11">
        <f ca="1">IFERROR(__xludf.DUMMYFUNCTION("""COMPUTED_VALUE"""),0)</f>
        <v>0</v>
      </c>
      <c r="S69" s="23">
        <f ca="1">IFERROR(__xludf.DUMMYFUNCTION("""COMPUTED_VALUE"""),0)</f>
        <v>0</v>
      </c>
      <c r="T69" s="24">
        <f ca="1">IFERROR(__xludf.DUMMYFUNCTION("""COMPUTED_VALUE"""),0)</f>
        <v>0</v>
      </c>
      <c r="U69" s="23">
        <f ca="1">IFERROR(__xludf.DUMMYFUNCTION("""COMPUTED_VALUE"""),0)</f>
        <v>0</v>
      </c>
      <c r="V69" s="23">
        <f ca="1">IFERROR(__xludf.DUMMYFUNCTION("""COMPUTED_VALUE"""),0)</f>
        <v>0</v>
      </c>
      <c r="W69" s="23">
        <f ca="1">IFERROR(__xludf.DUMMYFUNCTION("""COMPUTED_VALUE"""),0)</f>
        <v>0</v>
      </c>
      <c r="X69" s="23">
        <f ca="1">IFERROR(__xludf.DUMMYFUNCTION("""COMPUTED_VALUE"""),0)</f>
        <v>0</v>
      </c>
      <c r="Y69" s="25">
        <f ca="1">IFERROR(__xludf.DUMMYFUNCTION("""COMPUTED_VALUE"""),0)</f>
        <v>0</v>
      </c>
      <c r="Z69" s="25">
        <f ca="1">IFERROR(__xludf.DUMMYFUNCTION("""COMPUTED_VALUE"""),0)</f>
        <v>0</v>
      </c>
      <c r="AA69" s="25">
        <f ca="1">IFERROR(__xludf.DUMMYFUNCTION("""COMPUTED_VALUE"""),0)</f>
        <v>0</v>
      </c>
      <c r="AB69" s="25">
        <f ca="1">IFERROR(__xludf.DUMMYFUNCTION("""COMPUTED_VALUE"""),0)</f>
        <v>0</v>
      </c>
      <c r="AC69" s="23">
        <f ca="1">IFERROR(__xludf.DUMMYFUNCTION("""COMPUTED_VALUE"""),0)</f>
        <v>0</v>
      </c>
      <c r="AD69" s="26"/>
      <c r="AE69" s="27"/>
    </row>
    <row r="70" spans="1:31" ht="14.3">
      <c r="A70" s="18" t="str">
        <f ca="1">IFERROR(__xludf.DUMMYFUNCTION("""COMPUTED_VALUE"""),"23SDSCE01045")</f>
        <v>23SDSCE01045</v>
      </c>
      <c r="B70" s="19" t="str">
        <f ca="1">IFERROR(__xludf.DUMMYFUNCTION("""COMPUTED_VALUE"""),"BHADJA PINAL DINESHBHAI")</f>
        <v>BHADJA PINAL DINESHBHAI</v>
      </c>
      <c r="C70" s="18" t="str">
        <f ca="1">IFERROR(__xludf.DUMMYFUNCTION("""COMPUTED_VALUE"""),"SDS")</f>
        <v>SDS</v>
      </c>
      <c r="D70" s="18" t="str">
        <f ca="1">IFERROR(__xludf.DUMMYFUNCTION("""COMPUTED_VALUE"""),"DCE")</f>
        <v>DCE</v>
      </c>
      <c r="E70" s="18">
        <f ca="1">IFERROR(__xludf.DUMMYFUNCTION("""COMPUTED_VALUE"""),2)</f>
        <v>2</v>
      </c>
      <c r="F70" s="6" t="str">
        <f ca="1">IFERROR(__xludf.DUMMYFUNCTION("""COMPUTED_VALUE"""),"9724140602 9979360640")</f>
        <v>9724140602 9979360640</v>
      </c>
      <c r="G70" s="6" t="str">
        <f ca="1">IFERROR(__xludf.DUMMYFUNCTION("""COMPUTED_VALUE"""),"9724140602 9979360640")</f>
        <v>9724140602 9979360640</v>
      </c>
      <c r="H70" s="18" t="str">
        <f ca="1">IFERROR(__xludf.DUMMYFUNCTION("""COMPUTED_VALUE"""),"DCE_2023-26")</f>
        <v>DCE_2023-26</v>
      </c>
      <c r="I70" s="20"/>
      <c r="J70" s="21">
        <f ca="1">IFERROR(__xludf.DUMMYFUNCTION("""COMPUTED_VALUE"""),27500)</f>
        <v>27500</v>
      </c>
      <c r="K70" s="21">
        <f ca="1">IFERROR(__xludf.DUMMYFUNCTION("""COMPUTED_VALUE"""),27500)</f>
        <v>27500</v>
      </c>
      <c r="L70" s="21">
        <f ca="1">IFERROR(__xludf.DUMMYFUNCTION("""COMPUTED_VALUE"""),0)</f>
        <v>0</v>
      </c>
      <c r="M70" s="23">
        <f ca="1">IFERROR(__xludf.DUMMYFUNCTION("""COMPUTED_VALUE"""),0)</f>
        <v>0</v>
      </c>
      <c r="N70" s="21">
        <f ca="1">IFERROR(__xludf.DUMMYFUNCTION("""COMPUTED_VALUE"""),0)</f>
        <v>0</v>
      </c>
      <c r="O70" s="21">
        <f ca="1">IFERROR(__xludf.DUMMYFUNCTION("""COMPUTED_VALUE"""),3000)</f>
        <v>3000</v>
      </c>
      <c r="P70" s="21">
        <f ca="1">IFERROR(__xludf.DUMMYFUNCTION("""COMPUTED_VALUE"""),3000)</f>
        <v>3000</v>
      </c>
      <c r="Q70" s="23">
        <f ca="1">IFERROR(__xludf.DUMMYFUNCTION("""COMPUTED_VALUE"""),0)</f>
        <v>0</v>
      </c>
      <c r="R70" s="11">
        <f ca="1">IFERROR(__xludf.DUMMYFUNCTION("""COMPUTED_VALUE"""),0)</f>
        <v>0</v>
      </c>
      <c r="S70" s="23">
        <f ca="1">IFERROR(__xludf.DUMMYFUNCTION("""COMPUTED_VALUE"""),0)</f>
        <v>0</v>
      </c>
      <c r="T70" s="24">
        <f ca="1">IFERROR(__xludf.DUMMYFUNCTION("""COMPUTED_VALUE"""),0)</f>
        <v>0</v>
      </c>
      <c r="U70" s="23">
        <f ca="1">IFERROR(__xludf.DUMMYFUNCTION("""COMPUTED_VALUE"""),0)</f>
        <v>0</v>
      </c>
      <c r="V70" s="23">
        <f ca="1">IFERROR(__xludf.DUMMYFUNCTION("""COMPUTED_VALUE"""),0)</f>
        <v>0</v>
      </c>
      <c r="W70" s="23">
        <f ca="1">IFERROR(__xludf.DUMMYFUNCTION("""COMPUTED_VALUE"""),0)</f>
        <v>0</v>
      </c>
      <c r="X70" s="23">
        <f ca="1">IFERROR(__xludf.DUMMYFUNCTION("""COMPUTED_VALUE"""),0)</f>
        <v>0</v>
      </c>
      <c r="Y70" s="25">
        <f ca="1">IFERROR(__xludf.DUMMYFUNCTION("""COMPUTED_VALUE"""),0)</f>
        <v>0</v>
      </c>
      <c r="Z70" s="25">
        <f ca="1">IFERROR(__xludf.DUMMYFUNCTION("""COMPUTED_VALUE"""),0)</f>
        <v>0</v>
      </c>
      <c r="AA70" s="25">
        <f ca="1">IFERROR(__xludf.DUMMYFUNCTION("""COMPUTED_VALUE"""),0)</f>
        <v>0</v>
      </c>
      <c r="AB70" s="25">
        <f ca="1">IFERROR(__xludf.DUMMYFUNCTION("""COMPUTED_VALUE"""),0)</f>
        <v>0</v>
      </c>
      <c r="AC70" s="23">
        <f ca="1">IFERROR(__xludf.DUMMYFUNCTION("""COMPUTED_VALUE"""),0)</f>
        <v>0</v>
      </c>
      <c r="AD70" s="26"/>
      <c r="AE70" s="27"/>
    </row>
    <row r="71" spans="1:31" ht="28.55">
      <c r="A71" s="18" t="str">
        <f ca="1">IFERROR(__xludf.DUMMYFUNCTION("""COMPUTED_VALUE"""),"23SDSCE01046")</f>
        <v>23SDSCE01046</v>
      </c>
      <c r="B71" s="19" t="str">
        <f ca="1">IFERROR(__xludf.DUMMYFUNCTION("""COMPUTED_VALUE"""),"CHAUHAN UMANGBHAI VINUBHAI")</f>
        <v>CHAUHAN UMANGBHAI VINUBHAI</v>
      </c>
      <c r="C71" s="18" t="str">
        <f ca="1">IFERROR(__xludf.DUMMYFUNCTION("""COMPUTED_VALUE"""),"SDS")</f>
        <v>SDS</v>
      </c>
      <c r="D71" s="18" t="str">
        <f ca="1">IFERROR(__xludf.DUMMYFUNCTION("""COMPUTED_VALUE"""),"DCE")</f>
        <v>DCE</v>
      </c>
      <c r="E71" s="18">
        <f ca="1">IFERROR(__xludf.DUMMYFUNCTION("""COMPUTED_VALUE"""),2)</f>
        <v>2</v>
      </c>
      <c r="F71" s="18" t="str">
        <f ca="1">IFERROR(__xludf.DUMMYFUNCTION("""COMPUTED_VALUE"""),"6354613107 9909172584")</f>
        <v>6354613107 9909172584</v>
      </c>
      <c r="G71" s="18" t="str">
        <f ca="1">IFERROR(__xludf.DUMMYFUNCTION("""COMPUTED_VALUE"""),"6354613107 9909172584")</f>
        <v>6354613107 9909172584</v>
      </c>
      <c r="H71" s="18" t="str">
        <f ca="1">IFERROR(__xludf.DUMMYFUNCTION("""COMPUTED_VALUE"""),"DCE_2023-26")</f>
        <v>DCE_2023-26</v>
      </c>
      <c r="I71" s="20" t="str">
        <f ca="1">IFERROR(__xludf.DUMMYFUNCTION("""COMPUTED_VALUE"""),"FREESHIP CARD")</f>
        <v>FREESHIP CARD</v>
      </c>
      <c r="J71" s="21">
        <f ca="1">IFERROR(__xludf.DUMMYFUNCTION("""COMPUTED_VALUE"""),27500)</f>
        <v>27500</v>
      </c>
      <c r="K71" s="21">
        <f ca="1">IFERROR(__xludf.DUMMYFUNCTION("""COMPUTED_VALUE"""),0)</f>
        <v>0</v>
      </c>
      <c r="L71" s="21">
        <f ca="1">IFERROR(__xludf.DUMMYFUNCTION("""COMPUTED_VALUE"""),0)</f>
        <v>0</v>
      </c>
      <c r="M71" s="23">
        <f ca="1">IFERROR(__xludf.DUMMYFUNCTION("""COMPUTED_VALUE"""),0)</f>
        <v>0</v>
      </c>
      <c r="N71" s="21">
        <f ca="1">IFERROR(__xludf.DUMMYFUNCTION("""COMPUTED_VALUE"""),27500)</f>
        <v>27500</v>
      </c>
      <c r="O71" s="21">
        <f ca="1">IFERROR(__xludf.DUMMYFUNCTION("""COMPUTED_VALUE"""),3000)</f>
        <v>3000</v>
      </c>
      <c r="P71" s="21">
        <f ca="1">IFERROR(__xludf.DUMMYFUNCTION("""COMPUTED_VALUE"""),3000)</f>
        <v>3000</v>
      </c>
      <c r="Q71" s="23">
        <f ca="1">IFERROR(__xludf.DUMMYFUNCTION("""COMPUTED_VALUE"""),0)</f>
        <v>0</v>
      </c>
      <c r="R71" s="11">
        <f ca="1">IFERROR(__xludf.DUMMYFUNCTION("""COMPUTED_VALUE"""),0)</f>
        <v>0</v>
      </c>
      <c r="S71" s="23">
        <f ca="1">IFERROR(__xludf.DUMMYFUNCTION("""COMPUTED_VALUE"""),0)</f>
        <v>0</v>
      </c>
      <c r="T71" s="24">
        <f ca="1">IFERROR(__xludf.DUMMYFUNCTION("""COMPUTED_VALUE"""),0)</f>
        <v>0</v>
      </c>
      <c r="U71" s="23">
        <f ca="1">IFERROR(__xludf.DUMMYFUNCTION("""COMPUTED_VALUE"""),0)</f>
        <v>0</v>
      </c>
      <c r="V71" s="23">
        <f ca="1">IFERROR(__xludf.DUMMYFUNCTION("""COMPUTED_VALUE"""),0)</f>
        <v>0</v>
      </c>
      <c r="W71" s="23">
        <f ca="1">IFERROR(__xludf.DUMMYFUNCTION("""COMPUTED_VALUE"""),0)</f>
        <v>0</v>
      </c>
      <c r="X71" s="23">
        <f ca="1">IFERROR(__xludf.DUMMYFUNCTION("""COMPUTED_VALUE"""),0)</f>
        <v>0</v>
      </c>
      <c r="Y71" s="25">
        <f ca="1">IFERROR(__xludf.DUMMYFUNCTION("""COMPUTED_VALUE"""),0)</f>
        <v>0</v>
      </c>
      <c r="Z71" s="25">
        <f ca="1">IFERROR(__xludf.DUMMYFUNCTION("""COMPUTED_VALUE"""),0)</f>
        <v>0</v>
      </c>
      <c r="AA71" s="25">
        <f ca="1">IFERROR(__xludf.DUMMYFUNCTION("""COMPUTED_VALUE"""),0)</f>
        <v>0</v>
      </c>
      <c r="AB71" s="25">
        <f ca="1">IFERROR(__xludf.DUMMYFUNCTION("""COMPUTED_VALUE"""),0)</f>
        <v>0</v>
      </c>
      <c r="AC71" s="23">
        <f ca="1">IFERROR(__xludf.DUMMYFUNCTION("""COMPUTED_VALUE"""),0)</f>
        <v>0</v>
      </c>
      <c r="AD71" s="26" t="str">
        <f ca="1">IFERROR(__xludf.DUMMYFUNCTION("""COMPUTED_VALUE"""),"FREESHIP CARD")</f>
        <v>FREESHIP CARD</v>
      </c>
      <c r="AE71" s="27"/>
    </row>
    <row r="72" spans="1:31" ht="14.3">
      <c r="A72" s="18" t="str">
        <f ca="1">IFERROR(__xludf.DUMMYFUNCTION("""COMPUTED_VALUE"""),"23SDSCE01047")</f>
        <v>23SDSCE01047</v>
      </c>
      <c r="B72" s="19" t="str">
        <f ca="1">IFERROR(__xludf.DUMMYFUNCTION("""COMPUTED_VALUE"""),"CHOTALIYA KEYUR BHARATBHAI")</f>
        <v>CHOTALIYA KEYUR BHARATBHAI</v>
      </c>
      <c r="C72" s="18" t="str">
        <f ca="1">IFERROR(__xludf.DUMMYFUNCTION("""COMPUTED_VALUE"""),"SDS")</f>
        <v>SDS</v>
      </c>
      <c r="D72" s="18" t="str">
        <f ca="1">IFERROR(__xludf.DUMMYFUNCTION("""COMPUTED_VALUE"""),"DCE")</f>
        <v>DCE</v>
      </c>
      <c r="E72" s="18">
        <f ca="1">IFERROR(__xludf.DUMMYFUNCTION("""COMPUTED_VALUE"""),2)</f>
        <v>2</v>
      </c>
      <c r="F72" s="18" t="str">
        <f ca="1">IFERROR(__xludf.DUMMYFUNCTION("""COMPUTED_VALUE"""),"9016099003 9824216146")</f>
        <v>9016099003 9824216146</v>
      </c>
      <c r="G72" s="18" t="str">
        <f ca="1">IFERROR(__xludf.DUMMYFUNCTION("""COMPUTED_VALUE"""),"9016099003 9824216146")</f>
        <v>9016099003 9824216146</v>
      </c>
      <c r="H72" s="18" t="str">
        <f ca="1">IFERROR(__xludf.DUMMYFUNCTION("""COMPUTED_VALUE"""),"DCE_2023-26")</f>
        <v>DCE_2023-26</v>
      </c>
      <c r="I72" s="20"/>
      <c r="J72" s="21">
        <f ca="1">IFERROR(__xludf.DUMMYFUNCTION("""COMPUTED_VALUE"""),27500)</f>
        <v>27500</v>
      </c>
      <c r="K72" s="21">
        <f ca="1">IFERROR(__xludf.DUMMYFUNCTION("""COMPUTED_VALUE"""),27500)</f>
        <v>27500</v>
      </c>
      <c r="L72" s="21">
        <f ca="1">IFERROR(__xludf.DUMMYFUNCTION("""COMPUTED_VALUE"""),0)</f>
        <v>0</v>
      </c>
      <c r="M72" s="23">
        <f ca="1">IFERROR(__xludf.DUMMYFUNCTION("""COMPUTED_VALUE"""),0)</f>
        <v>0</v>
      </c>
      <c r="N72" s="21">
        <f ca="1">IFERROR(__xludf.DUMMYFUNCTION("""COMPUTED_VALUE"""),0)</f>
        <v>0</v>
      </c>
      <c r="O72" s="21">
        <f ca="1">IFERROR(__xludf.DUMMYFUNCTION("""COMPUTED_VALUE"""),3000)</f>
        <v>3000</v>
      </c>
      <c r="P72" s="21">
        <f ca="1">IFERROR(__xludf.DUMMYFUNCTION("""COMPUTED_VALUE"""),3000)</f>
        <v>3000</v>
      </c>
      <c r="Q72" s="23">
        <f ca="1">IFERROR(__xludf.DUMMYFUNCTION("""COMPUTED_VALUE"""),0)</f>
        <v>0</v>
      </c>
      <c r="R72" s="11">
        <f ca="1">IFERROR(__xludf.DUMMYFUNCTION("""COMPUTED_VALUE"""),0)</f>
        <v>0</v>
      </c>
      <c r="S72" s="23">
        <f ca="1">IFERROR(__xludf.DUMMYFUNCTION("""COMPUTED_VALUE"""),0)</f>
        <v>0</v>
      </c>
      <c r="T72" s="24">
        <f ca="1">IFERROR(__xludf.DUMMYFUNCTION("""COMPUTED_VALUE"""),0)</f>
        <v>0</v>
      </c>
      <c r="U72" s="23">
        <f ca="1">IFERROR(__xludf.DUMMYFUNCTION("""COMPUTED_VALUE"""),0)</f>
        <v>0</v>
      </c>
      <c r="V72" s="23">
        <f ca="1">IFERROR(__xludf.DUMMYFUNCTION("""COMPUTED_VALUE"""),0)</f>
        <v>0</v>
      </c>
      <c r="W72" s="23">
        <f ca="1">IFERROR(__xludf.DUMMYFUNCTION("""COMPUTED_VALUE"""),0)</f>
        <v>0</v>
      </c>
      <c r="X72" s="23">
        <f ca="1">IFERROR(__xludf.DUMMYFUNCTION("""COMPUTED_VALUE"""),0)</f>
        <v>0</v>
      </c>
      <c r="Y72" s="25">
        <f ca="1">IFERROR(__xludf.DUMMYFUNCTION("""COMPUTED_VALUE"""),0)</f>
        <v>0</v>
      </c>
      <c r="Z72" s="25">
        <f ca="1">IFERROR(__xludf.DUMMYFUNCTION("""COMPUTED_VALUE"""),0)</f>
        <v>0</v>
      </c>
      <c r="AA72" s="25">
        <f ca="1">IFERROR(__xludf.DUMMYFUNCTION("""COMPUTED_VALUE"""),0)</f>
        <v>0</v>
      </c>
      <c r="AB72" s="25">
        <f ca="1">IFERROR(__xludf.DUMMYFUNCTION("""COMPUTED_VALUE"""),0)</f>
        <v>0</v>
      </c>
      <c r="AC72" s="23">
        <f ca="1">IFERROR(__xludf.DUMMYFUNCTION("""COMPUTED_VALUE"""),0)</f>
        <v>0</v>
      </c>
      <c r="AD72" s="26"/>
      <c r="AE72" s="27"/>
    </row>
    <row r="73" spans="1:31" ht="14.3">
      <c r="A73" s="18" t="str">
        <f ca="1">IFERROR(__xludf.DUMMYFUNCTION("""COMPUTED_VALUE"""),"23SDSCE01048")</f>
        <v>23SDSCE01048</v>
      </c>
      <c r="B73" s="19" t="str">
        <f ca="1">IFERROR(__xludf.DUMMYFUNCTION("""COMPUTED_VALUE"""),"DADHANIYA MADHAVKUMAR BHAGVANJIBHAI")</f>
        <v>DADHANIYA MADHAVKUMAR BHAGVANJIBHAI</v>
      </c>
      <c r="C73" s="18" t="str">
        <f ca="1">IFERROR(__xludf.DUMMYFUNCTION("""COMPUTED_VALUE"""),"SDS")</f>
        <v>SDS</v>
      </c>
      <c r="D73" s="18" t="str">
        <f ca="1">IFERROR(__xludf.DUMMYFUNCTION("""COMPUTED_VALUE"""),"DCE")</f>
        <v>DCE</v>
      </c>
      <c r="E73" s="18">
        <f ca="1">IFERROR(__xludf.DUMMYFUNCTION("""COMPUTED_VALUE"""),2)</f>
        <v>2</v>
      </c>
      <c r="F73" s="18" t="str">
        <f ca="1">IFERROR(__xludf.DUMMYFUNCTION("""COMPUTED_VALUE"""),"7984193442 9712482680")</f>
        <v>7984193442 9712482680</v>
      </c>
      <c r="G73" s="18" t="str">
        <f ca="1">IFERROR(__xludf.DUMMYFUNCTION("""COMPUTED_VALUE"""),"7984193442 9712482680")</f>
        <v>7984193442 9712482680</v>
      </c>
      <c r="H73" s="18" t="str">
        <f ca="1">IFERROR(__xludf.DUMMYFUNCTION("""COMPUTED_VALUE"""),"DCE_2023-26")</f>
        <v>DCE_2023-26</v>
      </c>
      <c r="I73" s="20" t="str">
        <f ca="1">IFERROR(__xludf.DUMMYFUNCTION("""COMPUTED_VALUE"""),"KSP")</f>
        <v>KSP</v>
      </c>
      <c r="J73" s="21">
        <f ca="1">IFERROR(__xludf.DUMMYFUNCTION("""COMPUTED_VALUE"""),27500)</f>
        <v>27500</v>
      </c>
      <c r="K73" s="21">
        <f ca="1">IFERROR(__xludf.DUMMYFUNCTION("""COMPUTED_VALUE"""),0)</f>
        <v>0</v>
      </c>
      <c r="L73" s="21">
        <f ca="1">IFERROR(__xludf.DUMMYFUNCTION("""COMPUTED_VALUE"""),21250)</f>
        <v>21250</v>
      </c>
      <c r="M73" s="23">
        <f ca="1">IFERROR(__xludf.DUMMYFUNCTION("""COMPUTED_VALUE"""),6250)</f>
        <v>6250</v>
      </c>
      <c r="N73" s="21">
        <f ca="1">IFERROR(__xludf.DUMMYFUNCTION("""COMPUTED_VALUE"""),21250)</f>
        <v>21250</v>
      </c>
      <c r="O73" s="21">
        <f ca="1">IFERROR(__xludf.DUMMYFUNCTION("""COMPUTED_VALUE"""),3000)</f>
        <v>3000</v>
      </c>
      <c r="P73" s="21">
        <f ca="1">IFERROR(__xludf.DUMMYFUNCTION("""COMPUTED_VALUE"""),0)</f>
        <v>0</v>
      </c>
      <c r="Q73" s="23">
        <f ca="1">IFERROR(__xludf.DUMMYFUNCTION("""COMPUTED_VALUE"""),3000)</f>
        <v>3000</v>
      </c>
      <c r="R73" s="11">
        <f ca="1">IFERROR(__xludf.DUMMYFUNCTION("""COMPUTED_VALUE"""),0)</f>
        <v>0</v>
      </c>
      <c r="S73" s="23">
        <f ca="1">IFERROR(__xludf.DUMMYFUNCTION("""COMPUTED_VALUE"""),3000)</f>
        <v>3000</v>
      </c>
      <c r="T73" s="24">
        <f ca="1">IFERROR(__xludf.DUMMYFUNCTION("""COMPUTED_VALUE"""),0)</f>
        <v>0</v>
      </c>
      <c r="U73" s="23">
        <f ca="1">IFERROR(__xludf.DUMMYFUNCTION("""COMPUTED_VALUE"""),0)</f>
        <v>0</v>
      </c>
      <c r="V73" s="23">
        <f ca="1">IFERROR(__xludf.DUMMYFUNCTION("""COMPUTED_VALUE"""),0)</f>
        <v>0</v>
      </c>
      <c r="W73" s="23">
        <f ca="1">IFERROR(__xludf.DUMMYFUNCTION("""COMPUTED_VALUE"""),0)</f>
        <v>0</v>
      </c>
      <c r="X73" s="23">
        <f ca="1">IFERROR(__xludf.DUMMYFUNCTION("""COMPUTED_VALUE"""),0)</f>
        <v>0</v>
      </c>
      <c r="Y73" s="25">
        <f ca="1">IFERROR(__xludf.DUMMYFUNCTION("""COMPUTED_VALUE"""),0)</f>
        <v>0</v>
      </c>
      <c r="Z73" s="25">
        <f ca="1">IFERROR(__xludf.DUMMYFUNCTION("""COMPUTED_VALUE"""),0)</f>
        <v>0</v>
      </c>
      <c r="AA73" s="25">
        <f ca="1">IFERROR(__xludf.DUMMYFUNCTION("""COMPUTED_VALUE"""),0)</f>
        <v>0</v>
      </c>
      <c r="AB73" s="25">
        <f ca="1">IFERROR(__xludf.DUMMYFUNCTION("""COMPUTED_VALUE"""),0)</f>
        <v>0</v>
      </c>
      <c r="AC73" s="23">
        <f ca="1">IFERROR(__xludf.DUMMYFUNCTION("""COMPUTED_VALUE"""),0)</f>
        <v>0</v>
      </c>
      <c r="AD73" s="26" t="str">
        <f ca="1">IFERROR(__xludf.DUMMYFUNCTION("""COMPUTED_VALUE"""),"KSPS ( 6250/- )")</f>
        <v>KSPS ( 6250/- )</v>
      </c>
      <c r="AE73" s="27"/>
    </row>
    <row r="74" spans="1:31" ht="14.3">
      <c r="A74" s="18" t="str">
        <f ca="1">IFERROR(__xludf.DUMMYFUNCTION("""COMPUTED_VALUE"""),"23SDSCE01049")</f>
        <v>23SDSCE01049</v>
      </c>
      <c r="B74" s="19" t="str">
        <f ca="1">IFERROR(__xludf.DUMMYFUNCTION("""COMPUTED_VALUE"""),"DUMANIYA DHRUVBHAI BECHARBHAI")</f>
        <v>DUMANIYA DHRUVBHAI BECHARBHAI</v>
      </c>
      <c r="C74" s="18" t="str">
        <f ca="1">IFERROR(__xludf.DUMMYFUNCTION("""COMPUTED_VALUE"""),"SDS")</f>
        <v>SDS</v>
      </c>
      <c r="D74" s="18" t="str">
        <f ca="1">IFERROR(__xludf.DUMMYFUNCTION("""COMPUTED_VALUE"""),"DCE")</f>
        <v>DCE</v>
      </c>
      <c r="E74" s="18">
        <f ca="1">IFERROR(__xludf.DUMMYFUNCTION("""COMPUTED_VALUE"""),2)</f>
        <v>2</v>
      </c>
      <c r="F74" s="18" t="str">
        <f ca="1">IFERROR(__xludf.DUMMYFUNCTION("""COMPUTED_VALUE"""),"9313018190 9537358777")</f>
        <v>9313018190 9537358777</v>
      </c>
      <c r="G74" s="18" t="str">
        <f ca="1">IFERROR(__xludf.DUMMYFUNCTION("""COMPUTED_VALUE"""),"9313018190 9537358777")</f>
        <v>9313018190 9537358777</v>
      </c>
      <c r="H74" s="18" t="str">
        <f ca="1">IFERROR(__xludf.DUMMYFUNCTION("""COMPUTED_VALUE"""),"DCE_2023-26")</f>
        <v>DCE_2023-26</v>
      </c>
      <c r="I74" s="20"/>
      <c r="J74" s="21">
        <f ca="1">IFERROR(__xludf.DUMMYFUNCTION("""COMPUTED_VALUE"""),27500)</f>
        <v>27500</v>
      </c>
      <c r="K74" s="21">
        <f ca="1">IFERROR(__xludf.DUMMYFUNCTION("""COMPUTED_VALUE"""),27500)</f>
        <v>27500</v>
      </c>
      <c r="L74" s="21">
        <f ca="1">IFERROR(__xludf.DUMMYFUNCTION("""COMPUTED_VALUE"""),0)</f>
        <v>0</v>
      </c>
      <c r="M74" s="23">
        <f ca="1">IFERROR(__xludf.DUMMYFUNCTION("""COMPUTED_VALUE"""),0)</f>
        <v>0</v>
      </c>
      <c r="N74" s="21">
        <f ca="1">IFERROR(__xludf.DUMMYFUNCTION("""COMPUTED_VALUE"""),0)</f>
        <v>0</v>
      </c>
      <c r="O74" s="21">
        <f ca="1">IFERROR(__xludf.DUMMYFUNCTION("""COMPUTED_VALUE"""),3000)</f>
        <v>3000</v>
      </c>
      <c r="P74" s="21">
        <f ca="1">IFERROR(__xludf.DUMMYFUNCTION("""COMPUTED_VALUE"""),3000)</f>
        <v>3000</v>
      </c>
      <c r="Q74" s="23">
        <f ca="1">IFERROR(__xludf.DUMMYFUNCTION("""COMPUTED_VALUE"""),0)</f>
        <v>0</v>
      </c>
      <c r="R74" s="11">
        <f ca="1">IFERROR(__xludf.DUMMYFUNCTION("""COMPUTED_VALUE"""),0)</f>
        <v>0</v>
      </c>
      <c r="S74" s="23">
        <f ca="1">IFERROR(__xludf.DUMMYFUNCTION("""COMPUTED_VALUE"""),0)</f>
        <v>0</v>
      </c>
      <c r="T74" s="24">
        <f ca="1">IFERROR(__xludf.DUMMYFUNCTION("""COMPUTED_VALUE"""),0)</f>
        <v>0</v>
      </c>
      <c r="U74" s="23">
        <f ca="1">IFERROR(__xludf.DUMMYFUNCTION("""COMPUTED_VALUE"""),0)</f>
        <v>0</v>
      </c>
      <c r="V74" s="23">
        <f ca="1">IFERROR(__xludf.DUMMYFUNCTION("""COMPUTED_VALUE"""),0)</f>
        <v>0</v>
      </c>
      <c r="W74" s="23">
        <f ca="1">IFERROR(__xludf.DUMMYFUNCTION("""COMPUTED_VALUE"""),0)</f>
        <v>0</v>
      </c>
      <c r="X74" s="23">
        <f ca="1">IFERROR(__xludf.DUMMYFUNCTION("""COMPUTED_VALUE"""),0)</f>
        <v>0</v>
      </c>
      <c r="Y74" s="25">
        <f ca="1">IFERROR(__xludf.DUMMYFUNCTION("""COMPUTED_VALUE"""),0)</f>
        <v>0</v>
      </c>
      <c r="Z74" s="25">
        <f ca="1">IFERROR(__xludf.DUMMYFUNCTION("""COMPUTED_VALUE"""),0)</f>
        <v>0</v>
      </c>
      <c r="AA74" s="25">
        <f ca="1">IFERROR(__xludf.DUMMYFUNCTION("""COMPUTED_VALUE"""),0)</f>
        <v>0</v>
      </c>
      <c r="AB74" s="25">
        <f ca="1">IFERROR(__xludf.DUMMYFUNCTION("""COMPUTED_VALUE"""),0)</f>
        <v>0</v>
      </c>
      <c r="AC74" s="23">
        <f ca="1">IFERROR(__xludf.DUMMYFUNCTION("""COMPUTED_VALUE"""),0)</f>
        <v>0</v>
      </c>
      <c r="AD74" s="26"/>
      <c r="AE74" s="27"/>
    </row>
    <row r="75" spans="1:31" ht="14.3">
      <c r="A75" s="18" t="str">
        <f ca="1">IFERROR(__xludf.DUMMYFUNCTION("""COMPUTED_VALUE"""),"23SDSCE01050")</f>
        <v>23SDSCE01050</v>
      </c>
      <c r="B75" s="19" t="str">
        <f ca="1">IFERROR(__xludf.DUMMYFUNCTION("""COMPUTED_VALUE"""),"GAMBHAVA NIRAJ VIJAYBHAI")</f>
        <v>GAMBHAVA NIRAJ VIJAYBHAI</v>
      </c>
      <c r="C75" s="18" t="str">
        <f ca="1">IFERROR(__xludf.DUMMYFUNCTION("""COMPUTED_VALUE"""),"SDS")</f>
        <v>SDS</v>
      </c>
      <c r="D75" s="18" t="str">
        <f ca="1">IFERROR(__xludf.DUMMYFUNCTION("""COMPUTED_VALUE"""),"DCE")</f>
        <v>DCE</v>
      </c>
      <c r="E75" s="18">
        <f ca="1">IFERROR(__xludf.DUMMYFUNCTION("""COMPUTED_VALUE"""),2)</f>
        <v>2</v>
      </c>
      <c r="F75" s="18" t="str">
        <f ca="1">IFERROR(__xludf.DUMMYFUNCTION("""COMPUTED_VALUE"""),"9624765055 9904538702")</f>
        <v>9624765055 9904538702</v>
      </c>
      <c r="G75" s="18" t="str">
        <f ca="1">IFERROR(__xludf.DUMMYFUNCTION("""COMPUTED_VALUE"""),"9624765055 9904538702")</f>
        <v>9624765055 9904538702</v>
      </c>
      <c r="H75" s="18" t="str">
        <f ca="1">IFERROR(__xludf.DUMMYFUNCTION("""COMPUTED_VALUE"""),"DCE_2023-26")</f>
        <v>DCE_2023-26</v>
      </c>
      <c r="I75" s="20"/>
      <c r="J75" s="21">
        <f ca="1">IFERROR(__xludf.DUMMYFUNCTION("""COMPUTED_VALUE"""),27500)</f>
        <v>27500</v>
      </c>
      <c r="K75" s="21">
        <f ca="1">IFERROR(__xludf.DUMMYFUNCTION("""COMPUTED_VALUE"""),0)</f>
        <v>0</v>
      </c>
      <c r="L75" s="21">
        <f ca="1">IFERROR(__xludf.DUMMYFUNCTION("""COMPUTED_VALUE"""),0)</f>
        <v>0</v>
      </c>
      <c r="M75" s="23">
        <f ca="1">IFERROR(__xludf.DUMMYFUNCTION("""COMPUTED_VALUE"""),0)</f>
        <v>0</v>
      </c>
      <c r="N75" s="21">
        <f ca="1">IFERROR(__xludf.DUMMYFUNCTION("""COMPUTED_VALUE"""),27500)</f>
        <v>27500</v>
      </c>
      <c r="O75" s="21">
        <f ca="1">IFERROR(__xludf.DUMMYFUNCTION("""COMPUTED_VALUE"""),3000)</f>
        <v>3000</v>
      </c>
      <c r="P75" s="21">
        <f ca="1">IFERROR(__xludf.DUMMYFUNCTION("""COMPUTED_VALUE"""),0)</f>
        <v>0</v>
      </c>
      <c r="Q75" s="23">
        <f ca="1">IFERROR(__xludf.DUMMYFUNCTION("""COMPUTED_VALUE"""),0)</f>
        <v>0</v>
      </c>
      <c r="R75" s="11">
        <f ca="1">IFERROR(__xludf.DUMMYFUNCTION("""COMPUTED_VALUE"""),0)</f>
        <v>0</v>
      </c>
      <c r="S75" s="23">
        <f ca="1">IFERROR(__xludf.DUMMYFUNCTION("""COMPUTED_VALUE"""),3000)</f>
        <v>3000</v>
      </c>
      <c r="T75" s="24">
        <f ca="1">IFERROR(__xludf.DUMMYFUNCTION("""COMPUTED_VALUE"""),0)</f>
        <v>0</v>
      </c>
      <c r="U75" s="23">
        <f ca="1">IFERROR(__xludf.DUMMYFUNCTION("""COMPUTED_VALUE"""),0)</f>
        <v>0</v>
      </c>
      <c r="V75" s="23">
        <f ca="1">IFERROR(__xludf.DUMMYFUNCTION("""COMPUTED_VALUE"""),0)</f>
        <v>0</v>
      </c>
      <c r="W75" s="23">
        <f ca="1">IFERROR(__xludf.DUMMYFUNCTION("""COMPUTED_VALUE"""),0)</f>
        <v>0</v>
      </c>
      <c r="X75" s="23">
        <f ca="1">IFERROR(__xludf.DUMMYFUNCTION("""COMPUTED_VALUE"""),0)</f>
        <v>0</v>
      </c>
      <c r="Y75" s="25">
        <f ca="1">IFERROR(__xludf.DUMMYFUNCTION("""COMPUTED_VALUE"""),0)</f>
        <v>0</v>
      </c>
      <c r="Z75" s="25">
        <f ca="1">IFERROR(__xludf.DUMMYFUNCTION("""COMPUTED_VALUE"""),0)</f>
        <v>0</v>
      </c>
      <c r="AA75" s="25">
        <f ca="1">IFERROR(__xludf.DUMMYFUNCTION("""COMPUTED_VALUE"""),0)</f>
        <v>0</v>
      </c>
      <c r="AB75" s="25">
        <f ca="1">IFERROR(__xludf.DUMMYFUNCTION("""COMPUTED_VALUE"""),0)</f>
        <v>0</v>
      </c>
      <c r="AC75" s="23">
        <f ca="1">IFERROR(__xludf.DUMMYFUNCTION("""COMPUTED_VALUE"""),0)</f>
        <v>0</v>
      </c>
      <c r="AD75" s="26"/>
      <c r="AE75" s="27"/>
    </row>
    <row r="76" spans="1:31" ht="14.3">
      <c r="A76" s="18" t="str">
        <f ca="1">IFERROR(__xludf.DUMMYFUNCTION("""COMPUTED_VALUE"""),"23SDSCE01051")</f>
        <v>23SDSCE01051</v>
      </c>
      <c r="B76" s="19" t="str">
        <f ca="1">IFERROR(__xludf.DUMMYFUNCTION("""COMPUTED_VALUE"""),"GOHIL AMAN NILESHBHAI")</f>
        <v>GOHIL AMAN NILESHBHAI</v>
      </c>
      <c r="C76" s="18" t="str">
        <f ca="1">IFERROR(__xludf.DUMMYFUNCTION("""COMPUTED_VALUE"""),"SDS")</f>
        <v>SDS</v>
      </c>
      <c r="D76" s="18" t="str">
        <f ca="1">IFERROR(__xludf.DUMMYFUNCTION("""COMPUTED_VALUE"""),"DCE")</f>
        <v>DCE</v>
      </c>
      <c r="E76" s="18">
        <f ca="1">IFERROR(__xludf.DUMMYFUNCTION("""COMPUTED_VALUE"""),2)</f>
        <v>2</v>
      </c>
      <c r="F76" s="18" t="str">
        <f ca="1">IFERROR(__xludf.DUMMYFUNCTION("""COMPUTED_VALUE"""),"9624213365 9979221099")</f>
        <v>9624213365 9979221099</v>
      </c>
      <c r="G76" s="18" t="str">
        <f ca="1">IFERROR(__xludf.DUMMYFUNCTION("""COMPUTED_VALUE"""),"9624213365 9979221099")</f>
        <v>9624213365 9979221099</v>
      </c>
      <c r="H76" s="18" t="str">
        <f ca="1">IFERROR(__xludf.DUMMYFUNCTION("""COMPUTED_VALUE"""),"DCE_2023-26")</f>
        <v>DCE_2023-26</v>
      </c>
      <c r="I76" s="20"/>
      <c r="J76" s="21">
        <f ca="1">IFERROR(__xludf.DUMMYFUNCTION("""COMPUTED_VALUE"""),27500)</f>
        <v>27500</v>
      </c>
      <c r="K76" s="21">
        <f ca="1">IFERROR(__xludf.DUMMYFUNCTION("""COMPUTED_VALUE"""),27500)</f>
        <v>27500</v>
      </c>
      <c r="L76" s="21">
        <f ca="1">IFERROR(__xludf.DUMMYFUNCTION("""COMPUTED_VALUE"""),0)</f>
        <v>0</v>
      </c>
      <c r="M76" s="23">
        <f ca="1">IFERROR(__xludf.DUMMYFUNCTION("""COMPUTED_VALUE"""),0)</f>
        <v>0</v>
      </c>
      <c r="N76" s="21">
        <f ca="1">IFERROR(__xludf.DUMMYFUNCTION("""COMPUTED_VALUE"""),0)</f>
        <v>0</v>
      </c>
      <c r="O76" s="21">
        <f ca="1">IFERROR(__xludf.DUMMYFUNCTION("""COMPUTED_VALUE"""),3000)</f>
        <v>3000</v>
      </c>
      <c r="P76" s="21">
        <f ca="1">IFERROR(__xludf.DUMMYFUNCTION("""COMPUTED_VALUE"""),3000)</f>
        <v>3000</v>
      </c>
      <c r="Q76" s="23">
        <f ca="1">IFERROR(__xludf.DUMMYFUNCTION("""COMPUTED_VALUE"""),0)</f>
        <v>0</v>
      </c>
      <c r="R76" s="11">
        <f ca="1">IFERROR(__xludf.DUMMYFUNCTION("""COMPUTED_VALUE"""),0)</f>
        <v>0</v>
      </c>
      <c r="S76" s="23">
        <f ca="1">IFERROR(__xludf.DUMMYFUNCTION("""COMPUTED_VALUE"""),0)</f>
        <v>0</v>
      </c>
      <c r="T76" s="24">
        <f ca="1">IFERROR(__xludf.DUMMYFUNCTION("""COMPUTED_VALUE"""),0)</f>
        <v>0</v>
      </c>
      <c r="U76" s="23">
        <f ca="1">IFERROR(__xludf.DUMMYFUNCTION("""COMPUTED_VALUE"""),0)</f>
        <v>0</v>
      </c>
      <c r="V76" s="23">
        <f ca="1">IFERROR(__xludf.DUMMYFUNCTION("""COMPUTED_VALUE"""),0)</f>
        <v>0</v>
      </c>
      <c r="W76" s="23">
        <f ca="1">IFERROR(__xludf.DUMMYFUNCTION("""COMPUTED_VALUE"""),0)</f>
        <v>0</v>
      </c>
      <c r="X76" s="23">
        <f ca="1">IFERROR(__xludf.DUMMYFUNCTION("""COMPUTED_VALUE"""),0)</f>
        <v>0</v>
      </c>
      <c r="Y76" s="25">
        <f ca="1">IFERROR(__xludf.DUMMYFUNCTION("""COMPUTED_VALUE"""),0)</f>
        <v>0</v>
      </c>
      <c r="Z76" s="25">
        <f ca="1">IFERROR(__xludf.DUMMYFUNCTION("""COMPUTED_VALUE"""),0)</f>
        <v>0</v>
      </c>
      <c r="AA76" s="25">
        <f ca="1">IFERROR(__xludf.DUMMYFUNCTION("""COMPUTED_VALUE"""),0)</f>
        <v>0</v>
      </c>
      <c r="AB76" s="25">
        <f ca="1">IFERROR(__xludf.DUMMYFUNCTION("""COMPUTED_VALUE"""),0)</f>
        <v>0</v>
      </c>
      <c r="AC76" s="23">
        <f ca="1">IFERROR(__xludf.DUMMYFUNCTION("""COMPUTED_VALUE"""),0)</f>
        <v>0</v>
      </c>
      <c r="AD76" s="26"/>
      <c r="AE76" s="27"/>
    </row>
    <row r="77" spans="1:31" ht="14.3">
      <c r="A77" s="18" t="str">
        <f ca="1">IFERROR(__xludf.DUMMYFUNCTION("""COMPUTED_VALUE"""),"23SDSCE01052")</f>
        <v>23SDSCE01052</v>
      </c>
      <c r="B77" s="19" t="str">
        <f ca="1">IFERROR(__xludf.DUMMYFUNCTION("""COMPUTED_VALUE"""),"GUDALIYA JAYKUMAR AMRUTBHAI")</f>
        <v>GUDALIYA JAYKUMAR AMRUTBHAI</v>
      </c>
      <c r="C77" s="18" t="str">
        <f ca="1">IFERROR(__xludf.DUMMYFUNCTION("""COMPUTED_VALUE"""),"SDS")</f>
        <v>SDS</v>
      </c>
      <c r="D77" s="18" t="str">
        <f ca="1">IFERROR(__xludf.DUMMYFUNCTION("""COMPUTED_VALUE"""),"DCE")</f>
        <v>DCE</v>
      </c>
      <c r="E77" s="18">
        <f ca="1">IFERROR(__xludf.DUMMYFUNCTION("""COMPUTED_VALUE"""),2)</f>
        <v>2</v>
      </c>
      <c r="F77" s="18" t="str">
        <f ca="1">IFERROR(__xludf.DUMMYFUNCTION("""COMPUTED_VALUE"""),"9824637560 9408825895")</f>
        <v>9824637560 9408825895</v>
      </c>
      <c r="G77" s="18" t="str">
        <f ca="1">IFERROR(__xludf.DUMMYFUNCTION("""COMPUTED_VALUE"""),"9824637560 9408825895")</f>
        <v>9824637560 9408825895</v>
      </c>
      <c r="H77" s="18" t="str">
        <f ca="1">IFERROR(__xludf.DUMMYFUNCTION("""COMPUTED_VALUE"""),"DCE_2023-26")</f>
        <v>DCE_2023-26</v>
      </c>
      <c r="I77" s="20"/>
      <c r="J77" s="21">
        <f ca="1">IFERROR(__xludf.DUMMYFUNCTION("""COMPUTED_VALUE"""),27500)</f>
        <v>27500</v>
      </c>
      <c r="K77" s="21">
        <f ca="1">IFERROR(__xludf.DUMMYFUNCTION("""COMPUTED_VALUE"""),27500)</f>
        <v>27500</v>
      </c>
      <c r="L77" s="21">
        <f ca="1">IFERROR(__xludf.DUMMYFUNCTION("""COMPUTED_VALUE"""),0)</f>
        <v>0</v>
      </c>
      <c r="M77" s="23">
        <f ca="1">IFERROR(__xludf.DUMMYFUNCTION("""COMPUTED_VALUE"""),0)</f>
        <v>0</v>
      </c>
      <c r="N77" s="21">
        <f ca="1">IFERROR(__xludf.DUMMYFUNCTION("""COMPUTED_VALUE"""),0)</f>
        <v>0</v>
      </c>
      <c r="O77" s="21">
        <f ca="1">IFERROR(__xludf.DUMMYFUNCTION("""COMPUTED_VALUE"""),3000)</f>
        <v>3000</v>
      </c>
      <c r="P77" s="21">
        <f ca="1">IFERROR(__xludf.DUMMYFUNCTION("""COMPUTED_VALUE"""),3000)</f>
        <v>3000</v>
      </c>
      <c r="Q77" s="23">
        <f ca="1">IFERROR(__xludf.DUMMYFUNCTION("""COMPUTED_VALUE"""),0)</f>
        <v>0</v>
      </c>
      <c r="R77" s="11">
        <f ca="1">IFERROR(__xludf.DUMMYFUNCTION("""COMPUTED_VALUE"""),0)</f>
        <v>0</v>
      </c>
      <c r="S77" s="23">
        <f ca="1">IFERROR(__xludf.DUMMYFUNCTION("""COMPUTED_VALUE"""),0)</f>
        <v>0</v>
      </c>
      <c r="T77" s="24">
        <f ca="1">IFERROR(__xludf.DUMMYFUNCTION("""COMPUTED_VALUE"""),0)</f>
        <v>0</v>
      </c>
      <c r="U77" s="23">
        <f ca="1">IFERROR(__xludf.DUMMYFUNCTION("""COMPUTED_VALUE"""),0)</f>
        <v>0</v>
      </c>
      <c r="V77" s="23">
        <f ca="1">IFERROR(__xludf.DUMMYFUNCTION("""COMPUTED_VALUE"""),0)</f>
        <v>0</v>
      </c>
      <c r="W77" s="23">
        <f ca="1">IFERROR(__xludf.DUMMYFUNCTION("""COMPUTED_VALUE"""),0)</f>
        <v>0</v>
      </c>
      <c r="X77" s="23">
        <f ca="1">IFERROR(__xludf.DUMMYFUNCTION("""COMPUTED_VALUE"""),0)</f>
        <v>0</v>
      </c>
      <c r="Y77" s="25">
        <f ca="1">IFERROR(__xludf.DUMMYFUNCTION("""COMPUTED_VALUE"""),0)</f>
        <v>0</v>
      </c>
      <c r="Z77" s="25">
        <f ca="1">IFERROR(__xludf.DUMMYFUNCTION("""COMPUTED_VALUE"""),0)</f>
        <v>0</v>
      </c>
      <c r="AA77" s="25">
        <f ca="1">IFERROR(__xludf.DUMMYFUNCTION("""COMPUTED_VALUE"""),0)</f>
        <v>0</v>
      </c>
      <c r="AB77" s="25">
        <f ca="1">IFERROR(__xludf.DUMMYFUNCTION("""COMPUTED_VALUE"""),0)</f>
        <v>0</v>
      </c>
      <c r="AC77" s="23">
        <f ca="1">IFERROR(__xludf.DUMMYFUNCTION("""COMPUTED_VALUE"""),0)</f>
        <v>0</v>
      </c>
      <c r="AD77" s="26"/>
      <c r="AE77" s="27"/>
    </row>
    <row r="78" spans="1:31" ht="14.3">
      <c r="A78" s="18" t="str">
        <f ca="1">IFERROR(__xludf.DUMMYFUNCTION("""COMPUTED_VALUE"""),"23SDSCE01054")</f>
        <v>23SDSCE01054</v>
      </c>
      <c r="B78" s="19" t="str">
        <f ca="1">IFERROR(__xludf.DUMMYFUNCTION("""COMPUTED_VALUE"""),"JADEJA DIVYRAJSINH KRUSHNASINH")</f>
        <v>JADEJA DIVYRAJSINH KRUSHNASINH</v>
      </c>
      <c r="C78" s="18" t="str">
        <f ca="1">IFERROR(__xludf.DUMMYFUNCTION("""COMPUTED_VALUE"""),"SDS")</f>
        <v>SDS</v>
      </c>
      <c r="D78" s="18" t="str">
        <f ca="1">IFERROR(__xludf.DUMMYFUNCTION("""COMPUTED_VALUE"""),"DCE")</f>
        <v>DCE</v>
      </c>
      <c r="E78" s="18">
        <f ca="1">IFERROR(__xludf.DUMMYFUNCTION("""COMPUTED_VALUE"""),2)</f>
        <v>2</v>
      </c>
      <c r="F78" s="18" t="str">
        <f ca="1">IFERROR(__xludf.DUMMYFUNCTION("""COMPUTED_VALUE"""),"8866653770 9377128947")</f>
        <v>8866653770 9377128947</v>
      </c>
      <c r="G78" s="18" t="str">
        <f ca="1">IFERROR(__xludf.DUMMYFUNCTION("""COMPUTED_VALUE"""),"8866653770 9377128947")</f>
        <v>8866653770 9377128947</v>
      </c>
      <c r="H78" s="18" t="str">
        <f ca="1">IFERROR(__xludf.DUMMYFUNCTION("""COMPUTED_VALUE"""),"DCE_2023-26")</f>
        <v>DCE_2023-26</v>
      </c>
      <c r="I78" s="20" t="str">
        <f ca="1">IFERROR(__xludf.DUMMYFUNCTION("""COMPUTED_VALUE"""),"KSP")</f>
        <v>KSP</v>
      </c>
      <c r="J78" s="21">
        <f ca="1">IFERROR(__xludf.DUMMYFUNCTION("""COMPUTED_VALUE"""),27500)</f>
        <v>27500</v>
      </c>
      <c r="K78" s="21">
        <f ca="1">IFERROR(__xludf.DUMMYFUNCTION("""COMPUTED_VALUE"""),21250)</f>
        <v>21250</v>
      </c>
      <c r="L78" s="21">
        <f ca="1">IFERROR(__xludf.DUMMYFUNCTION("""COMPUTED_VALUE"""),0)</f>
        <v>0</v>
      </c>
      <c r="M78" s="23">
        <f ca="1">IFERROR(__xludf.DUMMYFUNCTION("""COMPUTED_VALUE"""),6250)</f>
        <v>6250</v>
      </c>
      <c r="N78" s="21">
        <f ca="1">IFERROR(__xludf.DUMMYFUNCTION("""COMPUTED_VALUE"""),0)</f>
        <v>0</v>
      </c>
      <c r="O78" s="21">
        <f ca="1">IFERROR(__xludf.DUMMYFUNCTION("""COMPUTED_VALUE"""),3000)</f>
        <v>3000</v>
      </c>
      <c r="P78" s="21">
        <f ca="1">IFERROR(__xludf.DUMMYFUNCTION("""COMPUTED_VALUE"""),3000)</f>
        <v>3000</v>
      </c>
      <c r="Q78" s="23">
        <f ca="1">IFERROR(__xludf.DUMMYFUNCTION("""COMPUTED_VALUE"""),0)</f>
        <v>0</v>
      </c>
      <c r="R78" s="29">
        <f ca="1">IFERROR(__xludf.DUMMYFUNCTION("""COMPUTED_VALUE"""),0)</f>
        <v>0</v>
      </c>
      <c r="S78" s="23">
        <f ca="1">IFERROR(__xludf.DUMMYFUNCTION("""COMPUTED_VALUE"""),0)</f>
        <v>0</v>
      </c>
      <c r="T78" s="24">
        <f ca="1">IFERROR(__xludf.DUMMYFUNCTION("""COMPUTED_VALUE"""),0)</f>
        <v>0</v>
      </c>
      <c r="U78" s="23">
        <f ca="1">IFERROR(__xludf.DUMMYFUNCTION("""COMPUTED_VALUE"""),0)</f>
        <v>0</v>
      </c>
      <c r="V78" s="23">
        <f ca="1">IFERROR(__xludf.DUMMYFUNCTION("""COMPUTED_VALUE"""),0)</f>
        <v>0</v>
      </c>
      <c r="W78" s="23">
        <f ca="1">IFERROR(__xludf.DUMMYFUNCTION("""COMPUTED_VALUE"""),0)</f>
        <v>0</v>
      </c>
      <c r="X78" s="23">
        <f ca="1">IFERROR(__xludf.DUMMYFUNCTION("""COMPUTED_VALUE"""),0)</f>
        <v>0</v>
      </c>
      <c r="Y78" s="25">
        <f ca="1">IFERROR(__xludf.DUMMYFUNCTION("""COMPUTED_VALUE"""),0)</f>
        <v>0</v>
      </c>
      <c r="Z78" s="25">
        <f ca="1">IFERROR(__xludf.DUMMYFUNCTION("""COMPUTED_VALUE"""),0)</f>
        <v>0</v>
      </c>
      <c r="AA78" s="25">
        <f ca="1">IFERROR(__xludf.DUMMYFUNCTION("""COMPUTED_VALUE"""),0)</f>
        <v>0</v>
      </c>
      <c r="AB78" s="25">
        <f ca="1">IFERROR(__xludf.DUMMYFUNCTION("""COMPUTED_VALUE"""),0)</f>
        <v>0</v>
      </c>
      <c r="AC78" s="23">
        <f ca="1">IFERROR(__xludf.DUMMYFUNCTION("""COMPUTED_VALUE"""),0)</f>
        <v>0</v>
      </c>
      <c r="AD78" s="26" t="str">
        <f ca="1">IFERROR(__xludf.DUMMYFUNCTION("""COMPUTED_VALUE"""),"KSPS ( 6250/- )")</f>
        <v>KSPS ( 6250/- )</v>
      </c>
      <c r="AE78" s="27"/>
    </row>
    <row r="79" spans="1:31" ht="28.55">
      <c r="A79" s="18" t="str">
        <f ca="1">IFERROR(__xludf.DUMMYFUNCTION("""COMPUTED_VALUE"""),"23SDSCE01055")</f>
        <v>23SDSCE01055</v>
      </c>
      <c r="B79" s="19" t="str">
        <f ca="1">IFERROR(__xludf.DUMMYFUNCTION("""COMPUTED_VALUE"""),"KABIRA TIMIR MAHESHBHAI")</f>
        <v>KABIRA TIMIR MAHESHBHAI</v>
      </c>
      <c r="C79" s="18" t="str">
        <f ca="1">IFERROR(__xludf.DUMMYFUNCTION("""COMPUTED_VALUE"""),"SDS")</f>
        <v>SDS</v>
      </c>
      <c r="D79" s="18" t="str">
        <f ca="1">IFERROR(__xludf.DUMMYFUNCTION("""COMPUTED_VALUE"""),"DCE")</f>
        <v>DCE</v>
      </c>
      <c r="E79" s="18">
        <f ca="1">IFERROR(__xludf.DUMMYFUNCTION("""COMPUTED_VALUE"""),2)</f>
        <v>2</v>
      </c>
      <c r="F79" s="18" t="str">
        <f ca="1">IFERROR(__xludf.DUMMYFUNCTION("""COMPUTED_VALUE"""),"7383561619 9913743064")</f>
        <v>7383561619 9913743064</v>
      </c>
      <c r="G79" s="18" t="str">
        <f ca="1">IFERROR(__xludf.DUMMYFUNCTION("""COMPUTED_VALUE"""),"7383561619 9913743064")</f>
        <v>7383561619 9913743064</v>
      </c>
      <c r="H79" s="18" t="str">
        <f ca="1">IFERROR(__xludf.DUMMYFUNCTION("""COMPUTED_VALUE"""),"DCE_2023-26")</f>
        <v>DCE_2023-26</v>
      </c>
      <c r="I79" s="20" t="str">
        <f ca="1">IFERROR(__xludf.DUMMYFUNCTION("""COMPUTED_VALUE"""),"FREESHIP CARD")</f>
        <v>FREESHIP CARD</v>
      </c>
      <c r="J79" s="21">
        <f ca="1">IFERROR(__xludf.DUMMYFUNCTION("""COMPUTED_VALUE"""),27500)</f>
        <v>27500</v>
      </c>
      <c r="K79" s="21">
        <f ca="1">IFERROR(__xludf.DUMMYFUNCTION("""COMPUTED_VALUE"""),0)</f>
        <v>0</v>
      </c>
      <c r="L79" s="21">
        <f ca="1">IFERROR(__xludf.DUMMYFUNCTION("""COMPUTED_VALUE"""),0)</f>
        <v>0</v>
      </c>
      <c r="M79" s="23">
        <f ca="1">IFERROR(__xludf.DUMMYFUNCTION("""COMPUTED_VALUE"""),0)</f>
        <v>0</v>
      </c>
      <c r="N79" s="21">
        <f ca="1">IFERROR(__xludf.DUMMYFUNCTION("""COMPUTED_VALUE"""),27500)</f>
        <v>27500</v>
      </c>
      <c r="O79" s="21">
        <f ca="1">IFERROR(__xludf.DUMMYFUNCTION("""COMPUTED_VALUE"""),3000)</f>
        <v>3000</v>
      </c>
      <c r="P79" s="21">
        <f ca="1">IFERROR(__xludf.DUMMYFUNCTION("""COMPUTED_VALUE"""),3000)</f>
        <v>3000</v>
      </c>
      <c r="Q79" s="23">
        <f ca="1">IFERROR(__xludf.DUMMYFUNCTION("""COMPUTED_VALUE"""),0)</f>
        <v>0</v>
      </c>
      <c r="R79" s="11">
        <f ca="1">IFERROR(__xludf.DUMMYFUNCTION("""COMPUTED_VALUE"""),0)</f>
        <v>0</v>
      </c>
      <c r="S79" s="23">
        <f ca="1">IFERROR(__xludf.DUMMYFUNCTION("""COMPUTED_VALUE"""),0)</f>
        <v>0</v>
      </c>
      <c r="T79" s="24">
        <f ca="1">IFERROR(__xludf.DUMMYFUNCTION("""COMPUTED_VALUE"""),0)</f>
        <v>0</v>
      </c>
      <c r="U79" s="23">
        <f ca="1">IFERROR(__xludf.DUMMYFUNCTION("""COMPUTED_VALUE"""),0)</f>
        <v>0</v>
      </c>
      <c r="V79" s="23">
        <f ca="1">IFERROR(__xludf.DUMMYFUNCTION("""COMPUTED_VALUE"""),0)</f>
        <v>0</v>
      </c>
      <c r="W79" s="23">
        <f ca="1">IFERROR(__xludf.DUMMYFUNCTION("""COMPUTED_VALUE"""),0)</f>
        <v>0</v>
      </c>
      <c r="X79" s="23">
        <f ca="1">IFERROR(__xludf.DUMMYFUNCTION("""COMPUTED_VALUE"""),0)</f>
        <v>0</v>
      </c>
      <c r="Y79" s="25">
        <f ca="1">IFERROR(__xludf.DUMMYFUNCTION("""COMPUTED_VALUE"""),0)</f>
        <v>0</v>
      </c>
      <c r="Z79" s="25">
        <f ca="1">IFERROR(__xludf.DUMMYFUNCTION("""COMPUTED_VALUE"""),0)</f>
        <v>0</v>
      </c>
      <c r="AA79" s="25">
        <f ca="1">IFERROR(__xludf.DUMMYFUNCTION("""COMPUTED_VALUE"""),0)</f>
        <v>0</v>
      </c>
      <c r="AB79" s="25">
        <f ca="1">IFERROR(__xludf.DUMMYFUNCTION("""COMPUTED_VALUE"""),0)</f>
        <v>0</v>
      </c>
      <c r="AC79" s="23">
        <f ca="1">IFERROR(__xludf.DUMMYFUNCTION("""COMPUTED_VALUE"""),0)</f>
        <v>0</v>
      </c>
      <c r="AD79" s="26" t="str">
        <f ca="1">IFERROR(__xludf.DUMMYFUNCTION("""COMPUTED_VALUE"""),"FREESHIP CARD")</f>
        <v>FREESHIP CARD</v>
      </c>
      <c r="AE79" s="27"/>
    </row>
    <row r="80" spans="1:31" ht="14.3">
      <c r="A80" s="18" t="str">
        <f ca="1">IFERROR(__xludf.DUMMYFUNCTION("""COMPUTED_VALUE"""),"23SDSCE01056")</f>
        <v>23SDSCE01056</v>
      </c>
      <c r="B80" s="19" t="str">
        <f ca="1">IFERROR(__xludf.DUMMYFUNCTION("""COMPUTED_VALUE"""),"KANSAGARA KAVY HITENDRABHAI")</f>
        <v>KANSAGARA KAVY HITENDRABHAI</v>
      </c>
      <c r="C80" s="18" t="str">
        <f ca="1">IFERROR(__xludf.DUMMYFUNCTION("""COMPUTED_VALUE"""),"SDS")</f>
        <v>SDS</v>
      </c>
      <c r="D80" s="18" t="str">
        <f ca="1">IFERROR(__xludf.DUMMYFUNCTION("""COMPUTED_VALUE"""),"DCE")</f>
        <v>DCE</v>
      </c>
      <c r="E80" s="18">
        <f ca="1">IFERROR(__xludf.DUMMYFUNCTION("""COMPUTED_VALUE"""),2)</f>
        <v>2</v>
      </c>
      <c r="F80" s="18" t="str">
        <f ca="1">IFERROR(__xludf.DUMMYFUNCTION("""COMPUTED_VALUE"""),"9428893870 9998047105")</f>
        <v>9428893870 9998047105</v>
      </c>
      <c r="G80" s="18" t="str">
        <f ca="1">IFERROR(__xludf.DUMMYFUNCTION("""COMPUTED_VALUE"""),"9428893870 9998047105")</f>
        <v>9428893870 9998047105</v>
      </c>
      <c r="H80" s="18" t="str">
        <f ca="1">IFERROR(__xludf.DUMMYFUNCTION("""COMPUTED_VALUE"""),"DCE_2023-26")</f>
        <v>DCE_2023-26</v>
      </c>
      <c r="I80" s="20"/>
      <c r="J80" s="21">
        <f ca="1">IFERROR(__xludf.DUMMYFUNCTION("""COMPUTED_VALUE"""),27500)</f>
        <v>27500</v>
      </c>
      <c r="K80" s="21">
        <f ca="1">IFERROR(__xludf.DUMMYFUNCTION("""COMPUTED_VALUE"""),27500)</f>
        <v>27500</v>
      </c>
      <c r="L80" s="21">
        <f ca="1">IFERROR(__xludf.DUMMYFUNCTION("""COMPUTED_VALUE"""),0)</f>
        <v>0</v>
      </c>
      <c r="M80" s="23">
        <f ca="1">IFERROR(__xludf.DUMMYFUNCTION("""COMPUTED_VALUE"""),0)</f>
        <v>0</v>
      </c>
      <c r="N80" s="21">
        <f ca="1">IFERROR(__xludf.DUMMYFUNCTION("""COMPUTED_VALUE"""),0)</f>
        <v>0</v>
      </c>
      <c r="O80" s="21">
        <f ca="1">IFERROR(__xludf.DUMMYFUNCTION("""COMPUTED_VALUE"""),3000)</f>
        <v>3000</v>
      </c>
      <c r="P80" s="21">
        <f ca="1">IFERROR(__xludf.DUMMYFUNCTION("""COMPUTED_VALUE"""),3000)</f>
        <v>3000</v>
      </c>
      <c r="Q80" s="23">
        <f ca="1">IFERROR(__xludf.DUMMYFUNCTION("""COMPUTED_VALUE"""),0)</f>
        <v>0</v>
      </c>
      <c r="R80" s="11">
        <f ca="1">IFERROR(__xludf.DUMMYFUNCTION("""COMPUTED_VALUE"""),0)</f>
        <v>0</v>
      </c>
      <c r="S80" s="23">
        <f ca="1">IFERROR(__xludf.DUMMYFUNCTION("""COMPUTED_VALUE"""),0)</f>
        <v>0</v>
      </c>
      <c r="T80" s="24">
        <f ca="1">IFERROR(__xludf.DUMMYFUNCTION("""COMPUTED_VALUE"""),0)</f>
        <v>0</v>
      </c>
      <c r="U80" s="23">
        <f ca="1">IFERROR(__xludf.DUMMYFUNCTION("""COMPUTED_VALUE"""),0)</f>
        <v>0</v>
      </c>
      <c r="V80" s="23">
        <f ca="1">IFERROR(__xludf.DUMMYFUNCTION("""COMPUTED_VALUE"""),0)</f>
        <v>0</v>
      </c>
      <c r="W80" s="23">
        <f ca="1">IFERROR(__xludf.DUMMYFUNCTION("""COMPUTED_VALUE"""),0)</f>
        <v>0</v>
      </c>
      <c r="X80" s="23">
        <f ca="1">IFERROR(__xludf.DUMMYFUNCTION("""COMPUTED_VALUE"""),0)</f>
        <v>0</v>
      </c>
      <c r="Y80" s="25">
        <f ca="1">IFERROR(__xludf.DUMMYFUNCTION("""COMPUTED_VALUE"""),0)</f>
        <v>0</v>
      </c>
      <c r="Z80" s="25">
        <f ca="1">IFERROR(__xludf.DUMMYFUNCTION("""COMPUTED_VALUE"""),0)</f>
        <v>0</v>
      </c>
      <c r="AA80" s="25">
        <f ca="1">IFERROR(__xludf.DUMMYFUNCTION("""COMPUTED_VALUE"""),0)</f>
        <v>0</v>
      </c>
      <c r="AB80" s="25">
        <f ca="1">IFERROR(__xludf.DUMMYFUNCTION("""COMPUTED_VALUE"""),0)</f>
        <v>0</v>
      </c>
      <c r="AC80" s="23">
        <f ca="1">IFERROR(__xludf.DUMMYFUNCTION("""COMPUTED_VALUE"""),0)</f>
        <v>0</v>
      </c>
      <c r="AD80" s="26"/>
      <c r="AE80" s="27"/>
    </row>
    <row r="81" spans="1:31" ht="14.3">
      <c r="A81" s="18" t="str">
        <f ca="1">IFERROR(__xludf.DUMMYFUNCTION("""COMPUTED_VALUE"""),"23SDSCE01057")</f>
        <v>23SDSCE01057</v>
      </c>
      <c r="B81" s="19" t="str">
        <f ca="1">IFERROR(__xludf.DUMMYFUNCTION("""COMPUTED_VALUE"""),"KOTADIYA PRIYANSHU BHARATKUMAR")</f>
        <v>KOTADIYA PRIYANSHU BHARATKUMAR</v>
      </c>
      <c r="C81" s="18" t="str">
        <f ca="1">IFERROR(__xludf.DUMMYFUNCTION("""COMPUTED_VALUE"""),"SDS")</f>
        <v>SDS</v>
      </c>
      <c r="D81" s="18" t="str">
        <f ca="1">IFERROR(__xludf.DUMMYFUNCTION("""COMPUTED_VALUE"""),"DCE")</f>
        <v>DCE</v>
      </c>
      <c r="E81" s="18">
        <f ca="1">IFERROR(__xludf.DUMMYFUNCTION("""COMPUTED_VALUE"""),2)</f>
        <v>2</v>
      </c>
      <c r="F81" s="18" t="str">
        <f ca="1">IFERROR(__xludf.DUMMYFUNCTION("""COMPUTED_VALUE"""),"9712714902 9825435948")</f>
        <v>9712714902 9825435948</v>
      </c>
      <c r="G81" s="18" t="str">
        <f ca="1">IFERROR(__xludf.DUMMYFUNCTION("""COMPUTED_VALUE"""),"9712714902 9825435948")</f>
        <v>9712714902 9825435948</v>
      </c>
      <c r="H81" s="18" t="str">
        <f ca="1">IFERROR(__xludf.DUMMYFUNCTION("""COMPUTED_VALUE"""),"DME_2023-26")</f>
        <v>DME_2023-26</v>
      </c>
      <c r="I81" s="20" t="str">
        <f ca="1">IFERROR(__xludf.DUMMYFUNCTION("""COMPUTED_VALUE"""),"KSP")</f>
        <v>KSP</v>
      </c>
      <c r="J81" s="21">
        <f ca="1">IFERROR(__xludf.DUMMYFUNCTION("""COMPUTED_VALUE"""),27500)</f>
        <v>27500</v>
      </c>
      <c r="K81" s="21">
        <f ca="1">IFERROR(__xludf.DUMMYFUNCTION("""COMPUTED_VALUE"""),21250)</f>
        <v>21250</v>
      </c>
      <c r="L81" s="21">
        <f ca="1">IFERROR(__xludf.DUMMYFUNCTION("""COMPUTED_VALUE"""),0)</f>
        <v>0</v>
      </c>
      <c r="M81" s="23">
        <f ca="1">IFERROR(__xludf.DUMMYFUNCTION("""COMPUTED_VALUE"""),6250)</f>
        <v>6250</v>
      </c>
      <c r="N81" s="21">
        <f ca="1">IFERROR(__xludf.DUMMYFUNCTION("""COMPUTED_VALUE"""),0)</f>
        <v>0</v>
      </c>
      <c r="O81" s="21">
        <f ca="1">IFERROR(__xludf.DUMMYFUNCTION("""COMPUTED_VALUE"""),3000)</f>
        <v>3000</v>
      </c>
      <c r="P81" s="21">
        <f ca="1">IFERROR(__xludf.DUMMYFUNCTION("""COMPUTED_VALUE"""),3000)</f>
        <v>3000</v>
      </c>
      <c r="Q81" s="23">
        <f ca="1">IFERROR(__xludf.DUMMYFUNCTION("""COMPUTED_VALUE"""),0)</f>
        <v>0</v>
      </c>
      <c r="R81" s="11">
        <f ca="1">IFERROR(__xludf.DUMMYFUNCTION("""COMPUTED_VALUE"""),0)</f>
        <v>0</v>
      </c>
      <c r="S81" s="23">
        <f ca="1">IFERROR(__xludf.DUMMYFUNCTION("""COMPUTED_VALUE"""),0)</f>
        <v>0</v>
      </c>
      <c r="T81" s="24">
        <f ca="1">IFERROR(__xludf.DUMMYFUNCTION("""COMPUTED_VALUE"""),0)</f>
        <v>0</v>
      </c>
      <c r="U81" s="23">
        <f ca="1">IFERROR(__xludf.DUMMYFUNCTION("""COMPUTED_VALUE"""),0)</f>
        <v>0</v>
      </c>
      <c r="V81" s="23">
        <f ca="1">IFERROR(__xludf.DUMMYFUNCTION("""COMPUTED_VALUE"""),0)</f>
        <v>0</v>
      </c>
      <c r="W81" s="23">
        <f ca="1">IFERROR(__xludf.DUMMYFUNCTION("""COMPUTED_VALUE"""),0)</f>
        <v>0</v>
      </c>
      <c r="X81" s="23">
        <f ca="1">IFERROR(__xludf.DUMMYFUNCTION("""COMPUTED_VALUE"""),0)</f>
        <v>0</v>
      </c>
      <c r="Y81" s="25">
        <f ca="1">IFERROR(__xludf.DUMMYFUNCTION("""COMPUTED_VALUE"""),0)</f>
        <v>0</v>
      </c>
      <c r="Z81" s="25">
        <f ca="1">IFERROR(__xludf.DUMMYFUNCTION("""COMPUTED_VALUE"""),0)</f>
        <v>0</v>
      </c>
      <c r="AA81" s="25">
        <f ca="1">IFERROR(__xludf.DUMMYFUNCTION("""COMPUTED_VALUE"""),0)</f>
        <v>0</v>
      </c>
      <c r="AB81" s="25">
        <f ca="1">IFERROR(__xludf.DUMMYFUNCTION("""COMPUTED_VALUE"""),0)</f>
        <v>0</v>
      </c>
      <c r="AC81" s="23">
        <f ca="1">IFERROR(__xludf.DUMMYFUNCTION("""COMPUTED_VALUE"""),0)</f>
        <v>0</v>
      </c>
      <c r="AD81" s="26"/>
      <c r="AE81" s="27"/>
    </row>
    <row r="82" spans="1:31" ht="14.3">
      <c r="A82" s="18" t="str">
        <f ca="1">IFERROR(__xludf.DUMMYFUNCTION("""COMPUTED_VALUE"""),"23SDSCE01058")</f>
        <v>23SDSCE01058</v>
      </c>
      <c r="B82" s="19" t="str">
        <f ca="1">IFERROR(__xludf.DUMMYFUNCTION("""COMPUTED_VALUE"""),"PARMAR DHRUVIL KANAIYALAL")</f>
        <v>PARMAR DHRUVIL KANAIYALAL</v>
      </c>
      <c r="C82" s="18" t="str">
        <f ca="1">IFERROR(__xludf.DUMMYFUNCTION("""COMPUTED_VALUE"""),"SDS")</f>
        <v>SDS</v>
      </c>
      <c r="D82" s="18" t="str">
        <f ca="1">IFERROR(__xludf.DUMMYFUNCTION("""COMPUTED_VALUE"""),"DCE")</f>
        <v>DCE</v>
      </c>
      <c r="E82" s="18">
        <f ca="1">IFERROR(__xludf.DUMMYFUNCTION("""COMPUTED_VALUE"""),2)</f>
        <v>2</v>
      </c>
      <c r="F82" s="18" t="str">
        <f ca="1">IFERROR(__xludf.DUMMYFUNCTION("""COMPUTED_VALUE"""),"7284015733 9723101816")</f>
        <v>7284015733 9723101816</v>
      </c>
      <c r="G82" s="18" t="str">
        <f ca="1">IFERROR(__xludf.DUMMYFUNCTION("""COMPUTED_VALUE"""),"7284015733 9723101816")</f>
        <v>7284015733 9723101816</v>
      </c>
      <c r="H82" s="18" t="str">
        <f ca="1">IFERROR(__xludf.DUMMYFUNCTION("""COMPUTED_VALUE"""),"DCE_2023-26")</f>
        <v>DCE_2023-26</v>
      </c>
      <c r="I82" s="20" t="str">
        <f ca="1">IFERROR(__xludf.DUMMYFUNCTION("""COMPUTED_VALUE"""),"MYSY")</f>
        <v>MYSY</v>
      </c>
      <c r="J82" s="21">
        <f ca="1">IFERROR(__xludf.DUMMYFUNCTION("""COMPUTED_VALUE"""),27500)</f>
        <v>27500</v>
      </c>
      <c r="K82" s="21">
        <f ca="1">IFERROR(__xludf.DUMMYFUNCTION("""COMPUTED_VALUE"""),0)</f>
        <v>0</v>
      </c>
      <c r="L82" s="21">
        <f ca="1">IFERROR(__xludf.DUMMYFUNCTION("""COMPUTED_VALUE"""),0)</f>
        <v>0</v>
      </c>
      <c r="M82" s="23">
        <f ca="1">IFERROR(__xludf.DUMMYFUNCTION("""COMPUTED_VALUE"""),0)</f>
        <v>0</v>
      </c>
      <c r="N82" s="21">
        <f ca="1">IFERROR(__xludf.DUMMYFUNCTION("""COMPUTED_VALUE"""),27500)</f>
        <v>27500</v>
      </c>
      <c r="O82" s="21">
        <f ca="1">IFERROR(__xludf.DUMMYFUNCTION("""COMPUTED_VALUE"""),3000)</f>
        <v>3000</v>
      </c>
      <c r="P82" s="21">
        <f ca="1">IFERROR(__xludf.DUMMYFUNCTION("""COMPUTED_VALUE"""),3000)</f>
        <v>3000</v>
      </c>
      <c r="Q82" s="23">
        <f ca="1">IFERROR(__xludf.DUMMYFUNCTION("""COMPUTED_VALUE"""),0)</f>
        <v>0</v>
      </c>
      <c r="R82" s="11">
        <f ca="1">IFERROR(__xludf.DUMMYFUNCTION("""COMPUTED_VALUE"""),0)</f>
        <v>0</v>
      </c>
      <c r="S82" s="23">
        <f ca="1">IFERROR(__xludf.DUMMYFUNCTION("""COMPUTED_VALUE"""),0)</f>
        <v>0</v>
      </c>
      <c r="T82" s="24">
        <f ca="1">IFERROR(__xludf.DUMMYFUNCTION("""COMPUTED_VALUE"""),0)</f>
        <v>0</v>
      </c>
      <c r="U82" s="23">
        <f ca="1">IFERROR(__xludf.DUMMYFUNCTION("""COMPUTED_VALUE"""),0)</f>
        <v>0</v>
      </c>
      <c r="V82" s="23">
        <f ca="1">IFERROR(__xludf.DUMMYFUNCTION("""COMPUTED_VALUE"""),0)</f>
        <v>0</v>
      </c>
      <c r="W82" s="23">
        <f ca="1">IFERROR(__xludf.DUMMYFUNCTION("""COMPUTED_VALUE"""),0)</f>
        <v>0</v>
      </c>
      <c r="X82" s="23">
        <f ca="1">IFERROR(__xludf.DUMMYFUNCTION("""COMPUTED_VALUE"""),0)</f>
        <v>0</v>
      </c>
      <c r="Y82" s="25">
        <f ca="1">IFERROR(__xludf.DUMMYFUNCTION("""COMPUTED_VALUE"""),0)</f>
        <v>0</v>
      </c>
      <c r="Z82" s="25">
        <f ca="1">IFERROR(__xludf.DUMMYFUNCTION("""COMPUTED_VALUE"""),0)</f>
        <v>0</v>
      </c>
      <c r="AA82" s="25">
        <f ca="1">IFERROR(__xludf.DUMMYFUNCTION("""COMPUTED_VALUE"""),0)</f>
        <v>0</v>
      </c>
      <c r="AB82" s="25">
        <f ca="1">IFERROR(__xludf.DUMMYFUNCTION("""COMPUTED_VALUE"""),0)</f>
        <v>0</v>
      </c>
      <c r="AC82" s="23">
        <f ca="1">IFERROR(__xludf.DUMMYFUNCTION("""COMPUTED_VALUE"""),0)</f>
        <v>0</v>
      </c>
      <c r="AD82" s="26"/>
      <c r="AE82" s="27"/>
    </row>
    <row r="83" spans="1:31" ht="14.3">
      <c r="A83" s="18" t="str">
        <f ca="1">IFERROR(__xludf.DUMMYFUNCTION("""COMPUTED_VALUE"""),"23SDSCE01059")</f>
        <v>23SDSCE01059</v>
      </c>
      <c r="B83" s="19" t="str">
        <f ca="1">IFERROR(__xludf.DUMMYFUNCTION("""COMPUTED_VALUE"""),"PITRODA KAUSHAL NIRAJBHAI")</f>
        <v>PITRODA KAUSHAL NIRAJBHAI</v>
      </c>
      <c r="C83" s="18" t="str">
        <f ca="1">IFERROR(__xludf.DUMMYFUNCTION("""COMPUTED_VALUE"""),"SDS")</f>
        <v>SDS</v>
      </c>
      <c r="D83" s="18" t="str">
        <f ca="1">IFERROR(__xludf.DUMMYFUNCTION("""COMPUTED_VALUE"""),"DCE")</f>
        <v>DCE</v>
      </c>
      <c r="E83" s="18">
        <f ca="1">IFERROR(__xludf.DUMMYFUNCTION("""COMPUTED_VALUE"""),2)</f>
        <v>2</v>
      </c>
      <c r="F83" s="6" t="str">
        <f ca="1">IFERROR(__xludf.DUMMYFUNCTION("""COMPUTED_VALUE"""),"9904735309 7046356138")</f>
        <v>9904735309 7046356138</v>
      </c>
      <c r="G83" s="6" t="str">
        <f ca="1">IFERROR(__xludf.DUMMYFUNCTION("""COMPUTED_VALUE"""),"9904735309 7046356138")</f>
        <v>9904735309 7046356138</v>
      </c>
      <c r="H83" s="18" t="str">
        <f ca="1">IFERROR(__xludf.DUMMYFUNCTION("""COMPUTED_VALUE"""),"DCE_2023-26")</f>
        <v>DCE_2023-26</v>
      </c>
      <c r="I83" s="20" t="str">
        <f ca="1">IFERROR(__xludf.DUMMYFUNCTION("""COMPUTED_VALUE"""),"KSP")</f>
        <v>KSP</v>
      </c>
      <c r="J83" s="21">
        <f ca="1">IFERROR(__xludf.DUMMYFUNCTION("""COMPUTED_VALUE"""),27500)</f>
        <v>27500</v>
      </c>
      <c r="K83" s="21">
        <f ca="1">IFERROR(__xludf.DUMMYFUNCTION("""COMPUTED_VALUE"""),21250)</f>
        <v>21250</v>
      </c>
      <c r="L83" s="21">
        <f ca="1">IFERROR(__xludf.DUMMYFUNCTION("""COMPUTED_VALUE"""),0)</f>
        <v>0</v>
      </c>
      <c r="M83" s="23">
        <f ca="1">IFERROR(__xludf.DUMMYFUNCTION("""COMPUTED_VALUE"""),6250)</f>
        <v>6250</v>
      </c>
      <c r="N83" s="21">
        <f ca="1">IFERROR(__xludf.DUMMYFUNCTION("""COMPUTED_VALUE"""),0)</f>
        <v>0</v>
      </c>
      <c r="O83" s="21">
        <f ca="1">IFERROR(__xludf.DUMMYFUNCTION("""COMPUTED_VALUE"""),3000)</f>
        <v>3000</v>
      </c>
      <c r="P83" s="21">
        <f ca="1">IFERROR(__xludf.DUMMYFUNCTION("""COMPUTED_VALUE"""),3000)</f>
        <v>3000</v>
      </c>
      <c r="Q83" s="23">
        <f ca="1">IFERROR(__xludf.DUMMYFUNCTION("""COMPUTED_VALUE"""),0)</f>
        <v>0</v>
      </c>
      <c r="R83" s="11">
        <f ca="1">IFERROR(__xludf.DUMMYFUNCTION("""COMPUTED_VALUE"""),0)</f>
        <v>0</v>
      </c>
      <c r="S83" s="23">
        <f ca="1">IFERROR(__xludf.DUMMYFUNCTION("""COMPUTED_VALUE"""),0)</f>
        <v>0</v>
      </c>
      <c r="T83" s="24">
        <f ca="1">IFERROR(__xludf.DUMMYFUNCTION("""COMPUTED_VALUE"""),0)</f>
        <v>0</v>
      </c>
      <c r="U83" s="23">
        <f ca="1">IFERROR(__xludf.DUMMYFUNCTION("""COMPUTED_VALUE"""),0)</f>
        <v>0</v>
      </c>
      <c r="V83" s="23">
        <f ca="1">IFERROR(__xludf.DUMMYFUNCTION("""COMPUTED_VALUE"""),0)</f>
        <v>0</v>
      </c>
      <c r="W83" s="23">
        <f ca="1">IFERROR(__xludf.DUMMYFUNCTION("""COMPUTED_VALUE"""),0)</f>
        <v>0</v>
      </c>
      <c r="X83" s="23">
        <f ca="1">IFERROR(__xludf.DUMMYFUNCTION("""COMPUTED_VALUE"""),0)</f>
        <v>0</v>
      </c>
      <c r="Y83" s="25">
        <f ca="1">IFERROR(__xludf.DUMMYFUNCTION("""COMPUTED_VALUE"""),0)</f>
        <v>0</v>
      </c>
      <c r="Z83" s="25">
        <f ca="1">IFERROR(__xludf.DUMMYFUNCTION("""COMPUTED_VALUE"""),0)</f>
        <v>0</v>
      </c>
      <c r="AA83" s="25">
        <f ca="1">IFERROR(__xludf.DUMMYFUNCTION("""COMPUTED_VALUE"""),0)</f>
        <v>0</v>
      </c>
      <c r="AB83" s="25">
        <f ca="1">IFERROR(__xludf.DUMMYFUNCTION("""COMPUTED_VALUE"""),0)</f>
        <v>0</v>
      </c>
      <c r="AC83" s="23">
        <f ca="1">IFERROR(__xludf.DUMMYFUNCTION("""COMPUTED_VALUE"""),0)</f>
        <v>0</v>
      </c>
      <c r="AD83" s="26" t="str">
        <f ca="1">IFERROR(__xludf.DUMMYFUNCTION("""COMPUTED_VALUE"""),"KSPS ( 6250/- )")</f>
        <v>KSPS ( 6250/- )</v>
      </c>
      <c r="AE83" s="27"/>
    </row>
    <row r="84" spans="1:31" ht="14.3">
      <c r="A84" s="18" t="str">
        <f ca="1">IFERROR(__xludf.DUMMYFUNCTION("""COMPUTED_VALUE"""),"23SDSCE01060")</f>
        <v>23SDSCE01060</v>
      </c>
      <c r="B84" s="19" t="str">
        <f ca="1">IFERROR(__xludf.DUMMYFUNCTION("""COMPUTED_VALUE"""),"RANGANI PRIYANSH VASANTBHAI")</f>
        <v>RANGANI PRIYANSH VASANTBHAI</v>
      </c>
      <c r="C84" s="18" t="str">
        <f ca="1">IFERROR(__xludf.DUMMYFUNCTION("""COMPUTED_VALUE"""),"SDS")</f>
        <v>SDS</v>
      </c>
      <c r="D84" s="18" t="str">
        <f ca="1">IFERROR(__xludf.DUMMYFUNCTION("""COMPUTED_VALUE"""),"DCE")</f>
        <v>DCE</v>
      </c>
      <c r="E84" s="18">
        <f ca="1">IFERROR(__xludf.DUMMYFUNCTION("""COMPUTED_VALUE"""),2)</f>
        <v>2</v>
      </c>
      <c r="F84" s="18" t="str">
        <f ca="1">IFERROR(__xludf.DUMMYFUNCTION("""COMPUTED_VALUE"""),"9054473074 9898638637")</f>
        <v>9054473074 9898638637</v>
      </c>
      <c r="G84" s="18" t="str">
        <f ca="1">IFERROR(__xludf.DUMMYFUNCTION("""COMPUTED_VALUE"""),"9054473074 9898638637")</f>
        <v>9054473074 9898638637</v>
      </c>
      <c r="H84" s="18" t="str">
        <f ca="1">IFERROR(__xludf.DUMMYFUNCTION("""COMPUTED_VALUE"""),"DCE_2023-26")</f>
        <v>DCE_2023-26</v>
      </c>
      <c r="I84" s="20"/>
      <c r="J84" s="21">
        <f ca="1">IFERROR(__xludf.DUMMYFUNCTION("""COMPUTED_VALUE"""),27500)</f>
        <v>27500</v>
      </c>
      <c r="K84" s="21">
        <f ca="1">IFERROR(__xludf.DUMMYFUNCTION("""COMPUTED_VALUE"""),27500)</f>
        <v>27500</v>
      </c>
      <c r="L84" s="21">
        <f ca="1">IFERROR(__xludf.DUMMYFUNCTION("""COMPUTED_VALUE"""),0)</f>
        <v>0</v>
      </c>
      <c r="M84" s="23">
        <f ca="1">IFERROR(__xludf.DUMMYFUNCTION("""COMPUTED_VALUE"""),0)</f>
        <v>0</v>
      </c>
      <c r="N84" s="21">
        <f ca="1">IFERROR(__xludf.DUMMYFUNCTION("""COMPUTED_VALUE"""),0)</f>
        <v>0</v>
      </c>
      <c r="O84" s="21">
        <f ca="1">IFERROR(__xludf.DUMMYFUNCTION("""COMPUTED_VALUE"""),3000)</f>
        <v>3000</v>
      </c>
      <c r="P84" s="21">
        <f ca="1">IFERROR(__xludf.DUMMYFUNCTION("""COMPUTED_VALUE"""),3000)</f>
        <v>3000</v>
      </c>
      <c r="Q84" s="23">
        <f ca="1">IFERROR(__xludf.DUMMYFUNCTION("""COMPUTED_VALUE"""),0)</f>
        <v>0</v>
      </c>
      <c r="R84" s="11">
        <f ca="1">IFERROR(__xludf.DUMMYFUNCTION("""COMPUTED_VALUE"""),0)</f>
        <v>0</v>
      </c>
      <c r="S84" s="23">
        <f ca="1">IFERROR(__xludf.DUMMYFUNCTION("""COMPUTED_VALUE"""),0)</f>
        <v>0</v>
      </c>
      <c r="T84" s="24">
        <f ca="1">IFERROR(__xludf.DUMMYFUNCTION("""COMPUTED_VALUE"""),0)</f>
        <v>0</v>
      </c>
      <c r="U84" s="23">
        <f ca="1">IFERROR(__xludf.DUMMYFUNCTION("""COMPUTED_VALUE"""),0)</f>
        <v>0</v>
      </c>
      <c r="V84" s="23">
        <f ca="1">IFERROR(__xludf.DUMMYFUNCTION("""COMPUTED_VALUE"""),0)</f>
        <v>0</v>
      </c>
      <c r="W84" s="23">
        <f ca="1">IFERROR(__xludf.DUMMYFUNCTION("""COMPUTED_VALUE"""),0)</f>
        <v>0</v>
      </c>
      <c r="X84" s="23">
        <f ca="1">IFERROR(__xludf.DUMMYFUNCTION("""COMPUTED_VALUE"""),0)</f>
        <v>0</v>
      </c>
      <c r="Y84" s="25">
        <f ca="1">IFERROR(__xludf.DUMMYFUNCTION("""COMPUTED_VALUE"""),0)</f>
        <v>0</v>
      </c>
      <c r="Z84" s="25">
        <f ca="1">IFERROR(__xludf.DUMMYFUNCTION("""COMPUTED_VALUE"""),0)</f>
        <v>0</v>
      </c>
      <c r="AA84" s="25">
        <f ca="1">IFERROR(__xludf.DUMMYFUNCTION("""COMPUTED_VALUE"""),0)</f>
        <v>0</v>
      </c>
      <c r="AB84" s="25">
        <f ca="1">IFERROR(__xludf.DUMMYFUNCTION("""COMPUTED_VALUE"""),0)</f>
        <v>0</v>
      </c>
      <c r="AC84" s="23">
        <f ca="1">IFERROR(__xludf.DUMMYFUNCTION("""COMPUTED_VALUE"""),0)</f>
        <v>0</v>
      </c>
      <c r="AD84" s="26"/>
      <c r="AE84" s="27"/>
    </row>
    <row r="85" spans="1:31" ht="14.3">
      <c r="A85" s="18" t="str">
        <f ca="1">IFERROR(__xludf.DUMMYFUNCTION("""COMPUTED_VALUE"""),"23SDSCE01061")</f>
        <v>23SDSCE01061</v>
      </c>
      <c r="B85" s="19" t="str">
        <f ca="1">IFERROR(__xludf.DUMMYFUNCTION("""COMPUTED_VALUE"""),"RANPARIYA DAX DILIPBHAI")</f>
        <v>RANPARIYA DAX DILIPBHAI</v>
      </c>
      <c r="C85" s="18" t="str">
        <f ca="1">IFERROR(__xludf.DUMMYFUNCTION("""COMPUTED_VALUE"""),"SDS")</f>
        <v>SDS</v>
      </c>
      <c r="D85" s="18" t="str">
        <f ca="1">IFERROR(__xludf.DUMMYFUNCTION("""COMPUTED_VALUE"""),"DCE")</f>
        <v>DCE</v>
      </c>
      <c r="E85" s="18">
        <f ca="1">IFERROR(__xludf.DUMMYFUNCTION("""COMPUTED_VALUE"""),2)</f>
        <v>2</v>
      </c>
      <c r="F85" s="18" t="str">
        <f ca="1">IFERROR(__xludf.DUMMYFUNCTION("""COMPUTED_VALUE"""),"9512466425 7567854904")</f>
        <v>9512466425 7567854904</v>
      </c>
      <c r="G85" s="18" t="str">
        <f ca="1">IFERROR(__xludf.DUMMYFUNCTION("""COMPUTED_VALUE"""),"9512466425 7567854904")</f>
        <v>9512466425 7567854904</v>
      </c>
      <c r="H85" s="18" t="str">
        <f ca="1">IFERROR(__xludf.DUMMYFUNCTION("""COMPUTED_VALUE"""),"DCE_2023-26")</f>
        <v>DCE_2023-26</v>
      </c>
      <c r="I85" s="20"/>
      <c r="J85" s="21">
        <f ca="1">IFERROR(__xludf.DUMMYFUNCTION("""COMPUTED_VALUE"""),27500)</f>
        <v>27500</v>
      </c>
      <c r="K85" s="21">
        <f ca="1">IFERROR(__xludf.DUMMYFUNCTION("""COMPUTED_VALUE"""),0)</f>
        <v>0</v>
      </c>
      <c r="L85" s="21">
        <f ca="1">IFERROR(__xludf.DUMMYFUNCTION("""COMPUTED_VALUE"""),0)</f>
        <v>0</v>
      </c>
      <c r="M85" s="23">
        <f ca="1">IFERROR(__xludf.DUMMYFUNCTION("""COMPUTED_VALUE"""),0)</f>
        <v>0</v>
      </c>
      <c r="N85" s="21">
        <f ca="1">IFERROR(__xludf.DUMMYFUNCTION("""COMPUTED_VALUE"""),27500)</f>
        <v>27500</v>
      </c>
      <c r="O85" s="21">
        <f ca="1">IFERROR(__xludf.DUMMYFUNCTION("""COMPUTED_VALUE"""),3000)</f>
        <v>3000</v>
      </c>
      <c r="P85" s="21">
        <f ca="1">IFERROR(__xludf.DUMMYFUNCTION("""COMPUTED_VALUE"""),0)</f>
        <v>0</v>
      </c>
      <c r="Q85" s="23">
        <f ca="1">IFERROR(__xludf.DUMMYFUNCTION("""COMPUTED_VALUE"""),0)</f>
        <v>0</v>
      </c>
      <c r="R85" s="11">
        <f ca="1">IFERROR(__xludf.DUMMYFUNCTION("""COMPUTED_VALUE"""),0)</f>
        <v>0</v>
      </c>
      <c r="S85" s="23">
        <f ca="1">IFERROR(__xludf.DUMMYFUNCTION("""COMPUTED_VALUE"""),3000)</f>
        <v>3000</v>
      </c>
      <c r="T85" s="24">
        <f ca="1">IFERROR(__xludf.DUMMYFUNCTION("""COMPUTED_VALUE"""),0)</f>
        <v>0</v>
      </c>
      <c r="U85" s="23">
        <f ca="1">IFERROR(__xludf.DUMMYFUNCTION("""COMPUTED_VALUE"""),0)</f>
        <v>0</v>
      </c>
      <c r="V85" s="23">
        <f ca="1">IFERROR(__xludf.DUMMYFUNCTION("""COMPUTED_VALUE"""),0)</f>
        <v>0</v>
      </c>
      <c r="W85" s="23">
        <f ca="1">IFERROR(__xludf.DUMMYFUNCTION("""COMPUTED_VALUE"""),0)</f>
        <v>0</v>
      </c>
      <c r="X85" s="23">
        <f ca="1">IFERROR(__xludf.DUMMYFUNCTION("""COMPUTED_VALUE"""),0)</f>
        <v>0</v>
      </c>
      <c r="Y85" s="25">
        <f ca="1">IFERROR(__xludf.DUMMYFUNCTION("""COMPUTED_VALUE"""),0)</f>
        <v>0</v>
      </c>
      <c r="Z85" s="25">
        <f ca="1">IFERROR(__xludf.DUMMYFUNCTION("""COMPUTED_VALUE"""),0)</f>
        <v>0</v>
      </c>
      <c r="AA85" s="25">
        <f ca="1">IFERROR(__xludf.DUMMYFUNCTION("""COMPUTED_VALUE"""),0)</f>
        <v>0</v>
      </c>
      <c r="AB85" s="25">
        <f ca="1">IFERROR(__xludf.DUMMYFUNCTION("""COMPUTED_VALUE"""),0)</f>
        <v>0</v>
      </c>
      <c r="AC85" s="23">
        <f ca="1">IFERROR(__xludf.DUMMYFUNCTION("""COMPUTED_VALUE"""),0)</f>
        <v>0</v>
      </c>
      <c r="AD85" s="26"/>
      <c r="AE85" s="27"/>
    </row>
    <row r="86" spans="1:31" ht="14.3">
      <c r="A86" s="18" t="str">
        <f ca="1">IFERROR(__xludf.DUMMYFUNCTION("""COMPUTED_VALUE"""),"23SDSCE01062")</f>
        <v>23SDSCE01062</v>
      </c>
      <c r="B86" s="19" t="str">
        <f ca="1">IFERROR(__xludf.DUMMYFUNCTION("""COMPUTED_VALUE"""),"RUPARELIYA JIGAR HARESHBHAI")</f>
        <v>RUPARELIYA JIGAR HARESHBHAI</v>
      </c>
      <c r="C86" s="18" t="str">
        <f ca="1">IFERROR(__xludf.DUMMYFUNCTION("""COMPUTED_VALUE"""),"SDS")</f>
        <v>SDS</v>
      </c>
      <c r="D86" s="18" t="str">
        <f ca="1">IFERROR(__xludf.DUMMYFUNCTION("""COMPUTED_VALUE"""),"DCE")</f>
        <v>DCE</v>
      </c>
      <c r="E86" s="18">
        <f ca="1">IFERROR(__xludf.DUMMYFUNCTION("""COMPUTED_VALUE"""),2)</f>
        <v>2</v>
      </c>
      <c r="F86" s="18" t="str">
        <f ca="1">IFERROR(__xludf.DUMMYFUNCTION("""COMPUTED_VALUE"""),"8780299348 9925544470")</f>
        <v>8780299348 9925544470</v>
      </c>
      <c r="G86" s="18" t="str">
        <f ca="1">IFERROR(__xludf.DUMMYFUNCTION("""COMPUTED_VALUE"""),"8780299348 9925544470")</f>
        <v>8780299348 9925544470</v>
      </c>
      <c r="H86" s="18" t="str">
        <f ca="1">IFERROR(__xludf.DUMMYFUNCTION("""COMPUTED_VALUE"""),"DCE_2023-26")</f>
        <v>DCE_2023-26</v>
      </c>
      <c r="I86" s="20"/>
      <c r="J86" s="21">
        <f ca="1">IFERROR(__xludf.DUMMYFUNCTION("""COMPUTED_VALUE"""),27500)</f>
        <v>27500</v>
      </c>
      <c r="K86" s="21">
        <f ca="1">IFERROR(__xludf.DUMMYFUNCTION("""COMPUTED_VALUE"""),0)</f>
        <v>0</v>
      </c>
      <c r="L86" s="21">
        <f ca="1">IFERROR(__xludf.DUMMYFUNCTION("""COMPUTED_VALUE"""),0)</f>
        <v>0</v>
      </c>
      <c r="M86" s="23">
        <f ca="1">IFERROR(__xludf.DUMMYFUNCTION("""COMPUTED_VALUE"""),0)</f>
        <v>0</v>
      </c>
      <c r="N86" s="21">
        <f ca="1">IFERROR(__xludf.DUMMYFUNCTION("""COMPUTED_VALUE"""),27500)</f>
        <v>27500</v>
      </c>
      <c r="O86" s="21">
        <f ca="1">IFERROR(__xludf.DUMMYFUNCTION("""COMPUTED_VALUE"""),3000)</f>
        <v>3000</v>
      </c>
      <c r="P86" s="21">
        <f ca="1">IFERROR(__xludf.DUMMYFUNCTION("""COMPUTED_VALUE"""),0)</f>
        <v>0</v>
      </c>
      <c r="Q86" s="23">
        <f ca="1">IFERROR(__xludf.DUMMYFUNCTION("""COMPUTED_VALUE"""),0)</f>
        <v>0</v>
      </c>
      <c r="R86" s="11">
        <f ca="1">IFERROR(__xludf.DUMMYFUNCTION("""COMPUTED_VALUE"""),0)</f>
        <v>0</v>
      </c>
      <c r="S86" s="23">
        <f ca="1">IFERROR(__xludf.DUMMYFUNCTION("""COMPUTED_VALUE"""),3000)</f>
        <v>3000</v>
      </c>
      <c r="T86" s="24">
        <f ca="1">IFERROR(__xludf.DUMMYFUNCTION("""COMPUTED_VALUE"""),0)</f>
        <v>0</v>
      </c>
      <c r="U86" s="23">
        <f ca="1">IFERROR(__xludf.DUMMYFUNCTION("""COMPUTED_VALUE"""),0)</f>
        <v>0</v>
      </c>
      <c r="V86" s="23">
        <f ca="1">IFERROR(__xludf.DUMMYFUNCTION("""COMPUTED_VALUE"""),0)</f>
        <v>0</v>
      </c>
      <c r="W86" s="23">
        <f ca="1">IFERROR(__xludf.DUMMYFUNCTION("""COMPUTED_VALUE"""),0)</f>
        <v>0</v>
      </c>
      <c r="X86" s="23">
        <f ca="1">IFERROR(__xludf.DUMMYFUNCTION("""COMPUTED_VALUE"""),0)</f>
        <v>0</v>
      </c>
      <c r="Y86" s="25">
        <f ca="1">IFERROR(__xludf.DUMMYFUNCTION("""COMPUTED_VALUE"""),0)</f>
        <v>0</v>
      </c>
      <c r="Z86" s="25">
        <f ca="1">IFERROR(__xludf.DUMMYFUNCTION("""COMPUTED_VALUE"""),0)</f>
        <v>0</v>
      </c>
      <c r="AA86" s="25">
        <f ca="1">IFERROR(__xludf.DUMMYFUNCTION("""COMPUTED_VALUE"""),0)</f>
        <v>0</v>
      </c>
      <c r="AB86" s="25">
        <f ca="1">IFERROR(__xludf.DUMMYFUNCTION("""COMPUTED_VALUE"""),0)</f>
        <v>0</v>
      </c>
      <c r="AC86" s="23">
        <f ca="1">IFERROR(__xludf.DUMMYFUNCTION("""COMPUTED_VALUE"""),0)</f>
        <v>0</v>
      </c>
      <c r="AD86" s="26" t="str">
        <f ca="1">IFERROR(__xludf.DUMMYFUNCTION("""COMPUTED_VALUE"""),"FREESHIP CARD")</f>
        <v>FREESHIP CARD</v>
      </c>
      <c r="AE86" s="27"/>
    </row>
    <row r="87" spans="1:31" ht="14.3">
      <c r="A87" s="18" t="str">
        <f ca="1">IFERROR(__xludf.DUMMYFUNCTION("""COMPUTED_VALUE"""),"23SDSCE01063")</f>
        <v>23SDSCE01063</v>
      </c>
      <c r="B87" s="19" t="str">
        <f ca="1">IFERROR(__xludf.DUMMYFUNCTION("""COMPUTED_VALUE"""),"SAMTARIYA VED KETANBHAI")</f>
        <v>SAMTARIYA VED KETANBHAI</v>
      </c>
      <c r="C87" s="18" t="str">
        <f ca="1">IFERROR(__xludf.DUMMYFUNCTION("""COMPUTED_VALUE"""),"SDS")</f>
        <v>SDS</v>
      </c>
      <c r="D87" s="18" t="str">
        <f ca="1">IFERROR(__xludf.DUMMYFUNCTION("""COMPUTED_VALUE"""),"DCE")</f>
        <v>DCE</v>
      </c>
      <c r="E87" s="18">
        <f ca="1">IFERROR(__xludf.DUMMYFUNCTION("""COMPUTED_VALUE"""),2)</f>
        <v>2</v>
      </c>
      <c r="F87" s="18" t="str">
        <f ca="1">IFERROR(__xludf.DUMMYFUNCTION("""COMPUTED_VALUE"""),"7874503176 7874503176")</f>
        <v>7874503176 7874503176</v>
      </c>
      <c r="G87" s="18" t="str">
        <f ca="1">IFERROR(__xludf.DUMMYFUNCTION("""COMPUTED_VALUE"""),"7874503176 7874503176")</f>
        <v>7874503176 7874503176</v>
      </c>
      <c r="H87" s="18" t="str">
        <f ca="1">IFERROR(__xludf.DUMMYFUNCTION("""COMPUTED_VALUE"""),"DCE_2023-26")</f>
        <v>DCE_2023-26</v>
      </c>
      <c r="I87" s="20"/>
      <c r="J87" s="21">
        <f ca="1">IFERROR(__xludf.DUMMYFUNCTION("""COMPUTED_VALUE"""),27500)</f>
        <v>27500</v>
      </c>
      <c r="K87" s="21">
        <f ca="1">IFERROR(__xludf.DUMMYFUNCTION("""COMPUTED_VALUE"""),27500)</f>
        <v>27500</v>
      </c>
      <c r="L87" s="21">
        <f ca="1">IFERROR(__xludf.DUMMYFUNCTION("""COMPUTED_VALUE"""),0)</f>
        <v>0</v>
      </c>
      <c r="M87" s="23">
        <f ca="1">IFERROR(__xludf.DUMMYFUNCTION("""COMPUTED_VALUE"""),0)</f>
        <v>0</v>
      </c>
      <c r="N87" s="21">
        <f ca="1">IFERROR(__xludf.DUMMYFUNCTION("""COMPUTED_VALUE"""),0)</f>
        <v>0</v>
      </c>
      <c r="O87" s="21">
        <f ca="1">IFERROR(__xludf.DUMMYFUNCTION("""COMPUTED_VALUE"""),3000)</f>
        <v>3000</v>
      </c>
      <c r="P87" s="21">
        <f ca="1">IFERROR(__xludf.DUMMYFUNCTION("""COMPUTED_VALUE"""),3000)</f>
        <v>3000</v>
      </c>
      <c r="Q87" s="23">
        <f ca="1">IFERROR(__xludf.DUMMYFUNCTION("""COMPUTED_VALUE"""),0)</f>
        <v>0</v>
      </c>
      <c r="R87" s="11">
        <f ca="1">IFERROR(__xludf.DUMMYFUNCTION("""COMPUTED_VALUE"""),0)</f>
        <v>0</v>
      </c>
      <c r="S87" s="23">
        <f ca="1">IFERROR(__xludf.DUMMYFUNCTION("""COMPUTED_VALUE"""),0)</f>
        <v>0</v>
      </c>
      <c r="T87" s="24">
        <f ca="1">IFERROR(__xludf.DUMMYFUNCTION("""COMPUTED_VALUE"""),0)</f>
        <v>0</v>
      </c>
      <c r="U87" s="23">
        <f ca="1">IFERROR(__xludf.DUMMYFUNCTION("""COMPUTED_VALUE"""),0)</f>
        <v>0</v>
      </c>
      <c r="V87" s="23">
        <f ca="1">IFERROR(__xludf.DUMMYFUNCTION("""COMPUTED_VALUE"""),0)</f>
        <v>0</v>
      </c>
      <c r="W87" s="23">
        <f ca="1">IFERROR(__xludf.DUMMYFUNCTION("""COMPUTED_VALUE"""),0)</f>
        <v>0</v>
      </c>
      <c r="X87" s="23">
        <f ca="1">IFERROR(__xludf.DUMMYFUNCTION("""COMPUTED_VALUE"""),0)</f>
        <v>0</v>
      </c>
      <c r="Y87" s="25">
        <f ca="1">IFERROR(__xludf.DUMMYFUNCTION("""COMPUTED_VALUE"""),0)</f>
        <v>0</v>
      </c>
      <c r="Z87" s="25">
        <f ca="1">IFERROR(__xludf.DUMMYFUNCTION("""COMPUTED_VALUE"""),0)</f>
        <v>0</v>
      </c>
      <c r="AA87" s="25">
        <f ca="1">IFERROR(__xludf.DUMMYFUNCTION("""COMPUTED_VALUE"""),0)</f>
        <v>0</v>
      </c>
      <c r="AB87" s="25">
        <f ca="1">IFERROR(__xludf.DUMMYFUNCTION("""COMPUTED_VALUE"""),0)</f>
        <v>0</v>
      </c>
      <c r="AC87" s="23">
        <f ca="1">IFERROR(__xludf.DUMMYFUNCTION("""COMPUTED_VALUE"""),0)</f>
        <v>0</v>
      </c>
      <c r="AD87" s="26"/>
      <c r="AE87" s="27"/>
    </row>
    <row r="88" spans="1:31" ht="28.55">
      <c r="A88" s="18" t="str">
        <f ca="1">IFERROR(__xludf.DUMMYFUNCTION("""COMPUTED_VALUE"""),"23SDSCE01064")</f>
        <v>23SDSCE01064</v>
      </c>
      <c r="B88" s="19" t="str">
        <f ca="1">IFERROR(__xludf.DUMMYFUNCTION("""COMPUTED_VALUE"""),"SARESA VISHAL NARENDRABHAI")</f>
        <v>SARESA VISHAL NARENDRABHAI</v>
      </c>
      <c r="C88" s="18" t="str">
        <f ca="1">IFERROR(__xludf.DUMMYFUNCTION("""COMPUTED_VALUE"""),"SDS")</f>
        <v>SDS</v>
      </c>
      <c r="D88" s="18" t="str">
        <f ca="1">IFERROR(__xludf.DUMMYFUNCTION("""COMPUTED_VALUE"""),"DCE")</f>
        <v>DCE</v>
      </c>
      <c r="E88" s="18">
        <f ca="1">IFERROR(__xludf.DUMMYFUNCTION("""COMPUTED_VALUE"""),2)</f>
        <v>2</v>
      </c>
      <c r="F88" s="6" t="str">
        <f ca="1">IFERROR(__xludf.DUMMYFUNCTION("""COMPUTED_VALUE"""),"6351390405 9327498157")</f>
        <v>6351390405 9327498157</v>
      </c>
      <c r="G88" s="6" t="str">
        <f ca="1">IFERROR(__xludf.DUMMYFUNCTION("""COMPUTED_VALUE"""),"6351390405 9327498157")</f>
        <v>6351390405 9327498157</v>
      </c>
      <c r="H88" s="18" t="str">
        <f ca="1">IFERROR(__xludf.DUMMYFUNCTION("""COMPUTED_VALUE"""),"DCE_2023-26")</f>
        <v>DCE_2023-26</v>
      </c>
      <c r="I88" s="20" t="str">
        <f ca="1">IFERROR(__xludf.DUMMYFUNCTION("""COMPUTED_VALUE"""),"FREESHIP CARD")</f>
        <v>FREESHIP CARD</v>
      </c>
      <c r="J88" s="21">
        <f ca="1">IFERROR(__xludf.DUMMYFUNCTION("""COMPUTED_VALUE"""),27500)</f>
        <v>27500</v>
      </c>
      <c r="K88" s="21">
        <f ca="1">IFERROR(__xludf.DUMMYFUNCTION("""COMPUTED_VALUE"""),0)</f>
        <v>0</v>
      </c>
      <c r="L88" s="21">
        <f ca="1">IFERROR(__xludf.DUMMYFUNCTION("""COMPUTED_VALUE"""),0)</f>
        <v>0</v>
      </c>
      <c r="M88" s="23">
        <f ca="1">IFERROR(__xludf.DUMMYFUNCTION("""COMPUTED_VALUE"""),0)</f>
        <v>0</v>
      </c>
      <c r="N88" s="21">
        <f ca="1">IFERROR(__xludf.DUMMYFUNCTION("""COMPUTED_VALUE"""),27500)</f>
        <v>27500</v>
      </c>
      <c r="O88" s="21">
        <f ca="1">IFERROR(__xludf.DUMMYFUNCTION("""COMPUTED_VALUE"""),3000)</f>
        <v>3000</v>
      </c>
      <c r="P88" s="21">
        <f ca="1">IFERROR(__xludf.DUMMYFUNCTION("""COMPUTED_VALUE"""),3000)</f>
        <v>3000</v>
      </c>
      <c r="Q88" s="23">
        <f ca="1">IFERROR(__xludf.DUMMYFUNCTION("""COMPUTED_VALUE"""),0)</f>
        <v>0</v>
      </c>
      <c r="R88" s="11">
        <f ca="1">IFERROR(__xludf.DUMMYFUNCTION("""COMPUTED_VALUE"""),0)</f>
        <v>0</v>
      </c>
      <c r="S88" s="23">
        <f ca="1">IFERROR(__xludf.DUMMYFUNCTION("""COMPUTED_VALUE"""),0)</f>
        <v>0</v>
      </c>
      <c r="T88" s="24">
        <f ca="1">IFERROR(__xludf.DUMMYFUNCTION("""COMPUTED_VALUE"""),0)</f>
        <v>0</v>
      </c>
      <c r="U88" s="23">
        <f ca="1">IFERROR(__xludf.DUMMYFUNCTION("""COMPUTED_VALUE"""),0)</f>
        <v>0</v>
      </c>
      <c r="V88" s="23">
        <f ca="1">IFERROR(__xludf.DUMMYFUNCTION("""COMPUTED_VALUE"""),0)</f>
        <v>0</v>
      </c>
      <c r="W88" s="23">
        <f ca="1">IFERROR(__xludf.DUMMYFUNCTION("""COMPUTED_VALUE"""),0)</f>
        <v>0</v>
      </c>
      <c r="X88" s="23">
        <f ca="1">IFERROR(__xludf.DUMMYFUNCTION("""COMPUTED_VALUE"""),0)</f>
        <v>0</v>
      </c>
      <c r="Y88" s="25">
        <f ca="1">IFERROR(__xludf.DUMMYFUNCTION("""COMPUTED_VALUE"""),0)</f>
        <v>0</v>
      </c>
      <c r="Z88" s="25">
        <f ca="1">IFERROR(__xludf.DUMMYFUNCTION("""COMPUTED_VALUE"""),0)</f>
        <v>0</v>
      </c>
      <c r="AA88" s="25">
        <f ca="1">IFERROR(__xludf.DUMMYFUNCTION("""COMPUTED_VALUE"""),0)</f>
        <v>0</v>
      </c>
      <c r="AB88" s="25">
        <f ca="1">IFERROR(__xludf.DUMMYFUNCTION("""COMPUTED_VALUE"""),0)</f>
        <v>0</v>
      </c>
      <c r="AC88" s="23">
        <f ca="1">IFERROR(__xludf.DUMMYFUNCTION("""COMPUTED_VALUE"""),0)</f>
        <v>0</v>
      </c>
      <c r="AD88" s="26"/>
      <c r="AE88" s="27"/>
    </row>
    <row r="89" spans="1:31" ht="14.3">
      <c r="A89" s="18" t="str">
        <f ca="1">IFERROR(__xludf.DUMMYFUNCTION("""COMPUTED_VALUE"""),"23SDSCE01065")</f>
        <v>23SDSCE01065</v>
      </c>
      <c r="B89" s="19" t="str">
        <f ca="1">IFERROR(__xludf.DUMMYFUNCTION("""COMPUTED_VALUE"""),"SAVALIYA AKSHIT MUKESHBHAI")</f>
        <v>SAVALIYA AKSHIT MUKESHBHAI</v>
      </c>
      <c r="C89" s="18" t="str">
        <f ca="1">IFERROR(__xludf.DUMMYFUNCTION("""COMPUTED_VALUE"""),"SDS")</f>
        <v>SDS</v>
      </c>
      <c r="D89" s="18" t="str">
        <f ca="1">IFERROR(__xludf.DUMMYFUNCTION("""COMPUTED_VALUE"""),"DCE")</f>
        <v>DCE</v>
      </c>
      <c r="E89" s="18">
        <f ca="1">IFERROR(__xludf.DUMMYFUNCTION("""COMPUTED_VALUE"""),2)</f>
        <v>2</v>
      </c>
      <c r="F89" s="18" t="str">
        <f ca="1">IFERROR(__xludf.DUMMYFUNCTION("""COMPUTED_VALUE"""),"8155016591 9979679301")</f>
        <v>8155016591 9979679301</v>
      </c>
      <c r="G89" s="18" t="str">
        <f ca="1">IFERROR(__xludf.DUMMYFUNCTION("""COMPUTED_VALUE"""),"8155016591 9979679301")</f>
        <v>8155016591 9979679301</v>
      </c>
      <c r="H89" s="18" t="str">
        <f ca="1">IFERROR(__xludf.DUMMYFUNCTION("""COMPUTED_VALUE"""),"DCE_2023-26")</f>
        <v>DCE_2023-26</v>
      </c>
      <c r="I89" s="20"/>
      <c r="J89" s="21">
        <f ca="1">IFERROR(__xludf.DUMMYFUNCTION("""COMPUTED_VALUE"""),27500)</f>
        <v>27500</v>
      </c>
      <c r="K89" s="21">
        <f ca="1">IFERROR(__xludf.DUMMYFUNCTION("""COMPUTED_VALUE"""),27500)</f>
        <v>27500</v>
      </c>
      <c r="L89" s="21">
        <f ca="1">IFERROR(__xludf.DUMMYFUNCTION("""COMPUTED_VALUE"""),0)</f>
        <v>0</v>
      </c>
      <c r="M89" s="23">
        <f ca="1">IFERROR(__xludf.DUMMYFUNCTION("""COMPUTED_VALUE"""),0)</f>
        <v>0</v>
      </c>
      <c r="N89" s="21">
        <f ca="1">IFERROR(__xludf.DUMMYFUNCTION("""COMPUTED_VALUE"""),0)</f>
        <v>0</v>
      </c>
      <c r="O89" s="21">
        <f ca="1">IFERROR(__xludf.DUMMYFUNCTION("""COMPUTED_VALUE"""),3000)</f>
        <v>3000</v>
      </c>
      <c r="P89" s="21">
        <f ca="1">IFERROR(__xludf.DUMMYFUNCTION("""COMPUTED_VALUE"""),3000)</f>
        <v>3000</v>
      </c>
      <c r="Q89" s="23">
        <f ca="1">IFERROR(__xludf.DUMMYFUNCTION("""COMPUTED_VALUE"""),0)</f>
        <v>0</v>
      </c>
      <c r="R89" s="11">
        <f ca="1">IFERROR(__xludf.DUMMYFUNCTION("""COMPUTED_VALUE"""),0)</f>
        <v>0</v>
      </c>
      <c r="S89" s="23">
        <f ca="1">IFERROR(__xludf.DUMMYFUNCTION("""COMPUTED_VALUE"""),0)</f>
        <v>0</v>
      </c>
      <c r="T89" s="24">
        <f ca="1">IFERROR(__xludf.DUMMYFUNCTION("""COMPUTED_VALUE"""),0)</f>
        <v>0</v>
      </c>
      <c r="U89" s="23">
        <f ca="1">IFERROR(__xludf.DUMMYFUNCTION("""COMPUTED_VALUE"""),0)</f>
        <v>0</v>
      </c>
      <c r="V89" s="23">
        <f ca="1">IFERROR(__xludf.DUMMYFUNCTION("""COMPUTED_VALUE"""),0)</f>
        <v>0</v>
      </c>
      <c r="W89" s="23">
        <f ca="1">IFERROR(__xludf.DUMMYFUNCTION("""COMPUTED_VALUE"""),0)</f>
        <v>0</v>
      </c>
      <c r="X89" s="23">
        <f ca="1">IFERROR(__xludf.DUMMYFUNCTION("""COMPUTED_VALUE"""),0)</f>
        <v>0</v>
      </c>
      <c r="Y89" s="25">
        <f ca="1">IFERROR(__xludf.DUMMYFUNCTION("""COMPUTED_VALUE"""),0)</f>
        <v>0</v>
      </c>
      <c r="Z89" s="25">
        <f ca="1">IFERROR(__xludf.DUMMYFUNCTION("""COMPUTED_VALUE"""),0)</f>
        <v>0</v>
      </c>
      <c r="AA89" s="25">
        <f ca="1">IFERROR(__xludf.DUMMYFUNCTION("""COMPUTED_VALUE"""),0)</f>
        <v>0</v>
      </c>
      <c r="AB89" s="25">
        <f ca="1">IFERROR(__xludf.DUMMYFUNCTION("""COMPUTED_VALUE"""),0)</f>
        <v>0</v>
      </c>
      <c r="AC89" s="23">
        <f ca="1">IFERROR(__xludf.DUMMYFUNCTION("""COMPUTED_VALUE"""),0)</f>
        <v>0</v>
      </c>
      <c r="AD89" s="26"/>
      <c r="AE89" s="27"/>
    </row>
    <row r="90" spans="1:31" ht="14.3">
      <c r="A90" s="18" t="str">
        <f ca="1">IFERROR(__xludf.DUMMYFUNCTION("""COMPUTED_VALUE"""),"23SDSCE01066")</f>
        <v>23SDSCE01066</v>
      </c>
      <c r="B90" s="19" t="str">
        <f ca="1">IFERROR(__xludf.DUMMYFUNCTION("""COMPUTED_VALUE"""),"SAVALIYA SHYAM VIPULBHAI")</f>
        <v>SAVALIYA SHYAM VIPULBHAI</v>
      </c>
      <c r="C90" s="18" t="str">
        <f ca="1">IFERROR(__xludf.DUMMYFUNCTION("""COMPUTED_VALUE"""),"SDS")</f>
        <v>SDS</v>
      </c>
      <c r="D90" s="18" t="str">
        <f ca="1">IFERROR(__xludf.DUMMYFUNCTION("""COMPUTED_VALUE"""),"DCE")</f>
        <v>DCE</v>
      </c>
      <c r="E90" s="18">
        <f ca="1">IFERROR(__xludf.DUMMYFUNCTION("""COMPUTED_VALUE"""),2)</f>
        <v>2</v>
      </c>
      <c r="F90" s="18" t="str">
        <f ca="1">IFERROR(__xludf.DUMMYFUNCTION("""COMPUTED_VALUE"""),"9737369772
9924271753")</f>
        <v>9737369772
9924271753</v>
      </c>
      <c r="G90" s="18" t="str">
        <f ca="1">IFERROR(__xludf.DUMMYFUNCTION("""COMPUTED_VALUE"""),"9737369772
9924271753")</f>
        <v>9737369772
9924271753</v>
      </c>
      <c r="H90" s="18" t="str">
        <f ca="1">IFERROR(__xludf.DUMMYFUNCTION("""COMPUTED_VALUE"""),"DCE_2023-26")</f>
        <v>DCE_2023-26</v>
      </c>
      <c r="I90" s="20"/>
      <c r="J90" s="21">
        <f ca="1">IFERROR(__xludf.DUMMYFUNCTION("""COMPUTED_VALUE"""),27500)</f>
        <v>27500</v>
      </c>
      <c r="K90" s="21">
        <f ca="1">IFERROR(__xludf.DUMMYFUNCTION("""COMPUTED_VALUE"""),27500)</f>
        <v>27500</v>
      </c>
      <c r="L90" s="21">
        <f ca="1">IFERROR(__xludf.DUMMYFUNCTION("""COMPUTED_VALUE"""),0)</f>
        <v>0</v>
      </c>
      <c r="M90" s="23">
        <f ca="1">IFERROR(__xludf.DUMMYFUNCTION("""COMPUTED_VALUE"""),0)</f>
        <v>0</v>
      </c>
      <c r="N90" s="21">
        <f ca="1">IFERROR(__xludf.DUMMYFUNCTION("""COMPUTED_VALUE"""),0)</f>
        <v>0</v>
      </c>
      <c r="O90" s="21">
        <f ca="1">IFERROR(__xludf.DUMMYFUNCTION("""COMPUTED_VALUE"""),3000)</f>
        <v>3000</v>
      </c>
      <c r="P90" s="21">
        <f ca="1">IFERROR(__xludf.DUMMYFUNCTION("""COMPUTED_VALUE"""),3000)</f>
        <v>3000</v>
      </c>
      <c r="Q90" s="23">
        <f ca="1">IFERROR(__xludf.DUMMYFUNCTION("""COMPUTED_VALUE"""),0)</f>
        <v>0</v>
      </c>
      <c r="R90" s="11">
        <f ca="1">IFERROR(__xludf.DUMMYFUNCTION("""COMPUTED_VALUE"""),0)</f>
        <v>0</v>
      </c>
      <c r="S90" s="23">
        <f ca="1">IFERROR(__xludf.DUMMYFUNCTION("""COMPUTED_VALUE"""),0)</f>
        <v>0</v>
      </c>
      <c r="T90" s="24">
        <f ca="1">IFERROR(__xludf.DUMMYFUNCTION("""COMPUTED_VALUE"""),0)</f>
        <v>0</v>
      </c>
      <c r="U90" s="23">
        <f ca="1">IFERROR(__xludf.DUMMYFUNCTION("""COMPUTED_VALUE"""),0)</f>
        <v>0</v>
      </c>
      <c r="V90" s="23">
        <f ca="1">IFERROR(__xludf.DUMMYFUNCTION("""COMPUTED_VALUE"""),0)</f>
        <v>0</v>
      </c>
      <c r="W90" s="23">
        <f ca="1">IFERROR(__xludf.DUMMYFUNCTION("""COMPUTED_VALUE"""),0)</f>
        <v>0</v>
      </c>
      <c r="X90" s="23">
        <f ca="1">IFERROR(__xludf.DUMMYFUNCTION("""COMPUTED_VALUE"""),0)</f>
        <v>0</v>
      </c>
      <c r="Y90" s="25">
        <f ca="1">IFERROR(__xludf.DUMMYFUNCTION("""COMPUTED_VALUE"""),0)</f>
        <v>0</v>
      </c>
      <c r="Z90" s="25">
        <f ca="1">IFERROR(__xludf.DUMMYFUNCTION("""COMPUTED_VALUE"""),0)</f>
        <v>0</v>
      </c>
      <c r="AA90" s="25">
        <f ca="1">IFERROR(__xludf.DUMMYFUNCTION("""COMPUTED_VALUE"""),0)</f>
        <v>0</v>
      </c>
      <c r="AB90" s="25">
        <f ca="1">IFERROR(__xludf.DUMMYFUNCTION("""COMPUTED_VALUE"""),0)</f>
        <v>0</v>
      </c>
      <c r="AC90" s="23">
        <f ca="1">IFERROR(__xludf.DUMMYFUNCTION("""COMPUTED_VALUE"""),0)</f>
        <v>0</v>
      </c>
      <c r="AD90" s="26"/>
      <c r="AE90" s="27"/>
    </row>
    <row r="91" spans="1:31" ht="14.3">
      <c r="A91" s="18" t="str">
        <f ca="1">IFERROR(__xludf.DUMMYFUNCTION("""COMPUTED_VALUE"""),"23SDSCE01068")</f>
        <v>23SDSCE01068</v>
      </c>
      <c r="B91" s="19" t="str">
        <f ca="1">IFERROR(__xludf.DUMMYFUNCTION("""COMPUTED_VALUE"""),"SOJITRA SMIT ROHITBHAI")</f>
        <v>SOJITRA SMIT ROHITBHAI</v>
      </c>
      <c r="C91" s="18" t="str">
        <f ca="1">IFERROR(__xludf.DUMMYFUNCTION("""COMPUTED_VALUE"""),"SDS")</f>
        <v>SDS</v>
      </c>
      <c r="D91" s="18" t="str">
        <f ca="1">IFERROR(__xludf.DUMMYFUNCTION("""COMPUTED_VALUE"""),"DCE")</f>
        <v>DCE</v>
      </c>
      <c r="E91" s="18">
        <f ca="1">IFERROR(__xludf.DUMMYFUNCTION("""COMPUTED_VALUE"""),2)</f>
        <v>2</v>
      </c>
      <c r="F91" s="18" t="str">
        <f ca="1">IFERROR(__xludf.DUMMYFUNCTION("""COMPUTED_VALUE"""),"7046742397
9998452038")</f>
        <v>7046742397
9998452038</v>
      </c>
      <c r="G91" s="18" t="str">
        <f ca="1">IFERROR(__xludf.DUMMYFUNCTION("""COMPUTED_VALUE"""),"7046742397
9998452038")</f>
        <v>7046742397
9998452038</v>
      </c>
      <c r="H91" s="18" t="str">
        <f ca="1">IFERROR(__xludf.DUMMYFUNCTION("""COMPUTED_VALUE"""),"DCE_2023-26")</f>
        <v>DCE_2023-26</v>
      </c>
      <c r="I91" s="20"/>
      <c r="J91" s="21">
        <f ca="1">IFERROR(__xludf.DUMMYFUNCTION("""COMPUTED_VALUE"""),27500)</f>
        <v>27500</v>
      </c>
      <c r="K91" s="21">
        <f ca="1">IFERROR(__xludf.DUMMYFUNCTION("""COMPUTED_VALUE"""),27500)</f>
        <v>27500</v>
      </c>
      <c r="L91" s="21">
        <f ca="1">IFERROR(__xludf.DUMMYFUNCTION("""COMPUTED_VALUE"""),0)</f>
        <v>0</v>
      </c>
      <c r="M91" s="23">
        <f ca="1">IFERROR(__xludf.DUMMYFUNCTION("""COMPUTED_VALUE"""),0)</f>
        <v>0</v>
      </c>
      <c r="N91" s="21">
        <f ca="1">IFERROR(__xludf.DUMMYFUNCTION("""COMPUTED_VALUE"""),0)</f>
        <v>0</v>
      </c>
      <c r="O91" s="21">
        <f ca="1">IFERROR(__xludf.DUMMYFUNCTION("""COMPUTED_VALUE"""),3000)</f>
        <v>3000</v>
      </c>
      <c r="P91" s="21">
        <f ca="1">IFERROR(__xludf.DUMMYFUNCTION("""COMPUTED_VALUE"""),3000)</f>
        <v>3000</v>
      </c>
      <c r="Q91" s="23">
        <f ca="1">IFERROR(__xludf.DUMMYFUNCTION("""COMPUTED_VALUE"""),0)</f>
        <v>0</v>
      </c>
      <c r="R91" s="11">
        <f ca="1">IFERROR(__xludf.DUMMYFUNCTION("""COMPUTED_VALUE"""),0)</f>
        <v>0</v>
      </c>
      <c r="S91" s="23">
        <f ca="1">IFERROR(__xludf.DUMMYFUNCTION("""COMPUTED_VALUE"""),0)</f>
        <v>0</v>
      </c>
      <c r="T91" s="24">
        <f ca="1">IFERROR(__xludf.DUMMYFUNCTION("""COMPUTED_VALUE"""),0)</f>
        <v>0</v>
      </c>
      <c r="U91" s="23">
        <f ca="1">IFERROR(__xludf.DUMMYFUNCTION("""COMPUTED_VALUE"""),0)</f>
        <v>0</v>
      </c>
      <c r="V91" s="23">
        <f ca="1">IFERROR(__xludf.DUMMYFUNCTION("""COMPUTED_VALUE"""),0)</f>
        <v>0</v>
      </c>
      <c r="W91" s="23">
        <f ca="1">IFERROR(__xludf.DUMMYFUNCTION("""COMPUTED_VALUE"""),0)</f>
        <v>0</v>
      </c>
      <c r="X91" s="23">
        <f ca="1">IFERROR(__xludf.DUMMYFUNCTION("""COMPUTED_VALUE"""),0)</f>
        <v>0</v>
      </c>
      <c r="Y91" s="25">
        <f ca="1">IFERROR(__xludf.DUMMYFUNCTION("""COMPUTED_VALUE"""),0)</f>
        <v>0</v>
      </c>
      <c r="Z91" s="25">
        <f ca="1">IFERROR(__xludf.DUMMYFUNCTION("""COMPUTED_VALUE"""),0)</f>
        <v>0</v>
      </c>
      <c r="AA91" s="25">
        <f ca="1">IFERROR(__xludf.DUMMYFUNCTION("""COMPUTED_VALUE"""),0)</f>
        <v>0</v>
      </c>
      <c r="AB91" s="25">
        <f ca="1">IFERROR(__xludf.DUMMYFUNCTION("""COMPUTED_VALUE"""),0)</f>
        <v>0</v>
      </c>
      <c r="AC91" s="23">
        <f ca="1">IFERROR(__xludf.DUMMYFUNCTION("""COMPUTED_VALUE"""),0)</f>
        <v>0</v>
      </c>
      <c r="AD91" s="26"/>
      <c r="AE91" s="27"/>
    </row>
    <row r="92" spans="1:31" ht="14.3">
      <c r="A92" s="18" t="str">
        <f ca="1">IFERROR(__xludf.DUMMYFUNCTION("""COMPUTED_VALUE"""),"23SDSCE01069")</f>
        <v>23SDSCE01069</v>
      </c>
      <c r="B92" s="19" t="str">
        <f ca="1">IFERROR(__xludf.DUMMYFUNCTION("""COMPUTED_VALUE"""),"TAHELYANI JATIN KISHORBHAI")</f>
        <v>TAHELYANI JATIN KISHORBHAI</v>
      </c>
      <c r="C92" s="18" t="str">
        <f ca="1">IFERROR(__xludf.DUMMYFUNCTION("""COMPUTED_VALUE"""),"SDS")</f>
        <v>SDS</v>
      </c>
      <c r="D92" s="18" t="str">
        <f ca="1">IFERROR(__xludf.DUMMYFUNCTION("""COMPUTED_VALUE"""),"DCE")</f>
        <v>DCE</v>
      </c>
      <c r="E92" s="18">
        <f ca="1">IFERROR(__xludf.DUMMYFUNCTION("""COMPUTED_VALUE"""),2)</f>
        <v>2</v>
      </c>
      <c r="F92" s="18" t="str">
        <f ca="1">IFERROR(__xludf.DUMMYFUNCTION("""COMPUTED_VALUE"""),"7878102550 9824425134 9426967005")</f>
        <v>7878102550 9824425134 9426967005</v>
      </c>
      <c r="G92" s="18" t="str">
        <f ca="1">IFERROR(__xludf.DUMMYFUNCTION("""COMPUTED_VALUE"""),"7878102550 9824425134 9426967005")</f>
        <v>7878102550 9824425134 9426967005</v>
      </c>
      <c r="H92" s="18" t="str">
        <f ca="1">IFERROR(__xludf.DUMMYFUNCTION("""COMPUTED_VALUE"""),"DCE_2023-26")</f>
        <v>DCE_2023-26</v>
      </c>
      <c r="I92" s="20"/>
      <c r="J92" s="21">
        <f ca="1">IFERROR(__xludf.DUMMYFUNCTION("""COMPUTED_VALUE"""),27500)</f>
        <v>27500</v>
      </c>
      <c r="K92" s="21">
        <f ca="1">IFERROR(__xludf.DUMMYFUNCTION("""COMPUTED_VALUE"""),27500)</f>
        <v>27500</v>
      </c>
      <c r="L92" s="21">
        <f ca="1">IFERROR(__xludf.DUMMYFUNCTION("""COMPUTED_VALUE"""),0)</f>
        <v>0</v>
      </c>
      <c r="M92" s="23">
        <f ca="1">IFERROR(__xludf.DUMMYFUNCTION("""COMPUTED_VALUE"""),0)</f>
        <v>0</v>
      </c>
      <c r="N92" s="21">
        <f ca="1">IFERROR(__xludf.DUMMYFUNCTION("""COMPUTED_VALUE"""),0)</f>
        <v>0</v>
      </c>
      <c r="O92" s="21">
        <f ca="1">IFERROR(__xludf.DUMMYFUNCTION("""COMPUTED_VALUE"""),3000)</f>
        <v>3000</v>
      </c>
      <c r="P92" s="21">
        <f ca="1">IFERROR(__xludf.DUMMYFUNCTION("""COMPUTED_VALUE"""),3000)</f>
        <v>3000</v>
      </c>
      <c r="Q92" s="23">
        <f ca="1">IFERROR(__xludf.DUMMYFUNCTION("""COMPUTED_VALUE"""),0)</f>
        <v>0</v>
      </c>
      <c r="R92" s="29">
        <f ca="1">IFERROR(__xludf.DUMMYFUNCTION("""COMPUTED_VALUE"""),0)</f>
        <v>0</v>
      </c>
      <c r="S92" s="23">
        <f ca="1">IFERROR(__xludf.DUMMYFUNCTION("""COMPUTED_VALUE"""),0)</f>
        <v>0</v>
      </c>
      <c r="T92" s="24">
        <f ca="1">IFERROR(__xludf.DUMMYFUNCTION("""COMPUTED_VALUE"""),0)</f>
        <v>0</v>
      </c>
      <c r="U92" s="23">
        <f ca="1">IFERROR(__xludf.DUMMYFUNCTION("""COMPUTED_VALUE"""),0)</f>
        <v>0</v>
      </c>
      <c r="V92" s="23">
        <f ca="1">IFERROR(__xludf.DUMMYFUNCTION("""COMPUTED_VALUE"""),0)</f>
        <v>0</v>
      </c>
      <c r="W92" s="23">
        <f ca="1">IFERROR(__xludf.DUMMYFUNCTION("""COMPUTED_VALUE"""),0)</f>
        <v>0</v>
      </c>
      <c r="X92" s="23">
        <f ca="1">IFERROR(__xludf.DUMMYFUNCTION("""COMPUTED_VALUE"""),0)</f>
        <v>0</v>
      </c>
      <c r="Y92" s="25">
        <f ca="1">IFERROR(__xludf.DUMMYFUNCTION("""COMPUTED_VALUE"""),0)</f>
        <v>0</v>
      </c>
      <c r="Z92" s="25">
        <f ca="1">IFERROR(__xludf.DUMMYFUNCTION("""COMPUTED_VALUE"""),0)</f>
        <v>0</v>
      </c>
      <c r="AA92" s="25">
        <f ca="1">IFERROR(__xludf.DUMMYFUNCTION("""COMPUTED_VALUE"""),0)</f>
        <v>0</v>
      </c>
      <c r="AB92" s="25">
        <f ca="1">IFERROR(__xludf.DUMMYFUNCTION("""COMPUTED_VALUE"""),0)</f>
        <v>0</v>
      </c>
      <c r="AC92" s="23">
        <f ca="1">IFERROR(__xludf.DUMMYFUNCTION("""COMPUTED_VALUE"""),0)</f>
        <v>0</v>
      </c>
      <c r="AD92" s="26"/>
      <c r="AE92" s="27"/>
    </row>
    <row r="93" spans="1:31" ht="14.3">
      <c r="A93" s="18" t="str">
        <f ca="1">IFERROR(__xludf.DUMMYFUNCTION("""COMPUTED_VALUE"""),"23SDSCE01070")</f>
        <v>23SDSCE01070</v>
      </c>
      <c r="B93" s="19" t="str">
        <f ca="1">IFERROR(__xludf.DUMMYFUNCTION("""COMPUTED_VALUE"""),"THUMMAR SIDDHI")</f>
        <v>THUMMAR SIDDHI</v>
      </c>
      <c r="C93" s="18" t="str">
        <f ca="1">IFERROR(__xludf.DUMMYFUNCTION("""COMPUTED_VALUE"""),"SDS")</f>
        <v>SDS</v>
      </c>
      <c r="D93" s="18" t="str">
        <f ca="1">IFERROR(__xludf.DUMMYFUNCTION("""COMPUTED_VALUE"""),"DCE")</f>
        <v>DCE</v>
      </c>
      <c r="E93" s="18">
        <f ca="1">IFERROR(__xludf.DUMMYFUNCTION("""COMPUTED_VALUE"""),2)</f>
        <v>2</v>
      </c>
      <c r="F93" s="18" t="str">
        <f ca="1">IFERROR(__xludf.DUMMYFUNCTION("""COMPUTED_VALUE"""),"8320000801 8160706100")</f>
        <v>8320000801 8160706100</v>
      </c>
      <c r="G93" s="18" t="str">
        <f ca="1">IFERROR(__xludf.DUMMYFUNCTION("""COMPUTED_VALUE"""),"8320000801 8160706100")</f>
        <v>8320000801 8160706100</v>
      </c>
      <c r="H93" s="18" t="str">
        <f ca="1">IFERROR(__xludf.DUMMYFUNCTION("""COMPUTED_VALUE"""),"DCE_2023-26")</f>
        <v>DCE_2023-26</v>
      </c>
      <c r="I93" s="20"/>
      <c r="J93" s="21">
        <f ca="1">IFERROR(__xludf.DUMMYFUNCTION("""COMPUTED_VALUE"""),27500)</f>
        <v>27500</v>
      </c>
      <c r="K93" s="21">
        <f ca="1">IFERROR(__xludf.DUMMYFUNCTION("""COMPUTED_VALUE"""),27500)</f>
        <v>27500</v>
      </c>
      <c r="L93" s="21">
        <f ca="1">IFERROR(__xludf.DUMMYFUNCTION("""COMPUTED_VALUE"""),0)</f>
        <v>0</v>
      </c>
      <c r="M93" s="23">
        <f ca="1">IFERROR(__xludf.DUMMYFUNCTION("""COMPUTED_VALUE"""),0)</f>
        <v>0</v>
      </c>
      <c r="N93" s="21">
        <f ca="1">IFERROR(__xludf.DUMMYFUNCTION("""COMPUTED_VALUE"""),0)</f>
        <v>0</v>
      </c>
      <c r="O93" s="21">
        <f ca="1">IFERROR(__xludf.DUMMYFUNCTION("""COMPUTED_VALUE"""),3000)</f>
        <v>3000</v>
      </c>
      <c r="P93" s="21">
        <f ca="1">IFERROR(__xludf.DUMMYFUNCTION("""COMPUTED_VALUE"""),3000)</f>
        <v>3000</v>
      </c>
      <c r="Q93" s="23">
        <f ca="1">IFERROR(__xludf.DUMMYFUNCTION("""COMPUTED_VALUE"""),0)</f>
        <v>0</v>
      </c>
      <c r="R93" s="11">
        <f ca="1">IFERROR(__xludf.DUMMYFUNCTION("""COMPUTED_VALUE"""),0)</f>
        <v>0</v>
      </c>
      <c r="S93" s="23">
        <f ca="1">IFERROR(__xludf.DUMMYFUNCTION("""COMPUTED_VALUE"""),0)</f>
        <v>0</v>
      </c>
      <c r="T93" s="24">
        <f ca="1">IFERROR(__xludf.DUMMYFUNCTION("""COMPUTED_VALUE"""),0)</f>
        <v>0</v>
      </c>
      <c r="U93" s="23">
        <f ca="1">IFERROR(__xludf.DUMMYFUNCTION("""COMPUTED_VALUE"""),0)</f>
        <v>0</v>
      </c>
      <c r="V93" s="23">
        <f ca="1">IFERROR(__xludf.DUMMYFUNCTION("""COMPUTED_VALUE"""),0)</f>
        <v>0</v>
      </c>
      <c r="W93" s="23">
        <f ca="1">IFERROR(__xludf.DUMMYFUNCTION("""COMPUTED_VALUE"""),0)</f>
        <v>0</v>
      </c>
      <c r="X93" s="23">
        <f ca="1">IFERROR(__xludf.DUMMYFUNCTION("""COMPUTED_VALUE"""),0)</f>
        <v>0</v>
      </c>
      <c r="Y93" s="25">
        <f ca="1">IFERROR(__xludf.DUMMYFUNCTION("""COMPUTED_VALUE"""),0)</f>
        <v>0</v>
      </c>
      <c r="Z93" s="25">
        <f ca="1">IFERROR(__xludf.DUMMYFUNCTION("""COMPUTED_VALUE"""),0)</f>
        <v>0</v>
      </c>
      <c r="AA93" s="25">
        <f ca="1">IFERROR(__xludf.DUMMYFUNCTION("""COMPUTED_VALUE"""),0)</f>
        <v>0</v>
      </c>
      <c r="AB93" s="25">
        <f ca="1">IFERROR(__xludf.DUMMYFUNCTION("""COMPUTED_VALUE"""),0)</f>
        <v>0</v>
      </c>
      <c r="AC93" s="23">
        <f ca="1">IFERROR(__xludf.DUMMYFUNCTION("""COMPUTED_VALUE"""),0)</f>
        <v>0</v>
      </c>
      <c r="AD93" s="26"/>
      <c r="AE93" s="27"/>
    </row>
    <row r="94" spans="1:31" ht="14.3">
      <c r="A94" s="18" t="str">
        <f ca="1">IFERROR(__xludf.DUMMYFUNCTION("""COMPUTED_VALUE"""),"23SDSCE01071")</f>
        <v>23SDSCE01071</v>
      </c>
      <c r="B94" s="19" t="str">
        <f ca="1">IFERROR(__xludf.DUMMYFUNCTION("""COMPUTED_VALUE"""),"TILALA YASHKUMAR BHAGVANBHAI")</f>
        <v>TILALA YASHKUMAR BHAGVANBHAI</v>
      </c>
      <c r="C94" s="18" t="str">
        <f ca="1">IFERROR(__xludf.DUMMYFUNCTION("""COMPUTED_VALUE"""),"SDS")</f>
        <v>SDS</v>
      </c>
      <c r="D94" s="18" t="str">
        <f ca="1">IFERROR(__xludf.DUMMYFUNCTION("""COMPUTED_VALUE"""),"DCE")</f>
        <v>DCE</v>
      </c>
      <c r="E94" s="18">
        <f ca="1">IFERROR(__xludf.DUMMYFUNCTION("""COMPUTED_VALUE"""),2)</f>
        <v>2</v>
      </c>
      <c r="F94" s="18" t="str">
        <f ca="1">IFERROR(__xludf.DUMMYFUNCTION("""COMPUTED_VALUE"""),"8849914334 9265877933")</f>
        <v>8849914334 9265877933</v>
      </c>
      <c r="G94" s="18" t="str">
        <f ca="1">IFERROR(__xludf.DUMMYFUNCTION("""COMPUTED_VALUE"""),"8849914334 9265877933")</f>
        <v>8849914334 9265877933</v>
      </c>
      <c r="H94" s="18" t="str">
        <f ca="1">IFERROR(__xludf.DUMMYFUNCTION("""COMPUTED_VALUE"""),"DCE_2023-26")</f>
        <v>DCE_2023-26</v>
      </c>
      <c r="I94" s="20"/>
      <c r="J94" s="21">
        <f ca="1">IFERROR(__xludf.DUMMYFUNCTION("""COMPUTED_VALUE"""),27500)</f>
        <v>27500</v>
      </c>
      <c r="K94" s="21">
        <f ca="1">IFERROR(__xludf.DUMMYFUNCTION("""COMPUTED_VALUE"""),27500)</f>
        <v>27500</v>
      </c>
      <c r="L94" s="21">
        <f ca="1">IFERROR(__xludf.DUMMYFUNCTION("""COMPUTED_VALUE"""),0)</f>
        <v>0</v>
      </c>
      <c r="M94" s="23">
        <f ca="1">IFERROR(__xludf.DUMMYFUNCTION("""COMPUTED_VALUE"""),0)</f>
        <v>0</v>
      </c>
      <c r="N94" s="21">
        <f ca="1">IFERROR(__xludf.DUMMYFUNCTION("""COMPUTED_VALUE"""),0)</f>
        <v>0</v>
      </c>
      <c r="O94" s="21">
        <f ca="1">IFERROR(__xludf.DUMMYFUNCTION("""COMPUTED_VALUE"""),3000)</f>
        <v>3000</v>
      </c>
      <c r="P94" s="21">
        <f ca="1">IFERROR(__xludf.DUMMYFUNCTION("""COMPUTED_VALUE"""),3000)</f>
        <v>3000</v>
      </c>
      <c r="Q94" s="23">
        <f ca="1">IFERROR(__xludf.DUMMYFUNCTION("""COMPUTED_VALUE"""),0)</f>
        <v>0</v>
      </c>
      <c r="R94" s="11">
        <f ca="1">IFERROR(__xludf.DUMMYFUNCTION("""COMPUTED_VALUE"""),0)</f>
        <v>0</v>
      </c>
      <c r="S94" s="23">
        <f ca="1">IFERROR(__xludf.DUMMYFUNCTION("""COMPUTED_VALUE"""),0)</f>
        <v>0</v>
      </c>
      <c r="T94" s="24">
        <f ca="1">IFERROR(__xludf.DUMMYFUNCTION("""COMPUTED_VALUE"""),0)</f>
        <v>0</v>
      </c>
      <c r="U94" s="23">
        <f ca="1">IFERROR(__xludf.DUMMYFUNCTION("""COMPUTED_VALUE"""),0)</f>
        <v>0</v>
      </c>
      <c r="V94" s="23">
        <f ca="1">IFERROR(__xludf.DUMMYFUNCTION("""COMPUTED_VALUE"""),0)</f>
        <v>0</v>
      </c>
      <c r="W94" s="23">
        <f ca="1">IFERROR(__xludf.DUMMYFUNCTION("""COMPUTED_VALUE"""),0)</f>
        <v>0</v>
      </c>
      <c r="X94" s="23">
        <f ca="1">IFERROR(__xludf.DUMMYFUNCTION("""COMPUTED_VALUE"""),0)</f>
        <v>0</v>
      </c>
      <c r="Y94" s="25">
        <f ca="1">IFERROR(__xludf.DUMMYFUNCTION("""COMPUTED_VALUE"""),0)</f>
        <v>0</v>
      </c>
      <c r="Z94" s="25">
        <f ca="1">IFERROR(__xludf.DUMMYFUNCTION("""COMPUTED_VALUE"""),0)</f>
        <v>0</v>
      </c>
      <c r="AA94" s="25">
        <f ca="1">IFERROR(__xludf.DUMMYFUNCTION("""COMPUTED_VALUE"""),0)</f>
        <v>0</v>
      </c>
      <c r="AB94" s="25">
        <f ca="1">IFERROR(__xludf.DUMMYFUNCTION("""COMPUTED_VALUE"""),0)</f>
        <v>0</v>
      </c>
      <c r="AC94" s="23">
        <f ca="1">IFERROR(__xludf.DUMMYFUNCTION("""COMPUTED_VALUE"""),0)</f>
        <v>0</v>
      </c>
      <c r="AD94" s="26"/>
      <c r="AE94" s="27"/>
    </row>
    <row r="95" spans="1:31" ht="14.3">
      <c r="A95" s="18" t="str">
        <f ca="1">IFERROR(__xludf.DUMMYFUNCTION("""COMPUTED_VALUE"""),"23SDSCE01072")</f>
        <v>23SDSCE01072</v>
      </c>
      <c r="B95" s="19" t="str">
        <f ca="1">IFERROR(__xludf.DUMMYFUNCTION("""COMPUTED_VALUE"""),"TRIVEDI DHRUV MAHESHBHAI")</f>
        <v>TRIVEDI DHRUV MAHESHBHAI</v>
      </c>
      <c r="C95" s="18" t="str">
        <f ca="1">IFERROR(__xludf.DUMMYFUNCTION("""COMPUTED_VALUE"""),"SDS")</f>
        <v>SDS</v>
      </c>
      <c r="D95" s="18" t="str">
        <f ca="1">IFERROR(__xludf.DUMMYFUNCTION("""COMPUTED_VALUE"""),"DCE")</f>
        <v>DCE</v>
      </c>
      <c r="E95" s="18">
        <f ca="1">IFERROR(__xludf.DUMMYFUNCTION("""COMPUTED_VALUE"""),2)</f>
        <v>2</v>
      </c>
      <c r="F95" s="18" t="str">
        <f ca="1">IFERROR(__xludf.DUMMYFUNCTION("""COMPUTED_VALUE"""),"6355662769 7600028680")</f>
        <v>6355662769 7600028680</v>
      </c>
      <c r="G95" s="18" t="str">
        <f ca="1">IFERROR(__xludf.DUMMYFUNCTION("""COMPUTED_VALUE"""),"6355662769 7600028680")</f>
        <v>6355662769 7600028680</v>
      </c>
      <c r="H95" s="18" t="str">
        <f ca="1">IFERROR(__xludf.DUMMYFUNCTION("""COMPUTED_VALUE"""),"DCE_2023-26")</f>
        <v>DCE_2023-26</v>
      </c>
      <c r="I95" s="20" t="str">
        <f ca="1">IFERROR(__xludf.DUMMYFUNCTION("""COMPUTED_VALUE"""),"KSP")</f>
        <v>KSP</v>
      </c>
      <c r="J95" s="21">
        <f ca="1">IFERROR(__xludf.DUMMYFUNCTION("""COMPUTED_VALUE"""),27500)</f>
        <v>27500</v>
      </c>
      <c r="K95" s="21">
        <f ca="1">IFERROR(__xludf.DUMMYFUNCTION("""COMPUTED_VALUE"""),21250)</f>
        <v>21250</v>
      </c>
      <c r="L95" s="21">
        <f ca="1">IFERROR(__xludf.DUMMYFUNCTION("""COMPUTED_VALUE"""),0)</f>
        <v>0</v>
      </c>
      <c r="M95" s="23">
        <f ca="1">IFERROR(__xludf.DUMMYFUNCTION("""COMPUTED_VALUE"""),6250)</f>
        <v>6250</v>
      </c>
      <c r="N95" s="21">
        <f ca="1">IFERROR(__xludf.DUMMYFUNCTION("""COMPUTED_VALUE"""),0)</f>
        <v>0</v>
      </c>
      <c r="O95" s="21">
        <f ca="1">IFERROR(__xludf.DUMMYFUNCTION("""COMPUTED_VALUE"""),3000)</f>
        <v>3000</v>
      </c>
      <c r="P95" s="21">
        <f ca="1">IFERROR(__xludf.DUMMYFUNCTION("""COMPUTED_VALUE"""),3000)</f>
        <v>3000</v>
      </c>
      <c r="Q95" s="23">
        <f ca="1">IFERROR(__xludf.DUMMYFUNCTION("""COMPUTED_VALUE"""),0)</f>
        <v>0</v>
      </c>
      <c r="R95" s="11">
        <f ca="1">IFERROR(__xludf.DUMMYFUNCTION("""COMPUTED_VALUE"""),0)</f>
        <v>0</v>
      </c>
      <c r="S95" s="23">
        <f ca="1">IFERROR(__xludf.DUMMYFUNCTION("""COMPUTED_VALUE"""),0)</f>
        <v>0</v>
      </c>
      <c r="T95" s="24">
        <f ca="1">IFERROR(__xludf.DUMMYFUNCTION("""COMPUTED_VALUE"""),0)</f>
        <v>0</v>
      </c>
      <c r="U95" s="23">
        <f ca="1">IFERROR(__xludf.DUMMYFUNCTION("""COMPUTED_VALUE"""),0)</f>
        <v>0</v>
      </c>
      <c r="V95" s="23">
        <f ca="1">IFERROR(__xludf.DUMMYFUNCTION("""COMPUTED_VALUE"""),0)</f>
        <v>0</v>
      </c>
      <c r="W95" s="23">
        <f ca="1">IFERROR(__xludf.DUMMYFUNCTION("""COMPUTED_VALUE"""),0)</f>
        <v>0</v>
      </c>
      <c r="X95" s="23">
        <f ca="1">IFERROR(__xludf.DUMMYFUNCTION("""COMPUTED_VALUE"""),0)</f>
        <v>0</v>
      </c>
      <c r="Y95" s="25">
        <f ca="1">IFERROR(__xludf.DUMMYFUNCTION("""COMPUTED_VALUE"""),0)</f>
        <v>0</v>
      </c>
      <c r="Z95" s="25">
        <f ca="1">IFERROR(__xludf.DUMMYFUNCTION("""COMPUTED_VALUE"""),0)</f>
        <v>0</v>
      </c>
      <c r="AA95" s="25">
        <f ca="1">IFERROR(__xludf.DUMMYFUNCTION("""COMPUTED_VALUE"""),0)</f>
        <v>0</v>
      </c>
      <c r="AB95" s="25">
        <f ca="1">IFERROR(__xludf.DUMMYFUNCTION("""COMPUTED_VALUE"""),0)</f>
        <v>0</v>
      </c>
      <c r="AC95" s="23">
        <f ca="1">IFERROR(__xludf.DUMMYFUNCTION("""COMPUTED_VALUE"""),0)</f>
        <v>0</v>
      </c>
      <c r="AD95" s="26" t="str">
        <f ca="1">IFERROR(__xludf.DUMMYFUNCTION("""COMPUTED_VALUE"""),"KSPS ( 6250/- )")</f>
        <v>KSPS ( 6250/- )</v>
      </c>
      <c r="AE95" s="27"/>
    </row>
    <row r="96" spans="1:31" ht="14.3">
      <c r="A96" s="18" t="str">
        <f ca="1">IFERROR(__xludf.DUMMYFUNCTION("""COMPUTED_VALUE"""),"23SDSCE01073")</f>
        <v>23SDSCE01073</v>
      </c>
      <c r="B96" s="19" t="str">
        <f ca="1">IFERROR(__xludf.DUMMYFUNCTION("""COMPUTED_VALUE"""),"TUKADIYA SUBHASH KHIMJI")</f>
        <v>TUKADIYA SUBHASH KHIMJI</v>
      </c>
      <c r="C96" s="18" t="str">
        <f ca="1">IFERROR(__xludf.DUMMYFUNCTION("""COMPUTED_VALUE"""),"SDS")</f>
        <v>SDS</v>
      </c>
      <c r="D96" s="18" t="str">
        <f ca="1">IFERROR(__xludf.DUMMYFUNCTION("""COMPUTED_VALUE"""),"DCE")</f>
        <v>DCE</v>
      </c>
      <c r="E96" s="18">
        <f ca="1">IFERROR(__xludf.DUMMYFUNCTION("""COMPUTED_VALUE"""),2)</f>
        <v>2</v>
      </c>
      <c r="F96" s="18" t="str">
        <f ca="1">IFERROR(__xludf.DUMMYFUNCTION("""COMPUTED_VALUE"""),"7096192629 9512833955")</f>
        <v>7096192629 9512833955</v>
      </c>
      <c r="G96" s="18" t="str">
        <f ca="1">IFERROR(__xludf.DUMMYFUNCTION("""COMPUTED_VALUE"""),"7096192629 9512833955")</f>
        <v>7096192629 9512833955</v>
      </c>
      <c r="H96" s="18" t="str">
        <f ca="1">IFERROR(__xludf.DUMMYFUNCTION("""COMPUTED_VALUE"""),"DCE_2023-26")</f>
        <v>DCE_2023-26</v>
      </c>
      <c r="I96" s="20"/>
      <c r="J96" s="21">
        <f ca="1">IFERROR(__xludf.DUMMYFUNCTION("""COMPUTED_VALUE"""),27500)</f>
        <v>27500</v>
      </c>
      <c r="K96" s="21">
        <f ca="1">IFERROR(__xludf.DUMMYFUNCTION("""COMPUTED_VALUE"""),27500)</f>
        <v>27500</v>
      </c>
      <c r="L96" s="21">
        <f ca="1">IFERROR(__xludf.DUMMYFUNCTION("""COMPUTED_VALUE"""),0)</f>
        <v>0</v>
      </c>
      <c r="M96" s="23">
        <f ca="1">IFERROR(__xludf.DUMMYFUNCTION("""COMPUTED_VALUE"""),0)</f>
        <v>0</v>
      </c>
      <c r="N96" s="21">
        <f ca="1">IFERROR(__xludf.DUMMYFUNCTION("""COMPUTED_VALUE"""),0)</f>
        <v>0</v>
      </c>
      <c r="O96" s="21">
        <f ca="1">IFERROR(__xludf.DUMMYFUNCTION("""COMPUTED_VALUE"""),3000)</f>
        <v>3000</v>
      </c>
      <c r="P96" s="21">
        <f ca="1">IFERROR(__xludf.DUMMYFUNCTION("""COMPUTED_VALUE"""),3000)</f>
        <v>3000</v>
      </c>
      <c r="Q96" s="23">
        <f ca="1">IFERROR(__xludf.DUMMYFUNCTION("""COMPUTED_VALUE"""),0)</f>
        <v>0</v>
      </c>
      <c r="R96" s="11">
        <f ca="1">IFERROR(__xludf.DUMMYFUNCTION("""COMPUTED_VALUE"""),0)</f>
        <v>0</v>
      </c>
      <c r="S96" s="23">
        <f ca="1">IFERROR(__xludf.DUMMYFUNCTION("""COMPUTED_VALUE"""),0)</f>
        <v>0</v>
      </c>
      <c r="T96" s="24">
        <f ca="1">IFERROR(__xludf.DUMMYFUNCTION("""COMPUTED_VALUE"""),0)</f>
        <v>0</v>
      </c>
      <c r="U96" s="23">
        <f ca="1">IFERROR(__xludf.DUMMYFUNCTION("""COMPUTED_VALUE"""),0)</f>
        <v>0</v>
      </c>
      <c r="V96" s="23">
        <f ca="1">IFERROR(__xludf.DUMMYFUNCTION("""COMPUTED_VALUE"""),0)</f>
        <v>0</v>
      </c>
      <c r="W96" s="23">
        <f ca="1">IFERROR(__xludf.DUMMYFUNCTION("""COMPUTED_VALUE"""),0)</f>
        <v>0</v>
      </c>
      <c r="X96" s="23">
        <f ca="1">IFERROR(__xludf.DUMMYFUNCTION("""COMPUTED_VALUE"""),0)</f>
        <v>0</v>
      </c>
      <c r="Y96" s="25">
        <f ca="1">IFERROR(__xludf.DUMMYFUNCTION("""COMPUTED_VALUE"""),0)</f>
        <v>0</v>
      </c>
      <c r="Z96" s="25">
        <f ca="1">IFERROR(__xludf.DUMMYFUNCTION("""COMPUTED_VALUE"""),0)</f>
        <v>0</v>
      </c>
      <c r="AA96" s="25">
        <f ca="1">IFERROR(__xludf.DUMMYFUNCTION("""COMPUTED_VALUE"""),0)</f>
        <v>0</v>
      </c>
      <c r="AB96" s="25">
        <f ca="1">IFERROR(__xludf.DUMMYFUNCTION("""COMPUTED_VALUE"""),0)</f>
        <v>0</v>
      </c>
      <c r="AC96" s="23">
        <f ca="1">IFERROR(__xludf.DUMMYFUNCTION("""COMPUTED_VALUE"""),0)</f>
        <v>0</v>
      </c>
      <c r="AD96" s="26"/>
      <c r="AE96" s="27"/>
    </row>
    <row r="97" spans="1:31" ht="14.3">
      <c r="A97" s="18" t="str">
        <f ca="1">IFERROR(__xludf.DUMMYFUNCTION("""COMPUTED_VALUE"""),"23SDSCE01074")</f>
        <v>23SDSCE01074</v>
      </c>
      <c r="B97" s="19" t="str">
        <f ca="1">IFERROR(__xludf.DUMMYFUNCTION("""COMPUTED_VALUE"""),"VACHHANI DAKSH DINESHBHAI")</f>
        <v>VACHHANI DAKSH DINESHBHAI</v>
      </c>
      <c r="C97" s="18" t="str">
        <f ca="1">IFERROR(__xludf.DUMMYFUNCTION("""COMPUTED_VALUE"""),"SDS")</f>
        <v>SDS</v>
      </c>
      <c r="D97" s="18" t="str">
        <f ca="1">IFERROR(__xludf.DUMMYFUNCTION("""COMPUTED_VALUE"""),"DCE")</f>
        <v>DCE</v>
      </c>
      <c r="E97" s="18">
        <f ca="1">IFERROR(__xludf.DUMMYFUNCTION("""COMPUTED_VALUE"""),2)</f>
        <v>2</v>
      </c>
      <c r="F97" s="18" t="str">
        <f ca="1">IFERROR(__xludf.DUMMYFUNCTION("""COMPUTED_VALUE"""),"9484797877 7777920816 8980859299")</f>
        <v>9484797877 7777920816 8980859299</v>
      </c>
      <c r="G97" s="18" t="str">
        <f ca="1">IFERROR(__xludf.DUMMYFUNCTION("""COMPUTED_VALUE"""),"9484797877 7777920816 8980859299")</f>
        <v>9484797877 7777920816 8980859299</v>
      </c>
      <c r="H97" s="18" t="str">
        <f ca="1">IFERROR(__xludf.DUMMYFUNCTION("""COMPUTED_VALUE"""),"DCE_2023-26")</f>
        <v>DCE_2023-26</v>
      </c>
      <c r="I97" s="20"/>
      <c r="J97" s="21">
        <f ca="1">IFERROR(__xludf.DUMMYFUNCTION("""COMPUTED_VALUE"""),27500)</f>
        <v>27500</v>
      </c>
      <c r="K97" s="21">
        <f ca="1">IFERROR(__xludf.DUMMYFUNCTION("""COMPUTED_VALUE"""),27500)</f>
        <v>27500</v>
      </c>
      <c r="L97" s="21">
        <f ca="1">IFERROR(__xludf.DUMMYFUNCTION("""COMPUTED_VALUE"""),0)</f>
        <v>0</v>
      </c>
      <c r="M97" s="23">
        <f ca="1">IFERROR(__xludf.DUMMYFUNCTION("""COMPUTED_VALUE"""),0)</f>
        <v>0</v>
      </c>
      <c r="N97" s="21">
        <f ca="1">IFERROR(__xludf.DUMMYFUNCTION("""COMPUTED_VALUE"""),0)</f>
        <v>0</v>
      </c>
      <c r="O97" s="21">
        <f ca="1">IFERROR(__xludf.DUMMYFUNCTION("""COMPUTED_VALUE"""),3000)</f>
        <v>3000</v>
      </c>
      <c r="P97" s="21">
        <f ca="1">IFERROR(__xludf.DUMMYFUNCTION("""COMPUTED_VALUE"""),3000)</f>
        <v>3000</v>
      </c>
      <c r="Q97" s="23">
        <f ca="1">IFERROR(__xludf.DUMMYFUNCTION("""COMPUTED_VALUE"""),0)</f>
        <v>0</v>
      </c>
      <c r="R97" s="11">
        <f ca="1">IFERROR(__xludf.DUMMYFUNCTION("""COMPUTED_VALUE"""),0)</f>
        <v>0</v>
      </c>
      <c r="S97" s="23">
        <f ca="1">IFERROR(__xludf.DUMMYFUNCTION("""COMPUTED_VALUE"""),0)</f>
        <v>0</v>
      </c>
      <c r="T97" s="24">
        <f ca="1">IFERROR(__xludf.DUMMYFUNCTION("""COMPUTED_VALUE"""),0)</f>
        <v>0</v>
      </c>
      <c r="U97" s="23">
        <f ca="1">IFERROR(__xludf.DUMMYFUNCTION("""COMPUTED_VALUE"""),0)</f>
        <v>0</v>
      </c>
      <c r="V97" s="23">
        <f ca="1">IFERROR(__xludf.DUMMYFUNCTION("""COMPUTED_VALUE"""),0)</f>
        <v>0</v>
      </c>
      <c r="W97" s="23">
        <f ca="1">IFERROR(__xludf.DUMMYFUNCTION("""COMPUTED_VALUE"""),0)</f>
        <v>0</v>
      </c>
      <c r="X97" s="23">
        <f ca="1">IFERROR(__xludf.DUMMYFUNCTION("""COMPUTED_VALUE"""),0)</f>
        <v>0</v>
      </c>
      <c r="Y97" s="25">
        <f ca="1">IFERROR(__xludf.DUMMYFUNCTION("""COMPUTED_VALUE"""),0)</f>
        <v>0</v>
      </c>
      <c r="Z97" s="25">
        <f ca="1">IFERROR(__xludf.DUMMYFUNCTION("""COMPUTED_VALUE"""),0)</f>
        <v>0</v>
      </c>
      <c r="AA97" s="25">
        <f ca="1">IFERROR(__xludf.DUMMYFUNCTION("""COMPUTED_VALUE"""),0)</f>
        <v>0</v>
      </c>
      <c r="AB97" s="25">
        <f ca="1">IFERROR(__xludf.DUMMYFUNCTION("""COMPUTED_VALUE"""),0)</f>
        <v>0</v>
      </c>
      <c r="AC97" s="23">
        <f ca="1">IFERROR(__xludf.DUMMYFUNCTION("""COMPUTED_VALUE"""),0)</f>
        <v>0</v>
      </c>
      <c r="AD97" s="26"/>
      <c r="AE97" s="27"/>
    </row>
    <row r="98" spans="1:31" ht="14.3">
      <c r="A98" s="18" t="str">
        <f ca="1">IFERROR(__xludf.DUMMYFUNCTION("""COMPUTED_VALUE"""),"23SDSCE01076")</f>
        <v>23SDSCE01076</v>
      </c>
      <c r="B98" s="19" t="str">
        <f ca="1">IFERROR(__xludf.DUMMYFUNCTION("""COMPUTED_VALUE"""),"VASOYA DEEP HARESHBHAI")</f>
        <v>VASOYA DEEP HARESHBHAI</v>
      </c>
      <c r="C98" s="18" t="str">
        <f ca="1">IFERROR(__xludf.DUMMYFUNCTION("""COMPUTED_VALUE"""),"SDS")</f>
        <v>SDS</v>
      </c>
      <c r="D98" s="18" t="str">
        <f ca="1">IFERROR(__xludf.DUMMYFUNCTION("""COMPUTED_VALUE"""),"DCE")</f>
        <v>DCE</v>
      </c>
      <c r="E98" s="18">
        <f ca="1">IFERROR(__xludf.DUMMYFUNCTION("""COMPUTED_VALUE"""),2)</f>
        <v>2</v>
      </c>
      <c r="F98" s="6" t="str">
        <f ca="1">IFERROR(__xludf.DUMMYFUNCTION("""COMPUTED_VALUE"""),"8128530976 9909230976")</f>
        <v>8128530976 9909230976</v>
      </c>
      <c r="G98" s="6" t="str">
        <f ca="1">IFERROR(__xludf.DUMMYFUNCTION("""COMPUTED_VALUE"""),"8128530976 9909230976")</f>
        <v>8128530976 9909230976</v>
      </c>
      <c r="H98" s="18" t="str">
        <f ca="1">IFERROR(__xludf.DUMMYFUNCTION("""COMPUTED_VALUE"""),"DCE_2023-26")</f>
        <v>DCE_2023-26</v>
      </c>
      <c r="I98" s="20"/>
      <c r="J98" s="21">
        <f ca="1">IFERROR(__xludf.DUMMYFUNCTION("""COMPUTED_VALUE"""),27500)</f>
        <v>27500</v>
      </c>
      <c r="K98" s="21">
        <f ca="1">IFERROR(__xludf.DUMMYFUNCTION("""COMPUTED_VALUE"""),27500)</f>
        <v>27500</v>
      </c>
      <c r="L98" s="21">
        <f ca="1">IFERROR(__xludf.DUMMYFUNCTION("""COMPUTED_VALUE"""),0)</f>
        <v>0</v>
      </c>
      <c r="M98" s="23">
        <f ca="1">IFERROR(__xludf.DUMMYFUNCTION("""COMPUTED_VALUE"""),0)</f>
        <v>0</v>
      </c>
      <c r="N98" s="21">
        <f ca="1">IFERROR(__xludf.DUMMYFUNCTION("""COMPUTED_VALUE"""),0)</f>
        <v>0</v>
      </c>
      <c r="O98" s="21">
        <f ca="1">IFERROR(__xludf.DUMMYFUNCTION("""COMPUTED_VALUE"""),3000)</f>
        <v>3000</v>
      </c>
      <c r="P98" s="21">
        <f ca="1">IFERROR(__xludf.DUMMYFUNCTION("""COMPUTED_VALUE"""),3000)</f>
        <v>3000</v>
      </c>
      <c r="Q98" s="23">
        <f ca="1">IFERROR(__xludf.DUMMYFUNCTION("""COMPUTED_VALUE"""),0)</f>
        <v>0</v>
      </c>
      <c r="R98" s="29">
        <f ca="1">IFERROR(__xludf.DUMMYFUNCTION("""COMPUTED_VALUE"""),0)</f>
        <v>0</v>
      </c>
      <c r="S98" s="23">
        <f ca="1">IFERROR(__xludf.DUMMYFUNCTION("""COMPUTED_VALUE"""),0)</f>
        <v>0</v>
      </c>
      <c r="T98" s="24">
        <f ca="1">IFERROR(__xludf.DUMMYFUNCTION("""COMPUTED_VALUE"""),0)</f>
        <v>0</v>
      </c>
      <c r="U98" s="23">
        <f ca="1">IFERROR(__xludf.DUMMYFUNCTION("""COMPUTED_VALUE"""),0)</f>
        <v>0</v>
      </c>
      <c r="V98" s="23">
        <f ca="1">IFERROR(__xludf.DUMMYFUNCTION("""COMPUTED_VALUE"""),0)</f>
        <v>0</v>
      </c>
      <c r="W98" s="23">
        <f ca="1">IFERROR(__xludf.DUMMYFUNCTION("""COMPUTED_VALUE"""),0)</f>
        <v>0</v>
      </c>
      <c r="X98" s="23">
        <f ca="1">IFERROR(__xludf.DUMMYFUNCTION("""COMPUTED_VALUE"""),0)</f>
        <v>0</v>
      </c>
      <c r="Y98" s="25">
        <f ca="1">IFERROR(__xludf.DUMMYFUNCTION("""COMPUTED_VALUE"""),0)</f>
        <v>0</v>
      </c>
      <c r="Z98" s="25">
        <f ca="1">IFERROR(__xludf.DUMMYFUNCTION("""COMPUTED_VALUE"""),0)</f>
        <v>0</v>
      </c>
      <c r="AA98" s="25">
        <f ca="1">IFERROR(__xludf.DUMMYFUNCTION("""COMPUTED_VALUE"""),0)</f>
        <v>0</v>
      </c>
      <c r="AB98" s="25">
        <f ca="1">IFERROR(__xludf.DUMMYFUNCTION("""COMPUTED_VALUE"""),0)</f>
        <v>0</v>
      </c>
      <c r="AC98" s="23">
        <f ca="1">IFERROR(__xludf.DUMMYFUNCTION("""COMPUTED_VALUE"""),0)</f>
        <v>0</v>
      </c>
      <c r="AD98" s="26"/>
      <c r="AE98" s="27"/>
    </row>
    <row r="99" spans="1:31" ht="14.3">
      <c r="A99" s="18" t="str">
        <f ca="1">IFERROR(__xludf.DUMMYFUNCTION("""COMPUTED_VALUE"""),"23SDSCE01077")</f>
        <v>23SDSCE01077</v>
      </c>
      <c r="B99" s="19" t="str">
        <f ca="1">IFERROR(__xludf.DUMMYFUNCTION("""COMPUTED_VALUE"""),"VEKARIYA DEV VIJAYBHAI")</f>
        <v>VEKARIYA DEV VIJAYBHAI</v>
      </c>
      <c r="C99" s="18" t="str">
        <f ca="1">IFERROR(__xludf.DUMMYFUNCTION("""COMPUTED_VALUE"""),"SDS")</f>
        <v>SDS</v>
      </c>
      <c r="D99" s="18" t="str">
        <f ca="1">IFERROR(__xludf.DUMMYFUNCTION("""COMPUTED_VALUE"""),"DCE")</f>
        <v>DCE</v>
      </c>
      <c r="E99" s="18">
        <f ca="1">IFERROR(__xludf.DUMMYFUNCTION("""COMPUTED_VALUE"""),2)</f>
        <v>2</v>
      </c>
      <c r="F99" s="6" t="str">
        <f ca="1">IFERROR(__xludf.DUMMYFUNCTION("""COMPUTED_VALUE"""),"9106671574 9427214636")</f>
        <v>9106671574 9427214636</v>
      </c>
      <c r="G99" s="6" t="str">
        <f ca="1">IFERROR(__xludf.DUMMYFUNCTION("""COMPUTED_VALUE"""),"9106671574 9427214636")</f>
        <v>9106671574 9427214636</v>
      </c>
      <c r="H99" s="18" t="str">
        <f ca="1">IFERROR(__xludf.DUMMYFUNCTION("""COMPUTED_VALUE"""),"DCE_2023-26")</f>
        <v>DCE_2023-26</v>
      </c>
      <c r="I99" s="20"/>
      <c r="J99" s="21">
        <f ca="1">IFERROR(__xludf.DUMMYFUNCTION("""COMPUTED_VALUE"""),27500)</f>
        <v>27500</v>
      </c>
      <c r="K99" s="21">
        <f ca="1">IFERROR(__xludf.DUMMYFUNCTION("""COMPUTED_VALUE"""),27500)</f>
        <v>27500</v>
      </c>
      <c r="L99" s="21">
        <f ca="1">IFERROR(__xludf.DUMMYFUNCTION("""COMPUTED_VALUE"""),0)</f>
        <v>0</v>
      </c>
      <c r="M99" s="23">
        <f ca="1">IFERROR(__xludf.DUMMYFUNCTION("""COMPUTED_VALUE"""),0)</f>
        <v>0</v>
      </c>
      <c r="N99" s="21">
        <f ca="1">IFERROR(__xludf.DUMMYFUNCTION("""COMPUTED_VALUE"""),0)</f>
        <v>0</v>
      </c>
      <c r="O99" s="21">
        <f ca="1">IFERROR(__xludf.DUMMYFUNCTION("""COMPUTED_VALUE"""),3000)</f>
        <v>3000</v>
      </c>
      <c r="P99" s="21">
        <f ca="1">IFERROR(__xludf.DUMMYFUNCTION("""COMPUTED_VALUE"""),3000)</f>
        <v>3000</v>
      </c>
      <c r="Q99" s="23">
        <f ca="1">IFERROR(__xludf.DUMMYFUNCTION("""COMPUTED_VALUE"""),0)</f>
        <v>0</v>
      </c>
      <c r="R99" s="11">
        <f ca="1">IFERROR(__xludf.DUMMYFUNCTION("""COMPUTED_VALUE"""),0)</f>
        <v>0</v>
      </c>
      <c r="S99" s="23">
        <f ca="1">IFERROR(__xludf.DUMMYFUNCTION("""COMPUTED_VALUE"""),0)</f>
        <v>0</v>
      </c>
      <c r="T99" s="24">
        <f ca="1">IFERROR(__xludf.DUMMYFUNCTION("""COMPUTED_VALUE"""),0)</f>
        <v>0</v>
      </c>
      <c r="U99" s="23">
        <f ca="1">IFERROR(__xludf.DUMMYFUNCTION("""COMPUTED_VALUE"""),0)</f>
        <v>0</v>
      </c>
      <c r="V99" s="23">
        <f ca="1">IFERROR(__xludf.DUMMYFUNCTION("""COMPUTED_VALUE"""),0)</f>
        <v>0</v>
      </c>
      <c r="W99" s="23">
        <f ca="1">IFERROR(__xludf.DUMMYFUNCTION("""COMPUTED_VALUE"""),0)</f>
        <v>0</v>
      </c>
      <c r="X99" s="23">
        <f ca="1">IFERROR(__xludf.DUMMYFUNCTION("""COMPUTED_VALUE"""),0)</f>
        <v>0</v>
      </c>
      <c r="Y99" s="25">
        <f ca="1">IFERROR(__xludf.DUMMYFUNCTION("""COMPUTED_VALUE"""),0)</f>
        <v>0</v>
      </c>
      <c r="Z99" s="25">
        <f ca="1">IFERROR(__xludf.DUMMYFUNCTION("""COMPUTED_VALUE"""),0)</f>
        <v>0</v>
      </c>
      <c r="AA99" s="25">
        <f ca="1">IFERROR(__xludf.DUMMYFUNCTION("""COMPUTED_VALUE"""),0)</f>
        <v>0</v>
      </c>
      <c r="AB99" s="25">
        <f ca="1">IFERROR(__xludf.DUMMYFUNCTION("""COMPUTED_VALUE"""),0)</f>
        <v>0</v>
      </c>
      <c r="AC99" s="23">
        <f ca="1">IFERROR(__xludf.DUMMYFUNCTION("""COMPUTED_VALUE"""),0)</f>
        <v>0</v>
      </c>
      <c r="AD99" s="26"/>
      <c r="AE99" s="27"/>
    </row>
    <row r="100" spans="1:31" ht="14.3">
      <c r="A100" s="18" t="str">
        <f ca="1">IFERROR(__xludf.DUMMYFUNCTION("""COMPUTED_VALUE"""),"23SDSCE01078")</f>
        <v>23SDSCE01078</v>
      </c>
      <c r="B100" s="19" t="str">
        <f ca="1">IFERROR(__xludf.DUMMYFUNCTION("""COMPUTED_VALUE"""),"VEKARIYA KRISH NILESHBHAI")</f>
        <v>VEKARIYA KRISH NILESHBHAI</v>
      </c>
      <c r="C100" s="18" t="str">
        <f ca="1">IFERROR(__xludf.DUMMYFUNCTION("""COMPUTED_VALUE"""),"SDS")</f>
        <v>SDS</v>
      </c>
      <c r="D100" s="18" t="str">
        <f ca="1">IFERROR(__xludf.DUMMYFUNCTION("""COMPUTED_VALUE"""),"DCE")</f>
        <v>DCE</v>
      </c>
      <c r="E100" s="18">
        <f ca="1">IFERROR(__xludf.DUMMYFUNCTION("""COMPUTED_VALUE"""),2)</f>
        <v>2</v>
      </c>
      <c r="F100" s="18" t="str">
        <f ca="1">IFERROR(__xludf.DUMMYFUNCTION("""COMPUTED_VALUE"""),"9727420714 9601161857")</f>
        <v>9727420714 9601161857</v>
      </c>
      <c r="G100" s="18" t="str">
        <f ca="1">IFERROR(__xludf.DUMMYFUNCTION("""COMPUTED_VALUE"""),"9727420714 9601161857")</f>
        <v>9727420714 9601161857</v>
      </c>
      <c r="H100" s="18" t="str">
        <f ca="1">IFERROR(__xludf.DUMMYFUNCTION("""COMPUTED_VALUE"""),"DCE_2023-26")</f>
        <v>DCE_2023-26</v>
      </c>
      <c r="I100" s="20"/>
      <c r="J100" s="21">
        <f ca="1">IFERROR(__xludf.DUMMYFUNCTION("""COMPUTED_VALUE"""),27500)</f>
        <v>27500</v>
      </c>
      <c r="K100" s="21">
        <f ca="1">IFERROR(__xludf.DUMMYFUNCTION("""COMPUTED_VALUE"""),0)</f>
        <v>0</v>
      </c>
      <c r="L100" s="21">
        <f ca="1">IFERROR(__xludf.DUMMYFUNCTION("""COMPUTED_VALUE"""),0)</f>
        <v>0</v>
      </c>
      <c r="M100" s="23">
        <f ca="1">IFERROR(__xludf.DUMMYFUNCTION("""COMPUTED_VALUE"""),0)</f>
        <v>0</v>
      </c>
      <c r="N100" s="21">
        <f ca="1">IFERROR(__xludf.DUMMYFUNCTION("""COMPUTED_VALUE"""),27500)</f>
        <v>27500</v>
      </c>
      <c r="O100" s="21">
        <f ca="1">IFERROR(__xludf.DUMMYFUNCTION("""COMPUTED_VALUE"""),3000)</f>
        <v>3000</v>
      </c>
      <c r="P100" s="21">
        <f ca="1">IFERROR(__xludf.DUMMYFUNCTION("""COMPUTED_VALUE"""),0)</f>
        <v>0</v>
      </c>
      <c r="Q100" s="23">
        <f ca="1">IFERROR(__xludf.DUMMYFUNCTION("""COMPUTED_VALUE"""),0)</f>
        <v>0</v>
      </c>
      <c r="R100" s="11">
        <f ca="1">IFERROR(__xludf.DUMMYFUNCTION("""COMPUTED_VALUE"""),0)</f>
        <v>0</v>
      </c>
      <c r="S100" s="23">
        <f ca="1">IFERROR(__xludf.DUMMYFUNCTION("""COMPUTED_VALUE"""),3000)</f>
        <v>3000</v>
      </c>
      <c r="T100" s="24">
        <f ca="1">IFERROR(__xludf.DUMMYFUNCTION("""COMPUTED_VALUE"""),0)</f>
        <v>0</v>
      </c>
      <c r="U100" s="23">
        <f ca="1">IFERROR(__xludf.DUMMYFUNCTION("""COMPUTED_VALUE"""),0)</f>
        <v>0</v>
      </c>
      <c r="V100" s="23">
        <f ca="1">IFERROR(__xludf.DUMMYFUNCTION("""COMPUTED_VALUE"""),0)</f>
        <v>0</v>
      </c>
      <c r="W100" s="23">
        <f ca="1">IFERROR(__xludf.DUMMYFUNCTION("""COMPUTED_VALUE"""),0)</f>
        <v>0</v>
      </c>
      <c r="X100" s="23">
        <f ca="1">IFERROR(__xludf.DUMMYFUNCTION("""COMPUTED_VALUE"""),0)</f>
        <v>0</v>
      </c>
      <c r="Y100" s="25">
        <f ca="1">IFERROR(__xludf.DUMMYFUNCTION("""COMPUTED_VALUE"""),0)</f>
        <v>0</v>
      </c>
      <c r="Z100" s="25">
        <f ca="1">IFERROR(__xludf.DUMMYFUNCTION("""COMPUTED_VALUE"""),0)</f>
        <v>0</v>
      </c>
      <c r="AA100" s="25">
        <f ca="1">IFERROR(__xludf.DUMMYFUNCTION("""COMPUTED_VALUE"""),0)</f>
        <v>0</v>
      </c>
      <c r="AB100" s="25">
        <f ca="1">IFERROR(__xludf.DUMMYFUNCTION("""COMPUTED_VALUE"""),0)</f>
        <v>0</v>
      </c>
      <c r="AC100" s="23">
        <f ca="1">IFERROR(__xludf.DUMMYFUNCTION("""COMPUTED_VALUE"""),0)</f>
        <v>0</v>
      </c>
      <c r="AD100" s="26"/>
      <c r="AE100" s="27"/>
    </row>
    <row r="101" spans="1:31" ht="14.3">
      <c r="A101" s="18" t="str">
        <f ca="1">IFERROR(__xludf.DUMMYFUNCTION("""COMPUTED_VALUE"""),"23SDSCE01079")</f>
        <v>23SDSCE01079</v>
      </c>
      <c r="B101" s="19" t="str">
        <f ca="1">IFERROR(__xludf.DUMMYFUNCTION("""COMPUTED_VALUE"""),"VEKARIYA RENISH NITINBHAI")</f>
        <v>VEKARIYA RENISH NITINBHAI</v>
      </c>
      <c r="C101" s="18" t="str">
        <f ca="1">IFERROR(__xludf.DUMMYFUNCTION("""COMPUTED_VALUE"""),"SDS")</f>
        <v>SDS</v>
      </c>
      <c r="D101" s="18" t="str">
        <f ca="1">IFERROR(__xludf.DUMMYFUNCTION("""COMPUTED_VALUE"""),"DCE")</f>
        <v>DCE</v>
      </c>
      <c r="E101" s="18">
        <f ca="1">IFERROR(__xludf.DUMMYFUNCTION("""COMPUTED_VALUE"""),2)</f>
        <v>2</v>
      </c>
      <c r="F101" s="18" t="str">
        <f ca="1">IFERROR(__xludf.DUMMYFUNCTION("""COMPUTED_VALUE"""),"6352810106 9824540533")</f>
        <v>6352810106 9824540533</v>
      </c>
      <c r="G101" s="18" t="str">
        <f ca="1">IFERROR(__xludf.DUMMYFUNCTION("""COMPUTED_VALUE"""),"6352810106 9824540533")</f>
        <v>6352810106 9824540533</v>
      </c>
      <c r="H101" s="18" t="str">
        <f ca="1">IFERROR(__xludf.DUMMYFUNCTION("""COMPUTED_VALUE"""),"DCE_2023-26")</f>
        <v>DCE_2023-26</v>
      </c>
      <c r="I101" s="20"/>
      <c r="J101" s="21">
        <f ca="1">IFERROR(__xludf.DUMMYFUNCTION("""COMPUTED_VALUE"""),27500)</f>
        <v>27500</v>
      </c>
      <c r="K101" s="21">
        <f ca="1">IFERROR(__xludf.DUMMYFUNCTION("""COMPUTED_VALUE"""),27500)</f>
        <v>27500</v>
      </c>
      <c r="L101" s="21">
        <f ca="1">IFERROR(__xludf.DUMMYFUNCTION("""COMPUTED_VALUE"""),0)</f>
        <v>0</v>
      </c>
      <c r="M101" s="23">
        <f ca="1">IFERROR(__xludf.DUMMYFUNCTION("""COMPUTED_VALUE"""),0)</f>
        <v>0</v>
      </c>
      <c r="N101" s="21">
        <f ca="1">IFERROR(__xludf.DUMMYFUNCTION("""COMPUTED_VALUE"""),0)</f>
        <v>0</v>
      </c>
      <c r="O101" s="21">
        <f ca="1">IFERROR(__xludf.DUMMYFUNCTION("""COMPUTED_VALUE"""),3000)</f>
        <v>3000</v>
      </c>
      <c r="P101" s="21">
        <f ca="1">IFERROR(__xludf.DUMMYFUNCTION("""COMPUTED_VALUE"""),3000)</f>
        <v>3000</v>
      </c>
      <c r="Q101" s="23">
        <f ca="1">IFERROR(__xludf.DUMMYFUNCTION("""COMPUTED_VALUE"""),0)</f>
        <v>0</v>
      </c>
      <c r="R101" s="11">
        <f ca="1">IFERROR(__xludf.DUMMYFUNCTION("""COMPUTED_VALUE"""),0)</f>
        <v>0</v>
      </c>
      <c r="S101" s="23">
        <f ca="1">IFERROR(__xludf.DUMMYFUNCTION("""COMPUTED_VALUE"""),0)</f>
        <v>0</v>
      </c>
      <c r="T101" s="24">
        <f ca="1">IFERROR(__xludf.DUMMYFUNCTION("""COMPUTED_VALUE"""),0)</f>
        <v>0</v>
      </c>
      <c r="U101" s="23">
        <f ca="1">IFERROR(__xludf.DUMMYFUNCTION("""COMPUTED_VALUE"""),0)</f>
        <v>0</v>
      </c>
      <c r="V101" s="23">
        <f ca="1">IFERROR(__xludf.DUMMYFUNCTION("""COMPUTED_VALUE"""),0)</f>
        <v>0</v>
      </c>
      <c r="W101" s="23">
        <f ca="1">IFERROR(__xludf.DUMMYFUNCTION("""COMPUTED_VALUE"""),0)</f>
        <v>0</v>
      </c>
      <c r="X101" s="23">
        <f ca="1">IFERROR(__xludf.DUMMYFUNCTION("""COMPUTED_VALUE"""),0)</f>
        <v>0</v>
      </c>
      <c r="Y101" s="25">
        <f ca="1">IFERROR(__xludf.DUMMYFUNCTION("""COMPUTED_VALUE"""),0)</f>
        <v>0</v>
      </c>
      <c r="Z101" s="25">
        <f ca="1">IFERROR(__xludf.DUMMYFUNCTION("""COMPUTED_VALUE"""),0)</f>
        <v>0</v>
      </c>
      <c r="AA101" s="25">
        <f ca="1">IFERROR(__xludf.DUMMYFUNCTION("""COMPUTED_VALUE"""),0)</f>
        <v>0</v>
      </c>
      <c r="AB101" s="25">
        <f ca="1">IFERROR(__xludf.DUMMYFUNCTION("""COMPUTED_VALUE"""),0)</f>
        <v>0</v>
      </c>
      <c r="AC101" s="23">
        <f ca="1">IFERROR(__xludf.DUMMYFUNCTION("""COMPUTED_VALUE"""),0)</f>
        <v>0</v>
      </c>
      <c r="AD101" s="26"/>
      <c r="AE101" s="27"/>
    </row>
    <row r="102" spans="1:31" ht="14.3">
      <c r="A102" s="18" t="str">
        <f ca="1">IFERROR(__xludf.DUMMYFUNCTION("""COMPUTED_VALUE"""),"23SDSCE01080")</f>
        <v>23SDSCE01080</v>
      </c>
      <c r="B102" s="19" t="str">
        <f ca="1">IFERROR(__xludf.DUMMYFUNCTION("""COMPUTED_VALUE"""),"ZAPADIYA KRISHKUMAR JAGDISHBHAI")</f>
        <v>ZAPADIYA KRISHKUMAR JAGDISHBHAI</v>
      </c>
      <c r="C102" s="18" t="str">
        <f ca="1">IFERROR(__xludf.DUMMYFUNCTION("""COMPUTED_VALUE"""),"SDS")</f>
        <v>SDS</v>
      </c>
      <c r="D102" s="18" t="str">
        <f ca="1">IFERROR(__xludf.DUMMYFUNCTION("""COMPUTED_VALUE"""),"DCE")</f>
        <v>DCE</v>
      </c>
      <c r="E102" s="18">
        <f ca="1">IFERROR(__xludf.DUMMYFUNCTION("""COMPUTED_VALUE"""),2)</f>
        <v>2</v>
      </c>
      <c r="F102" s="18" t="str">
        <f ca="1">IFERROR(__xludf.DUMMYFUNCTION("""COMPUTED_VALUE"""),"9737415031 9909737110")</f>
        <v>9737415031 9909737110</v>
      </c>
      <c r="G102" s="18" t="str">
        <f ca="1">IFERROR(__xludf.DUMMYFUNCTION("""COMPUTED_VALUE"""),"9737415031 9909737110")</f>
        <v>9737415031 9909737110</v>
      </c>
      <c r="H102" s="18" t="str">
        <f ca="1">IFERROR(__xludf.DUMMYFUNCTION("""COMPUTED_VALUE"""),"DCE_2023-26")</f>
        <v>DCE_2023-26</v>
      </c>
      <c r="I102" s="20"/>
      <c r="J102" s="21">
        <f ca="1">IFERROR(__xludf.DUMMYFUNCTION("""COMPUTED_VALUE"""),27500)</f>
        <v>27500</v>
      </c>
      <c r="K102" s="21">
        <f ca="1">IFERROR(__xludf.DUMMYFUNCTION("""COMPUTED_VALUE"""),0)</f>
        <v>0</v>
      </c>
      <c r="L102" s="21">
        <f ca="1">IFERROR(__xludf.DUMMYFUNCTION("""COMPUTED_VALUE"""),0)</f>
        <v>0</v>
      </c>
      <c r="M102" s="23">
        <f ca="1">IFERROR(__xludf.DUMMYFUNCTION("""COMPUTED_VALUE"""),0)</f>
        <v>0</v>
      </c>
      <c r="N102" s="21">
        <f ca="1">IFERROR(__xludf.DUMMYFUNCTION("""COMPUTED_VALUE"""),27500)</f>
        <v>27500</v>
      </c>
      <c r="O102" s="21">
        <f ca="1">IFERROR(__xludf.DUMMYFUNCTION("""COMPUTED_VALUE"""),3000)</f>
        <v>3000</v>
      </c>
      <c r="P102" s="21">
        <f ca="1">IFERROR(__xludf.DUMMYFUNCTION("""COMPUTED_VALUE"""),0)</f>
        <v>0</v>
      </c>
      <c r="Q102" s="23">
        <f ca="1">IFERROR(__xludf.DUMMYFUNCTION("""COMPUTED_VALUE"""),0)</f>
        <v>0</v>
      </c>
      <c r="R102" s="11">
        <f ca="1">IFERROR(__xludf.DUMMYFUNCTION("""COMPUTED_VALUE"""),0)</f>
        <v>0</v>
      </c>
      <c r="S102" s="23">
        <f ca="1">IFERROR(__xludf.DUMMYFUNCTION("""COMPUTED_VALUE"""),3000)</f>
        <v>3000</v>
      </c>
      <c r="T102" s="24">
        <f ca="1">IFERROR(__xludf.DUMMYFUNCTION("""COMPUTED_VALUE"""),0)</f>
        <v>0</v>
      </c>
      <c r="U102" s="23">
        <f ca="1">IFERROR(__xludf.DUMMYFUNCTION("""COMPUTED_VALUE"""),0)</f>
        <v>0</v>
      </c>
      <c r="V102" s="23">
        <f ca="1">IFERROR(__xludf.DUMMYFUNCTION("""COMPUTED_VALUE"""),0)</f>
        <v>0</v>
      </c>
      <c r="W102" s="23">
        <f ca="1">IFERROR(__xludf.DUMMYFUNCTION("""COMPUTED_VALUE"""),0)</f>
        <v>0</v>
      </c>
      <c r="X102" s="23">
        <f ca="1">IFERROR(__xludf.DUMMYFUNCTION("""COMPUTED_VALUE"""),0)</f>
        <v>0</v>
      </c>
      <c r="Y102" s="25">
        <f ca="1">IFERROR(__xludf.DUMMYFUNCTION("""COMPUTED_VALUE"""),0)</f>
        <v>0</v>
      </c>
      <c r="Z102" s="25">
        <f ca="1">IFERROR(__xludf.DUMMYFUNCTION("""COMPUTED_VALUE"""),0)</f>
        <v>0</v>
      </c>
      <c r="AA102" s="25">
        <f ca="1">IFERROR(__xludf.DUMMYFUNCTION("""COMPUTED_VALUE"""),0)</f>
        <v>0</v>
      </c>
      <c r="AB102" s="25">
        <f ca="1">IFERROR(__xludf.DUMMYFUNCTION("""COMPUTED_VALUE"""),0)</f>
        <v>0</v>
      </c>
      <c r="AC102" s="23">
        <f ca="1">IFERROR(__xludf.DUMMYFUNCTION("""COMPUTED_VALUE"""),0)</f>
        <v>0</v>
      </c>
      <c r="AD102" s="26"/>
      <c r="AE102" s="27"/>
    </row>
    <row r="103" spans="1:31" ht="28.55">
      <c r="A103" s="18" t="str">
        <f ca="1">IFERROR(__xludf.DUMMYFUNCTION("""COMPUTED_VALUE"""),"23SDSCE01175")</f>
        <v>23SDSCE01175</v>
      </c>
      <c r="B103" s="19" t="str">
        <f ca="1">IFERROR(__xludf.DUMMYFUNCTION("""COMPUTED_VALUE"""),"AYDI KRISHNA PUNAMCHANDRA")</f>
        <v>AYDI KRISHNA PUNAMCHANDRA</v>
      </c>
      <c r="C103" s="18" t="str">
        <f ca="1">IFERROR(__xludf.DUMMYFUNCTION("""COMPUTED_VALUE"""),"SDS")</f>
        <v>SDS</v>
      </c>
      <c r="D103" s="18" t="str">
        <f ca="1">IFERROR(__xludf.DUMMYFUNCTION("""COMPUTED_VALUE"""),"DCE")</f>
        <v>DCE</v>
      </c>
      <c r="E103" s="18">
        <f ca="1">IFERROR(__xludf.DUMMYFUNCTION("""COMPUTED_VALUE"""),2)</f>
        <v>2</v>
      </c>
      <c r="F103" s="18" t="str">
        <f ca="1">IFERROR(__xludf.DUMMYFUNCTION("""COMPUTED_VALUE"""),"9727592645 9879492645")</f>
        <v>9727592645 9879492645</v>
      </c>
      <c r="G103" s="18" t="str">
        <f ca="1">IFERROR(__xludf.DUMMYFUNCTION("""COMPUTED_VALUE"""),"9727592645 9879492645")</f>
        <v>9727592645 9879492645</v>
      </c>
      <c r="H103" s="18" t="str">
        <f ca="1">IFERROR(__xludf.DUMMYFUNCTION("""COMPUTED_VALUE"""),"DCE_2023-26")</f>
        <v>DCE_2023-26</v>
      </c>
      <c r="I103" s="20" t="str">
        <f ca="1">IFERROR(__xludf.DUMMYFUNCTION("""COMPUTED_VALUE"""),"FREESHIP CARD")</f>
        <v>FREESHIP CARD</v>
      </c>
      <c r="J103" s="21">
        <f ca="1">IFERROR(__xludf.DUMMYFUNCTION("""COMPUTED_VALUE"""),27500)</f>
        <v>27500</v>
      </c>
      <c r="K103" s="21">
        <f ca="1">IFERROR(__xludf.DUMMYFUNCTION("""COMPUTED_VALUE"""),0)</f>
        <v>0</v>
      </c>
      <c r="L103" s="21">
        <f ca="1">IFERROR(__xludf.DUMMYFUNCTION("""COMPUTED_VALUE"""),0)</f>
        <v>0</v>
      </c>
      <c r="M103" s="23">
        <f ca="1">IFERROR(__xludf.DUMMYFUNCTION("""COMPUTED_VALUE"""),0)</f>
        <v>0</v>
      </c>
      <c r="N103" s="21">
        <f ca="1">IFERROR(__xludf.DUMMYFUNCTION("""COMPUTED_VALUE"""),27500)</f>
        <v>27500</v>
      </c>
      <c r="O103" s="21">
        <f ca="1">IFERROR(__xludf.DUMMYFUNCTION("""COMPUTED_VALUE"""),3000)</f>
        <v>3000</v>
      </c>
      <c r="P103" s="21">
        <f ca="1">IFERROR(__xludf.DUMMYFUNCTION("""COMPUTED_VALUE"""),3000)</f>
        <v>3000</v>
      </c>
      <c r="Q103" s="23">
        <f ca="1">IFERROR(__xludf.DUMMYFUNCTION("""COMPUTED_VALUE"""),0)</f>
        <v>0</v>
      </c>
      <c r="R103" s="11">
        <f ca="1">IFERROR(__xludf.DUMMYFUNCTION("""COMPUTED_VALUE"""),0)</f>
        <v>0</v>
      </c>
      <c r="S103" s="23">
        <f ca="1">IFERROR(__xludf.DUMMYFUNCTION("""COMPUTED_VALUE"""),0)</f>
        <v>0</v>
      </c>
      <c r="T103" s="24">
        <f ca="1">IFERROR(__xludf.DUMMYFUNCTION("""COMPUTED_VALUE"""),0)</f>
        <v>0</v>
      </c>
      <c r="U103" s="23">
        <f ca="1">IFERROR(__xludf.DUMMYFUNCTION("""COMPUTED_VALUE"""),0)</f>
        <v>0</v>
      </c>
      <c r="V103" s="23">
        <f ca="1">IFERROR(__xludf.DUMMYFUNCTION("""COMPUTED_VALUE"""),0)</f>
        <v>0</v>
      </c>
      <c r="W103" s="23">
        <f ca="1">IFERROR(__xludf.DUMMYFUNCTION("""COMPUTED_VALUE"""),0)</f>
        <v>0</v>
      </c>
      <c r="X103" s="23">
        <f ca="1">IFERROR(__xludf.DUMMYFUNCTION("""COMPUTED_VALUE"""),0)</f>
        <v>0</v>
      </c>
      <c r="Y103" s="25">
        <f ca="1">IFERROR(__xludf.DUMMYFUNCTION("""COMPUTED_VALUE"""),0)</f>
        <v>0</v>
      </c>
      <c r="Z103" s="25">
        <f ca="1">IFERROR(__xludf.DUMMYFUNCTION("""COMPUTED_VALUE"""),0)</f>
        <v>0</v>
      </c>
      <c r="AA103" s="25">
        <f ca="1">IFERROR(__xludf.DUMMYFUNCTION("""COMPUTED_VALUE"""),0)</f>
        <v>0</v>
      </c>
      <c r="AB103" s="25">
        <f ca="1">IFERROR(__xludf.DUMMYFUNCTION("""COMPUTED_VALUE"""),0)</f>
        <v>0</v>
      </c>
      <c r="AC103" s="23">
        <f ca="1">IFERROR(__xludf.DUMMYFUNCTION("""COMPUTED_VALUE"""),0)</f>
        <v>0</v>
      </c>
      <c r="AD103" s="26" t="str">
        <f ca="1">IFERROR(__xludf.DUMMYFUNCTION("""COMPUTED_VALUE"""),"FREESHIP CARD")</f>
        <v>FREESHIP CARD</v>
      </c>
      <c r="AE103" s="27"/>
    </row>
    <row r="104" spans="1:31" ht="14.3">
      <c r="A104" s="18" t="str">
        <f ca="1">IFERROR(__xludf.DUMMYFUNCTION("""COMPUTED_VALUE"""),"23SDSCE01176")</f>
        <v>23SDSCE01176</v>
      </c>
      <c r="B104" s="19" t="str">
        <f ca="1">IFERROR(__xludf.DUMMYFUNCTION("""COMPUTED_VALUE"""),"BALASARA NEHAL JESHINGBHAI")</f>
        <v>BALASARA NEHAL JESHINGBHAI</v>
      </c>
      <c r="C104" s="18" t="str">
        <f ca="1">IFERROR(__xludf.DUMMYFUNCTION("""COMPUTED_VALUE"""),"SDS")</f>
        <v>SDS</v>
      </c>
      <c r="D104" s="18" t="str">
        <f ca="1">IFERROR(__xludf.DUMMYFUNCTION("""COMPUTED_VALUE"""),"DCE")</f>
        <v>DCE</v>
      </c>
      <c r="E104" s="18">
        <f ca="1">IFERROR(__xludf.DUMMYFUNCTION("""COMPUTED_VALUE"""),2)</f>
        <v>2</v>
      </c>
      <c r="F104" s="18" t="str">
        <f ca="1">IFERROR(__xludf.DUMMYFUNCTION("""COMPUTED_VALUE"""),"9106889420 8347409616")</f>
        <v>9106889420 8347409616</v>
      </c>
      <c r="G104" s="18" t="str">
        <f ca="1">IFERROR(__xludf.DUMMYFUNCTION("""COMPUTED_VALUE"""),"9106889420 8347409616")</f>
        <v>9106889420 8347409616</v>
      </c>
      <c r="H104" s="18" t="str">
        <f ca="1">IFERROR(__xludf.DUMMYFUNCTION("""COMPUTED_VALUE"""),"DCE_2023-26")</f>
        <v>DCE_2023-26</v>
      </c>
      <c r="I104" s="20" t="str">
        <f ca="1">IFERROR(__xludf.DUMMYFUNCTION("""COMPUTED_VALUE"""),"MYSY")</f>
        <v>MYSY</v>
      </c>
      <c r="J104" s="21">
        <f ca="1">IFERROR(__xludf.DUMMYFUNCTION("""COMPUTED_VALUE"""),27500)</f>
        <v>27500</v>
      </c>
      <c r="K104" s="21">
        <f ca="1">IFERROR(__xludf.DUMMYFUNCTION("""COMPUTED_VALUE"""),0)</f>
        <v>0</v>
      </c>
      <c r="L104" s="21">
        <f ca="1">IFERROR(__xludf.DUMMYFUNCTION("""COMPUTED_VALUE"""),0)</f>
        <v>0</v>
      </c>
      <c r="M104" s="23">
        <f ca="1">IFERROR(__xludf.DUMMYFUNCTION("""COMPUTED_VALUE"""),0)</f>
        <v>0</v>
      </c>
      <c r="N104" s="21">
        <f ca="1">IFERROR(__xludf.DUMMYFUNCTION("""COMPUTED_VALUE"""),27500)</f>
        <v>27500</v>
      </c>
      <c r="O104" s="21">
        <f ca="1">IFERROR(__xludf.DUMMYFUNCTION("""COMPUTED_VALUE"""),3000)</f>
        <v>3000</v>
      </c>
      <c r="P104" s="21">
        <f ca="1">IFERROR(__xludf.DUMMYFUNCTION("""COMPUTED_VALUE"""),0)</f>
        <v>0</v>
      </c>
      <c r="Q104" s="23">
        <f ca="1">IFERROR(__xludf.DUMMYFUNCTION("""COMPUTED_VALUE"""),0)</f>
        <v>0</v>
      </c>
      <c r="R104" s="11">
        <f ca="1">IFERROR(__xludf.DUMMYFUNCTION("""COMPUTED_VALUE"""),0)</f>
        <v>0</v>
      </c>
      <c r="S104" s="23">
        <f ca="1">IFERROR(__xludf.DUMMYFUNCTION("""COMPUTED_VALUE"""),3000)</f>
        <v>3000</v>
      </c>
      <c r="T104" s="24">
        <f ca="1">IFERROR(__xludf.DUMMYFUNCTION("""COMPUTED_VALUE"""),0)</f>
        <v>0</v>
      </c>
      <c r="U104" s="23">
        <f ca="1">IFERROR(__xludf.DUMMYFUNCTION("""COMPUTED_VALUE"""),0)</f>
        <v>0</v>
      </c>
      <c r="V104" s="23">
        <f ca="1">IFERROR(__xludf.DUMMYFUNCTION("""COMPUTED_VALUE"""),0)</f>
        <v>0</v>
      </c>
      <c r="W104" s="23">
        <f ca="1">IFERROR(__xludf.DUMMYFUNCTION("""COMPUTED_VALUE"""),0)</f>
        <v>0</v>
      </c>
      <c r="X104" s="23">
        <f ca="1">IFERROR(__xludf.DUMMYFUNCTION("""COMPUTED_VALUE"""),0)</f>
        <v>0</v>
      </c>
      <c r="Y104" s="25">
        <f ca="1">IFERROR(__xludf.DUMMYFUNCTION("""COMPUTED_VALUE"""),0)</f>
        <v>0</v>
      </c>
      <c r="Z104" s="25">
        <f ca="1">IFERROR(__xludf.DUMMYFUNCTION("""COMPUTED_VALUE"""),0)</f>
        <v>0</v>
      </c>
      <c r="AA104" s="25">
        <f ca="1">IFERROR(__xludf.DUMMYFUNCTION("""COMPUTED_VALUE"""),0)</f>
        <v>0</v>
      </c>
      <c r="AB104" s="25">
        <f ca="1">IFERROR(__xludf.DUMMYFUNCTION("""COMPUTED_VALUE"""),0)</f>
        <v>0</v>
      </c>
      <c r="AC104" s="23">
        <f ca="1">IFERROR(__xludf.DUMMYFUNCTION("""COMPUTED_VALUE"""),0)</f>
        <v>0</v>
      </c>
      <c r="AD104" s="26"/>
      <c r="AE104" s="27"/>
    </row>
    <row r="105" spans="1:31" ht="14.3">
      <c r="A105" s="18" t="str">
        <f ca="1">IFERROR(__xludf.DUMMYFUNCTION("""COMPUTED_VALUE"""),"23SDSCE01177")</f>
        <v>23SDSCE01177</v>
      </c>
      <c r="B105" s="19" t="str">
        <f ca="1">IFERROR(__xludf.DUMMYFUNCTION("""COMPUTED_VALUE"""),"BARASIYA MEET KAMLESHBHAI")</f>
        <v>BARASIYA MEET KAMLESHBHAI</v>
      </c>
      <c r="C105" s="18" t="str">
        <f ca="1">IFERROR(__xludf.DUMMYFUNCTION("""COMPUTED_VALUE"""),"SDS")</f>
        <v>SDS</v>
      </c>
      <c r="D105" s="18" t="str">
        <f ca="1">IFERROR(__xludf.DUMMYFUNCTION("""COMPUTED_VALUE"""),"DCE")</f>
        <v>DCE</v>
      </c>
      <c r="E105" s="18">
        <f ca="1">IFERROR(__xludf.DUMMYFUNCTION("""COMPUTED_VALUE"""),2)</f>
        <v>2</v>
      </c>
      <c r="F105" s="6" t="str">
        <f ca="1">IFERROR(__xludf.DUMMYFUNCTION("""COMPUTED_VALUE"""),"9023273926 8238222696")</f>
        <v>9023273926 8238222696</v>
      </c>
      <c r="G105" s="6" t="str">
        <f ca="1">IFERROR(__xludf.DUMMYFUNCTION("""COMPUTED_VALUE"""),"9023273926 8238222696")</f>
        <v>9023273926 8238222696</v>
      </c>
      <c r="H105" s="18" t="str">
        <f ca="1">IFERROR(__xludf.DUMMYFUNCTION("""COMPUTED_VALUE"""),"DCE_2023-26")</f>
        <v>DCE_2023-26</v>
      </c>
      <c r="I105" s="20"/>
      <c r="J105" s="21">
        <f ca="1">IFERROR(__xludf.DUMMYFUNCTION("""COMPUTED_VALUE"""),27500)</f>
        <v>27500</v>
      </c>
      <c r="K105" s="21">
        <f ca="1">IFERROR(__xludf.DUMMYFUNCTION("""COMPUTED_VALUE"""),27500)</f>
        <v>27500</v>
      </c>
      <c r="L105" s="21">
        <f ca="1">IFERROR(__xludf.DUMMYFUNCTION("""COMPUTED_VALUE"""),0)</f>
        <v>0</v>
      </c>
      <c r="M105" s="23">
        <f ca="1">IFERROR(__xludf.DUMMYFUNCTION("""COMPUTED_VALUE"""),0)</f>
        <v>0</v>
      </c>
      <c r="N105" s="21">
        <f ca="1">IFERROR(__xludf.DUMMYFUNCTION("""COMPUTED_VALUE"""),0)</f>
        <v>0</v>
      </c>
      <c r="O105" s="21">
        <f ca="1">IFERROR(__xludf.DUMMYFUNCTION("""COMPUTED_VALUE"""),3000)</f>
        <v>3000</v>
      </c>
      <c r="P105" s="21">
        <f ca="1">IFERROR(__xludf.DUMMYFUNCTION("""COMPUTED_VALUE"""),3000)</f>
        <v>3000</v>
      </c>
      <c r="Q105" s="23">
        <f ca="1">IFERROR(__xludf.DUMMYFUNCTION("""COMPUTED_VALUE"""),0)</f>
        <v>0</v>
      </c>
      <c r="R105" s="11">
        <f ca="1">IFERROR(__xludf.DUMMYFUNCTION("""COMPUTED_VALUE"""),0)</f>
        <v>0</v>
      </c>
      <c r="S105" s="23">
        <f ca="1">IFERROR(__xludf.DUMMYFUNCTION("""COMPUTED_VALUE"""),0)</f>
        <v>0</v>
      </c>
      <c r="T105" s="24">
        <f ca="1">IFERROR(__xludf.DUMMYFUNCTION("""COMPUTED_VALUE"""),0)</f>
        <v>0</v>
      </c>
      <c r="U105" s="23">
        <f ca="1">IFERROR(__xludf.DUMMYFUNCTION("""COMPUTED_VALUE"""),0)</f>
        <v>0</v>
      </c>
      <c r="V105" s="23">
        <f ca="1">IFERROR(__xludf.DUMMYFUNCTION("""COMPUTED_VALUE"""),0)</f>
        <v>0</v>
      </c>
      <c r="W105" s="23">
        <f ca="1">IFERROR(__xludf.DUMMYFUNCTION("""COMPUTED_VALUE"""),0)</f>
        <v>0</v>
      </c>
      <c r="X105" s="23">
        <f ca="1">IFERROR(__xludf.DUMMYFUNCTION("""COMPUTED_VALUE"""),0)</f>
        <v>0</v>
      </c>
      <c r="Y105" s="25">
        <f ca="1">IFERROR(__xludf.DUMMYFUNCTION("""COMPUTED_VALUE"""),0)</f>
        <v>0</v>
      </c>
      <c r="Z105" s="25">
        <f ca="1">IFERROR(__xludf.DUMMYFUNCTION("""COMPUTED_VALUE"""),0)</f>
        <v>0</v>
      </c>
      <c r="AA105" s="25">
        <f ca="1">IFERROR(__xludf.DUMMYFUNCTION("""COMPUTED_VALUE"""),0)</f>
        <v>0</v>
      </c>
      <c r="AB105" s="25">
        <f ca="1">IFERROR(__xludf.DUMMYFUNCTION("""COMPUTED_VALUE"""),0)</f>
        <v>0</v>
      </c>
      <c r="AC105" s="23">
        <f ca="1">IFERROR(__xludf.DUMMYFUNCTION("""COMPUTED_VALUE"""),0)</f>
        <v>0</v>
      </c>
      <c r="AD105" s="26"/>
      <c r="AE105" s="27"/>
    </row>
    <row r="106" spans="1:31" ht="14.3">
      <c r="A106" s="18" t="str">
        <f ca="1">IFERROR(__xludf.DUMMYFUNCTION("""COMPUTED_VALUE"""),"23SDSCE01178")</f>
        <v>23SDSCE01178</v>
      </c>
      <c r="B106" s="19" t="str">
        <f ca="1">IFERROR(__xludf.DUMMYFUNCTION("""COMPUTED_VALUE"""),"BHUVA ARYAN ARVINDBHAI")</f>
        <v>BHUVA ARYAN ARVINDBHAI</v>
      </c>
      <c r="C106" s="18" t="str">
        <f ca="1">IFERROR(__xludf.DUMMYFUNCTION("""COMPUTED_VALUE"""),"SDS")</f>
        <v>SDS</v>
      </c>
      <c r="D106" s="18" t="str">
        <f ca="1">IFERROR(__xludf.DUMMYFUNCTION("""COMPUTED_VALUE"""),"DCE")</f>
        <v>DCE</v>
      </c>
      <c r="E106" s="18">
        <f ca="1">IFERROR(__xludf.DUMMYFUNCTION("""COMPUTED_VALUE"""),2)</f>
        <v>2</v>
      </c>
      <c r="F106" s="18" t="str">
        <f ca="1">IFERROR(__xludf.DUMMYFUNCTION("""COMPUTED_VALUE"""),"9104010375
9913477155")</f>
        <v>9104010375
9913477155</v>
      </c>
      <c r="G106" s="18" t="str">
        <f ca="1">IFERROR(__xludf.DUMMYFUNCTION("""COMPUTED_VALUE"""),"9104010375
9913477155")</f>
        <v>9104010375
9913477155</v>
      </c>
      <c r="H106" s="18" t="str">
        <f ca="1">IFERROR(__xludf.DUMMYFUNCTION("""COMPUTED_VALUE"""),"DCE_2023-26")</f>
        <v>DCE_2023-26</v>
      </c>
      <c r="I106" s="20"/>
      <c r="J106" s="21">
        <f ca="1">IFERROR(__xludf.DUMMYFUNCTION("""COMPUTED_VALUE"""),27500)</f>
        <v>27500</v>
      </c>
      <c r="K106" s="21">
        <f ca="1">IFERROR(__xludf.DUMMYFUNCTION("""COMPUTED_VALUE"""),27500)</f>
        <v>27500</v>
      </c>
      <c r="L106" s="21">
        <f ca="1">IFERROR(__xludf.DUMMYFUNCTION("""COMPUTED_VALUE"""),0)</f>
        <v>0</v>
      </c>
      <c r="M106" s="23">
        <f ca="1">IFERROR(__xludf.DUMMYFUNCTION("""COMPUTED_VALUE"""),0)</f>
        <v>0</v>
      </c>
      <c r="N106" s="21">
        <f ca="1">IFERROR(__xludf.DUMMYFUNCTION("""COMPUTED_VALUE"""),0)</f>
        <v>0</v>
      </c>
      <c r="O106" s="21">
        <f ca="1">IFERROR(__xludf.DUMMYFUNCTION("""COMPUTED_VALUE"""),3000)</f>
        <v>3000</v>
      </c>
      <c r="P106" s="21">
        <f ca="1">IFERROR(__xludf.DUMMYFUNCTION("""COMPUTED_VALUE"""),3000)</f>
        <v>3000</v>
      </c>
      <c r="Q106" s="23">
        <f ca="1">IFERROR(__xludf.DUMMYFUNCTION("""COMPUTED_VALUE"""),0)</f>
        <v>0</v>
      </c>
      <c r="R106" s="11">
        <f ca="1">IFERROR(__xludf.DUMMYFUNCTION("""COMPUTED_VALUE"""),0)</f>
        <v>0</v>
      </c>
      <c r="S106" s="23">
        <f ca="1">IFERROR(__xludf.DUMMYFUNCTION("""COMPUTED_VALUE"""),0)</f>
        <v>0</v>
      </c>
      <c r="T106" s="24">
        <f ca="1">IFERROR(__xludf.DUMMYFUNCTION("""COMPUTED_VALUE"""),0)</f>
        <v>0</v>
      </c>
      <c r="U106" s="23">
        <f ca="1">IFERROR(__xludf.DUMMYFUNCTION("""COMPUTED_VALUE"""),0)</f>
        <v>0</v>
      </c>
      <c r="V106" s="23">
        <f ca="1">IFERROR(__xludf.DUMMYFUNCTION("""COMPUTED_VALUE"""),0)</f>
        <v>0</v>
      </c>
      <c r="W106" s="23">
        <f ca="1">IFERROR(__xludf.DUMMYFUNCTION("""COMPUTED_VALUE"""),0)</f>
        <v>0</v>
      </c>
      <c r="X106" s="23">
        <f ca="1">IFERROR(__xludf.DUMMYFUNCTION("""COMPUTED_VALUE"""),0)</f>
        <v>0</v>
      </c>
      <c r="Y106" s="25">
        <f ca="1">IFERROR(__xludf.DUMMYFUNCTION("""COMPUTED_VALUE"""),0)</f>
        <v>0</v>
      </c>
      <c r="Z106" s="25">
        <f ca="1">IFERROR(__xludf.DUMMYFUNCTION("""COMPUTED_VALUE"""),0)</f>
        <v>0</v>
      </c>
      <c r="AA106" s="25">
        <f ca="1">IFERROR(__xludf.DUMMYFUNCTION("""COMPUTED_VALUE"""),0)</f>
        <v>0</v>
      </c>
      <c r="AB106" s="25">
        <f ca="1">IFERROR(__xludf.DUMMYFUNCTION("""COMPUTED_VALUE"""),0)</f>
        <v>0</v>
      </c>
      <c r="AC106" s="23">
        <f ca="1">IFERROR(__xludf.DUMMYFUNCTION("""COMPUTED_VALUE"""),0)</f>
        <v>0</v>
      </c>
      <c r="AD106" s="26"/>
      <c r="AE106" s="27"/>
    </row>
    <row r="107" spans="1:31" ht="14.3">
      <c r="A107" s="18" t="str">
        <f ca="1">IFERROR(__xludf.DUMMYFUNCTION("""COMPUTED_VALUE"""),"23SDSCE01180")</f>
        <v>23SDSCE01180</v>
      </c>
      <c r="B107" s="19" t="str">
        <f ca="1">IFERROR(__xludf.DUMMYFUNCTION("""COMPUTED_VALUE"""),"DODHIYA NAHIN YASINBHAI")</f>
        <v>DODHIYA NAHIN YASINBHAI</v>
      </c>
      <c r="C107" s="18" t="str">
        <f ca="1">IFERROR(__xludf.DUMMYFUNCTION("""COMPUTED_VALUE"""),"SDS")</f>
        <v>SDS</v>
      </c>
      <c r="D107" s="18" t="str">
        <f ca="1">IFERROR(__xludf.DUMMYFUNCTION("""COMPUTED_VALUE"""),"DCE")</f>
        <v>DCE</v>
      </c>
      <c r="E107" s="18">
        <f ca="1">IFERROR(__xludf.DUMMYFUNCTION("""COMPUTED_VALUE"""),2)</f>
        <v>2</v>
      </c>
      <c r="F107" s="18" t="str">
        <f ca="1">IFERROR(__xludf.DUMMYFUNCTION("""COMPUTED_VALUE"""),"9925867402 9925867413")</f>
        <v>9925867402 9925867413</v>
      </c>
      <c r="G107" s="18" t="str">
        <f ca="1">IFERROR(__xludf.DUMMYFUNCTION("""COMPUTED_VALUE"""),"9925867402 9925867413")</f>
        <v>9925867402 9925867413</v>
      </c>
      <c r="H107" s="18" t="str">
        <f ca="1">IFERROR(__xludf.DUMMYFUNCTION("""COMPUTED_VALUE"""),"DCE_2023-26")</f>
        <v>DCE_2023-26</v>
      </c>
      <c r="I107" s="20"/>
      <c r="J107" s="21">
        <f ca="1">IFERROR(__xludf.DUMMYFUNCTION("""COMPUTED_VALUE"""),27500)</f>
        <v>27500</v>
      </c>
      <c r="K107" s="21">
        <f ca="1">IFERROR(__xludf.DUMMYFUNCTION("""COMPUTED_VALUE"""),27500)</f>
        <v>27500</v>
      </c>
      <c r="L107" s="21">
        <f ca="1">IFERROR(__xludf.DUMMYFUNCTION("""COMPUTED_VALUE"""),0)</f>
        <v>0</v>
      </c>
      <c r="M107" s="23">
        <f ca="1">IFERROR(__xludf.DUMMYFUNCTION("""COMPUTED_VALUE"""),0)</f>
        <v>0</v>
      </c>
      <c r="N107" s="21">
        <f ca="1">IFERROR(__xludf.DUMMYFUNCTION("""COMPUTED_VALUE"""),0)</f>
        <v>0</v>
      </c>
      <c r="O107" s="21">
        <f ca="1">IFERROR(__xludf.DUMMYFUNCTION("""COMPUTED_VALUE"""),3000)</f>
        <v>3000</v>
      </c>
      <c r="P107" s="21">
        <f ca="1">IFERROR(__xludf.DUMMYFUNCTION("""COMPUTED_VALUE"""),3000)</f>
        <v>3000</v>
      </c>
      <c r="Q107" s="23">
        <f ca="1">IFERROR(__xludf.DUMMYFUNCTION("""COMPUTED_VALUE"""),0)</f>
        <v>0</v>
      </c>
      <c r="R107" s="11">
        <f ca="1">IFERROR(__xludf.DUMMYFUNCTION("""COMPUTED_VALUE"""),0)</f>
        <v>0</v>
      </c>
      <c r="S107" s="23">
        <f ca="1">IFERROR(__xludf.DUMMYFUNCTION("""COMPUTED_VALUE"""),0)</f>
        <v>0</v>
      </c>
      <c r="T107" s="24">
        <f ca="1">IFERROR(__xludf.DUMMYFUNCTION("""COMPUTED_VALUE"""),0)</f>
        <v>0</v>
      </c>
      <c r="U107" s="23">
        <f ca="1">IFERROR(__xludf.DUMMYFUNCTION("""COMPUTED_VALUE"""),0)</f>
        <v>0</v>
      </c>
      <c r="V107" s="23">
        <f ca="1">IFERROR(__xludf.DUMMYFUNCTION("""COMPUTED_VALUE"""),0)</f>
        <v>0</v>
      </c>
      <c r="W107" s="23">
        <f ca="1">IFERROR(__xludf.DUMMYFUNCTION("""COMPUTED_VALUE"""),0)</f>
        <v>0</v>
      </c>
      <c r="X107" s="23">
        <f ca="1">IFERROR(__xludf.DUMMYFUNCTION("""COMPUTED_VALUE"""),0)</f>
        <v>0</v>
      </c>
      <c r="Y107" s="25">
        <f ca="1">IFERROR(__xludf.DUMMYFUNCTION("""COMPUTED_VALUE"""),0)</f>
        <v>0</v>
      </c>
      <c r="Z107" s="25">
        <f ca="1">IFERROR(__xludf.DUMMYFUNCTION("""COMPUTED_VALUE"""),0)</f>
        <v>0</v>
      </c>
      <c r="AA107" s="25">
        <f ca="1">IFERROR(__xludf.DUMMYFUNCTION("""COMPUTED_VALUE"""),0)</f>
        <v>0</v>
      </c>
      <c r="AB107" s="25">
        <f ca="1">IFERROR(__xludf.DUMMYFUNCTION("""COMPUTED_VALUE"""),0)</f>
        <v>0</v>
      </c>
      <c r="AC107" s="23">
        <f ca="1">IFERROR(__xludf.DUMMYFUNCTION("""COMPUTED_VALUE"""),0)</f>
        <v>0</v>
      </c>
      <c r="AD107" s="26"/>
      <c r="AE107" s="27"/>
    </row>
    <row r="108" spans="1:31" ht="14.3">
      <c r="A108" s="18" t="str">
        <f ca="1">IFERROR(__xludf.DUMMYFUNCTION("""COMPUTED_VALUE"""),"23SDSCE01181")</f>
        <v>23SDSCE01181</v>
      </c>
      <c r="B108" s="19" t="str">
        <f ca="1">IFERROR(__xludf.DUMMYFUNCTION("""COMPUTED_VALUE"""),"JOSHI MRUTYUNJAY AMITBHAI")</f>
        <v>JOSHI MRUTYUNJAY AMITBHAI</v>
      </c>
      <c r="C108" s="18" t="str">
        <f ca="1">IFERROR(__xludf.DUMMYFUNCTION("""COMPUTED_VALUE"""),"SDS")</f>
        <v>SDS</v>
      </c>
      <c r="D108" s="18" t="str">
        <f ca="1">IFERROR(__xludf.DUMMYFUNCTION("""COMPUTED_VALUE"""),"DCE")</f>
        <v>DCE</v>
      </c>
      <c r="E108" s="18">
        <f ca="1">IFERROR(__xludf.DUMMYFUNCTION("""COMPUTED_VALUE"""),2)</f>
        <v>2</v>
      </c>
      <c r="F108" s="18" t="str">
        <f ca="1">IFERROR(__xludf.DUMMYFUNCTION("""COMPUTED_VALUE"""),"9173166363 9427237371")</f>
        <v>9173166363 9427237371</v>
      </c>
      <c r="G108" s="18" t="str">
        <f ca="1">IFERROR(__xludf.DUMMYFUNCTION("""COMPUTED_VALUE"""),"9173166363 9427237371")</f>
        <v>9173166363 9427237371</v>
      </c>
      <c r="H108" s="18" t="str">
        <f ca="1">IFERROR(__xludf.DUMMYFUNCTION("""COMPUTED_VALUE"""),"DCE_2023-26")</f>
        <v>DCE_2023-26</v>
      </c>
      <c r="I108" s="20" t="str">
        <f ca="1">IFERROR(__xludf.DUMMYFUNCTION("""COMPUTED_VALUE"""),"MYSY")</f>
        <v>MYSY</v>
      </c>
      <c r="J108" s="21">
        <f ca="1">IFERROR(__xludf.DUMMYFUNCTION("""COMPUTED_VALUE"""),27500)</f>
        <v>27500</v>
      </c>
      <c r="K108" s="21">
        <f ca="1">IFERROR(__xludf.DUMMYFUNCTION("""COMPUTED_VALUE"""),0)</f>
        <v>0</v>
      </c>
      <c r="L108" s="21">
        <f ca="1">IFERROR(__xludf.DUMMYFUNCTION("""COMPUTED_VALUE"""),0)</f>
        <v>0</v>
      </c>
      <c r="M108" s="23">
        <f ca="1">IFERROR(__xludf.DUMMYFUNCTION("""COMPUTED_VALUE"""),0)</f>
        <v>0</v>
      </c>
      <c r="N108" s="21">
        <f ca="1">IFERROR(__xludf.DUMMYFUNCTION("""COMPUTED_VALUE"""),27500)</f>
        <v>27500</v>
      </c>
      <c r="O108" s="21">
        <f ca="1">IFERROR(__xludf.DUMMYFUNCTION("""COMPUTED_VALUE"""),3000)</f>
        <v>3000</v>
      </c>
      <c r="P108" s="21">
        <f ca="1">IFERROR(__xludf.DUMMYFUNCTION("""COMPUTED_VALUE"""),3000)</f>
        <v>3000</v>
      </c>
      <c r="Q108" s="23">
        <f ca="1">IFERROR(__xludf.DUMMYFUNCTION("""COMPUTED_VALUE"""),0)</f>
        <v>0</v>
      </c>
      <c r="R108" s="11">
        <f ca="1">IFERROR(__xludf.DUMMYFUNCTION("""COMPUTED_VALUE"""),0)</f>
        <v>0</v>
      </c>
      <c r="S108" s="23">
        <f ca="1">IFERROR(__xludf.DUMMYFUNCTION("""COMPUTED_VALUE"""),0)</f>
        <v>0</v>
      </c>
      <c r="T108" s="24">
        <f ca="1">IFERROR(__xludf.DUMMYFUNCTION("""COMPUTED_VALUE"""),0)</f>
        <v>0</v>
      </c>
      <c r="U108" s="23">
        <f ca="1">IFERROR(__xludf.DUMMYFUNCTION("""COMPUTED_VALUE"""),0)</f>
        <v>0</v>
      </c>
      <c r="V108" s="23">
        <f ca="1">IFERROR(__xludf.DUMMYFUNCTION("""COMPUTED_VALUE"""),0)</f>
        <v>0</v>
      </c>
      <c r="W108" s="23">
        <f ca="1">IFERROR(__xludf.DUMMYFUNCTION("""COMPUTED_VALUE"""),0)</f>
        <v>0</v>
      </c>
      <c r="X108" s="23">
        <f ca="1">IFERROR(__xludf.DUMMYFUNCTION("""COMPUTED_VALUE"""),0)</f>
        <v>0</v>
      </c>
      <c r="Y108" s="25">
        <f ca="1">IFERROR(__xludf.DUMMYFUNCTION("""COMPUTED_VALUE"""),0)</f>
        <v>0</v>
      </c>
      <c r="Z108" s="25">
        <f ca="1">IFERROR(__xludf.DUMMYFUNCTION("""COMPUTED_VALUE"""),0)</f>
        <v>0</v>
      </c>
      <c r="AA108" s="25">
        <f ca="1">IFERROR(__xludf.DUMMYFUNCTION("""COMPUTED_VALUE"""),0)</f>
        <v>0</v>
      </c>
      <c r="AB108" s="25">
        <f ca="1">IFERROR(__xludf.DUMMYFUNCTION("""COMPUTED_VALUE"""),0)</f>
        <v>0</v>
      </c>
      <c r="AC108" s="23">
        <f ca="1">IFERROR(__xludf.DUMMYFUNCTION("""COMPUTED_VALUE"""),0)</f>
        <v>0</v>
      </c>
      <c r="AD108" s="26"/>
      <c r="AE108" s="27"/>
    </row>
    <row r="109" spans="1:31" ht="14.3">
      <c r="A109" s="18" t="str">
        <f ca="1">IFERROR(__xludf.DUMMYFUNCTION("""COMPUTED_VALUE"""),"23SDSCE01182")</f>
        <v>23SDSCE01182</v>
      </c>
      <c r="B109" s="19" t="str">
        <f ca="1">IFERROR(__xludf.DUMMYFUNCTION("""COMPUTED_VALUE"""),"KANPARIYA UMANG DILIPBHAI")</f>
        <v>KANPARIYA UMANG DILIPBHAI</v>
      </c>
      <c r="C109" s="18" t="str">
        <f ca="1">IFERROR(__xludf.DUMMYFUNCTION("""COMPUTED_VALUE"""),"SDS")</f>
        <v>SDS</v>
      </c>
      <c r="D109" s="18" t="str">
        <f ca="1">IFERROR(__xludf.DUMMYFUNCTION("""COMPUTED_VALUE"""),"DCE")</f>
        <v>DCE</v>
      </c>
      <c r="E109" s="18">
        <f ca="1">IFERROR(__xludf.DUMMYFUNCTION("""COMPUTED_VALUE"""),2)</f>
        <v>2</v>
      </c>
      <c r="F109" s="18" t="str">
        <f ca="1">IFERROR(__xludf.DUMMYFUNCTION("""COMPUTED_VALUE"""),"8200706957 9106105223")</f>
        <v>8200706957 9106105223</v>
      </c>
      <c r="G109" s="18" t="str">
        <f ca="1">IFERROR(__xludf.DUMMYFUNCTION("""COMPUTED_VALUE"""),"8200706957 9106105223")</f>
        <v>8200706957 9106105223</v>
      </c>
      <c r="H109" s="18" t="str">
        <f ca="1">IFERROR(__xludf.DUMMYFUNCTION("""COMPUTED_VALUE"""),"DCE_2023-26")</f>
        <v>DCE_2023-26</v>
      </c>
      <c r="I109" s="20"/>
      <c r="J109" s="21">
        <f ca="1">IFERROR(__xludf.DUMMYFUNCTION("""COMPUTED_VALUE"""),27500)</f>
        <v>27500</v>
      </c>
      <c r="K109" s="21">
        <f ca="1">IFERROR(__xludf.DUMMYFUNCTION("""COMPUTED_VALUE"""),27500)</f>
        <v>27500</v>
      </c>
      <c r="L109" s="21">
        <f ca="1">IFERROR(__xludf.DUMMYFUNCTION("""COMPUTED_VALUE"""),0)</f>
        <v>0</v>
      </c>
      <c r="M109" s="23">
        <f ca="1">IFERROR(__xludf.DUMMYFUNCTION("""COMPUTED_VALUE"""),0)</f>
        <v>0</v>
      </c>
      <c r="N109" s="21">
        <f ca="1">IFERROR(__xludf.DUMMYFUNCTION("""COMPUTED_VALUE"""),0)</f>
        <v>0</v>
      </c>
      <c r="O109" s="21">
        <f ca="1">IFERROR(__xludf.DUMMYFUNCTION("""COMPUTED_VALUE"""),3000)</f>
        <v>3000</v>
      </c>
      <c r="P109" s="21">
        <f ca="1">IFERROR(__xludf.DUMMYFUNCTION("""COMPUTED_VALUE"""),3000)</f>
        <v>3000</v>
      </c>
      <c r="Q109" s="23">
        <f ca="1">IFERROR(__xludf.DUMMYFUNCTION("""COMPUTED_VALUE"""),0)</f>
        <v>0</v>
      </c>
      <c r="R109" s="11">
        <f ca="1">IFERROR(__xludf.DUMMYFUNCTION("""COMPUTED_VALUE"""),0)</f>
        <v>0</v>
      </c>
      <c r="S109" s="23">
        <f ca="1">IFERROR(__xludf.DUMMYFUNCTION("""COMPUTED_VALUE"""),0)</f>
        <v>0</v>
      </c>
      <c r="T109" s="24">
        <f ca="1">IFERROR(__xludf.DUMMYFUNCTION("""COMPUTED_VALUE"""),0)</f>
        <v>0</v>
      </c>
      <c r="U109" s="23">
        <f ca="1">IFERROR(__xludf.DUMMYFUNCTION("""COMPUTED_VALUE"""),0)</f>
        <v>0</v>
      </c>
      <c r="V109" s="23">
        <f ca="1">IFERROR(__xludf.DUMMYFUNCTION("""COMPUTED_VALUE"""),0)</f>
        <v>0</v>
      </c>
      <c r="W109" s="23">
        <f ca="1">IFERROR(__xludf.DUMMYFUNCTION("""COMPUTED_VALUE"""),0)</f>
        <v>0</v>
      </c>
      <c r="X109" s="23">
        <f ca="1">IFERROR(__xludf.DUMMYFUNCTION("""COMPUTED_VALUE"""),0)</f>
        <v>0</v>
      </c>
      <c r="Y109" s="25">
        <f ca="1">IFERROR(__xludf.DUMMYFUNCTION("""COMPUTED_VALUE"""),0)</f>
        <v>0</v>
      </c>
      <c r="Z109" s="25">
        <f ca="1">IFERROR(__xludf.DUMMYFUNCTION("""COMPUTED_VALUE"""),0)</f>
        <v>0</v>
      </c>
      <c r="AA109" s="25">
        <f ca="1">IFERROR(__xludf.DUMMYFUNCTION("""COMPUTED_VALUE"""),0)</f>
        <v>0</v>
      </c>
      <c r="AB109" s="25">
        <f ca="1">IFERROR(__xludf.DUMMYFUNCTION("""COMPUTED_VALUE"""),0)</f>
        <v>0</v>
      </c>
      <c r="AC109" s="23">
        <f ca="1">IFERROR(__xludf.DUMMYFUNCTION("""COMPUTED_VALUE"""),0)</f>
        <v>0</v>
      </c>
      <c r="AD109" s="26"/>
      <c r="AE109" s="27"/>
    </row>
    <row r="110" spans="1:31" ht="14.3">
      <c r="A110" s="18" t="str">
        <f ca="1">IFERROR(__xludf.DUMMYFUNCTION("""COMPUTED_VALUE"""),"23SDSCE01183")</f>
        <v>23SDSCE01183</v>
      </c>
      <c r="B110" s="19" t="str">
        <f ca="1">IFERROR(__xludf.DUMMYFUNCTION("""COMPUTED_VALUE"""),"KHATRA JENIL CHANDUBHAI")</f>
        <v>KHATRA JENIL CHANDUBHAI</v>
      </c>
      <c r="C110" s="18" t="str">
        <f ca="1">IFERROR(__xludf.DUMMYFUNCTION("""COMPUTED_VALUE"""),"SDS")</f>
        <v>SDS</v>
      </c>
      <c r="D110" s="18" t="str">
        <f ca="1">IFERROR(__xludf.DUMMYFUNCTION("""COMPUTED_VALUE"""),"DCE")</f>
        <v>DCE</v>
      </c>
      <c r="E110" s="18">
        <f ca="1">IFERROR(__xludf.DUMMYFUNCTION("""COMPUTED_VALUE"""),2)</f>
        <v>2</v>
      </c>
      <c r="F110" s="6" t="str">
        <f ca="1">IFERROR(__xludf.DUMMYFUNCTION("""COMPUTED_VALUE"""),"9512582006 9909309210")</f>
        <v>9512582006 9909309210</v>
      </c>
      <c r="G110" s="6" t="str">
        <f ca="1">IFERROR(__xludf.DUMMYFUNCTION("""COMPUTED_VALUE"""),"9512582006 9909309210")</f>
        <v>9512582006 9909309210</v>
      </c>
      <c r="H110" s="18" t="str">
        <f ca="1">IFERROR(__xludf.DUMMYFUNCTION("""COMPUTED_VALUE"""),"DCE_2023-26")</f>
        <v>DCE_2023-26</v>
      </c>
      <c r="I110" s="20"/>
      <c r="J110" s="21">
        <f ca="1">IFERROR(__xludf.DUMMYFUNCTION("""COMPUTED_VALUE"""),27500)</f>
        <v>27500</v>
      </c>
      <c r="K110" s="21">
        <f ca="1">IFERROR(__xludf.DUMMYFUNCTION("""COMPUTED_VALUE"""),27500)</f>
        <v>27500</v>
      </c>
      <c r="L110" s="21">
        <f ca="1">IFERROR(__xludf.DUMMYFUNCTION("""COMPUTED_VALUE"""),0)</f>
        <v>0</v>
      </c>
      <c r="M110" s="23">
        <f ca="1">IFERROR(__xludf.DUMMYFUNCTION("""COMPUTED_VALUE"""),0)</f>
        <v>0</v>
      </c>
      <c r="N110" s="21">
        <f ca="1">IFERROR(__xludf.DUMMYFUNCTION("""COMPUTED_VALUE"""),0)</f>
        <v>0</v>
      </c>
      <c r="O110" s="21">
        <f ca="1">IFERROR(__xludf.DUMMYFUNCTION("""COMPUTED_VALUE"""),3000)</f>
        <v>3000</v>
      </c>
      <c r="P110" s="21">
        <f ca="1">IFERROR(__xludf.DUMMYFUNCTION("""COMPUTED_VALUE"""),3000)</f>
        <v>3000</v>
      </c>
      <c r="Q110" s="23">
        <f ca="1">IFERROR(__xludf.DUMMYFUNCTION("""COMPUTED_VALUE"""),0)</f>
        <v>0</v>
      </c>
      <c r="R110" s="11">
        <f ca="1">IFERROR(__xludf.DUMMYFUNCTION("""COMPUTED_VALUE"""),0)</f>
        <v>0</v>
      </c>
      <c r="S110" s="23">
        <f ca="1">IFERROR(__xludf.DUMMYFUNCTION("""COMPUTED_VALUE"""),0)</f>
        <v>0</v>
      </c>
      <c r="T110" s="24">
        <f ca="1">IFERROR(__xludf.DUMMYFUNCTION("""COMPUTED_VALUE"""),0)</f>
        <v>0</v>
      </c>
      <c r="U110" s="23">
        <f ca="1">IFERROR(__xludf.DUMMYFUNCTION("""COMPUTED_VALUE"""),0)</f>
        <v>0</v>
      </c>
      <c r="V110" s="23">
        <f ca="1">IFERROR(__xludf.DUMMYFUNCTION("""COMPUTED_VALUE"""),0)</f>
        <v>0</v>
      </c>
      <c r="W110" s="23">
        <f ca="1">IFERROR(__xludf.DUMMYFUNCTION("""COMPUTED_VALUE"""),0)</f>
        <v>0</v>
      </c>
      <c r="X110" s="23">
        <f ca="1">IFERROR(__xludf.DUMMYFUNCTION("""COMPUTED_VALUE"""),0)</f>
        <v>0</v>
      </c>
      <c r="Y110" s="25">
        <f ca="1">IFERROR(__xludf.DUMMYFUNCTION("""COMPUTED_VALUE"""),0)</f>
        <v>0</v>
      </c>
      <c r="Z110" s="25">
        <f ca="1">IFERROR(__xludf.DUMMYFUNCTION("""COMPUTED_VALUE"""),0)</f>
        <v>0</v>
      </c>
      <c r="AA110" s="25">
        <f ca="1">IFERROR(__xludf.DUMMYFUNCTION("""COMPUTED_VALUE"""),0)</f>
        <v>0</v>
      </c>
      <c r="AB110" s="25">
        <f ca="1">IFERROR(__xludf.DUMMYFUNCTION("""COMPUTED_VALUE"""),0)</f>
        <v>0</v>
      </c>
      <c r="AC110" s="23">
        <f ca="1">IFERROR(__xludf.DUMMYFUNCTION("""COMPUTED_VALUE"""),0)</f>
        <v>0</v>
      </c>
      <c r="AD110" s="26"/>
      <c r="AE110" s="27"/>
    </row>
    <row r="111" spans="1:31" ht="14.3">
      <c r="A111" s="18" t="str">
        <f ca="1">IFERROR(__xludf.DUMMYFUNCTION("""COMPUTED_VALUE"""),"23SDSCE01184")</f>
        <v>23SDSCE01184</v>
      </c>
      <c r="B111" s="19" t="str">
        <f ca="1">IFERROR(__xludf.DUMMYFUNCTION("""COMPUTED_VALUE"""),"KHUNT MEET KANTIBHAI")</f>
        <v>KHUNT MEET KANTIBHAI</v>
      </c>
      <c r="C111" s="18" t="str">
        <f ca="1">IFERROR(__xludf.DUMMYFUNCTION("""COMPUTED_VALUE"""),"SDS")</f>
        <v>SDS</v>
      </c>
      <c r="D111" s="18" t="str">
        <f ca="1">IFERROR(__xludf.DUMMYFUNCTION("""COMPUTED_VALUE"""),"DCE")</f>
        <v>DCE</v>
      </c>
      <c r="E111" s="18">
        <f ca="1">IFERROR(__xludf.DUMMYFUNCTION("""COMPUTED_VALUE"""),2)</f>
        <v>2</v>
      </c>
      <c r="F111" s="6" t="str">
        <f ca="1">IFERROR(__xludf.DUMMYFUNCTION("""COMPUTED_VALUE"""),"9510612314 7016324081 9904554339")</f>
        <v>9510612314 7016324081 9904554339</v>
      </c>
      <c r="G111" s="6" t="str">
        <f ca="1">IFERROR(__xludf.DUMMYFUNCTION("""COMPUTED_VALUE"""),"9510612314 7016324081 9904554339")</f>
        <v>9510612314 7016324081 9904554339</v>
      </c>
      <c r="H111" s="18" t="str">
        <f ca="1">IFERROR(__xludf.DUMMYFUNCTION("""COMPUTED_VALUE"""),"DCE_2023-26")</f>
        <v>DCE_2023-26</v>
      </c>
      <c r="I111" s="20" t="str">
        <f ca="1">IFERROR(__xludf.DUMMYFUNCTION("""COMPUTED_VALUE"""),"MYSY")</f>
        <v>MYSY</v>
      </c>
      <c r="J111" s="21">
        <f ca="1">IFERROR(__xludf.DUMMYFUNCTION("""COMPUTED_VALUE"""),27500)</f>
        <v>27500</v>
      </c>
      <c r="K111" s="21">
        <f ca="1">IFERROR(__xludf.DUMMYFUNCTION("""COMPUTED_VALUE"""),27500)</f>
        <v>27500</v>
      </c>
      <c r="L111" s="21">
        <f ca="1">IFERROR(__xludf.DUMMYFUNCTION("""COMPUTED_VALUE"""),0)</f>
        <v>0</v>
      </c>
      <c r="M111" s="23">
        <f ca="1">IFERROR(__xludf.DUMMYFUNCTION("""COMPUTED_VALUE"""),0)</f>
        <v>0</v>
      </c>
      <c r="N111" s="21">
        <f ca="1">IFERROR(__xludf.DUMMYFUNCTION("""COMPUTED_VALUE"""),0)</f>
        <v>0</v>
      </c>
      <c r="O111" s="21">
        <f ca="1">IFERROR(__xludf.DUMMYFUNCTION("""COMPUTED_VALUE"""),3000)</f>
        <v>3000</v>
      </c>
      <c r="P111" s="21">
        <f ca="1">IFERROR(__xludf.DUMMYFUNCTION("""COMPUTED_VALUE"""),3000)</f>
        <v>3000</v>
      </c>
      <c r="Q111" s="23">
        <f ca="1">IFERROR(__xludf.DUMMYFUNCTION("""COMPUTED_VALUE"""),0)</f>
        <v>0</v>
      </c>
      <c r="R111" s="11">
        <f ca="1">IFERROR(__xludf.DUMMYFUNCTION("""COMPUTED_VALUE"""),0)</f>
        <v>0</v>
      </c>
      <c r="S111" s="23">
        <f ca="1">IFERROR(__xludf.DUMMYFUNCTION("""COMPUTED_VALUE"""),0)</f>
        <v>0</v>
      </c>
      <c r="T111" s="24">
        <f ca="1">IFERROR(__xludf.DUMMYFUNCTION("""COMPUTED_VALUE"""),0)</f>
        <v>0</v>
      </c>
      <c r="U111" s="23">
        <f ca="1">IFERROR(__xludf.DUMMYFUNCTION("""COMPUTED_VALUE"""),0)</f>
        <v>0</v>
      </c>
      <c r="V111" s="23">
        <f ca="1">IFERROR(__xludf.DUMMYFUNCTION("""COMPUTED_VALUE"""),0)</f>
        <v>0</v>
      </c>
      <c r="W111" s="23">
        <f ca="1">IFERROR(__xludf.DUMMYFUNCTION("""COMPUTED_VALUE"""),0)</f>
        <v>0</v>
      </c>
      <c r="X111" s="23">
        <f ca="1">IFERROR(__xludf.DUMMYFUNCTION("""COMPUTED_VALUE"""),0)</f>
        <v>0</v>
      </c>
      <c r="Y111" s="25">
        <f ca="1">IFERROR(__xludf.DUMMYFUNCTION("""COMPUTED_VALUE"""),0)</f>
        <v>0</v>
      </c>
      <c r="Z111" s="25">
        <f ca="1">IFERROR(__xludf.DUMMYFUNCTION("""COMPUTED_VALUE"""),0)</f>
        <v>0</v>
      </c>
      <c r="AA111" s="25">
        <f ca="1">IFERROR(__xludf.DUMMYFUNCTION("""COMPUTED_VALUE"""),0)</f>
        <v>0</v>
      </c>
      <c r="AB111" s="25">
        <f ca="1">IFERROR(__xludf.DUMMYFUNCTION("""COMPUTED_VALUE"""),0)</f>
        <v>0</v>
      </c>
      <c r="AC111" s="23">
        <f ca="1">IFERROR(__xludf.DUMMYFUNCTION("""COMPUTED_VALUE"""),0)</f>
        <v>0</v>
      </c>
      <c r="AD111" s="26"/>
      <c r="AE111" s="27"/>
    </row>
    <row r="112" spans="1:31" ht="14.3">
      <c r="A112" s="18" t="str">
        <f ca="1">IFERROR(__xludf.DUMMYFUNCTION("""COMPUTED_VALUE"""),"23SDSCE01185")</f>
        <v>23SDSCE01185</v>
      </c>
      <c r="B112" s="19" t="str">
        <f ca="1">IFERROR(__xludf.DUMMYFUNCTION("""COMPUTED_VALUE"""),"MOGHARIYA DEVAM RAJESHBHAI")</f>
        <v>MOGHARIYA DEVAM RAJESHBHAI</v>
      </c>
      <c r="C112" s="18" t="str">
        <f ca="1">IFERROR(__xludf.DUMMYFUNCTION("""COMPUTED_VALUE"""),"SDS")</f>
        <v>SDS</v>
      </c>
      <c r="D112" s="18" t="str">
        <f ca="1">IFERROR(__xludf.DUMMYFUNCTION("""COMPUTED_VALUE"""),"DCE")</f>
        <v>DCE</v>
      </c>
      <c r="E112" s="18">
        <f ca="1">IFERROR(__xludf.DUMMYFUNCTION("""COMPUTED_VALUE"""),2)</f>
        <v>2</v>
      </c>
      <c r="F112" s="6" t="str">
        <f ca="1">IFERROR(__xludf.DUMMYFUNCTION("""COMPUTED_VALUE"""),"7284895010 9426437604")</f>
        <v>7284895010 9426437604</v>
      </c>
      <c r="G112" s="6" t="str">
        <f ca="1">IFERROR(__xludf.DUMMYFUNCTION("""COMPUTED_VALUE"""),"7284895010 9426437604")</f>
        <v>7284895010 9426437604</v>
      </c>
      <c r="H112" s="18" t="str">
        <f ca="1">IFERROR(__xludf.DUMMYFUNCTION("""COMPUTED_VALUE"""),"DCE_2023-26")</f>
        <v>DCE_2023-26</v>
      </c>
      <c r="I112" s="20"/>
      <c r="J112" s="21">
        <f ca="1">IFERROR(__xludf.DUMMYFUNCTION("""COMPUTED_VALUE"""),27500)</f>
        <v>27500</v>
      </c>
      <c r="K112" s="21">
        <f ca="1">IFERROR(__xludf.DUMMYFUNCTION("""COMPUTED_VALUE"""),0)</f>
        <v>0</v>
      </c>
      <c r="L112" s="21">
        <f ca="1">IFERROR(__xludf.DUMMYFUNCTION("""COMPUTED_VALUE"""),0)</f>
        <v>0</v>
      </c>
      <c r="M112" s="23">
        <f ca="1">IFERROR(__xludf.DUMMYFUNCTION("""COMPUTED_VALUE"""),0)</f>
        <v>0</v>
      </c>
      <c r="N112" s="21">
        <f ca="1">IFERROR(__xludf.DUMMYFUNCTION("""COMPUTED_VALUE"""),27500)</f>
        <v>27500</v>
      </c>
      <c r="O112" s="21">
        <f ca="1">IFERROR(__xludf.DUMMYFUNCTION("""COMPUTED_VALUE"""),3000)</f>
        <v>3000</v>
      </c>
      <c r="P112" s="21">
        <f ca="1">IFERROR(__xludf.DUMMYFUNCTION("""COMPUTED_VALUE"""),0)</f>
        <v>0</v>
      </c>
      <c r="Q112" s="23">
        <f ca="1">IFERROR(__xludf.DUMMYFUNCTION("""COMPUTED_VALUE"""),0)</f>
        <v>0</v>
      </c>
      <c r="R112" s="11">
        <f ca="1">IFERROR(__xludf.DUMMYFUNCTION("""COMPUTED_VALUE"""),0)</f>
        <v>0</v>
      </c>
      <c r="S112" s="23">
        <f ca="1">IFERROR(__xludf.DUMMYFUNCTION("""COMPUTED_VALUE"""),3000)</f>
        <v>3000</v>
      </c>
      <c r="T112" s="24">
        <f ca="1">IFERROR(__xludf.DUMMYFUNCTION("""COMPUTED_VALUE"""),0)</f>
        <v>0</v>
      </c>
      <c r="U112" s="23">
        <f ca="1">IFERROR(__xludf.DUMMYFUNCTION("""COMPUTED_VALUE"""),0)</f>
        <v>0</v>
      </c>
      <c r="V112" s="23">
        <f ca="1">IFERROR(__xludf.DUMMYFUNCTION("""COMPUTED_VALUE"""),0)</f>
        <v>0</v>
      </c>
      <c r="W112" s="23">
        <f ca="1">IFERROR(__xludf.DUMMYFUNCTION("""COMPUTED_VALUE"""),0)</f>
        <v>0</v>
      </c>
      <c r="X112" s="23">
        <f ca="1">IFERROR(__xludf.DUMMYFUNCTION("""COMPUTED_VALUE"""),0)</f>
        <v>0</v>
      </c>
      <c r="Y112" s="25">
        <f ca="1">IFERROR(__xludf.DUMMYFUNCTION("""COMPUTED_VALUE"""),0)</f>
        <v>0</v>
      </c>
      <c r="Z112" s="25">
        <f ca="1">IFERROR(__xludf.DUMMYFUNCTION("""COMPUTED_VALUE"""),0)</f>
        <v>0</v>
      </c>
      <c r="AA112" s="25">
        <f ca="1">IFERROR(__xludf.DUMMYFUNCTION("""COMPUTED_VALUE"""),0)</f>
        <v>0</v>
      </c>
      <c r="AB112" s="25">
        <f ca="1">IFERROR(__xludf.DUMMYFUNCTION("""COMPUTED_VALUE"""),0)</f>
        <v>0</v>
      </c>
      <c r="AC112" s="23">
        <f ca="1">IFERROR(__xludf.DUMMYFUNCTION("""COMPUTED_VALUE"""),0)</f>
        <v>0</v>
      </c>
      <c r="AD112" s="26"/>
      <c r="AE112" s="27"/>
    </row>
    <row r="113" spans="1:31" ht="14.3">
      <c r="A113" s="18" t="str">
        <f ca="1">IFERROR(__xludf.DUMMYFUNCTION("""COMPUTED_VALUE"""),"23SDSCE01186")</f>
        <v>23SDSCE01186</v>
      </c>
      <c r="B113" s="19" t="str">
        <f ca="1">IFERROR(__xludf.DUMMYFUNCTION("""COMPUTED_VALUE"""),"MOLADIYA HARSH VIPULBHAI")</f>
        <v>MOLADIYA HARSH VIPULBHAI</v>
      </c>
      <c r="C113" s="18" t="str">
        <f ca="1">IFERROR(__xludf.DUMMYFUNCTION("""COMPUTED_VALUE"""),"SDS")</f>
        <v>SDS</v>
      </c>
      <c r="D113" s="18" t="str">
        <f ca="1">IFERROR(__xludf.DUMMYFUNCTION("""COMPUTED_VALUE"""),"DCE")</f>
        <v>DCE</v>
      </c>
      <c r="E113" s="18">
        <f ca="1">IFERROR(__xludf.DUMMYFUNCTION("""COMPUTED_VALUE"""),2)</f>
        <v>2</v>
      </c>
      <c r="F113" s="18" t="str">
        <f ca="1">IFERROR(__xludf.DUMMYFUNCTION("""COMPUTED_VALUE"""),"6355090519 7878781282")</f>
        <v>6355090519 7878781282</v>
      </c>
      <c r="G113" s="18" t="str">
        <f ca="1">IFERROR(__xludf.DUMMYFUNCTION("""COMPUTED_VALUE"""),"6355090519 7878781282")</f>
        <v>6355090519 7878781282</v>
      </c>
      <c r="H113" s="18" t="str">
        <f ca="1">IFERROR(__xludf.DUMMYFUNCTION("""COMPUTED_VALUE"""),"DCE_2023-26")</f>
        <v>DCE_2023-26</v>
      </c>
      <c r="I113" s="20"/>
      <c r="J113" s="21">
        <f ca="1">IFERROR(__xludf.DUMMYFUNCTION("""COMPUTED_VALUE"""),27500)</f>
        <v>27500</v>
      </c>
      <c r="K113" s="21">
        <f ca="1">IFERROR(__xludf.DUMMYFUNCTION("""COMPUTED_VALUE"""),27500)</f>
        <v>27500</v>
      </c>
      <c r="L113" s="21">
        <f ca="1">IFERROR(__xludf.DUMMYFUNCTION("""COMPUTED_VALUE"""),0)</f>
        <v>0</v>
      </c>
      <c r="M113" s="23">
        <f ca="1">IFERROR(__xludf.DUMMYFUNCTION("""COMPUTED_VALUE"""),0)</f>
        <v>0</v>
      </c>
      <c r="N113" s="21">
        <f ca="1">IFERROR(__xludf.DUMMYFUNCTION("""COMPUTED_VALUE"""),0)</f>
        <v>0</v>
      </c>
      <c r="O113" s="21">
        <f ca="1">IFERROR(__xludf.DUMMYFUNCTION("""COMPUTED_VALUE"""),3000)</f>
        <v>3000</v>
      </c>
      <c r="P113" s="21">
        <f ca="1">IFERROR(__xludf.DUMMYFUNCTION("""COMPUTED_VALUE"""),3000)</f>
        <v>3000</v>
      </c>
      <c r="Q113" s="23">
        <f ca="1">IFERROR(__xludf.DUMMYFUNCTION("""COMPUTED_VALUE"""),0)</f>
        <v>0</v>
      </c>
      <c r="R113" s="11">
        <f ca="1">IFERROR(__xludf.DUMMYFUNCTION("""COMPUTED_VALUE"""),0)</f>
        <v>0</v>
      </c>
      <c r="S113" s="23">
        <f ca="1">IFERROR(__xludf.DUMMYFUNCTION("""COMPUTED_VALUE"""),0)</f>
        <v>0</v>
      </c>
      <c r="T113" s="24">
        <f ca="1">IFERROR(__xludf.DUMMYFUNCTION("""COMPUTED_VALUE"""),0)</f>
        <v>0</v>
      </c>
      <c r="U113" s="23">
        <f ca="1">IFERROR(__xludf.DUMMYFUNCTION("""COMPUTED_VALUE"""),0)</f>
        <v>0</v>
      </c>
      <c r="V113" s="23">
        <f ca="1">IFERROR(__xludf.DUMMYFUNCTION("""COMPUTED_VALUE"""),0)</f>
        <v>0</v>
      </c>
      <c r="W113" s="23">
        <f ca="1">IFERROR(__xludf.DUMMYFUNCTION("""COMPUTED_VALUE"""),0)</f>
        <v>0</v>
      </c>
      <c r="X113" s="23">
        <f ca="1">IFERROR(__xludf.DUMMYFUNCTION("""COMPUTED_VALUE"""),0)</f>
        <v>0</v>
      </c>
      <c r="Y113" s="25">
        <f ca="1">IFERROR(__xludf.DUMMYFUNCTION("""COMPUTED_VALUE"""),0)</f>
        <v>0</v>
      </c>
      <c r="Z113" s="25">
        <f ca="1">IFERROR(__xludf.DUMMYFUNCTION("""COMPUTED_VALUE"""),0)</f>
        <v>0</v>
      </c>
      <c r="AA113" s="25">
        <f ca="1">IFERROR(__xludf.DUMMYFUNCTION("""COMPUTED_VALUE"""),0)</f>
        <v>0</v>
      </c>
      <c r="AB113" s="25">
        <f ca="1">IFERROR(__xludf.DUMMYFUNCTION("""COMPUTED_VALUE"""),0)</f>
        <v>0</v>
      </c>
      <c r="AC113" s="23">
        <f ca="1">IFERROR(__xludf.DUMMYFUNCTION("""COMPUTED_VALUE"""),0)</f>
        <v>0</v>
      </c>
      <c r="AD113" s="26"/>
      <c r="AE113" s="27"/>
    </row>
    <row r="114" spans="1:31" ht="14.3">
      <c r="A114" s="18" t="str">
        <f ca="1">IFERROR(__xludf.DUMMYFUNCTION("""COMPUTED_VALUE"""),"23SDSCE01187")</f>
        <v>23SDSCE01187</v>
      </c>
      <c r="B114" s="19" t="str">
        <f ca="1">IFERROR(__xludf.DUMMYFUNCTION("""COMPUTED_VALUE"""),"PAMBHAR HITASHREE JAYESHBHAI")</f>
        <v>PAMBHAR HITASHREE JAYESHBHAI</v>
      </c>
      <c r="C114" s="18" t="str">
        <f ca="1">IFERROR(__xludf.DUMMYFUNCTION("""COMPUTED_VALUE"""),"SDS")</f>
        <v>SDS</v>
      </c>
      <c r="D114" s="18" t="str">
        <f ca="1">IFERROR(__xludf.DUMMYFUNCTION("""COMPUTED_VALUE"""),"DCE")</f>
        <v>DCE</v>
      </c>
      <c r="E114" s="18">
        <f ca="1">IFERROR(__xludf.DUMMYFUNCTION("""COMPUTED_VALUE"""),2)</f>
        <v>2</v>
      </c>
      <c r="F114" s="6" t="str">
        <f ca="1">IFERROR(__xludf.DUMMYFUNCTION("""COMPUTED_VALUE"""),"9879209592
8347109592")</f>
        <v>9879209592
8347109592</v>
      </c>
      <c r="G114" s="6" t="str">
        <f ca="1">IFERROR(__xludf.DUMMYFUNCTION("""COMPUTED_VALUE"""),"9879209592
8347109592")</f>
        <v>9879209592
8347109592</v>
      </c>
      <c r="H114" s="18" t="str">
        <f ca="1">IFERROR(__xludf.DUMMYFUNCTION("""COMPUTED_VALUE"""),"DCE_2023-26")</f>
        <v>DCE_2023-26</v>
      </c>
      <c r="I114" s="20"/>
      <c r="J114" s="21">
        <f ca="1">IFERROR(__xludf.DUMMYFUNCTION("""COMPUTED_VALUE"""),27500)</f>
        <v>27500</v>
      </c>
      <c r="K114" s="21">
        <f ca="1">IFERROR(__xludf.DUMMYFUNCTION("""COMPUTED_VALUE"""),27500)</f>
        <v>27500</v>
      </c>
      <c r="L114" s="21">
        <f ca="1">IFERROR(__xludf.DUMMYFUNCTION("""COMPUTED_VALUE"""),0)</f>
        <v>0</v>
      </c>
      <c r="M114" s="23">
        <f ca="1">IFERROR(__xludf.DUMMYFUNCTION("""COMPUTED_VALUE"""),0)</f>
        <v>0</v>
      </c>
      <c r="N114" s="21">
        <f ca="1">IFERROR(__xludf.DUMMYFUNCTION("""COMPUTED_VALUE"""),0)</f>
        <v>0</v>
      </c>
      <c r="O114" s="21">
        <f ca="1">IFERROR(__xludf.DUMMYFUNCTION("""COMPUTED_VALUE"""),3000)</f>
        <v>3000</v>
      </c>
      <c r="P114" s="21">
        <f ca="1">IFERROR(__xludf.DUMMYFUNCTION("""COMPUTED_VALUE"""),3000)</f>
        <v>3000</v>
      </c>
      <c r="Q114" s="23">
        <f ca="1">IFERROR(__xludf.DUMMYFUNCTION("""COMPUTED_VALUE"""),0)</f>
        <v>0</v>
      </c>
      <c r="R114" s="11">
        <f ca="1">IFERROR(__xludf.DUMMYFUNCTION("""COMPUTED_VALUE"""),0)</f>
        <v>0</v>
      </c>
      <c r="S114" s="23">
        <f ca="1">IFERROR(__xludf.DUMMYFUNCTION("""COMPUTED_VALUE"""),0)</f>
        <v>0</v>
      </c>
      <c r="T114" s="24">
        <f ca="1">IFERROR(__xludf.DUMMYFUNCTION("""COMPUTED_VALUE"""),0)</f>
        <v>0</v>
      </c>
      <c r="U114" s="23">
        <f ca="1">IFERROR(__xludf.DUMMYFUNCTION("""COMPUTED_VALUE"""),0)</f>
        <v>0</v>
      </c>
      <c r="V114" s="23">
        <f ca="1">IFERROR(__xludf.DUMMYFUNCTION("""COMPUTED_VALUE"""),0)</f>
        <v>0</v>
      </c>
      <c r="W114" s="23">
        <f ca="1">IFERROR(__xludf.DUMMYFUNCTION("""COMPUTED_VALUE"""),0)</f>
        <v>0</v>
      </c>
      <c r="X114" s="23">
        <f ca="1">IFERROR(__xludf.DUMMYFUNCTION("""COMPUTED_VALUE"""),0)</f>
        <v>0</v>
      </c>
      <c r="Y114" s="25">
        <f ca="1">IFERROR(__xludf.DUMMYFUNCTION("""COMPUTED_VALUE"""),0)</f>
        <v>0</v>
      </c>
      <c r="Z114" s="25">
        <f ca="1">IFERROR(__xludf.DUMMYFUNCTION("""COMPUTED_VALUE"""),0)</f>
        <v>0</v>
      </c>
      <c r="AA114" s="25">
        <f ca="1">IFERROR(__xludf.DUMMYFUNCTION("""COMPUTED_VALUE"""),0)</f>
        <v>0</v>
      </c>
      <c r="AB114" s="25">
        <f ca="1">IFERROR(__xludf.DUMMYFUNCTION("""COMPUTED_VALUE"""),0)</f>
        <v>0</v>
      </c>
      <c r="AC114" s="23">
        <f ca="1">IFERROR(__xludf.DUMMYFUNCTION("""COMPUTED_VALUE"""),0)</f>
        <v>0</v>
      </c>
      <c r="AD114" s="26"/>
      <c r="AE114" s="27"/>
    </row>
    <row r="115" spans="1:31" ht="14.3">
      <c r="A115" s="18" t="str">
        <f ca="1">IFERROR(__xludf.DUMMYFUNCTION("""COMPUTED_VALUE"""),"23SDSCE01188")</f>
        <v>23SDSCE01188</v>
      </c>
      <c r="B115" s="19" t="str">
        <f ca="1">IFERROR(__xludf.DUMMYFUNCTION("""COMPUTED_VALUE"""),"PARMAR MANASVI NIRAJBHAI")</f>
        <v>PARMAR MANASVI NIRAJBHAI</v>
      </c>
      <c r="C115" s="18" t="str">
        <f ca="1">IFERROR(__xludf.DUMMYFUNCTION("""COMPUTED_VALUE"""),"SDS")</f>
        <v>SDS</v>
      </c>
      <c r="D115" s="18" t="str">
        <f ca="1">IFERROR(__xludf.DUMMYFUNCTION("""COMPUTED_VALUE"""),"DCE")</f>
        <v>DCE</v>
      </c>
      <c r="E115" s="18">
        <f ca="1">IFERROR(__xludf.DUMMYFUNCTION("""COMPUTED_VALUE"""),2)</f>
        <v>2</v>
      </c>
      <c r="F115" s="18" t="str">
        <f ca="1">IFERROR(__xludf.DUMMYFUNCTION("""COMPUTED_VALUE"""),"9913528127 9714024419")</f>
        <v>9913528127 9714024419</v>
      </c>
      <c r="G115" s="18" t="str">
        <f ca="1">IFERROR(__xludf.DUMMYFUNCTION("""COMPUTED_VALUE"""),"9913528127 9714024419")</f>
        <v>9913528127 9714024419</v>
      </c>
      <c r="H115" s="18" t="str">
        <f ca="1">IFERROR(__xludf.DUMMYFUNCTION("""COMPUTED_VALUE"""),"DCE_2023-26")</f>
        <v>DCE_2023-26</v>
      </c>
      <c r="I115" s="20"/>
      <c r="J115" s="21">
        <f ca="1">IFERROR(__xludf.DUMMYFUNCTION("""COMPUTED_VALUE"""),27500)</f>
        <v>27500</v>
      </c>
      <c r="K115" s="21">
        <f ca="1">IFERROR(__xludf.DUMMYFUNCTION("""COMPUTED_VALUE"""),27500)</f>
        <v>27500</v>
      </c>
      <c r="L115" s="21">
        <f ca="1">IFERROR(__xludf.DUMMYFUNCTION("""COMPUTED_VALUE"""),0)</f>
        <v>0</v>
      </c>
      <c r="M115" s="23">
        <f ca="1">IFERROR(__xludf.DUMMYFUNCTION("""COMPUTED_VALUE"""),0)</f>
        <v>0</v>
      </c>
      <c r="N115" s="21">
        <f ca="1">IFERROR(__xludf.DUMMYFUNCTION("""COMPUTED_VALUE"""),0)</f>
        <v>0</v>
      </c>
      <c r="O115" s="21">
        <f ca="1">IFERROR(__xludf.DUMMYFUNCTION("""COMPUTED_VALUE"""),3000)</f>
        <v>3000</v>
      </c>
      <c r="P115" s="21">
        <f ca="1">IFERROR(__xludf.DUMMYFUNCTION("""COMPUTED_VALUE"""),3000)</f>
        <v>3000</v>
      </c>
      <c r="Q115" s="23">
        <f ca="1">IFERROR(__xludf.DUMMYFUNCTION("""COMPUTED_VALUE"""),0)</f>
        <v>0</v>
      </c>
      <c r="R115" s="29">
        <f ca="1">IFERROR(__xludf.DUMMYFUNCTION("""COMPUTED_VALUE"""),0)</f>
        <v>0</v>
      </c>
      <c r="S115" s="23">
        <f ca="1">IFERROR(__xludf.DUMMYFUNCTION("""COMPUTED_VALUE"""),0)</f>
        <v>0</v>
      </c>
      <c r="T115" s="24">
        <f ca="1">IFERROR(__xludf.DUMMYFUNCTION("""COMPUTED_VALUE"""),0)</f>
        <v>0</v>
      </c>
      <c r="U115" s="23">
        <f ca="1">IFERROR(__xludf.DUMMYFUNCTION("""COMPUTED_VALUE"""),0)</f>
        <v>0</v>
      </c>
      <c r="V115" s="23">
        <f ca="1">IFERROR(__xludf.DUMMYFUNCTION("""COMPUTED_VALUE"""),0)</f>
        <v>0</v>
      </c>
      <c r="W115" s="23">
        <f ca="1">IFERROR(__xludf.DUMMYFUNCTION("""COMPUTED_VALUE"""),0)</f>
        <v>0</v>
      </c>
      <c r="X115" s="23">
        <f ca="1">IFERROR(__xludf.DUMMYFUNCTION("""COMPUTED_VALUE"""),0)</f>
        <v>0</v>
      </c>
      <c r="Y115" s="25">
        <f ca="1">IFERROR(__xludf.DUMMYFUNCTION("""COMPUTED_VALUE"""),0)</f>
        <v>0</v>
      </c>
      <c r="Z115" s="25">
        <f ca="1">IFERROR(__xludf.DUMMYFUNCTION("""COMPUTED_VALUE"""),0)</f>
        <v>0</v>
      </c>
      <c r="AA115" s="25">
        <f ca="1">IFERROR(__xludf.DUMMYFUNCTION("""COMPUTED_VALUE"""),0)</f>
        <v>0</v>
      </c>
      <c r="AB115" s="25">
        <f ca="1">IFERROR(__xludf.DUMMYFUNCTION("""COMPUTED_VALUE"""),0)</f>
        <v>0</v>
      </c>
      <c r="AC115" s="23">
        <f ca="1">IFERROR(__xludf.DUMMYFUNCTION("""COMPUTED_VALUE"""),0)</f>
        <v>0</v>
      </c>
      <c r="AD115" s="26"/>
      <c r="AE115" s="27"/>
    </row>
    <row r="116" spans="1:31" ht="28.55">
      <c r="A116" s="18" t="str">
        <f ca="1">IFERROR(__xludf.DUMMYFUNCTION("""COMPUTED_VALUE"""),"23SDSCE01189")</f>
        <v>23SDSCE01189</v>
      </c>
      <c r="B116" s="19" t="str">
        <f ca="1">IFERROR(__xludf.DUMMYFUNCTION("""COMPUTED_VALUE"""),"PARMAR SUJAL SHANKARBHAI")</f>
        <v>PARMAR SUJAL SHANKARBHAI</v>
      </c>
      <c r="C116" s="18" t="str">
        <f ca="1">IFERROR(__xludf.DUMMYFUNCTION("""COMPUTED_VALUE"""),"SDS")</f>
        <v>SDS</v>
      </c>
      <c r="D116" s="18" t="str">
        <f ca="1">IFERROR(__xludf.DUMMYFUNCTION("""COMPUTED_VALUE"""),"DCE")</f>
        <v>DCE</v>
      </c>
      <c r="E116" s="18">
        <f ca="1">IFERROR(__xludf.DUMMYFUNCTION("""COMPUTED_VALUE"""),2)</f>
        <v>2</v>
      </c>
      <c r="F116" s="18" t="str">
        <f ca="1">IFERROR(__xludf.DUMMYFUNCTION("""COMPUTED_VALUE"""),"9510204658 8799250377")</f>
        <v>9510204658 8799250377</v>
      </c>
      <c r="G116" s="18" t="str">
        <f ca="1">IFERROR(__xludf.DUMMYFUNCTION("""COMPUTED_VALUE"""),"9510204658 8799250377")</f>
        <v>9510204658 8799250377</v>
      </c>
      <c r="H116" s="18" t="str">
        <f ca="1">IFERROR(__xludf.DUMMYFUNCTION("""COMPUTED_VALUE"""),"DCE_2023-26")</f>
        <v>DCE_2023-26</v>
      </c>
      <c r="I116" s="20" t="str">
        <f ca="1">IFERROR(__xludf.DUMMYFUNCTION("""COMPUTED_VALUE"""),"FREESHIP CARD")</f>
        <v>FREESHIP CARD</v>
      </c>
      <c r="J116" s="21">
        <f ca="1">IFERROR(__xludf.DUMMYFUNCTION("""COMPUTED_VALUE"""),27500)</f>
        <v>27500</v>
      </c>
      <c r="K116" s="21">
        <f ca="1">IFERROR(__xludf.DUMMYFUNCTION("""COMPUTED_VALUE"""),0)</f>
        <v>0</v>
      </c>
      <c r="L116" s="21">
        <f ca="1">IFERROR(__xludf.DUMMYFUNCTION("""COMPUTED_VALUE"""),0)</f>
        <v>0</v>
      </c>
      <c r="M116" s="23">
        <f ca="1">IFERROR(__xludf.DUMMYFUNCTION("""COMPUTED_VALUE"""),0)</f>
        <v>0</v>
      </c>
      <c r="N116" s="21">
        <f ca="1">IFERROR(__xludf.DUMMYFUNCTION("""COMPUTED_VALUE"""),27500)</f>
        <v>27500</v>
      </c>
      <c r="O116" s="21">
        <f ca="1">IFERROR(__xludf.DUMMYFUNCTION("""COMPUTED_VALUE"""),3000)</f>
        <v>3000</v>
      </c>
      <c r="P116" s="21">
        <f ca="1">IFERROR(__xludf.DUMMYFUNCTION("""COMPUTED_VALUE"""),3000)</f>
        <v>3000</v>
      </c>
      <c r="Q116" s="23">
        <f ca="1">IFERROR(__xludf.DUMMYFUNCTION("""COMPUTED_VALUE"""),0)</f>
        <v>0</v>
      </c>
      <c r="R116" s="11">
        <f ca="1">IFERROR(__xludf.DUMMYFUNCTION("""COMPUTED_VALUE"""),0)</f>
        <v>0</v>
      </c>
      <c r="S116" s="23">
        <f ca="1">IFERROR(__xludf.DUMMYFUNCTION("""COMPUTED_VALUE"""),0)</f>
        <v>0</v>
      </c>
      <c r="T116" s="24">
        <f ca="1">IFERROR(__xludf.DUMMYFUNCTION("""COMPUTED_VALUE"""),0)</f>
        <v>0</v>
      </c>
      <c r="U116" s="23">
        <f ca="1">IFERROR(__xludf.DUMMYFUNCTION("""COMPUTED_VALUE"""),0)</f>
        <v>0</v>
      </c>
      <c r="V116" s="23">
        <f ca="1">IFERROR(__xludf.DUMMYFUNCTION("""COMPUTED_VALUE"""),0)</f>
        <v>0</v>
      </c>
      <c r="W116" s="23">
        <f ca="1">IFERROR(__xludf.DUMMYFUNCTION("""COMPUTED_VALUE"""),0)</f>
        <v>0</v>
      </c>
      <c r="X116" s="23">
        <f ca="1">IFERROR(__xludf.DUMMYFUNCTION("""COMPUTED_VALUE"""),0)</f>
        <v>0</v>
      </c>
      <c r="Y116" s="25">
        <f ca="1">IFERROR(__xludf.DUMMYFUNCTION("""COMPUTED_VALUE"""),0)</f>
        <v>0</v>
      </c>
      <c r="Z116" s="25">
        <f ca="1">IFERROR(__xludf.DUMMYFUNCTION("""COMPUTED_VALUE"""),0)</f>
        <v>0</v>
      </c>
      <c r="AA116" s="25">
        <f ca="1">IFERROR(__xludf.DUMMYFUNCTION("""COMPUTED_VALUE"""),0)</f>
        <v>0</v>
      </c>
      <c r="AB116" s="25">
        <f ca="1">IFERROR(__xludf.DUMMYFUNCTION("""COMPUTED_VALUE"""),0)</f>
        <v>0</v>
      </c>
      <c r="AC116" s="23">
        <f ca="1">IFERROR(__xludf.DUMMYFUNCTION("""COMPUTED_VALUE"""),0)</f>
        <v>0</v>
      </c>
      <c r="AD116" s="26" t="str">
        <f ca="1">IFERROR(__xludf.DUMMYFUNCTION("""COMPUTED_VALUE"""),"FREESHIP CARD")</f>
        <v>FREESHIP CARD</v>
      </c>
      <c r="AE116" s="27"/>
    </row>
    <row r="117" spans="1:31" ht="14.3">
      <c r="A117" s="18" t="str">
        <f ca="1">IFERROR(__xludf.DUMMYFUNCTION("""COMPUTED_VALUE"""),"23SDSCE01190")</f>
        <v>23SDSCE01190</v>
      </c>
      <c r="B117" s="19" t="str">
        <f ca="1">IFERROR(__xludf.DUMMYFUNCTION("""COMPUTED_VALUE"""),"RABADIYA VIVEK LALJI")</f>
        <v>RABADIYA VIVEK LALJI</v>
      </c>
      <c r="C117" s="18" t="str">
        <f ca="1">IFERROR(__xludf.DUMMYFUNCTION("""COMPUTED_VALUE"""),"SDS")</f>
        <v>SDS</v>
      </c>
      <c r="D117" s="18" t="str">
        <f ca="1">IFERROR(__xludf.DUMMYFUNCTION("""COMPUTED_VALUE"""),"DCE")</f>
        <v>DCE</v>
      </c>
      <c r="E117" s="18">
        <f ca="1">IFERROR(__xludf.DUMMYFUNCTION("""COMPUTED_VALUE"""),2)</f>
        <v>2</v>
      </c>
      <c r="F117" s="18" t="str">
        <f ca="1">IFERROR(__xludf.DUMMYFUNCTION("""COMPUTED_VALUE"""),"6352871412 9925724220")</f>
        <v>6352871412 9925724220</v>
      </c>
      <c r="G117" s="18" t="str">
        <f ca="1">IFERROR(__xludf.DUMMYFUNCTION("""COMPUTED_VALUE"""),"6352871412 9925724220")</f>
        <v>6352871412 9925724220</v>
      </c>
      <c r="H117" s="18" t="str">
        <f ca="1">IFERROR(__xludf.DUMMYFUNCTION("""COMPUTED_VALUE"""),"DCE_2023-26")</f>
        <v>DCE_2023-26</v>
      </c>
      <c r="I117" s="20"/>
      <c r="J117" s="21">
        <f ca="1">IFERROR(__xludf.DUMMYFUNCTION("""COMPUTED_VALUE"""),27500)</f>
        <v>27500</v>
      </c>
      <c r="K117" s="21">
        <f ca="1">IFERROR(__xludf.DUMMYFUNCTION("""COMPUTED_VALUE"""),27500)</f>
        <v>27500</v>
      </c>
      <c r="L117" s="21">
        <f ca="1">IFERROR(__xludf.DUMMYFUNCTION("""COMPUTED_VALUE"""),0)</f>
        <v>0</v>
      </c>
      <c r="M117" s="23">
        <f ca="1">IFERROR(__xludf.DUMMYFUNCTION("""COMPUTED_VALUE"""),0)</f>
        <v>0</v>
      </c>
      <c r="N117" s="21">
        <f ca="1">IFERROR(__xludf.DUMMYFUNCTION("""COMPUTED_VALUE"""),0)</f>
        <v>0</v>
      </c>
      <c r="O117" s="21">
        <f ca="1">IFERROR(__xludf.DUMMYFUNCTION("""COMPUTED_VALUE"""),3000)</f>
        <v>3000</v>
      </c>
      <c r="P117" s="21">
        <f ca="1">IFERROR(__xludf.DUMMYFUNCTION("""COMPUTED_VALUE"""),3000)</f>
        <v>3000</v>
      </c>
      <c r="Q117" s="23">
        <f ca="1">IFERROR(__xludf.DUMMYFUNCTION("""COMPUTED_VALUE"""),0)</f>
        <v>0</v>
      </c>
      <c r="R117" s="11">
        <f ca="1">IFERROR(__xludf.DUMMYFUNCTION("""COMPUTED_VALUE"""),0)</f>
        <v>0</v>
      </c>
      <c r="S117" s="23">
        <f ca="1">IFERROR(__xludf.DUMMYFUNCTION("""COMPUTED_VALUE"""),0)</f>
        <v>0</v>
      </c>
      <c r="T117" s="24">
        <f ca="1">IFERROR(__xludf.DUMMYFUNCTION("""COMPUTED_VALUE"""),0)</f>
        <v>0</v>
      </c>
      <c r="U117" s="23">
        <f ca="1">IFERROR(__xludf.DUMMYFUNCTION("""COMPUTED_VALUE"""),0)</f>
        <v>0</v>
      </c>
      <c r="V117" s="23">
        <f ca="1">IFERROR(__xludf.DUMMYFUNCTION("""COMPUTED_VALUE"""),0)</f>
        <v>0</v>
      </c>
      <c r="W117" s="23">
        <f ca="1">IFERROR(__xludf.DUMMYFUNCTION("""COMPUTED_VALUE"""),0)</f>
        <v>0</v>
      </c>
      <c r="X117" s="23">
        <f ca="1">IFERROR(__xludf.DUMMYFUNCTION("""COMPUTED_VALUE"""),0)</f>
        <v>0</v>
      </c>
      <c r="Y117" s="25">
        <f ca="1">IFERROR(__xludf.DUMMYFUNCTION("""COMPUTED_VALUE"""),0)</f>
        <v>0</v>
      </c>
      <c r="Z117" s="25">
        <f ca="1">IFERROR(__xludf.DUMMYFUNCTION("""COMPUTED_VALUE"""),0)</f>
        <v>0</v>
      </c>
      <c r="AA117" s="25">
        <f ca="1">IFERROR(__xludf.DUMMYFUNCTION("""COMPUTED_VALUE"""),0)</f>
        <v>0</v>
      </c>
      <c r="AB117" s="25">
        <f ca="1">IFERROR(__xludf.DUMMYFUNCTION("""COMPUTED_VALUE"""),0)</f>
        <v>0</v>
      </c>
      <c r="AC117" s="23">
        <f ca="1">IFERROR(__xludf.DUMMYFUNCTION("""COMPUTED_VALUE"""),0)</f>
        <v>0</v>
      </c>
      <c r="AD117" s="26"/>
      <c r="AE117" s="27"/>
    </row>
    <row r="118" spans="1:31" ht="14.3">
      <c r="A118" s="18" t="str">
        <f ca="1">IFERROR(__xludf.DUMMYFUNCTION("""COMPUTED_VALUE"""),"23SDSCE01191")</f>
        <v>23SDSCE01191</v>
      </c>
      <c r="B118" s="19" t="str">
        <f ca="1">IFERROR(__xludf.DUMMYFUNCTION("""COMPUTED_VALUE"""),"RADADIYA KENIL SUNILBHAI")</f>
        <v>RADADIYA KENIL SUNILBHAI</v>
      </c>
      <c r="C118" s="18" t="str">
        <f ca="1">IFERROR(__xludf.DUMMYFUNCTION("""COMPUTED_VALUE"""),"SDS")</f>
        <v>SDS</v>
      </c>
      <c r="D118" s="18" t="str">
        <f ca="1">IFERROR(__xludf.DUMMYFUNCTION("""COMPUTED_VALUE"""),"DCE")</f>
        <v>DCE</v>
      </c>
      <c r="E118" s="18">
        <f ca="1">IFERROR(__xludf.DUMMYFUNCTION("""COMPUTED_VALUE"""),2)</f>
        <v>2</v>
      </c>
      <c r="F118" s="18" t="str">
        <f ca="1">IFERROR(__xludf.DUMMYFUNCTION("""COMPUTED_VALUE"""),"7069706016 9574802653")</f>
        <v>7069706016 9574802653</v>
      </c>
      <c r="G118" s="18" t="str">
        <f ca="1">IFERROR(__xludf.DUMMYFUNCTION("""COMPUTED_VALUE"""),"7069706016 9574802653")</f>
        <v>7069706016 9574802653</v>
      </c>
      <c r="H118" s="18" t="str">
        <f ca="1">IFERROR(__xludf.DUMMYFUNCTION("""COMPUTED_VALUE"""),"DCV_2023-26")</f>
        <v>DCV_2023-26</v>
      </c>
      <c r="I118" s="20"/>
      <c r="J118" s="21">
        <f ca="1">IFERROR(__xludf.DUMMYFUNCTION("""COMPUTED_VALUE"""),0)</f>
        <v>0</v>
      </c>
      <c r="K118" s="21">
        <f ca="1">IFERROR(__xludf.DUMMYFUNCTION("""COMPUTED_VALUE"""),0)</f>
        <v>0</v>
      </c>
      <c r="L118" s="21">
        <f ca="1">IFERROR(__xludf.DUMMYFUNCTION("""COMPUTED_VALUE"""),0)</f>
        <v>0</v>
      </c>
      <c r="M118" s="23">
        <f ca="1">IFERROR(__xludf.DUMMYFUNCTION("""COMPUTED_VALUE"""),0)</f>
        <v>0</v>
      </c>
      <c r="N118" s="21">
        <f ca="1">IFERROR(__xludf.DUMMYFUNCTION("""COMPUTED_VALUE"""),0)</f>
        <v>0</v>
      </c>
      <c r="O118" s="21">
        <f ca="1">IFERROR(__xludf.DUMMYFUNCTION("""COMPUTED_VALUE"""),0)</f>
        <v>0</v>
      </c>
      <c r="P118" s="21">
        <f ca="1">IFERROR(__xludf.DUMMYFUNCTION("""COMPUTED_VALUE"""),0)</f>
        <v>0</v>
      </c>
      <c r="Q118" s="23">
        <f ca="1">IFERROR(__xludf.DUMMYFUNCTION("""COMPUTED_VALUE"""),0)</f>
        <v>0</v>
      </c>
      <c r="R118" s="11">
        <f ca="1">IFERROR(__xludf.DUMMYFUNCTION("""COMPUTED_VALUE"""),0)</f>
        <v>0</v>
      </c>
      <c r="S118" s="23">
        <f ca="1">IFERROR(__xludf.DUMMYFUNCTION("""COMPUTED_VALUE"""),0)</f>
        <v>0</v>
      </c>
      <c r="T118" s="24">
        <f ca="1">IFERROR(__xludf.DUMMYFUNCTION("""COMPUTED_VALUE"""),0)</f>
        <v>0</v>
      </c>
      <c r="U118" s="23">
        <f ca="1">IFERROR(__xludf.DUMMYFUNCTION("""COMPUTED_VALUE"""),0)</f>
        <v>0</v>
      </c>
      <c r="V118" s="23">
        <f ca="1">IFERROR(__xludf.DUMMYFUNCTION("""COMPUTED_VALUE"""),0)</f>
        <v>0</v>
      </c>
      <c r="W118" s="23">
        <f ca="1">IFERROR(__xludf.DUMMYFUNCTION("""COMPUTED_VALUE"""),0)</f>
        <v>0</v>
      </c>
      <c r="X118" s="23">
        <f ca="1">IFERROR(__xludf.DUMMYFUNCTION("""COMPUTED_VALUE"""),0)</f>
        <v>0</v>
      </c>
      <c r="Y118" s="25">
        <f ca="1">IFERROR(__xludf.DUMMYFUNCTION("""COMPUTED_VALUE"""),0)</f>
        <v>0</v>
      </c>
      <c r="Z118" s="25">
        <f ca="1">IFERROR(__xludf.DUMMYFUNCTION("""COMPUTED_VALUE"""),0)</f>
        <v>0</v>
      </c>
      <c r="AA118" s="25">
        <f ca="1">IFERROR(__xludf.DUMMYFUNCTION("""COMPUTED_VALUE"""),0)</f>
        <v>0</v>
      </c>
      <c r="AB118" s="25">
        <f ca="1">IFERROR(__xludf.DUMMYFUNCTION("""COMPUTED_VALUE"""),0)</f>
        <v>0</v>
      </c>
      <c r="AC118" s="23">
        <f ca="1">IFERROR(__xludf.DUMMYFUNCTION("""COMPUTED_VALUE"""),0)</f>
        <v>0</v>
      </c>
      <c r="AD118" s="26"/>
      <c r="AE118" s="27"/>
    </row>
    <row r="119" spans="1:31" ht="14.3">
      <c r="A119" s="18" t="str">
        <f ca="1">IFERROR(__xludf.DUMMYFUNCTION("""COMPUTED_VALUE"""),"23SDSCE01192")</f>
        <v>23SDSCE01192</v>
      </c>
      <c r="B119" s="19" t="str">
        <f ca="1">IFERROR(__xludf.DUMMYFUNCTION("""COMPUTED_VALUE"""),"RATHOD HARDIK VIJAYBHAI")</f>
        <v>RATHOD HARDIK VIJAYBHAI</v>
      </c>
      <c r="C119" s="18" t="str">
        <f ca="1">IFERROR(__xludf.DUMMYFUNCTION("""COMPUTED_VALUE"""),"SDS")</f>
        <v>SDS</v>
      </c>
      <c r="D119" s="18" t="str">
        <f ca="1">IFERROR(__xludf.DUMMYFUNCTION("""COMPUTED_VALUE"""),"DCE")</f>
        <v>DCE</v>
      </c>
      <c r="E119" s="18">
        <f ca="1">IFERROR(__xludf.DUMMYFUNCTION("""COMPUTED_VALUE"""),2)</f>
        <v>2</v>
      </c>
      <c r="F119" s="6" t="str">
        <f ca="1">IFERROR(__xludf.DUMMYFUNCTION("""COMPUTED_VALUE"""),"9924237825 9875061563 9624329007")</f>
        <v>9924237825 9875061563 9624329007</v>
      </c>
      <c r="G119" s="6" t="str">
        <f ca="1">IFERROR(__xludf.DUMMYFUNCTION("""COMPUTED_VALUE"""),"9924237825 9875061563 9624329007")</f>
        <v>9924237825 9875061563 9624329007</v>
      </c>
      <c r="H119" s="18" t="str">
        <f ca="1">IFERROR(__xludf.DUMMYFUNCTION("""COMPUTED_VALUE"""),"DCE_2023-26")</f>
        <v>DCE_2023-26</v>
      </c>
      <c r="I119" s="20"/>
      <c r="J119" s="21">
        <f ca="1">IFERROR(__xludf.DUMMYFUNCTION("""COMPUTED_VALUE"""),27500)</f>
        <v>27500</v>
      </c>
      <c r="K119" s="21">
        <f ca="1">IFERROR(__xludf.DUMMYFUNCTION("""COMPUTED_VALUE"""),27500)</f>
        <v>27500</v>
      </c>
      <c r="L119" s="21">
        <f ca="1">IFERROR(__xludf.DUMMYFUNCTION("""COMPUTED_VALUE"""),0)</f>
        <v>0</v>
      </c>
      <c r="M119" s="23">
        <f ca="1">IFERROR(__xludf.DUMMYFUNCTION("""COMPUTED_VALUE"""),0)</f>
        <v>0</v>
      </c>
      <c r="N119" s="21">
        <f ca="1">IFERROR(__xludf.DUMMYFUNCTION("""COMPUTED_VALUE"""),0)</f>
        <v>0</v>
      </c>
      <c r="O119" s="21">
        <f ca="1">IFERROR(__xludf.DUMMYFUNCTION("""COMPUTED_VALUE"""),3000)</f>
        <v>3000</v>
      </c>
      <c r="P119" s="21">
        <f ca="1">IFERROR(__xludf.DUMMYFUNCTION("""COMPUTED_VALUE"""),3000)</f>
        <v>3000</v>
      </c>
      <c r="Q119" s="23">
        <f ca="1">IFERROR(__xludf.DUMMYFUNCTION("""COMPUTED_VALUE"""),0)</f>
        <v>0</v>
      </c>
      <c r="R119" s="11">
        <f ca="1">IFERROR(__xludf.DUMMYFUNCTION("""COMPUTED_VALUE"""),0)</f>
        <v>0</v>
      </c>
      <c r="S119" s="23">
        <f ca="1">IFERROR(__xludf.DUMMYFUNCTION("""COMPUTED_VALUE"""),0)</f>
        <v>0</v>
      </c>
      <c r="T119" s="24">
        <f ca="1">IFERROR(__xludf.DUMMYFUNCTION("""COMPUTED_VALUE"""),0)</f>
        <v>0</v>
      </c>
      <c r="U119" s="23">
        <f ca="1">IFERROR(__xludf.DUMMYFUNCTION("""COMPUTED_VALUE"""),0)</f>
        <v>0</v>
      </c>
      <c r="V119" s="23">
        <f ca="1">IFERROR(__xludf.DUMMYFUNCTION("""COMPUTED_VALUE"""),0)</f>
        <v>0</v>
      </c>
      <c r="W119" s="23">
        <f ca="1">IFERROR(__xludf.DUMMYFUNCTION("""COMPUTED_VALUE"""),0)</f>
        <v>0</v>
      </c>
      <c r="X119" s="23">
        <f ca="1">IFERROR(__xludf.DUMMYFUNCTION("""COMPUTED_VALUE"""),0)</f>
        <v>0</v>
      </c>
      <c r="Y119" s="25">
        <f ca="1">IFERROR(__xludf.DUMMYFUNCTION("""COMPUTED_VALUE"""),0)</f>
        <v>0</v>
      </c>
      <c r="Z119" s="25">
        <f ca="1">IFERROR(__xludf.DUMMYFUNCTION("""COMPUTED_VALUE"""),0)</f>
        <v>0</v>
      </c>
      <c r="AA119" s="25">
        <f ca="1">IFERROR(__xludf.DUMMYFUNCTION("""COMPUTED_VALUE"""),0)</f>
        <v>0</v>
      </c>
      <c r="AB119" s="25">
        <f ca="1">IFERROR(__xludf.DUMMYFUNCTION("""COMPUTED_VALUE"""),0)</f>
        <v>0</v>
      </c>
      <c r="AC119" s="23">
        <f ca="1">IFERROR(__xludf.DUMMYFUNCTION("""COMPUTED_VALUE"""),0)</f>
        <v>0</v>
      </c>
      <c r="AD119" s="26"/>
      <c r="AE119" s="27"/>
    </row>
    <row r="120" spans="1:31" ht="14.3">
      <c r="A120" s="18" t="str">
        <f ca="1">IFERROR(__xludf.DUMMYFUNCTION("""COMPUTED_VALUE"""),"23SDSCE01193")</f>
        <v>23SDSCE01193</v>
      </c>
      <c r="B120" s="19" t="str">
        <f ca="1">IFERROR(__xludf.DUMMYFUNCTION("""COMPUTED_VALUE"""),"RATHOD NANDANI VIMALBHAI")</f>
        <v>RATHOD NANDANI VIMALBHAI</v>
      </c>
      <c r="C120" s="18" t="str">
        <f ca="1">IFERROR(__xludf.DUMMYFUNCTION("""COMPUTED_VALUE"""),"SDS")</f>
        <v>SDS</v>
      </c>
      <c r="D120" s="18" t="str">
        <f ca="1">IFERROR(__xludf.DUMMYFUNCTION("""COMPUTED_VALUE"""),"DCE")</f>
        <v>DCE</v>
      </c>
      <c r="E120" s="18">
        <f ca="1">IFERROR(__xludf.DUMMYFUNCTION("""COMPUTED_VALUE"""),2)</f>
        <v>2</v>
      </c>
      <c r="F120" s="6" t="str">
        <f ca="1">IFERROR(__xludf.DUMMYFUNCTION("""COMPUTED_VALUE"""),"8780529191 9978240023 6353499187")</f>
        <v>8780529191 9978240023 6353499187</v>
      </c>
      <c r="G120" s="6" t="str">
        <f ca="1">IFERROR(__xludf.DUMMYFUNCTION("""COMPUTED_VALUE"""),"8780529191 9978240023 6353499187")</f>
        <v>8780529191 9978240023 6353499187</v>
      </c>
      <c r="H120" s="18" t="str">
        <f ca="1">IFERROR(__xludf.DUMMYFUNCTION("""COMPUTED_VALUE"""),"DCE_2023-26")</f>
        <v>DCE_2023-26</v>
      </c>
      <c r="I120" s="20" t="str">
        <f ca="1">IFERROR(__xludf.DUMMYFUNCTION("""COMPUTED_VALUE"""),"MYSY")</f>
        <v>MYSY</v>
      </c>
      <c r="J120" s="21">
        <f ca="1">IFERROR(__xludf.DUMMYFUNCTION("""COMPUTED_VALUE"""),27500)</f>
        <v>27500</v>
      </c>
      <c r="K120" s="21">
        <f ca="1">IFERROR(__xludf.DUMMYFUNCTION("""COMPUTED_VALUE"""),0)</f>
        <v>0</v>
      </c>
      <c r="L120" s="21">
        <f ca="1">IFERROR(__xludf.DUMMYFUNCTION("""COMPUTED_VALUE"""),0)</f>
        <v>0</v>
      </c>
      <c r="M120" s="23">
        <f ca="1">IFERROR(__xludf.DUMMYFUNCTION("""COMPUTED_VALUE"""),0)</f>
        <v>0</v>
      </c>
      <c r="N120" s="21">
        <f ca="1">IFERROR(__xludf.DUMMYFUNCTION("""COMPUTED_VALUE"""),27500)</f>
        <v>27500</v>
      </c>
      <c r="O120" s="21">
        <f ca="1">IFERROR(__xludf.DUMMYFUNCTION("""COMPUTED_VALUE"""),3000)</f>
        <v>3000</v>
      </c>
      <c r="P120" s="21">
        <f ca="1">IFERROR(__xludf.DUMMYFUNCTION("""COMPUTED_VALUE"""),0)</f>
        <v>0</v>
      </c>
      <c r="Q120" s="23">
        <f ca="1">IFERROR(__xludf.DUMMYFUNCTION("""COMPUTED_VALUE"""),0)</f>
        <v>0</v>
      </c>
      <c r="R120" s="11">
        <f ca="1">IFERROR(__xludf.DUMMYFUNCTION("""COMPUTED_VALUE"""),0)</f>
        <v>0</v>
      </c>
      <c r="S120" s="23">
        <f ca="1">IFERROR(__xludf.DUMMYFUNCTION("""COMPUTED_VALUE"""),3000)</f>
        <v>3000</v>
      </c>
      <c r="T120" s="24">
        <f ca="1">IFERROR(__xludf.DUMMYFUNCTION("""COMPUTED_VALUE"""),0)</f>
        <v>0</v>
      </c>
      <c r="U120" s="23">
        <f ca="1">IFERROR(__xludf.DUMMYFUNCTION("""COMPUTED_VALUE"""),0)</f>
        <v>0</v>
      </c>
      <c r="V120" s="23">
        <f ca="1">IFERROR(__xludf.DUMMYFUNCTION("""COMPUTED_VALUE"""),0)</f>
        <v>0</v>
      </c>
      <c r="W120" s="23">
        <f ca="1">IFERROR(__xludf.DUMMYFUNCTION("""COMPUTED_VALUE"""),0)</f>
        <v>0</v>
      </c>
      <c r="X120" s="23">
        <f ca="1">IFERROR(__xludf.DUMMYFUNCTION("""COMPUTED_VALUE"""),0)</f>
        <v>0</v>
      </c>
      <c r="Y120" s="25">
        <f ca="1">IFERROR(__xludf.DUMMYFUNCTION("""COMPUTED_VALUE"""),0)</f>
        <v>0</v>
      </c>
      <c r="Z120" s="25">
        <f ca="1">IFERROR(__xludf.DUMMYFUNCTION("""COMPUTED_VALUE"""),0)</f>
        <v>0</v>
      </c>
      <c r="AA120" s="25">
        <f ca="1">IFERROR(__xludf.DUMMYFUNCTION("""COMPUTED_VALUE"""),0)</f>
        <v>0</v>
      </c>
      <c r="AB120" s="25">
        <f ca="1">IFERROR(__xludf.DUMMYFUNCTION("""COMPUTED_VALUE"""),0)</f>
        <v>0</v>
      </c>
      <c r="AC120" s="23">
        <f ca="1">IFERROR(__xludf.DUMMYFUNCTION("""COMPUTED_VALUE"""),0)</f>
        <v>0</v>
      </c>
      <c r="AD120" s="26"/>
      <c r="AE120" s="27"/>
    </row>
    <row r="121" spans="1:31" ht="14.3">
      <c r="A121" s="18" t="str">
        <f ca="1">IFERROR(__xludf.DUMMYFUNCTION("""COMPUTED_VALUE"""),"23SDSCE01194")</f>
        <v>23SDSCE01194</v>
      </c>
      <c r="B121" s="19" t="str">
        <f ca="1">IFERROR(__xludf.DUMMYFUNCTION("""COMPUTED_VALUE"""),"SAPARIYA YASHKUMAR PRAFULBHAI")</f>
        <v>SAPARIYA YASHKUMAR PRAFULBHAI</v>
      </c>
      <c r="C121" s="18" t="str">
        <f ca="1">IFERROR(__xludf.DUMMYFUNCTION("""COMPUTED_VALUE"""),"SDS")</f>
        <v>SDS</v>
      </c>
      <c r="D121" s="18" t="str">
        <f ca="1">IFERROR(__xludf.DUMMYFUNCTION("""COMPUTED_VALUE"""),"DCE")</f>
        <v>DCE</v>
      </c>
      <c r="E121" s="18">
        <f ca="1">IFERROR(__xludf.DUMMYFUNCTION("""COMPUTED_VALUE"""),2)</f>
        <v>2</v>
      </c>
      <c r="F121" s="18" t="str">
        <f ca="1">IFERROR(__xludf.DUMMYFUNCTION("""COMPUTED_VALUE"""),"9510907177 9375449049")</f>
        <v>9510907177 9375449049</v>
      </c>
      <c r="G121" s="18" t="str">
        <f ca="1">IFERROR(__xludf.DUMMYFUNCTION("""COMPUTED_VALUE"""),"9510907177 9375449049")</f>
        <v>9510907177 9375449049</v>
      </c>
      <c r="H121" s="18" t="str">
        <f ca="1">IFERROR(__xludf.DUMMYFUNCTION("""COMPUTED_VALUE"""),"DCE_2023-26")</f>
        <v>DCE_2023-26</v>
      </c>
      <c r="I121" s="20" t="str">
        <f ca="1">IFERROR(__xludf.DUMMYFUNCTION("""COMPUTED_VALUE"""),"KSP")</f>
        <v>KSP</v>
      </c>
      <c r="J121" s="21">
        <f ca="1">IFERROR(__xludf.DUMMYFUNCTION("""COMPUTED_VALUE"""),27500)</f>
        <v>27500</v>
      </c>
      <c r="K121" s="21">
        <f ca="1">IFERROR(__xludf.DUMMYFUNCTION("""COMPUTED_VALUE"""),21250)</f>
        <v>21250</v>
      </c>
      <c r="L121" s="21">
        <f ca="1">IFERROR(__xludf.DUMMYFUNCTION("""COMPUTED_VALUE"""),0)</f>
        <v>0</v>
      </c>
      <c r="M121" s="23">
        <f ca="1">IFERROR(__xludf.DUMMYFUNCTION("""COMPUTED_VALUE"""),6250)</f>
        <v>6250</v>
      </c>
      <c r="N121" s="21">
        <f ca="1">IFERROR(__xludf.DUMMYFUNCTION("""COMPUTED_VALUE"""),0)</f>
        <v>0</v>
      </c>
      <c r="O121" s="21">
        <f ca="1">IFERROR(__xludf.DUMMYFUNCTION("""COMPUTED_VALUE"""),3000)</f>
        <v>3000</v>
      </c>
      <c r="P121" s="21">
        <f ca="1">IFERROR(__xludf.DUMMYFUNCTION("""COMPUTED_VALUE"""),3000)</f>
        <v>3000</v>
      </c>
      <c r="Q121" s="23">
        <f ca="1">IFERROR(__xludf.DUMMYFUNCTION("""COMPUTED_VALUE"""),0)</f>
        <v>0</v>
      </c>
      <c r="R121" s="11">
        <f ca="1">IFERROR(__xludf.DUMMYFUNCTION("""COMPUTED_VALUE"""),0)</f>
        <v>0</v>
      </c>
      <c r="S121" s="23">
        <f ca="1">IFERROR(__xludf.DUMMYFUNCTION("""COMPUTED_VALUE"""),0)</f>
        <v>0</v>
      </c>
      <c r="T121" s="24">
        <f ca="1">IFERROR(__xludf.DUMMYFUNCTION("""COMPUTED_VALUE"""),0)</f>
        <v>0</v>
      </c>
      <c r="U121" s="23">
        <f ca="1">IFERROR(__xludf.DUMMYFUNCTION("""COMPUTED_VALUE"""),0)</f>
        <v>0</v>
      </c>
      <c r="V121" s="23">
        <f ca="1">IFERROR(__xludf.DUMMYFUNCTION("""COMPUTED_VALUE"""),0)</f>
        <v>0</v>
      </c>
      <c r="W121" s="23">
        <f ca="1">IFERROR(__xludf.DUMMYFUNCTION("""COMPUTED_VALUE"""),0)</f>
        <v>0</v>
      </c>
      <c r="X121" s="23">
        <f ca="1">IFERROR(__xludf.DUMMYFUNCTION("""COMPUTED_VALUE"""),0)</f>
        <v>0</v>
      </c>
      <c r="Y121" s="25">
        <f ca="1">IFERROR(__xludf.DUMMYFUNCTION("""COMPUTED_VALUE"""),0)</f>
        <v>0</v>
      </c>
      <c r="Z121" s="25">
        <f ca="1">IFERROR(__xludf.DUMMYFUNCTION("""COMPUTED_VALUE"""),0)</f>
        <v>0</v>
      </c>
      <c r="AA121" s="25">
        <f ca="1">IFERROR(__xludf.DUMMYFUNCTION("""COMPUTED_VALUE"""),0)</f>
        <v>0</v>
      </c>
      <c r="AB121" s="25">
        <f ca="1">IFERROR(__xludf.DUMMYFUNCTION("""COMPUTED_VALUE"""),0)</f>
        <v>0</v>
      </c>
      <c r="AC121" s="23">
        <f ca="1">IFERROR(__xludf.DUMMYFUNCTION("""COMPUTED_VALUE"""),0)</f>
        <v>0</v>
      </c>
      <c r="AD121" s="26" t="str">
        <f ca="1">IFERROR(__xludf.DUMMYFUNCTION("""COMPUTED_VALUE"""),"KSPS ( 6250/- )")</f>
        <v>KSPS ( 6250/- )</v>
      </c>
      <c r="AE121" s="27"/>
    </row>
    <row r="122" spans="1:31" ht="14.3">
      <c r="A122" s="18" t="str">
        <f ca="1">IFERROR(__xludf.DUMMYFUNCTION("""COMPUTED_VALUE"""),"23SDSCE01195")</f>
        <v>23SDSCE01195</v>
      </c>
      <c r="B122" s="19" t="str">
        <f ca="1">IFERROR(__xludf.DUMMYFUNCTION("""COMPUTED_VALUE"""),"THUMMAR PRIYANK RAJESHBHAI")</f>
        <v>THUMMAR PRIYANK RAJESHBHAI</v>
      </c>
      <c r="C122" s="18" t="str">
        <f ca="1">IFERROR(__xludf.DUMMYFUNCTION("""COMPUTED_VALUE"""),"SDS")</f>
        <v>SDS</v>
      </c>
      <c r="D122" s="18" t="str">
        <f ca="1">IFERROR(__xludf.DUMMYFUNCTION("""COMPUTED_VALUE"""),"DCE")</f>
        <v>DCE</v>
      </c>
      <c r="E122" s="18">
        <f ca="1">IFERROR(__xludf.DUMMYFUNCTION("""COMPUTED_VALUE"""),2)</f>
        <v>2</v>
      </c>
      <c r="F122" s="18" t="str">
        <f ca="1">IFERROR(__xludf.DUMMYFUNCTION("""COMPUTED_VALUE"""),"9313492611 7203943171")</f>
        <v>9313492611 7203943171</v>
      </c>
      <c r="G122" s="18" t="str">
        <f ca="1">IFERROR(__xludf.DUMMYFUNCTION("""COMPUTED_VALUE"""),"9313492611 7203943171")</f>
        <v>9313492611 7203943171</v>
      </c>
      <c r="H122" s="18" t="str">
        <f ca="1">IFERROR(__xludf.DUMMYFUNCTION("""COMPUTED_VALUE"""),"DCE_2023-26")</f>
        <v>DCE_2023-26</v>
      </c>
      <c r="I122" s="20"/>
      <c r="J122" s="21">
        <f ca="1">IFERROR(__xludf.DUMMYFUNCTION("""COMPUTED_VALUE"""),27500)</f>
        <v>27500</v>
      </c>
      <c r="K122" s="21">
        <f ca="1">IFERROR(__xludf.DUMMYFUNCTION("""COMPUTED_VALUE"""),27500)</f>
        <v>27500</v>
      </c>
      <c r="L122" s="21">
        <f ca="1">IFERROR(__xludf.DUMMYFUNCTION("""COMPUTED_VALUE"""),0)</f>
        <v>0</v>
      </c>
      <c r="M122" s="23">
        <f ca="1">IFERROR(__xludf.DUMMYFUNCTION("""COMPUTED_VALUE"""),0)</f>
        <v>0</v>
      </c>
      <c r="N122" s="21">
        <f ca="1">IFERROR(__xludf.DUMMYFUNCTION("""COMPUTED_VALUE"""),0)</f>
        <v>0</v>
      </c>
      <c r="O122" s="21">
        <f ca="1">IFERROR(__xludf.DUMMYFUNCTION("""COMPUTED_VALUE"""),3000)</f>
        <v>3000</v>
      </c>
      <c r="P122" s="21">
        <f ca="1">IFERROR(__xludf.DUMMYFUNCTION("""COMPUTED_VALUE"""),3000)</f>
        <v>3000</v>
      </c>
      <c r="Q122" s="23">
        <f ca="1">IFERROR(__xludf.DUMMYFUNCTION("""COMPUTED_VALUE"""),0)</f>
        <v>0</v>
      </c>
      <c r="R122" s="11">
        <f ca="1">IFERROR(__xludf.DUMMYFUNCTION("""COMPUTED_VALUE"""),0)</f>
        <v>0</v>
      </c>
      <c r="S122" s="23">
        <f ca="1">IFERROR(__xludf.DUMMYFUNCTION("""COMPUTED_VALUE"""),0)</f>
        <v>0</v>
      </c>
      <c r="T122" s="24">
        <f ca="1">IFERROR(__xludf.DUMMYFUNCTION("""COMPUTED_VALUE"""),0)</f>
        <v>0</v>
      </c>
      <c r="U122" s="23">
        <f ca="1">IFERROR(__xludf.DUMMYFUNCTION("""COMPUTED_VALUE"""),0)</f>
        <v>0</v>
      </c>
      <c r="V122" s="23">
        <f ca="1">IFERROR(__xludf.DUMMYFUNCTION("""COMPUTED_VALUE"""),0)</f>
        <v>0</v>
      </c>
      <c r="W122" s="23">
        <f ca="1">IFERROR(__xludf.DUMMYFUNCTION("""COMPUTED_VALUE"""),0)</f>
        <v>0</v>
      </c>
      <c r="X122" s="23">
        <f ca="1">IFERROR(__xludf.DUMMYFUNCTION("""COMPUTED_VALUE"""),0)</f>
        <v>0</v>
      </c>
      <c r="Y122" s="25">
        <f ca="1">IFERROR(__xludf.DUMMYFUNCTION("""COMPUTED_VALUE"""),0)</f>
        <v>0</v>
      </c>
      <c r="Z122" s="25">
        <f ca="1">IFERROR(__xludf.DUMMYFUNCTION("""COMPUTED_VALUE"""),0)</f>
        <v>0</v>
      </c>
      <c r="AA122" s="25">
        <f ca="1">IFERROR(__xludf.DUMMYFUNCTION("""COMPUTED_VALUE"""),0)</f>
        <v>0</v>
      </c>
      <c r="AB122" s="25">
        <f ca="1">IFERROR(__xludf.DUMMYFUNCTION("""COMPUTED_VALUE"""),0)</f>
        <v>0</v>
      </c>
      <c r="AC122" s="23">
        <f ca="1">IFERROR(__xludf.DUMMYFUNCTION("""COMPUTED_VALUE"""),0)</f>
        <v>0</v>
      </c>
      <c r="AD122" s="26"/>
      <c r="AE122" s="27"/>
    </row>
    <row r="123" spans="1:31" ht="14.3">
      <c r="A123" s="33" t="str">
        <f ca="1">IFERROR(__xludf.DUMMYFUNCTION("""COMPUTED_VALUE"""),"23SDSCE01196")</f>
        <v>23SDSCE01196</v>
      </c>
      <c r="B123" s="34" t="str">
        <f ca="1">IFERROR(__xludf.DUMMYFUNCTION("""COMPUTED_VALUE"""),"TIMBADIYA KRENISHKUMAR NILESHBHAI")</f>
        <v>TIMBADIYA KRENISHKUMAR NILESHBHAI</v>
      </c>
      <c r="C123" s="18" t="str">
        <f ca="1">IFERROR(__xludf.DUMMYFUNCTION("""COMPUTED_VALUE"""),"SDS")</f>
        <v>SDS</v>
      </c>
      <c r="D123" s="18" t="str">
        <f ca="1">IFERROR(__xludf.DUMMYFUNCTION("""COMPUTED_VALUE"""),"DCE")</f>
        <v>DCE</v>
      </c>
      <c r="E123" s="18">
        <f ca="1">IFERROR(__xludf.DUMMYFUNCTION("""COMPUTED_VALUE"""),2)</f>
        <v>2</v>
      </c>
      <c r="F123" s="35" t="str">
        <f ca="1">IFERROR(__xludf.DUMMYFUNCTION("""COMPUTED_VALUE"""),"9913527079 9687808766")</f>
        <v>9913527079 9687808766</v>
      </c>
      <c r="G123" s="35" t="str">
        <f ca="1">IFERROR(__xludf.DUMMYFUNCTION("""COMPUTED_VALUE"""),"9913527079 9687808766")</f>
        <v>9913527079 9687808766</v>
      </c>
      <c r="H123" s="18" t="str">
        <f ca="1">IFERROR(__xludf.DUMMYFUNCTION("""COMPUTED_VALUE"""),"DCE_2023-26")</f>
        <v>DCE_2023-26</v>
      </c>
      <c r="I123" s="20" t="str">
        <f ca="1">IFERROR(__xludf.DUMMYFUNCTION("""COMPUTED_VALUE"""),"KSP")</f>
        <v>KSP</v>
      </c>
      <c r="J123" s="36">
        <f ca="1">IFERROR(__xludf.DUMMYFUNCTION("""COMPUTED_VALUE"""),27500)</f>
        <v>27500</v>
      </c>
      <c r="K123" s="21">
        <f ca="1">IFERROR(__xludf.DUMMYFUNCTION("""COMPUTED_VALUE"""),21250)</f>
        <v>21250</v>
      </c>
      <c r="L123" s="36">
        <f ca="1">IFERROR(__xludf.DUMMYFUNCTION("""COMPUTED_VALUE"""),0)</f>
        <v>0</v>
      </c>
      <c r="M123" s="23">
        <f ca="1">IFERROR(__xludf.DUMMYFUNCTION("""COMPUTED_VALUE"""),6250)</f>
        <v>6250</v>
      </c>
      <c r="N123" s="21">
        <f ca="1">IFERROR(__xludf.DUMMYFUNCTION("""COMPUTED_VALUE"""),0)</f>
        <v>0</v>
      </c>
      <c r="O123" s="21">
        <f ca="1">IFERROR(__xludf.DUMMYFUNCTION("""COMPUTED_VALUE"""),3000)</f>
        <v>3000</v>
      </c>
      <c r="P123" s="21">
        <f ca="1">IFERROR(__xludf.DUMMYFUNCTION("""COMPUTED_VALUE"""),3000)</f>
        <v>3000</v>
      </c>
      <c r="Q123" s="23">
        <f ca="1">IFERROR(__xludf.DUMMYFUNCTION("""COMPUTED_VALUE"""),0)</f>
        <v>0</v>
      </c>
      <c r="R123" s="11">
        <f ca="1">IFERROR(__xludf.DUMMYFUNCTION("""COMPUTED_VALUE"""),0)</f>
        <v>0</v>
      </c>
      <c r="S123" s="23">
        <f ca="1">IFERROR(__xludf.DUMMYFUNCTION("""COMPUTED_VALUE"""),0)</f>
        <v>0</v>
      </c>
      <c r="T123" s="24">
        <f ca="1">IFERROR(__xludf.DUMMYFUNCTION("""COMPUTED_VALUE"""),0)</f>
        <v>0</v>
      </c>
      <c r="U123" s="23">
        <f ca="1">IFERROR(__xludf.DUMMYFUNCTION("""COMPUTED_VALUE"""),0)</f>
        <v>0</v>
      </c>
      <c r="V123" s="23">
        <f ca="1">IFERROR(__xludf.DUMMYFUNCTION("""COMPUTED_VALUE"""),0)</f>
        <v>0</v>
      </c>
      <c r="W123" s="23">
        <f ca="1">IFERROR(__xludf.DUMMYFUNCTION("""COMPUTED_VALUE"""),0)</f>
        <v>0</v>
      </c>
      <c r="X123" s="23">
        <f ca="1">IFERROR(__xludf.DUMMYFUNCTION("""COMPUTED_VALUE"""),0)</f>
        <v>0</v>
      </c>
      <c r="Y123" s="25">
        <f ca="1">IFERROR(__xludf.DUMMYFUNCTION("""COMPUTED_VALUE"""),0)</f>
        <v>0</v>
      </c>
      <c r="Z123" s="25">
        <f ca="1">IFERROR(__xludf.DUMMYFUNCTION("""COMPUTED_VALUE"""),0)</f>
        <v>0</v>
      </c>
      <c r="AA123" s="25">
        <f ca="1">IFERROR(__xludf.DUMMYFUNCTION("""COMPUTED_VALUE"""),0)</f>
        <v>0</v>
      </c>
      <c r="AB123" s="25">
        <f ca="1">IFERROR(__xludf.DUMMYFUNCTION("""COMPUTED_VALUE"""),0)</f>
        <v>0</v>
      </c>
      <c r="AC123" s="23">
        <f ca="1">IFERROR(__xludf.DUMMYFUNCTION("""COMPUTED_VALUE"""),0)</f>
        <v>0</v>
      </c>
      <c r="AD123" s="26" t="str">
        <f ca="1">IFERROR(__xludf.DUMMYFUNCTION("""COMPUTED_VALUE"""),"KSPS ( 6250/- )")</f>
        <v>KSPS ( 6250/- )</v>
      </c>
      <c r="AE123" s="27"/>
    </row>
    <row r="124" spans="1:31" ht="14.3">
      <c r="A124" s="18" t="str">
        <f ca="1">IFERROR(__xludf.DUMMYFUNCTION("""COMPUTED_VALUE"""),"23SDSCE01197")</f>
        <v>23SDSCE01197</v>
      </c>
      <c r="B124" s="19" t="str">
        <f ca="1">IFERROR(__xludf.DUMMYFUNCTION("""COMPUTED_VALUE"""),"VADALIYA HETUL MAHESHBHAI")</f>
        <v>VADALIYA HETUL MAHESHBHAI</v>
      </c>
      <c r="C124" s="18" t="str">
        <f ca="1">IFERROR(__xludf.DUMMYFUNCTION("""COMPUTED_VALUE"""),"SDS")</f>
        <v>SDS</v>
      </c>
      <c r="D124" s="18" t="str">
        <f ca="1">IFERROR(__xludf.DUMMYFUNCTION("""COMPUTED_VALUE"""),"DCE")</f>
        <v>DCE</v>
      </c>
      <c r="E124" s="18">
        <f ca="1">IFERROR(__xludf.DUMMYFUNCTION("""COMPUTED_VALUE"""),2)</f>
        <v>2</v>
      </c>
      <c r="F124" s="18" t="str">
        <f ca="1">IFERROR(__xludf.DUMMYFUNCTION("""COMPUTED_VALUE"""),"9898600642 8401312642")</f>
        <v>9898600642 8401312642</v>
      </c>
      <c r="G124" s="18" t="str">
        <f ca="1">IFERROR(__xludf.DUMMYFUNCTION("""COMPUTED_VALUE"""),"9898600642 8401312642")</f>
        <v>9898600642 8401312642</v>
      </c>
      <c r="H124" s="6" t="str">
        <f ca="1">IFERROR(__xludf.DUMMYFUNCTION("""COMPUTED_VALUE"""),"DCE_2023-26")</f>
        <v>DCE_2023-26</v>
      </c>
      <c r="I124" s="20" t="str">
        <f ca="1">IFERROR(__xludf.DUMMYFUNCTION("""COMPUTED_VALUE"""),"KSP")</f>
        <v>KSP</v>
      </c>
      <c r="J124" s="21">
        <f ca="1">IFERROR(__xludf.DUMMYFUNCTION("""COMPUTED_VALUE"""),27500)</f>
        <v>27500</v>
      </c>
      <c r="K124" s="21">
        <f ca="1">IFERROR(__xludf.DUMMYFUNCTION("""COMPUTED_VALUE"""),21250)</f>
        <v>21250</v>
      </c>
      <c r="L124" s="21">
        <f ca="1">IFERROR(__xludf.DUMMYFUNCTION("""COMPUTED_VALUE"""),0)</f>
        <v>0</v>
      </c>
      <c r="M124" s="23">
        <f ca="1">IFERROR(__xludf.DUMMYFUNCTION("""COMPUTED_VALUE"""),6250)</f>
        <v>6250</v>
      </c>
      <c r="N124" s="21">
        <f ca="1">IFERROR(__xludf.DUMMYFUNCTION("""COMPUTED_VALUE"""),0)</f>
        <v>0</v>
      </c>
      <c r="O124" s="21">
        <f ca="1">IFERROR(__xludf.DUMMYFUNCTION("""COMPUTED_VALUE"""),3000)</f>
        <v>3000</v>
      </c>
      <c r="P124" s="21">
        <f ca="1">IFERROR(__xludf.DUMMYFUNCTION("""COMPUTED_VALUE"""),3000)</f>
        <v>3000</v>
      </c>
      <c r="Q124" s="23">
        <f ca="1">IFERROR(__xludf.DUMMYFUNCTION("""COMPUTED_VALUE"""),0)</f>
        <v>0</v>
      </c>
      <c r="R124" s="29">
        <f ca="1">IFERROR(__xludf.DUMMYFUNCTION("""COMPUTED_VALUE"""),0)</f>
        <v>0</v>
      </c>
      <c r="S124" s="23">
        <f ca="1">IFERROR(__xludf.DUMMYFUNCTION("""COMPUTED_VALUE"""),0)</f>
        <v>0</v>
      </c>
      <c r="T124" s="24">
        <f ca="1">IFERROR(__xludf.DUMMYFUNCTION("""COMPUTED_VALUE"""),0)</f>
        <v>0</v>
      </c>
      <c r="U124" s="23">
        <f ca="1">IFERROR(__xludf.DUMMYFUNCTION("""COMPUTED_VALUE"""),0)</f>
        <v>0</v>
      </c>
      <c r="V124" s="23">
        <f ca="1">IFERROR(__xludf.DUMMYFUNCTION("""COMPUTED_VALUE"""),0)</f>
        <v>0</v>
      </c>
      <c r="W124" s="23">
        <f ca="1">IFERROR(__xludf.DUMMYFUNCTION("""COMPUTED_VALUE"""),0)</f>
        <v>0</v>
      </c>
      <c r="X124" s="23">
        <f ca="1">IFERROR(__xludf.DUMMYFUNCTION("""COMPUTED_VALUE"""),0)</f>
        <v>0</v>
      </c>
      <c r="Y124" s="25">
        <f ca="1">IFERROR(__xludf.DUMMYFUNCTION("""COMPUTED_VALUE"""),0)</f>
        <v>0</v>
      </c>
      <c r="Z124" s="25">
        <f ca="1">IFERROR(__xludf.DUMMYFUNCTION("""COMPUTED_VALUE"""),0)</f>
        <v>0</v>
      </c>
      <c r="AA124" s="25">
        <f ca="1">IFERROR(__xludf.DUMMYFUNCTION("""COMPUTED_VALUE"""),0)</f>
        <v>0</v>
      </c>
      <c r="AB124" s="25">
        <f ca="1">IFERROR(__xludf.DUMMYFUNCTION("""COMPUTED_VALUE"""),0)</f>
        <v>0</v>
      </c>
      <c r="AC124" s="23">
        <f ca="1">IFERROR(__xludf.DUMMYFUNCTION("""COMPUTED_VALUE"""),0)</f>
        <v>0</v>
      </c>
      <c r="AD124" s="26" t="str">
        <f ca="1">IFERROR(__xludf.DUMMYFUNCTION("""COMPUTED_VALUE"""),"KSPS ( 6250/- )")</f>
        <v>KSPS ( 6250/- )</v>
      </c>
      <c r="AE124" s="27"/>
    </row>
    <row r="125" spans="1:31" ht="14.3">
      <c r="A125" s="18" t="str">
        <f ca="1">IFERROR(__xludf.DUMMYFUNCTION("""COMPUTED_VALUE"""),"23SDSCE01198")</f>
        <v>23SDSCE01198</v>
      </c>
      <c r="B125" s="37" t="str">
        <f ca="1">IFERROR(__xludf.DUMMYFUNCTION("""COMPUTED_VALUE"""),"VALA DHRUV JAGDISHBHAI")</f>
        <v>VALA DHRUV JAGDISHBHAI</v>
      </c>
      <c r="C125" s="18" t="str">
        <f ca="1">IFERROR(__xludf.DUMMYFUNCTION("""COMPUTED_VALUE"""),"SDS")</f>
        <v>SDS</v>
      </c>
      <c r="D125" s="18" t="str">
        <f ca="1">IFERROR(__xludf.DUMMYFUNCTION("""COMPUTED_VALUE"""),"DCE")</f>
        <v>DCE</v>
      </c>
      <c r="E125" s="18">
        <f ca="1">IFERROR(__xludf.DUMMYFUNCTION("""COMPUTED_VALUE"""),2)</f>
        <v>2</v>
      </c>
      <c r="F125" s="6" t="str">
        <f ca="1">IFERROR(__xludf.DUMMYFUNCTION("""COMPUTED_VALUE"""),"8320354308 9824497666")</f>
        <v>8320354308 9824497666</v>
      </c>
      <c r="G125" s="6" t="str">
        <f ca="1">IFERROR(__xludf.DUMMYFUNCTION("""COMPUTED_VALUE"""),"8320354308 9824497666")</f>
        <v>8320354308 9824497666</v>
      </c>
      <c r="H125" s="6" t="str">
        <f ca="1">IFERROR(__xludf.DUMMYFUNCTION("""COMPUTED_VALUE"""),"DCE_2023-26")</f>
        <v>DCE_2023-26</v>
      </c>
      <c r="I125" s="20"/>
      <c r="J125" s="21">
        <f ca="1">IFERROR(__xludf.DUMMYFUNCTION("""COMPUTED_VALUE"""),27500)</f>
        <v>27500</v>
      </c>
      <c r="K125" s="21">
        <f ca="1">IFERROR(__xludf.DUMMYFUNCTION("""COMPUTED_VALUE"""),27500)</f>
        <v>27500</v>
      </c>
      <c r="L125" s="21">
        <f ca="1">IFERROR(__xludf.DUMMYFUNCTION("""COMPUTED_VALUE"""),0)</f>
        <v>0</v>
      </c>
      <c r="M125" s="23">
        <f ca="1">IFERROR(__xludf.DUMMYFUNCTION("""COMPUTED_VALUE"""),0)</f>
        <v>0</v>
      </c>
      <c r="N125" s="21">
        <f ca="1">IFERROR(__xludf.DUMMYFUNCTION("""COMPUTED_VALUE"""),0)</f>
        <v>0</v>
      </c>
      <c r="O125" s="21">
        <f ca="1">IFERROR(__xludf.DUMMYFUNCTION("""COMPUTED_VALUE"""),3000)</f>
        <v>3000</v>
      </c>
      <c r="P125" s="21">
        <f ca="1">IFERROR(__xludf.DUMMYFUNCTION("""COMPUTED_VALUE"""),3000)</f>
        <v>3000</v>
      </c>
      <c r="Q125" s="23">
        <f ca="1">IFERROR(__xludf.DUMMYFUNCTION("""COMPUTED_VALUE"""),0)</f>
        <v>0</v>
      </c>
      <c r="R125" s="29">
        <f ca="1">IFERROR(__xludf.DUMMYFUNCTION("""COMPUTED_VALUE"""),0)</f>
        <v>0</v>
      </c>
      <c r="S125" s="23">
        <f ca="1">IFERROR(__xludf.DUMMYFUNCTION("""COMPUTED_VALUE"""),0)</f>
        <v>0</v>
      </c>
      <c r="T125" s="24">
        <f ca="1">IFERROR(__xludf.DUMMYFUNCTION("""COMPUTED_VALUE"""),0)</f>
        <v>0</v>
      </c>
      <c r="U125" s="23">
        <f ca="1">IFERROR(__xludf.DUMMYFUNCTION("""COMPUTED_VALUE"""),0)</f>
        <v>0</v>
      </c>
      <c r="V125" s="23">
        <f ca="1">IFERROR(__xludf.DUMMYFUNCTION("""COMPUTED_VALUE"""),0)</f>
        <v>0</v>
      </c>
      <c r="W125" s="23">
        <f ca="1">IFERROR(__xludf.DUMMYFUNCTION("""COMPUTED_VALUE"""),0)</f>
        <v>0</v>
      </c>
      <c r="X125" s="23">
        <f ca="1">IFERROR(__xludf.DUMMYFUNCTION("""COMPUTED_VALUE"""),0)</f>
        <v>0</v>
      </c>
      <c r="Y125" s="25">
        <f ca="1">IFERROR(__xludf.DUMMYFUNCTION("""COMPUTED_VALUE"""),0)</f>
        <v>0</v>
      </c>
      <c r="Z125" s="25">
        <f ca="1">IFERROR(__xludf.DUMMYFUNCTION("""COMPUTED_VALUE"""),0)</f>
        <v>0</v>
      </c>
      <c r="AA125" s="25">
        <f ca="1">IFERROR(__xludf.DUMMYFUNCTION("""COMPUTED_VALUE"""),0)</f>
        <v>0</v>
      </c>
      <c r="AB125" s="25">
        <f ca="1">IFERROR(__xludf.DUMMYFUNCTION("""COMPUTED_VALUE"""),0)</f>
        <v>0</v>
      </c>
      <c r="AC125" s="23">
        <f ca="1">IFERROR(__xludf.DUMMYFUNCTION("""COMPUTED_VALUE"""),0)</f>
        <v>0</v>
      </c>
      <c r="AD125" s="26"/>
      <c r="AE125" s="27"/>
    </row>
    <row r="126" spans="1:31" ht="14.3">
      <c r="A126" s="6" t="str">
        <f ca="1">IFERROR(__xludf.DUMMYFUNCTION("""COMPUTED_VALUE"""),"23SDSCE01199")</f>
        <v>23SDSCE01199</v>
      </c>
      <c r="B126" s="37" t="str">
        <f ca="1">IFERROR(__xludf.DUMMYFUNCTION("""COMPUTED_VALUE"""),"VAMJA MANAV RAJESHBHAI")</f>
        <v>VAMJA MANAV RAJESHBHAI</v>
      </c>
      <c r="C126" s="18" t="str">
        <f ca="1">IFERROR(__xludf.DUMMYFUNCTION("""COMPUTED_VALUE"""),"SDS")</f>
        <v>SDS</v>
      </c>
      <c r="D126" s="18" t="str">
        <f ca="1">IFERROR(__xludf.DUMMYFUNCTION("""COMPUTED_VALUE"""),"DCE")</f>
        <v>DCE</v>
      </c>
      <c r="E126" s="18">
        <f ca="1">IFERROR(__xludf.DUMMYFUNCTION("""COMPUTED_VALUE"""),2)</f>
        <v>2</v>
      </c>
      <c r="F126" s="6" t="str">
        <f ca="1">IFERROR(__xludf.DUMMYFUNCTION("""COMPUTED_VALUE"""),"9016614207 7698032980")</f>
        <v>9016614207 7698032980</v>
      </c>
      <c r="G126" s="6" t="str">
        <f ca="1">IFERROR(__xludf.DUMMYFUNCTION("""COMPUTED_VALUE"""),"9016614207 7698032980")</f>
        <v>9016614207 7698032980</v>
      </c>
      <c r="H126" s="6" t="str">
        <f ca="1">IFERROR(__xludf.DUMMYFUNCTION("""COMPUTED_VALUE"""),"DCE_2023-26")</f>
        <v>DCE_2023-26</v>
      </c>
      <c r="I126" s="20" t="str">
        <f ca="1">IFERROR(__xludf.DUMMYFUNCTION("""COMPUTED_VALUE"""),"KSP")</f>
        <v>KSP</v>
      </c>
      <c r="J126" s="21">
        <f ca="1">IFERROR(__xludf.DUMMYFUNCTION("""COMPUTED_VALUE"""),27500)</f>
        <v>27500</v>
      </c>
      <c r="K126" s="21">
        <f ca="1">IFERROR(__xludf.DUMMYFUNCTION("""COMPUTED_VALUE"""),25000)</f>
        <v>25000</v>
      </c>
      <c r="L126" s="21">
        <f ca="1">IFERROR(__xludf.DUMMYFUNCTION("""COMPUTED_VALUE"""),0)</f>
        <v>0</v>
      </c>
      <c r="M126" s="23">
        <f ca="1">IFERROR(__xludf.DUMMYFUNCTION("""COMPUTED_VALUE"""),2500)</f>
        <v>2500</v>
      </c>
      <c r="N126" s="21">
        <f ca="1">IFERROR(__xludf.DUMMYFUNCTION("""COMPUTED_VALUE"""),0)</f>
        <v>0</v>
      </c>
      <c r="O126" s="21">
        <f ca="1">IFERROR(__xludf.DUMMYFUNCTION("""COMPUTED_VALUE"""),3000)</f>
        <v>3000</v>
      </c>
      <c r="P126" s="21">
        <f ca="1">IFERROR(__xludf.DUMMYFUNCTION("""COMPUTED_VALUE"""),3000)</f>
        <v>3000</v>
      </c>
      <c r="Q126" s="23">
        <f ca="1">IFERROR(__xludf.DUMMYFUNCTION("""COMPUTED_VALUE"""),0)</f>
        <v>0</v>
      </c>
      <c r="R126" s="24">
        <f ca="1">IFERROR(__xludf.DUMMYFUNCTION("""COMPUTED_VALUE"""),0)</f>
        <v>0</v>
      </c>
      <c r="S126" s="23">
        <f ca="1">IFERROR(__xludf.DUMMYFUNCTION("""COMPUTED_VALUE"""),0)</f>
        <v>0</v>
      </c>
      <c r="T126" s="24">
        <f ca="1">IFERROR(__xludf.DUMMYFUNCTION("""COMPUTED_VALUE"""),0)</f>
        <v>0</v>
      </c>
      <c r="U126" s="23">
        <f ca="1">IFERROR(__xludf.DUMMYFUNCTION("""COMPUTED_VALUE"""),0)</f>
        <v>0</v>
      </c>
      <c r="V126" s="23">
        <f ca="1">IFERROR(__xludf.DUMMYFUNCTION("""COMPUTED_VALUE"""),0)</f>
        <v>0</v>
      </c>
      <c r="W126" s="23">
        <f ca="1">IFERROR(__xludf.DUMMYFUNCTION("""COMPUTED_VALUE"""),0)</f>
        <v>0</v>
      </c>
      <c r="X126" s="23">
        <f ca="1">IFERROR(__xludf.DUMMYFUNCTION("""COMPUTED_VALUE"""),0)</f>
        <v>0</v>
      </c>
      <c r="Y126" s="25">
        <f ca="1">IFERROR(__xludf.DUMMYFUNCTION("""COMPUTED_VALUE"""),0)</f>
        <v>0</v>
      </c>
      <c r="Z126" s="25">
        <f ca="1">IFERROR(__xludf.DUMMYFUNCTION("""COMPUTED_VALUE"""),0)</f>
        <v>0</v>
      </c>
      <c r="AA126" s="25">
        <f ca="1">IFERROR(__xludf.DUMMYFUNCTION("""COMPUTED_VALUE"""),0)</f>
        <v>0</v>
      </c>
      <c r="AB126" s="25">
        <f ca="1">IFERROR(__xludf.DUMMYFUNCTION("""COMPUTED_VALUE"""),0)</f>
        <v>0</v>
      </c>
      <c r="AC126" s="23">
        <f ca="1">IFERROR(__xludf.DUMMYFUNCTION("""COMPUTED_VALUE"""),0)</f>
        <v>0</v>
      </c>
      <c r="AD126" s="26" t="str">
        <f ca="1">IFERROR(__xludf.DUMMYFUNCTION("""COMPUTED_VALUE"""),"KSPS ( 2500/- )")</f>
        <v>KSPS ( 2500/- )</v>
      </c>
      <c r="AE126" s="27"/>
    </row>
    <row r="127" spans="1:31" ht="14.3">
      <c r="A127" s="6" t="str">
        <f ca="1">IFERROR(__xludf.DUMMYFUNCTION("""COMPUTED_VALUE"""),"23SDSCE01200")</f>
        <v>23SDSCE01200</v>
      </c>
      <c r="B127" s="37" t="str">
        <f ca="1">IFERROR(__xludf.DUMMYFUNCTION("""COMPUTED_VALUE"""),"VEKARIYA DHARMIK MUKESHBHAI")</f>
        <v>VEKARIYA DHARMIK MUKESHBHAI</v>
      </c>
      <c r="C127" s="18" t="str">
        <f ca="1">IFERROR(__xludf.DUMMYFUNCTION("""COMPUTED_VALUE"""),"SDS")</f>
        <v>SDS</v>
      </c>
      <c r="D127" s="18" t="str">
        <f ca="1">IFERROR(__xludf.DUMMYFUNCTION("""COMPUTED_VALUE"""),"DCE")</f>
        <v>DCE</v>
      </c>
      <c r="E127" s="18">
        <f ca="1">IFERROR(__xludf.DUMMYFUNCTION("""COMPUTED_VALUE"""),2)</f>
        <v>2</v>
      </c>
      <c r="F127" s="6" t="str">
        <f ca="1">IFERROR(__xludf.DUMMYFUNCTION("""COMPUTED_VALUE"""),"9904670330 7436085124")</f>
        <v>9904670330 7436085124</v>
      </c>
      <c r="G127" s="6" t="str">
        <f ca="1">IFERROR(__xludf.DUMMYFUNCTION("""COMPUTED_VALUE"""),"9904670330 7436085124")</f>
        <v>9904670330 7436085124</v>
      </c>
      <c r="H127" s="6" t="str">
        <f ca="1">IFERROR(__xludf.DUMMYFUNCTION("""COMPUTED_VALUE"""),"DCE_2023-26")</f>
        <v>DCE_2023-26</v>
      </c>
      <c r="I127" s="20"/>
      <c r="J127" s="21">
        <f ca="1">IFERROR(__xludf.DUMMYFUNCTION("""COMPUTED_VALUE"""),27500)</f>
        <v>27500</v>
      </c>
      <c r="K127" s="21">
        <f ca="1">IFERROR(__xludf.DUMMYFUNCTION("""COMPUTED_VALUE"""),27500)</f>
        <v>27500</v>
      </c>
      <c r="L127" s="21">
        <f ca="1">IFERROR(__xludf.DUMMYFUNCTION("""COMPUTED_VALUE"""),0)</f>
        <v>0</v>
      </c>
      <c r="M127" s="23">
        <f ca="1">IFERROR(__xludf.DUMMYFUNCTION("""COMPUTED_VALUE"""),0)</f>
        <v>0</v>
      </c>
      <c r="N127" s="21">
        <f ca="1">IFERROR(__xludf.DUMMYFUNCTION("""COMPUTED_VALUE"""),0)</f>
        <v>0</v>
      </c>
      <c r="O127" s="21">
        <f ca="1">IFERROR(__xludf.DUMMYFUNCTION("""COMPUTED_VALUE"""),3000)</f>
        <v>3000</v>
      </c>
      <c r="P127" s="21">
        <f ca="1">IFERROR(__xludf.DUMMYFUNCTION("""COMPUTED_VALUE"""),3000)</f>
        <v>3000</v>
      </c>
      <c r="Q127" s="23">
        <f ca="1">IFERROR(__xludf.DUMMYFUNCTION("""COMPUTED_VALUE"""),0)</f>
        <v>0</v>
      </c>
      <c r="R127" s="24">
        <f ca="1">IFERROR(__xludf.DUMMYFUNCTION("""COMPUTED_VALUE"""),0)</f>
        <v>0</v>
      </c>
      <c r="S127" s="23">
        <f ca="1">IFERROR(__xludf.DUMMYFUNCTION("""COMPUTED_VALUE"""),0)</f>
        <v>0</v>
      </c>
      <c r="T127" s="24">
        <f ca="1">IFERROR(__xludf.DUMMYFUNCTION("""COMPUTED_VALUE"""),0)</f>
        <v>0</v>
      </c>
      <c r="U127" s="23">
        <f ca="1">IFERROR(__xludf.DUMMYFUNCTION("""COMPUTED_VALUE"""),0)</f>
        <v>0</v>
      </c>
      <c r="V127" s="23">
        <f ca="1">IFERROR(__xludf.DUMMYFUNCTION("""COMPUTED_VALUE"""),0)</f>
        <v>0</v>
      </c>
      <c r="W127" s="23">
        <f ca="1">IFERROR(__xludf.DUMMYFUNCTION("""COMPUTED_VALUE"""),0)</f>
        <v>0</v>
      </c>
      <c r="X127" s="23">
        <f ca="1">IFERROR(__xludf.DUMMYFUNCTION("""COMPUTED_VALUE"""),0)</f>
        <v>0</v>
      </c>
      <c r="Y127" s="25">
        <f ca="1">IFERROR(__xludf.DUMMYFUNCTION("""COMPUTED_VALUE"""),0)</f>
        <v>0</v>
      </c>
      <c r="Z127" s="25">
        <f ca="1">IFERROR(__xludf.DUMMYFUNCTION("""COMPUTED_VALUE"""),0)</f>
        <v>0</v>
      </c>
      <c r="AA127" s="25">
        <f ca="1">IFERROR(__xludf.DUMMYFUNCTION("""COMPUTED_VALUE"""),0)</f>
        <v>0</v>
      </c>
      <c r="AB127" s="25">
        <f ca="1">IFERROR(__xludf.DUMMYFUNCTION("""COMPUTED_VALUE"""),0)</f>
        <v>0</v>
      </c>
      <c r="AC127" s="23">
        <f ca="1">IFERROR(__xludf.DUMMYFUNCTION("""COMPUTED_VALUE"""),0)</f>
        <v>0</v>
      </c>
      <c r="AD127" s="26"/>
      <c r="AE127" s="27"/>
    </row>
    <row r="128" spans="1:31" ht="14.3">
      <c r="A128" s="6" t="str">
        <f ca="1">IFERROR(__xludf.DUMMYFUNCTION("""COMPUTED_VALUE"""),"23SDSCE01201")</f>
        <v>23SDSCE01201</v>
      </c>
      <c r="B128" s="37" t="str">
        <f ca="1">IFERROR(__xludf.DUMMYFUNCTION("""COMPUTED_VALUE"""),"VEKARIYA SHIVAM MUKESHBHAI")</f>
        <v>VEKARIYA SHIVAM MUKESHBHAI</v>
      </c>
      <c r="C128" s="18" t="str">
        <f ca="1">IFERROR(__xludf.DUMMYFUNCTION("""COMPUTED_VALUE"""),"SDS")</f>
        <v>SDS</v>
      </c>
      <c r="D128" s="18" t="str">
        <f ca="1">IFERROR(__xludf.DUMMYFUNCTION("""COMPUTED_VALUE"""),"DCE")</f>
        <v>DCE</v>
      </c>
      <c r="E128" s="18">
        <f ca="1">IFERROR(__xludf.DUMMYFUNCTION("""COMPUTED_VALUE"""),2)</f>
        <v>2</v>
      </c>
      <c r="F128" s="6" t="str">
        <f ca="1">IFERROR(__xludf.DUMMYFUNCTION("""COMPUTED_VALUE"""),"9328646039 9904959541")</f>
        <v>9328646039 9904959541</v>
      </c>
      <c r="G128" s="6" t="str">
        <f ca="1">IFERROR(__xludf.DUMMYFUNCTION("""COMPUTED_VALUE"""),"9328646039 9904959541")</f>
        <v>9328646039 9904959541</v>
      </c>
      <c r="H128" s="6" t="str">
        <f ca="1">IFERROR(__xludf.DUMMYFUNCTION("""COMPUTED_VALUE"""),"DCE_2023-26")</f>
        <v>DCE_2023-26</v>
      </c>
      <c r="I128" s="20" t="str">
        <f ca="1">IFERROR(__xludf.DUMMYFUNCTION("""COMPUTED_VALUE"""),"MYSY")</f>
        <v>MYSY</v>
      </c>
      <c r="J128" s="21">
        <f ca="1">IFERROR(__xludf.DUMMYFUNCTION("""COMPUTED_VALUE"""),27500)</f>
        <v>27500</v>
      </c>
      <c r="K128" s="21">
        <f ca="1">IFERROR(__xludf.DUMMYFUNCTION("""COMPUTED_VALUE"""),27500)</f>
        <v>27500</v>
      </c>
      <c r="L128" s="21">
        <f ca="1">IFERROR(__xludf.DUMMYFUNCTION("""COMPUTED_VALUE"""),0)</f>
        <v>0</v>
      </c>
      <c r="M128" s="23">
        <f ca="1">IFERROR(__xludf.DUMMYFUNCTION("""COMPUTED_VALUE"""),0)</f>
        <v>0</v>
      </c>
      <c r="N128" s="21">
        <f ca="1">IFERROR(__xludf.DUMMYFUNCTION("""COMPUTED_VALUE"""),0)</f>
        <v>0</v>
      </c>
      <c r="O128" s="21">
        <f ca="1">IFERROR(__xludf.DUMMYFUNCTION("""COMPUTED_VALUE"""),3000)</f>
        <v>3000</v>
      </c>
      <c r="P128" s="21">
        <f ca="1">IFERROR(__xludf.DUMMYFUNCTION("""COMPUTED_VALUE"""),3000)</f>
        <v>3000</v>
      </c>
      <c r="Q128" s="23">
        <f ca="1">IFERROR(__xludf.DUMMYFUNCTION("""COMPUTED_VALUE"""),0)</f>
        <v>0</v>
      </c>
      <c r="R128" s="24">
        <f ca="1">IFERROR(__xludf.DUMMYFUNCTION("""COMPUTED_VALUE"""),0)</f>
        <v>0</v>
      </c>
      <c r="S128" s="23">
        <f ca="1">IFERROR(__xludf.DUMMYFUNCTION("""COMPUTED_VALUE"""),0)</f>
        <v>0</v>
      </c>
      <c r="T128" s="24">
        <f ca="1">IFERROR(__xludf.DUMMYFUNCTION("""COMPUTED_VALUE"""),0)</f>
        <v>0</v>
      </c>
      <c r="U128" s="23">
        <f ca="1">IFERROR(__xludf.DUMMYFUNCTION("""COMPUTED_VALUE"""),0)</f>
        <v>0</v>
      </c>
      <c r="V128" s="23">
        <f ca="1">IFERROR(__xludf.DUMMYFUNCTION("""COMPUTED_VALUE"""),0)</f>
        <v>0</v>
      </c>
      <c r="W128" s="23">
        <f ca="1">IFERROR(__xludf.DUMMYFUNCTION("""COMPUTED_VALUE"""),0)</f>
        <v>0</v>
      </c>
      <c r="X128" s="23">
        <f ca="1">IFERROR(__xludf.DUMMYFUNCTION("""COMPUTED_VALUE"""),0)</f>
        <v>0</v>
      </c>
      <c r="Y128" s="25">
        <f ca="1">IFERROR(__xludf.DUMMYFUNCTION("""COMPUTED_VALUE"""),0)</f>
        <v>0</v>
      </c>
      <c r="Z128" s="25">
        <f ca="1">IFERROR(__xludf.DUMMYFUNCTION("""COMPUTED_VALUE"""),0)</f>
        <v>0</v>
      </c>
      <c r="AA128" s="25">
        <f ca="1">IFERROR(__xludf.DUMMYFUNCTION("""COMPUTED_VALUE"""),0)</f>
        <v>0</v>
      </c>
      <c r="AB128" s="25">
        <f ca="1">IFERROR(__xludf.DUMMYFUNCTION("""COMPUTED_VALUE"""),0)</f>
        <v>0</v>
      </c>
      <c r="AC128" s="23">
        <f ca="1">IFERROR(__xludf.DUMMYFUNCTION("""COMPUTED_VALUE"""),0)</f>
        <v>0</v>
      </c>
      <c r="AD128" s="26" t="str">
        <f ca="1">IFERROR(__xludf.DUMMYFUNCTION("""COMPUTED_VALUE"""),"MYSY (25000/-)")</f>
        <v>MYSY (25000/-)</v>
      </c>
      <c r="AE128" s="27"/>
    </row>
    <row r="129" spans="1:31" ht="14.3">
      <c r="A129" s="6" t="str">
        <f ca="1">IFERROR(__xludf.DUMMYFUNCTION("""COMPUTED_VALUE"""),"23SDSCE01202")</f>
        <v>23SDSCE01202</v>
      </c>
      <c r="B129" s="37" t="str">
        <f ca="1">IFERROR(__xludf.DUMMYFUNCTION("""COMPUTED_VALUE"""),"VORA DEEP ARVINDBHAI")</f>
        <v>VORA DEEP ARVINDBHAI</v>
      </c>
      <c r="C129" s="18" t="str">
        <f ca="1">IFERROR(__xludf.DUMMYFUNCTION("""COMPUTED_VALUE"""),"SDS")</f>
        <v>SDS</v>
      </c>
      <c r="D129" s="18" t="str">
        <f ca="1">IFERROR(__xludf.DUMMYFUNCTION("""COMPUTED_VALUE"""),"DCE")</f>
        <v>DCE</v>
      </c>
      <c r="E129" s="18">
        <f ca="1">IFERROR(__xludf.DUMMYFUNCTION("""COMPUTED_VALUE"""),2)</f>
        <v>2</v>
      </c>
      <c r="F129" s="6" t="str">
        <f ca="1">IFERROR(__xludf.DUMMYFUNCTION("""COMPUTED_VALUE"""),"9265741437 7698375420")</f>
        <v>9265741437 7698375420</v>
      </c>
      <c r="G129" s="6" t="str">
        <f ca="1">IFERROR(__xludf.DUMMYFUNCTION("""COMPUTED_VALUE"""),"9265741437 7698375420")</f>
        <v>9265741437 7698375420</v>
      </c>
      <c r="H129" s="6" t="str">
        <f ca="1">IFERROR(__xludf.DUMMYFUNCTION("""COMPUTED_VALUE"""),"DCE_2023-26")</f>
        <v>DCE_2023-26</v>
      </c>
      <c r="I129" s="20"/>
      <c r="J129" s="21">
        <f ca="1">IFERROR(__xludf.DUMMYFUNCTION("""COMPUTED_VALUE"""),27500)</f>
        <v>27500</v>
      </c>
      <c r="K129" s="21">
        <f ca="1">IFERROR(__xludf.DUMMYFUNCTION("""COMPUTED_VALUE"""),27500)</f>
        <v>27500</v>
      </c>
      <c r="L129" s="21">
        <f ca="1">IFERROR(__xludf.DUMMYFUNCTION("""COMPUTED_VALUE"""),0)</f>
        <v>0</v>
      </c>
      <c r="M129" s="23">
        <f ca="1">IFERROR(__xludf.DUMMYFUNCTION("""COMPUTED_VALUE"""),0)</f>
        <v>0</v>
      </c>
      <c r="N129" s="21">
        <f ca="1">IFERROR(__xludf.DUMMYFUNCTION("""COMPUTED_VALUE"""),0)</f>
        <v>0</v>
      </c>
      <c r="O129" s="21">
        <f ca="1">IFERROR(__xludf.DUMMYFUNCTION("""COMPUTED_VALUE"""),3000)</f>
        <v>3000</v>
      </c>
      <c r="P129" s="21">
        <f ca="1">IFERROR(__xludf.DUMMYFUNCTION("""COMPUTED_VALUE"""),3000)</f>
        <v>3000</v>
      </c>
      <c r="Q129" s="23">
        <f ca="1">IFERROR(__xludf.DUMMYFUNCTION("""COMPUTED_VALUE"""),0)</f>
        <v>0</v>
      </c>
      <c r="R129" s="24">
        <f ca="1">IFERROR(__xludf.DUMMYFUNCTION("""COMPUTED_VALUE"""),0)</f>
        <v>0</v>
      </c>
      <c r="S129" s="23">
        <f ca="1">IFERROR(__xludf.DUMMYFUNCTION("""COMPUTED_VALUE"""),0)</f>
        <v>0</v>
      </c>
      <c r="T129" s="24">
        <f ca="1">IFERROR(__xludf.DUMMYFUNCTION("""COMPUTED_VALUE"""),0)</f>
        <v>0</v>
      </c>
      <c r="U129" s="23">
        <f ca="1">IFERROR(__xludf.DUMMYFUNCTION("""COMPUTED_VALUE"""),0)</f>
        <v>0</v>
      </c>
      <c r="V129" s="23">
        <f ca="1">IFERROR(__xludf.DUMMYFUNCTION("""COMPUTED_VALUE"""),0)</f>
        <v>0</v>
      </c>
      <c r="W129" s="23">
        <f ca="1">IFERROR(__xludf.DUMMYFUNCTION("""COMPUTED_VALUE"""),0)</f>
        <v>0</v>
      </c>
      <c r="X129" s="23">
        <f ca="1">IFERROR(__xludf.DUMMYFUNCTION("""COMPUTED_VALUE"""),0)</f>
        <v>0</v>
      </c>
      <c r="Y129" s="25">
        <f ca="1">IFERROR(__xludf.DUMMYFUNCTION("""COMPUTED_VALUE"""),0)</f>
        <v>0</v>
      </c>
      <c r="Z129" s="25">
        <f ca="1">IFERROR(__xludf.DUMMYFUNCTION("""COMPUTED_VALUE"""),0)</f>
        <v>0</v>
      </c>
      <c r="AA129" s="25">
        <f ca="1">IFERROR(__xludf.DUMMYFUNCTION("""COMPUTED_VALUE"""),0)</f>
        <v>0</v>
      </c>
      <c r="AB129" s="25">
        <f ca="1">IFERROR(__xludf.DUMMYFUNCTION("""COMPUTED_VALUE"""),0)</f>
        <v>0</v>
      </c>
      <c r="AC129" s="23">
        <f ca="1">IFERROR(__xludf.DUMMYFUNCTION("""COMPUTED_VALUE"""),0)</f>
        <v>0</v>
      </c>
      <c r="AD129" s="26"/>
      <c r="AE129" s="27"/>
    </row>
    <row r="130" spans="1:31" ht="23.1">
      <c r="A130" s="6" t="str">
        <f ca="1">IFERROR(__xludf.DUMMYFUNCTION("""COMPUTED_VALUE"""),"23SDSCE01081")</f>
        <v>23SDSCE01081</v>
      </c>
      <c r="B130" s="37" t="str">
        <f ca="1">IFERROR(__xludf.DUMMYFUNCTION("""COMPUTED_VALUE"""),"BHUVA KRINA VIJAYBHAI")</f>
        <v>BHUVA KRINA VIJAYBHAI</v>
      </c>
      <c r="C130" s="18" t="str">
        <f ca="1">IFERROR(__xludf.DUMMYFUNCTION("""COMPUTED_VALUE"""),"SDS")</f>
        <v>SDS</v>
      </c>
      <c r="D130" s="18" t="str">
        <f ca="1">IFERROR(__xludf.DUMMYFUNCTION("""COMPUTED_VALUE"""),"DCE")</f>
        <v>DCE</v>
      </c>
      <c r="E130" s="18">
        <f ca="1">IFERROR(__xludf.DUMMYFUNCTION("""COMPUTED_VALUE"""),2)</f>
        <v>2</v>
      </c>
      <c r="F130" s="18" t="str">
        <f ca="1">IFERROR(__xludf.DUMMYFUNCTION("""COMPUTED_VALUE"""),"7284866632 9979466632")</f>
        <v>7284866632 9979466632</v>
      </c>
      <c r="G130" s="18" t="str">
        <f ca="1">IFERROR(__xludf.DUMMYFUNCTION("""COMPUTED_VALUE"""),"7284866632 9979466632")</f>
        <v>7284866632 9979466632</v>
      </c>
      <c r="H130" s="6" t="str">
        <f ca="1">IFERROR(__xludf.DUMMYFUNCTION("""COMPUTED_VALUE"""),"DCE_2023-26")</f>
        <v>DCE_2023-26</v>
      </c>
      <c r="I130" s="20" t="str">
        <f ca="1">IFERROR(__xludf.DUMMYFUNCTION("""COMPUTED_VALUE"""),"TFW")</f>
        <v>TFW</v>
      </c>
      <c r="J130" s="21">
        <f ca="1">IFERROR(__xludf.DUMMYFUNCTION("""COMPUTED_VALUE"""),0)</f>
        <v>0</v>
      </c>
      <c r="K130" s="21">
        <f ca="1">IFERROR(__xludf.DUMMYFUNCTION("""COMPUTED_VALUE"""),0)</f>
        <v>0</v>
      </c>
      <c r="L130" s="21">
        <f ca="1">IFERROR(__xludf.DUMMYFUNCTION("""COMPUTED_VALUE"""),0)</f>
        <v>0</v>
      </c>
      <c r="M130" s="23">
        <f ca="1">IFERROR(__xludf.DUMMYFUNCTION("""COMPUTED_VALUE"""),0)</f>
        <v>0</v>
      </c>
      <c r="N130" s="21">
        <f ca="1">IFERROR(__xludf.DUMMYFUNCTION("""COMPUTED_VALUE"""),0)</f>
        <v>0</v>
      </c>
      <c r="O130" s="21">
        <f ca="1">IFERROR(__xludf.DUMMYFUNCTION("""COMPUTED_VALUE"""),0)</f>
        <v>0</v>
      </c>
      <c r="P130" s="21">
        <f ca="1">IFERROR(__xludf.DUMMYFUNCTION("""COMPUTED_VALUE"""),0)</f>
        <v>0</v>
      </c>
      <c r="Q130" s="23">
        <f ca="1">IFERROR(__xludf.DUMMYFUNCTION("""COMPUTED_VALUE"""),0)</f>
        <v>0</v>
      </c>
      <c r="R130" s="24">
        <f ca="1">IFERROR(__xludf.DUMMYFUNCTION("""COMPUTED_VALUE"""),0)</f>
        <v>0</v>
      </c>
      <c r="S130" s="23">
        <f ca="1">IFERROR(__xludf.DUMMYFUNCTION("""COMPUTED_VALUE"""),0)</f>
        <v>0</v>
      </c>
      <c r="T130" s="24">
        <f ca="1">IFERROR(__xludf.DUMMYFUNCTION("""COMPUTED_VALUE"""),0)</f>
        <v>0</v>
      </c>
      <c r="U130" s="23">
        <f ca="1">IFERROR(__xludf.DUMMYFUNCTION("""COMPUTED_VALUE"""),0)</f>
        <v>0</v>
      </c>
      <c r="V130" s="23">
        <f ca="1">IFERROR(__xludf.DUMMYFUNCTION("""COMPUTED_VALUE"""),0)</f>
        <v>0</v>
      </c>
      <c r="W130" s="23">
        <f ca="1">IFERROR(__xludf.DUMMYFUNCTION("""COMPUTED_VALUE"""),0)</f>
        <v>0</v>
      </c>
      <c r="X130" s="23">
        <f ca="1">IFERROR(__xludf.DUMMYFUNCTION("""COMPUTED_VALUE"""),0)</f>
        <v>0</v>
      </c>
      <c r="Y130" s="25">
        <f ca="1">IFERROR(__xludf.DUMMYFUNCTION("""COMPUTED_VALUE"""),0)</f>
        <v>0</v>
      </c>
      <c r="Z130" s="25">
        <f ca="1">IFERROR(__xludf.DUMMYFUNCTION("""COMPUTED_VALUE"""),0)</f>
        <v>0</v>
      </c>
      <c r="AA130" s="25">
        <f ca="1">IFERROR(__xludf.DUMMYFUNCTION("""COMPUTED_VALUE"""),0)</f>
        <v>0</v>
      </c>
      <c r="AB130" s="25">
        <f ca="1">IFERROR(__xludf.DUMMYFUNCTION("""COMPUTED_VALUE"""),0)</f>
        <v>0</v>
      </c>
      <c r="AC130" s="23">
        <f ca="1">IFERROR(__xludf.DUMMYFUNCTION("""COMPUTED_VALUE"""),0)</f>
        <v>0</v>
      </c>
      <c r="AD130" s="26" t="str">
        <f ca="1">IFERROR(__xludf.DUMMYFUNCTION("""COMPUTED_VALUE"""),"100 % SCHOLARSHIP
NO FEE")</f>
        <v>100 % SCHOLARSHIP
NO FEE</v>
      </c>
      <c r="AE130" s="27"/>
    </row>
    <row r="131" spans="1:31" ht="14.3">
      <c r="A131" s="6" t="str">
        <f ca="1">IFERROR(__xludf.DUMMYFUNCTION("""COMPUTED_VALUE"""),"23SDSCE01082")</f>
        <v>23SDSCE01082</v>
      </c>
      <c r="B131" s="37" t="str">
        <f ca="1">IFERROR(__xludf.DUMMYFUNCTION("""COMPUTED_VALUE"""),"BHUVA PRINSA MUKESHBHAI")</f>
        <v>BHUVA PRINSA MUKESHBHAI</v>
      </c>
      <c r="C131" s="18" t="str">
        <f ca="1">IFERROR(__xludf.DUMMYFUNCTION("""COMPUTED_VALUE"""),"SDS")</f>
        <v>SDS</v>
      </c>
      <c r="D131" s="18" t="str">
        <f ca="1">IFERROR(__xludf.DUMMYFUNCTION("""COMPUTED_VALUE"""),"DCE")</f>
        <v>DCE</v>
      </c>
      <c r="E131" s="18">
        <f ca="1">IFERROR(__xludf.DUMMYFUNCTION("""COMPUTED_VALUE"""),2)</f>
        <v>2</v>
      </c>
      <c r="F131" s="18" t="str">
        <f ca="1">IFERROR(__xludf.DUMMYFUNCTION("""COMPUTED_VALUE"""),"9099479164 9978548753")</f>
        <v>9099479164 9978548753</v>
      </c>
      <c r="G131" s="18" t="str">
        <f ca="1">IFERROR(__xludf.DUMMYFUNCTION("""COMPUTED_VALUE"""),"9099479164 9978548753")</f>
        <v>9099479164 9978548753</v>
      </c>
      <c r="H131" s="6" t="str">
        <f ca="1">IFERROR(__xludf.DUMMYFUNCTION("""COMPUTED_VALUE"""),"DCE_2023-26")</f>
        <v>DCE_2023-26</v>
      </c>
      <c r="I131" s="20" t="str">
        <f ca="1">IFERROR(__xludf.DUMMYFUNCTION("""COMPUTED_VALUE"""),"MYSY")</f>
        <v>MYSY</v>
      </c>
      <c r="J131" s="21">
        <f ca="1">IFERROR(__xludf.DUMMYFUNCTION("""COMPUTED_VALUE"""),27500)</f>
        <v>27500</v>
      </c>
      <c r="K131" s="21">
        <f ca="1">IFERROR(__xludf.DUMMYFUNCTION("""COMPUTED_VALUE"""),0)</f>
        <v>0</v>
      </c>
      <c r="L131" s="21">
        <f ca="1">IFERROR(__xludf.DUMMYFUNCTION("""COMPUTED_VALUE"""),0)</f>
        <v>0</v>
      </c>
      <c r="M131" s="23">
        <f ca="1">IFERROR(__xludf.DUMMYFUNCTION("""COMPUTED_VALUE"""),0)</f>
        <v>0</v>
      </c>
      <c r="N131" s="21">
        <f ca="1">IFERROR(__xludf.DUMMYFUNCTION("""COMPUTED_VALUE"""),27500)</f>
        <v>27500</v>
      </c>
      <c r="O131" s="21">
        <f ca="1">IFERROR(__xludf.DUMMYFUNCTION("""COMPUTED_VALUE"""),3000)</f>
        <v>3000</v>
      </c>
      <c r="P131" s="21">
        <f ca="1">IFERROR(__xludf.DUMMYFUNCTION("""COMPUTED_VALUE"""),3000)</f>
        <v>3000</v>
      </c>
      <c r="Q131" s="23">
        <f ca="1">IFERROR(__xludf.DUMMYFUNCTION("""COMPUTED_VALUE"""),0)</f>
        <v>0</v>
      </c>
      <c r="R131" s="24">
        <f ca="1">IFERROR(__xludf.DUMMYFUNCTION("""COMPUTED_VALUE"""),0)</f>
        <v>0</v>
      </c>
      <c r="S131" s="23">
        <f ca="1">IFERROR(__xludf.DUMMYFUNCTION("""COMPUTED_VALUE"""),0)</f>
        <v>0</v>
      </c>
      <c r="T131" s="24">
        <f ca="1">IFERROR(__xludf.DUMMYFUNCTION("""COMPUTED_VALUE"""),0)</f>
        <v>0</v>
      </c>
      <c r="U131" s="23">
        <f ca="1">IFERROR(__xludf.DUMMYFUNCTION("""COMPUTED_VALUE"""),0)</f>
        <v>0</v>
      </c>
      <c r="V131" s="23">
        <f ca="1">IFERROR(__xludf.DUMMYFUNCTION("""COMPUTED_VALUE"""),0)</f>
        <v>0</v>
      </c>
      <c r="W131" s="23">
        <f ca="1">IFERROR(__xludf.DUMMYFUNCTION("""COMPUTED_VALUE"""),0)</f>
        <v>0</v>
      </c>
      <c r="X131" s="23">
        <f ca="1">IFERROR(__xludf.DUMMYFUNCTION("""COMPUTED_VALUE"""),0)</f>
        <v>0</v>
      </c>
      <c r="Y131" s="25">
        <f ca="1">IFERROR(__xludf.DUMMYFUNCTION("""COMPUTED_VALUE"""),0)</f>
        <v>0</v>
      </c>
      <c r="Z131" s="25">
        <f ca="1">IFERROR(__xludf.DUMMYFUNCTION("""COMPUTED_VALUE"""),0)</f>
        <v>0</v>
      </c>
      <c r="AA131" s="25">
        <f ca="1">IFERROR(__xludf.DUMMYFUNCTION("""COMPUTED_VALUE"""),0)</f>
        <v>0</v>
      </c>
      <c r="AB131" s="25">
        <f ca="1">IFERROR(__xludf.DUMMYFUNCTION("""COMPUTED_VALUE"""),0)</f>
        <v>0</v>
      </c>
      <c r="AC131" s="23">
        <f ca="1">IFERROR(__xludf.DUMMYFUNCTION("""COMPUTED_VALUE"""),0)</f>
        <v>0</v>
      </c>
      <c r="AD131" s="26" t="str">
        <f ca="1">IFERROR(__xludf.DUMMYFUNCTION("""COMPUTED_VALUE"""),"MYSY (25000/-)	KSPS ( 12500/- )")</f>
        <v>MYSY (25000/-)	KSPS ( 12500/- )</v>
      </c>
      <c r="AE131" s="27"/>
    </row>
    <row r="132" spans="1:31" ht="14.3">
      <c r="A132" s="6" t="str">
        <f ca="1">IFERROR(__xludf.DUMMYFUNCTION("""COMPUTED_VALUE"""),"23SDSCE01083")</f>
        <v>23SDSCE01083</v>
      </c>
      <c r="B132" s="37" t="str">
        <f ca="1">IFERROR(__xludf.DUMMYFUNCTION("""COMPUTED_VALUE"""),"BOTADARA RAVI RAJESHBHAI")</f>
        <v>BOTADARA RAVI RAJESHBHAI</v>
      </c>
      <c r="C132" s="18" t="str">
        <f ca="1">IFERROR(__xludf.DUMMYFUNCTION("""COMPUTED_VALUE"""),"SDS")</f>
        <v>SDS</v>
      </c>
      <c r="D132" s="18" t="str">
        <f ca="1">IFERROR(__xludf.DUMMYFUNCTION("""COMPUTED_VALUE"""),"DCE")</f>
        <v>DCE</v>
      </c>
      <c r="E132" s="18">
        <f ca="1">IFERROR(__xludf.DUMMYFUNCTION("""COMPUTED_VALUE"""),2)</f>
        <v>2</v>
      </c>
      <c r="F132" s="18" t="str">
        <f ca="1">IFERROR(__xludf.DUMMYFUNCTION("""COMPUTED_VALUE"""),"9714608697 9904942814")</f>
        <v>9714608697 9904942814</v>
      </c>
      <c r="G132" s="18" t="str">
        <f ca="1">IFERROR(__xludf.DUMMYFUNCTION("""COMPUTED_VALUE"""),"9714608697 9904942814")</f>
        <v>9714608697 9904942814</v>
      </c>
      <c r="H132" s="6" t="str">
        <f ca="1">IFERROR(__xludf.DUMMYFUNCTION("""COMPUTED_VALUE"""),"DCE_2023-26")</f>
        <v>DCE_2023-26</v>
      </c>
      <c r="I132" s="20"/>
      <c r="J132" s="21">
        <f ca="1">IFERROR(__xludf.DUMMYFUNCTION("""COMPUTED_VALUE"""),27500)</f>
        <v>27500</v>
      </c>
      <c r="K132" s="21">
        <f ca="1">IFERROR(__xludf.DUMMYFUNCTION("""COMPUTED_VALUE"""),27500)</f>
        <v>27500</v>
      </c>
      <c r="L132" s="21">
        <f ca="1">IFERROR(__xludf.DUMMYFUNCTION("""COMPUTED_VALUE"""),0)</f>
        <v>0</v>
      </c>
      <c r="M132" s="23">
        <f ca="1">IFERROR(__xludf.DUMMYFUNCTION("""COMPUTED_VALUE"""),0)</f>
        <v>0</v>
      </c>
      <c r="N132" s="21">
        <f ca="1">IFERROR(__xludf.DUMMYFUNCTION("""COMPUTED_VALUE"""),0)</f>
        <v>0</v>
      </c>
      <c r="O132" s="21">
        <f ca="1">IFERROR(__xludf.DUMMYFUNCTION("""COMPUTED_VALUE"""),3000)</f>
        <v>3000</v>
      </c>
      <c r="P132" s="21">
        <f ca="1">IFERROR(__xludf.DUMMYFUNCTION("""COMPUTED_VALUE"""),3000)</f>
        <v>3000</v>
      </c>
      <c r="Q132" s="23">
        <f ca="1">IFERROR(__xludf.DUMMYFUNCTION("""COMPUTED_VALUE"""),0)</f>
        <v>0</v>
      </c>
      <c r="R132" s="24">
        <f ca="1">IFERROR(__xludf.DUMMYFUNCTION("""COMPUTED_VALUE"""),0)</f>
        <v>0</v>
      </c>
      <c r="S132" s="23">
        <f ca="1">IFERROR(__xludf.DUMMYFUNCTION("""COMPUTED_VALUE"""),0)</f>
        <v>0</v>
      </c>
      <c r="T132" s="24">
        <f ca="1">IFERROR(__xludf.DUMMYFUNCTION("""COMPUTED_VALUE"""),0)</f>
        <v>0</v>
      </c>
      <c r="U132" s="23">
        <f ca="1">IFERROR(__xludf.DUMMYFUNCTION("""COMPUTED_VALUE"""),0)</f>
        <v>0</v>
      </c>
      <c r="V132" s="23">
        <f ca="1">IFERROR(__xludf.DUMMYFUNCTION("""COMPUTED_VALUE"""),0)</f>
        <v>0</v>
      </c>
      <c r="W132" s="23">
        <f ca="1">IFERROR(__xludf.DUMMYFUNCTION("""COMPUTED_VALUE"""),0)</f>
        <v>0</v>
      </c>
      <c r="X132" s="23">
        <f ca="1">IFERROR(__xludf.DUMMYFUNCTION("""COMPUTED_VALUE"""),0)</f>
        <v>0</v>
      </c>
      <c r="Y132" s="25">
        <f ca="1">IFERROR(__xludf.DUMMYFUNCTION("""COMPUTED_VALUE"""),0)</f>
        <v>0</v>
      </c>
      <c r="Z132" s="25">
        <f ca="1">IFERROR(__xludf.DUMMYFUNCTION("""COMPUTED_VALUE"""),0)</f>
        <v>0</v>
      </c>
      <c r="AA132" s="25">
        <f ca="1">IFERROR(__xludf.DUMMYFUNCTION("""COMPUTED_VALUE"""),0)</f>
        <v>0</v>
      </c>
      <c r="AB132" s="25">
        <f ca="1">IFERROR(__xludf.DUMMYFUNCTION("""COMPUTED_VALUE"""),0)</f>
        <v>0</v>
      </c>
      <c r="AC132" s="23">
        <f ca="1">IFERROR(__xludf.DUMMYFUNCTION("""COMPUTED_VALUE"""),0)</f>
        <v>0</v>
      </c>
      <c r="AD132" s="26"/>
      <c r="AE132" s="27"/>
    </row>
    <row r="133" spans="1:31" ht="14.3">
      <c r="A133" s="6" t="str">
        <f ca="1">IFERROR(__xludf.DUMMYFUNCTION("""COMPUTED_VALUE"""),"23SDSCE01084")</f>
        <v>23SDSCE01084</v>
      </c>
      <c r="B133" s="37" t="str">
        <f ca="1">IFERROR(__xludf.DUMMYFUNCTION("""COMPUTED_VALUE"""),"CHHAYANI PARTHIV ASHOKBHAI")</f>
        <v>CHHAYANI PARTHIV ASHOKBHAI</v>
      </c>
      <c r="C133" s="18" t="str">
        <f ca="1">IFERROR(__xludf.DUMMYFUNCTION("""COMPUTED_VALUE"""),"SDS")</f>
        <v>SDS</v>
      </c>
      <c r="D133" s="18" t="str">
        <f ca="1">IFERROR(__xludf.DUMMYFUNCTION("""COMPUTED_VALUE"""),"DCE")</f>
        <v>DCE</v>
      </c>
      <c r="E133" s="18">
        <f ca="1">IFERROR(__xludf.DUMMYFUNCTION("""COMPUTED_VALUE"""),2)</f>
        <v>2</v>
      </c>
      <c r="F133" s="18" t="str">
        <f ca="1">IFERROR(__xludf.DUMMYFUNCTION("""COMPUTED_VALUE"""),"9773479598 9979219949")</f>
        <v>9773479598 9979219949</v>
      </c>
      <c r="G133" s="18" t="str">
        <f ca="1">IFERROR(__xludf.DUMMYFUNCTION("""COMPUTED_VALUE"""),"9773479598 9979219949")</f>
        <v>9773479598 9979219949</v>
      </c>
      <c r="H133" s="6" t="str">
        <f ca="1">IFERROR(__xludf.DUMMYFUNCTION("""COMPUTED_VALUE"""),"DCE_2023-26")</f>
        <v>DCE_2023-26</v>
      </c>
      <c r="I133" s="20" t="str">
        <f ca="1">IFERROR(__xludf.DUMMYFUNCTION("""COMPUTED_VALUE"""),"MYSY")</f>
        <v>MYSY</v>
      </c>
      <c r="J133" s="21">
        <f ca="1">IFERROR(__xludf.DUMMYFUNCTION("""COMPUTED_VALUE"""),27500)</f>
        <v>27500</v>
      </c>
      <c r="K133" s="21">
        <f ca="1">IFERROR(__xludf.DUMMYFUNCTION("""COMPUTED_VALUE"""),27500)</f>
        <v>27500</v>
      </c>
      <c r="L133" s="21">
        <f ca="1">IFERROR(__xludf.DUMMYFUNCTION("""COMPUTED_VALUE"""),0)</f>
        <v>0</v>
      </c>
      <c r="M133" s="23">
        <f ca="1">IFERROR(__xludf.DUMMYFUNCTION("""COMPUTED_VALUE"""),0)</f>
        <v>0</v>
      </c>
      <c r="N133" s="21">
        <f ca="1">IFERROR(__xludf.DUMMYFUNCTION("""COMPUTED_VALUE"""),0)</f>
        <v>0</v>
      </c>
      <c r="O133" s="21">
        <f ca="1">IFERROR(__xludf.DUMMYFUNCTION("""COMPUTED_VALUE"""),3000)</f>
        <v>3000</v>
      </c>
      <c r="P133" s="21">
        <f ca="1">IFERROR(__xludf.DUMMYFUNCTION("""COMPUTED_VALUE"""),3000)</f>
        <v>3000</v>
      </c>
      <c r="Q133" s="23">
        <f ca="1">IFERROR(__xludf.DUMMYFUNCTION("""COMPUTED_VALUE"""),0)</f>
        <v>0</v>
      </c>
      <c r="R133" s="24">
        <f ca="1">IFERROR(__xludf.DUMMYFUNCTION("""COMPUTED_VALUE"""),0)</f>
        <v>0</v>
      </c>
      <c r="S133" s="23">
        <f ca="1">IFERROR(__xludf.DUMMYFUNCTION("""COMPUTED_VALUE"""),0)</f>
        <v>0</v>
      </c>
      <c r="T133" s="24">
        <f ca="1">IFERROR(__xludf.DUMMYFUNCTION("""COMPUTED_VALUE"""),0)</f>
        <v>0</v>
      </c>
      <c r="U133" s="23">
        <f ca="1">IFERROR(__xludf.DUMMYFUNCTION("""COMPUTED_VALUE"""),0)</f>
        <v>0</v>
      </c>
      <c r="V133" s="23">
        <f ca="1">IFERROR(__xludf.DUMMYFUNCTION("""COMPUTED_VALUE"""),0)</f>
        <v>0</v>
      </c>
      <c r="W133" s="23">
        <f ca="1">IFERROR(__xludf.DUMMYFUNCTION("""COMPUTED_VALUE"""),0)</f>
        <v>0</v>
      </c>
      <c r="X133" s="23">
        <f ca="1">IFERROR(__xludf.DUMMYFUNCTION("""COMPUTED_VALUE"""),0)</f>
        <v>0</v>
      </c>
      <c r="Y133" s="25">
        <f ca="1">IFERROR(__xludf.DUMMYFUNCTION("""COMPUTED_VALUE"""),0)</f>
        <v>0</v>
      </c>
      <c r="Z133" s="25">
        <f ca="1">IFERROR(__xludf.DUMMYFUNCTION("""COMPUTED_VALUE"""),0)</f>
        <v>0</v>
      </c>
      <c r="AA133" s="25">
        <f ca="1">IFERROR(__xludf.DUMMYFUNCTION("""COMPUTED_VALUE"""),0)</f>
        <v>0</v>
      </c>
      <c r="AB133" s="25">
        <f ca="1">IFERROR(__xludf.DUMMYFUNCTION("""COMPUTED_VALUE"""),0)</f>
        <v>0</v>
      </c>
      <c r="AC133" s="23">
        <f ca="1">IFERROR(__xludf.DUMMYFUNCTION("""COMPUTED_VALUE"""),0)</f>
        <v>0</v>
      </c>
      <c r="AD133" s="26" t="str">
        <f ca="1">IFERROR(__xludf.DUMMYFUNCTION("""COMPUTED_VALUE"""),"MYSY (25000/-)	KSPS ( 12500/- )")</f>
        <v>MYSY (25000/-)	KSPS ( 12500/- )</v>
      </c>
      <c r="AE133" s="27"/>
    </row>
    <row r="134" spans="1:31" ht="14.3">
      <c r="A134" s="6" t="str">
        <f ca="1">IFERROR(__xludf.DUMMYFUNCTION("""COMPUTED_VALUE"""),"23SDSCE01085")</f>
        <v>23SDSCE01085</v>
      </c>
      <c r="B134" s="37" t="str">
        <f ca="1">IFERROR(__xludf.DUMMYFUNCTION("""COMPUTED_VALUE"""),"DANGARIYA UTSAVKUMAR ASHOKBHAI")</f>
        <v>DANGARIYA UTSAVKUMAR ASHOKBHAI</v>
      </c>
      <c r="C134" s="18" t="str">
        <f ca="1">IFERROR(__xludf.DUMMYFUNCTION("""COMPUTED_VALUE"""),"SDS")</f>
        <v>SDS</v>
      </c>
      <c r="D134" s="18" t="str">
        <f ca="1">IFERROR(__xludf.DUMMYFUNCTION("""COMPUTED_VALUE"""),"DCE")</f>
        <v>DCE</v>
      </c>
      <c r="E134" s="18">
        <f ca="1">IFERROR(__xludf.DUMMYFUNCTION("""COMPUTED_VALUE"""),2)</f>
        <v>2</v>
      </c>
      <c r="F134" s="18" t="str">
        <f ca="1">IFERROR(__xludf.DUMMYFUNCTION("""COMPUTED_VALUE"""),"9925423270 8141726280")</f>
        <v>9925423270 8141726280</v>
      </c>
      <c r="G134" s="18" t="str">
        <f ca="1">IFERROR(__xludf.DUMMYFUNCTION("""COMPUTED_VALUE"""),"9925423270 8141726280")</f>
        <v>9925423270 8141726280</v>
      </c>
      <c r="H134" s="6" t="str">
        <f ca="1">IFERROR(__xludf.DUMMYFUNCTION("""COMPUTED_VALUE"""),"DCV_2023-26")</f>
        <v>DCV_2023-26</v>
      </c>
      <c r="I134" s="20" t="str">
        <f ca="1">IFERROR(__xludf.DUMMYFUNCTION("""COMPUTED_VALUE"""),"KSP")</f>
        <v>KSP</v>
      </c>
      <c r="J134" s="21">
        <f ca="1">IFERROR(__xludf.DUMMYFUNCTION("""COMPUTED_VALUE"""),27500)</f>
        <v>27500</v>
      </c>
      <c r="K134" s="21">
        <f ca="1">IFERROR(__xludf.DUMMYFUNCTION("""COMPUTED_VALUE"""),21250)</f>
        <v>21250</v>
      </c>
      <c r="L134" s="21">
        <f ca="1">IFERROR(__xludf.DUMMYFUNCTION("""COMPUTED_VALUE"""),0)</f>
        <v>0</v>
      </c>
      <c r="M134" s="23">
        <f ca="1">IFERROR(__xludf.DUMMYFUNCTION("""COMPUTED_VALUE"""),6250)</f>
        <v>6250</v>
      </c>
      <c r="N134" s="21">
        <f ca="1">IFERROR(__xludf.DUMMYFUNCTION("""COMPUTED_VALUE"""),0)</f>
        <v>0</v>
      </c>
      <c r="O134" s="21">
        <f ca="1">IFERROR(__xludf.DUMMYFUNCTION("""COMPUTED_VALUE"""),3000)</f>
        <v>3000</v>
      </c>
      <c r="P134" s="21">
        <f ca="1">IFERROR(__xludf.DUMMYFUNCTION("""COMPUTED_VALUE"""),3000)</f>
        <v>3000</v>
      </c>
      <c r="Q134" s="23">
        <f ca="1">IFERROR(__xludf.DUMMYFUNCTION("""COMPUTED_VALUE"""),0)</f>
        <v>0</v>
      </c>
      <c r="R134" s="24">
        <f ca="1">IFERROR(__xludf.DUMMYFUNCTION("""COMPUTED_VALUE"""),0)</f>
        <v>0</v>
      </c>
      <c r="S134" s="23">
        <f ca="1">IFERROR(__xludf.DUMMYFUNCTION("""COMPUTED_VALUE"""),0)</f>
        <v>0</v>
      </c>
      <c r="T134" s="24">
        <f ca="1">IFERROR(__xludf.DUMMYFUNCTION("""COMPUTED_VALUE"""),0)</f>
        <v>0</v>
      </c>
      <c r="U134" s="23">
        <f ca="1">IFERROR(__xludf.DUMMYFUNCTION("""COMPUTED_VALUE"""),0)</f>
        <v>0</v>
      </c>
      <c r="V134" s="23">
        <f ca="1">IFERROR(__xludf.DUMMYFUNCTION("""COMPUTED_VALUE"""),0)</f>
        <v>0</v>
      </c>
      <c r="W134" s="23">
        <f ca="1">IFERROR(__xludf.DUMMYFUNCTION("""COMPUTED_VALUE"""),0)</f>
        <v>0</v>
      </c>
      <c r="X134" s="23">
        <f ca="1">IFERROR(__xludf.DUMMYFUNCTION("""COMPUTED_VALUE"""),0)</f>
        <v>0</v>
      </c>
      <c r="Y134" s="25">
        <f ca="1">IFERROR(__xludf.DUMMYFUNCTION("""COMPUTED_VALUE"""),0)</f>
        <v>0</v>
      </c>
      <c r="Z134" s="25">
        <f ca="1">IFERROR(__xludf.DUMMYFUNCTION("""COMPUTED_VALUE"""),0)</f>
        <v>0</v>
      </c>
      <c r="AA134" s="25">
        <f ca="1">IFERROR(__xludf.DUMMYFUNCTION("""COMPUTED_VALUE"""),0)</f>
        <v>0</v>
      </c>
      <c r="AB134" s="25">
        <f ca="1">IFERROR(__xludf.DUMMYFUNCTION("""COMPUTED_VALUE"""),0)</f>
        <v>0</v>
      </c>
      <c r="AC134" s="23">
        <f ca="1">IFERROR(__xludf.DUMMYFUNCTION("""COMPUTED_VALUE"""),0)</f>
        <v>0</v>
      </c>
      <c r="AD134" s="26" t="str">
        <f ca="1">IFERROR(__xludf.DUMMYFUNCTION("""COMPUTED_VALUE"""),"KSPS ( 6250/- )")</f>
        <v>KSPS ( 6250/- )</v>
      </c>
      <c r="AE134" s="27"/>
    </row>
    <row r="135" spans="1:31" ht="14.3">
      <c r="A135" s="6" t="str">
        <f ca="1">IFERROR(__xludf.DUMMYFUNCTION("""COMPUTED_VALUE"""),"23SDSCE01086")</f>
        <v>23SDSCE01086</v>
      </c>
      <c r="B135" s="37" t="str">
        <f ca="1">IFERROR(__xludf.DUMMYFUNCTION("""COMPUTED_VALUE"""),"DAVE HEMIL VIPULBHAI")</f>
        <v>DAVE HEMIL VIPULBHAI</v>
      </c>
      <c r="C135" s="18" t="str">
        <f ca="1">IFERROR(__xludf.DUMMYFUNCTION("""COMPUTED_VALUE"""),"SDS")</f>
        <v>SDS</v>
      </c>
      <c r="D135" s="18" t="str">
        <f ca="1">IFERROR(__xludf.DUMMYFUNCTION("""COMPUTED_VALUE"""),"DCE")</f>
        <v>DCE</v>
      </c>
      <c r="E135" s="18">
        <f ca="1">IFERROR(__xludf.DUMMYFUNCTION("""COMPUTED_VALUE"""),2)</f>
        <v>2</v>
      </c>
      <c r="F135" s="18" t="str">
        <f ca="1">IFERROR(__xludf.DUMMYFUNCTION("""COMPUTED_VALUE"""),"9106621661 9825882086")</f>
        <v>9106621661 9825882086</v>
      </c>
      <c r="G135" s="18" t="str">
        <f ca="1">IFERROR(__xludf.DUMMYFUNCTION("""COMPUTED_VALUE"""),"9106621661 9825882086")</f>
        <v>9106621661 9825882086</v>
      </c>
      <c r="H135" s="6" t="str">
        <f ca="1">IFERROR(__xludf.DUMMYFUNCTION("""COMPUTED_VALUE"""),"DCE_2023-26")</f>
        <v>DCE_2023-26</v>
      </c>
      <c r="I135" s="20" t="str">
        <f ca="1">IFERROR(__xludf.DUMMYFUNCTION("""COMPUTED_VALUE"""),"KSP")</f>
        <v>KSP</v>
      </c>
      <c r="J135" s="21">
        <f ca="1">IFERROR(__xludf.DUMMYFUNCTION("""COMPUTED_VALUE"""),27500)</f>
        <v>27500</v>
      </c>
      <c r="K135" s="21">
        <f ca="1">IFERROR(__xludf.DUMMYFUNCTION("""COMPUTED_VALUE"""),21250)</f>
        <v>21250</v>
      </c>
      <c r="L135" s="21">
        <f ca="1">IFERROR(__xludf.DUMMYFUNCTION("""COMPUTED_VALUE"""),0)</f>
        <v>0</v>
      </c>
      <c r="M135" s="23">
        <f ca="1">IFERROR(__xludf.DUMMYFUNCTION("""COMPUTED_VALUE"""),6250)</f>
        <v>6250</v>
      </c>
      <c r="N135" s="21">
        <f ca="1">IFERROR(__xludf.DUMMYFUNCTION("""COMPUTED_VALUE"""),0)</f>
        <v>0</v>
      </c>
      <c r="O135" s="21">
        <f ca="1">IFERROR(__xludf.DUMMYFUNCTION("""COMPUTED_VALUE"""),3000)</f>
        <v>3000</v>
      </c>
      <c r="P135" s="21">
        <f ca="1">IFERROR(__xludf.DUMMYFUNCTION("""COMPUTED_VALUE"""),3000)</f>
        <v>3000</v>
      </c>
      <c r="Q135" s="23">
        <f ca="1">IFERROR(__xludf.DUMMYFUNCTION("""COMPUTED_VALUE"""),0)</f>
        <v>0</v>
      </c>
      <c r="R135" s="24">
        <f ca="1">IFERROR(__xludf.DUMMYFUNCTION("""COMPUTED_VALUE"""),0)</f>
        <v>0</v>
      </c>
      <c r="S135" s="23">
        <f ca="1">IFERROR(__xludf.DUMMYFUNCTION("""COMPUTED_VALUE"""),0)</f>
        <v>0</v>
      </c>
      <c r="T135" s="24">
        <f ca="1">IFERROR(__xludf.DUMMYFUNCTION("""COMPUTED_VALUE"""),0)</f>
        <v>0</v>
      </c>
      <c r="U135" s="23">
        <f ca="1">IFERROR(__xludf.DUMMYFUNCTION("""COMPUTED_VALUE"""),0)</f>
        <v>0</v>
      </c>
      <c r="V135" s="23">
        <f ca="1">IFERROR(__xludf.DUMMYFUNCTION("""COMPUTED_VALUE"""),0)</f>
        <v>0</v>
      </c>
      <c r="W135" s="23">
        <f ca="1">IFERROR(__xludf.DUMMYFUNCTION("""COMPUTED_VALUE"""),0)</f>
        <v>0</v>
      </c>
      <c r="X135" s="23">
        <f ca="1">IFERROR(__xludf.DUMMYFUNCTION("""COMPUTED_VALUE"""),0)</f>
        <v>0</v>
      </c>
      <c r="Y135" s="25">
        <f ca="1">IFERROR(__xludf.DUMMYFUNCTION("""COMPUTED_VALUE"""),0)</f>
        <v>0</v>
      </c>
      <c r="Z135" s="25">
        <f ca="1">IFERROR(__xludf.DUMMYFUNCTION("""COMPUTED_VALUE"""),0)</f>
        <v>0</v>
      </c>
      <c r="AA135" s="25">
        <f ca="1">IFERROR(__xludf.DUMMYFUNCTION("""COMPUTED_VALUE"""),0)</f>
        <v>0</v>
      </c>
      <c r="AB135" s="25">
        <f ca="1">IFERROR(__xludf.DUMMYFUNCTION("""COMPUTED_VALUE"""),0)</f>
        <v>0</v>
      </c>
      <c r="AC135" s="23">
        <f ca="1">IFERROR(__xludf.DUMMYFUNCTION("""COMPUTED_VALUE"""),0)</f>
        <v>0</v>
      </c>
      <c r="AD135" s="26" t="str">
        <f ca="1">IFERROR(__xludf.DUMMYFUNCTION("""COMPUTED_VALUE"""),"KSPS ( 6250/- )")</f>
        <v>KSPS ( 6250/- )</v>
      </c>
      <c r="AE135" s="27"/>
    </row>
    <row r="136" spans="1:31" ht="14.3">
      <c r="A136" s="6" t="str">
        <f ca="1">IFERROR(__xludf.DUMMYFUNCTION("""COMPUTED_VALUE"""),"23SDSCE01087")</f>
        <v>23SDSCE01087</v>
      </c>
      <c r="B136" s="37" t="str">
        <f ca="1">IFERROR(__xludf.DUMMYFUNCTION("""COMPUTED_VALUE"""),"DAVE ISHIKA ASHVINBHAI")</f>
        <v>DAVE ISHIKA ASHVINBHAI</v>
      </c>
      <c r="C136" s="18" t="str">
        <f ca="1">IFERROR(__xludf.DUMMYFUNCTION("""COMPUTED_VALUE"""),"SDS")</f>
        <v>SDS</v>
      </c>
      <c r="D136" s="18" t="str">
        <f ca="1">IFERROR(__xludf.DUMMYFUNCTION("""COMPUTED_VALUE"""),"DCE")</f>
        <v>DCE</v>
      </c>
      <c r="E136" s="18">
        <f ca="1">IFERROR(__xludf.DUMMYFUNCTION("""COMPUTED_VALUE"""),2)</f>
        <v>2</v>
      </c>
      <c r="F136" s="18" t="str">
        <f ca="1">IFERROR(__xludf.DUMMYFUNCTION("""COMPUTED_VALUE"""),"9157838806 8780643009 9824302665")</f>
        <v>9157838806 8780643009 9824302665</v>
      </c>
      <c r="G136" s="18" t="str">
        <f ca="1">IFERROR(__xludf.DUMMYFUNCTION("""COMPUTED_VALUE"""),"9157838806 8780643009 9824302665")</f>
        <v>9157838806 8780643009 9824302665</v>
      </c>
      <c r="H136" s="6" t="str">
        <f ca="1">IFERROR(__xludf.DUMMYFUNCTION("""COMPUTED_VALUE"""),"DCE_2023-26")</f>
        <v>DCE_2023-26</v>
      </c>
      <c r="I136" s="20"/>
      <c r="J136" s="21">
        <f ca="1">IFERROR(__xludf.DUMMYFUNCTION("""COMPUTED_VALUE"""),27500)</f>
        <v>27500</v>
      </c>
      <c r="K136" s="21">
        <f ca="1">IFERROR(__xludf.DUMMYFUNCTION("""COMPUTED_VALUE"""),0)</f>
        <v>0</v>
      </c>
      <c r="L136" s="21">
        <f ca="1">IFERROR(__xludf.DUMMYFUNCTION("""COMPUTED_VALUE"""),0)</f>
        <v>0</v>
      </c>
      <c r="M136" s="23">
        <f ca="1">IFERROR(__xludf.DUMMYFUNCTION("""COMPUTED_VALUE"""),0)</f>
        <v>0</v>
      </c>
      <c r="N136" s="21">
        <f ca="1">IFERROR(__xludf.DUMMYFUNCTION("""COMPUTED_VALUE"""),27500)</f>
        <v>27500</v>
      </c>
      <c r="O136" s="21">
        <f ca="1">IFERROR(__xludf.DUMMYFUNCTION("""COMPUTED_VALUE"""),3000)</f>
        <v>3000</v>
      </c>
      <c r="P136" s="21">
        <f ca="1">IFERROR(__xludf.DUMMYFUNCTION("""COMPUTED_VALUE"""),0)</f>
        <v>0</v>
      </c>
      <c r="Q136" s="23">
        <f ca="1">IFERROR(__xludf.DUMMYFUNCTION("""COMPUTED_VALUE"""),0)</f>
        <v>0</v>
      </c>
      <c r="R136" s="24">
        <f ca="1">IFERROR(__xludf.DUMMYFUNCTION("""COMPUTED_VALUE"""),0)</f>
        <v>0</v>
      </c>
      <c r="S136" s="23">
        <f ca="1">IFERROR(__xludf.DUMMYFUNCTION("""COMPUTED_VALUE"""),3000)</f>
        <v>3000</v>
      </c>
      <c r="T136" s="24">
        <f ca="1">IFERROR(__xludf.DUMMYFUNCTION("""COMPUTED_VALUE"""),0)</f>
        <v>0</v>
      </c>
      <c r="U136" s="23">
        <f ca="1">IFERROR(__xludf.DUMMYFUNCTION("""COMPUTED_VALUE"""),0)</f>
        <v>0</v>
      </c>
      <c r="V136" s="23">
        <f ca="1">IFERROR(__xludf.DUMMYFUNCTION("""COMPUTED_VALUE"""),0)</f>
        <v>0</v>
      </c>
      <c r="W136" s="23">
        <f ca="1">IFERROR(__xludf.DUMMYFUNCTION("""COMPUTED_VALUE"""),0)</f>
        <v>0</v>
      </c>
      <c r="X136" s="23">
        <f ca="1">IFERROR(__xludf.DUMMYFUNCTION("""COMPUTED_VALUE"""),0)</f>
        <v>0</v>
      </c>
      <c r="Y136" s="25">
        <f ca="1">IFERROR(__xludf.DUMMYFUNCTION("""COMPUTED_VALUE"""),0)</f>
        <v>0</v>
      </c>
      <c r="Z136" s="25">
        <f ca="1">IFERROR(__xludf.DUMMYFUNCTION("""COMPUTED_VALUE"""),0)</f>
        <v>0</v>
      </c>
      <c r="AA136" s="25">
        <f ca="1">IFERROR(__xludf.DUMMYFUNCTION("""COMPUTED_VALUE"""),0)</f>
        <v>0</v>
      </c>
      <c r="AB136" s="25">
        <f ca="1">IFERROR(__xludf.DUMMYFUNCTION("""COMPUTED_VALUE"""),0)</f>
        <v>0</v>
      </c>
      <c r="AC136" s="23">
        <f ca="1">IFERROR(__xludf.DUMMYFUNCTION("""COMPUTED_VALUE"""),0)</f>
        <v>0</v>
      </c>
      <c r="AD136" s="26"/>
      <c r="AE136" s="27"/>
    </row>
    <row r="137" spans="1:31" ht="14.3">
      <c r="A137" s="6" t="str">
        <f ca="1">IFERROR(__xludf.DUMMYFUNCTION("""COMPUTED_VALUE"""),"23SDSCE01088")</f>
        <v>23SDSCE01088</v>
      </c>
      <c r="B137" s="37" t="str">
        <f ca="1">IFERROR(__xludf.DUMMYFUNCTION("""COMPUTED_VALUE"""),"DOBARIYA BHAVY PRAKASHBHAI")</f>
        <v>DOBARIYA BHAVY PRAKASHBHAI</v>
      </c>
      <c r="C137" s="18" t="str">
        <f ca="1">IFERROR(__xludf.DUMMYFUNCTION("""COMPUTED_VALUE"""),"SDS")</f>
        <v>SDS</v>
      </c>
      <c r="D137" s="18" t="str">
        <f ca="1">IFERROR(__xludf.DUMMYFUNCTION("""COMPUTED_VALUE"""),"DCE")</f>
        <v>DCE</v>
      </c>
      <c r="E137" s="18">
        <f ca="1">IFERROR(__xludf.DUMMYFUNCTION("""COMPUTED_VALUE"""),2)</f>
        <v>2</v>
      </c>
      <c r="F137" s="18" t="str">
        <f ca="1">IFERROR(__xludf.DUMMYFUNCTION("""COMPUTED_VALUE"""),"9664686936 9725459588")</f>
        <v>9664686936 9725459588</v>
      </c>
      <c r="G137" s="18" t="str">
        <f ca="1">IFERROR(__xludf.DUMMYFUNCTION("""COMPUTED_VALUE"""),"9664686936 9725459588")</f>
        <v>9664686936 9725459588</v>
      </c>
      <c r="H137" s="6" t="str">
        <f ca="1">IFERROR(__xludf.DUMMYFUNCTION("""COMPUTED_VALUE"""),"DCE_2023-26")</f>
        <v>DCE_2023-26</v>
      </c>
      <c r="I137" s="20"/>
      <c r="J137" s="21">
        <f ca="1">IFERROR(__xludf.DUMMYFUNCTION("""COMPUTED_VALUE"""),27500)</f>
        <v>27500</v>
      </c>
      <c r="K137" s="21">
        <f ca="1">IFERROR(__xludf.DUMMYFUNCTION("""COMPUTED_VALUE"""),27500)</f>
        <v>27500</v>
      </c>
      <c r="L137" s="21">
        <f ca="1">IFERROR(__xludf.DUMMYFUNCTION("""COMPUTED_VALUE"""),0)</f>
        <v>0</v>
      </c>
      <c r="M137" s="23">
        <f ca="1">IFERROR(__xludf.DUMMYFUNCTION("""COMPUTED_VALUE"""),0)</f>
        <v>0</v>
      </c>
      <c r="N137" s="21">
        <f ca="1">IFERROR(__xludf.DUMMYFUNCTION("""COMPUTED_VALUE"""),0)</f>
        <v>0</v>
      </c>
      <c r="O137" s="21">
        <f ca="1">IFERROR(__xludf.DUMMYFUNCTION("""COMPUTED_VALUE"""),3000)</f>
        <v>3000</v>
      </c>
      <c r="P137" s="21">
        <f ca="1">IFERROR(__xludf.DUMMYFUNCTION("""COMPUTED_VALUE"""),3000)</f>
        <v>3000</v>
      </c>
      <c r="Q137" s="23">
        <f ca="1">IFERROR(__xludf.DUMMYFUNCTION("""COMPUTED_VALUE"""),0)</f>
        <v>0</v>
      </c>
      <c r="R137" s="24">
        <f ca="1">IFERROR(__xludf.DUMMYFUNCTION("""COMPUTED_VALUE"""),0)</f>
        <v>0</v>
      </c>
      <c r="S137" s="23">
        <f ca="1">IFERROR(__xludf.DUMMYFUNCTION("""COMPUTED_VALUE"""),0)</f>
        <v>0</v>
      </c>
      <c r="T137" s="24">
        <f ca="1">IFERROR(__xludf.DUMMYFUNCTION("""COMPUTED_VALUE"""),0)</f>
        <v>0</v>
      </c>
      <c r="U137" s="23">
        <f ca="1">IFERROR(__xludf.DUMMYFUNCTION("""COMPUTED_VALUE"""),0)</f>
        <v>0</v>
      </c>
      <c r="V137" s="23">
        <f ca="1">IFERROR(__xludf.DUMMYFUNCTION("""COMPUTED_VALUE"""),0)</f>
        <v>0</v>
      </c>
      <c r="W137" s="23">
        <f ca="1">IFERROR(__xludf.DUMMYFUNCTION("""COMPUTED_VALUE"""),0)</f>
        <v>0</v>
      </c>
      <c r="X137" s="23">
        <f ca="1">IFERROR(__xludf.DUMMYFUNCTION("""COMPUTED_VALUE"""),0)</f>
        <v>0</v>
      </c>
      <c r="Y137" s="25">
        <f ca="1">IFERROR(__xludf.DUMMYFUNCTION("""COMPUTED_VALUE"""),0)</f>
        <v>0</v>
      </c>
      <c r="Z137" s="25">
        <f ca="1">IFERROR(__xludf.DUMMYFUNCTION("""COMPUTED_VALUE"""),0)</f>
        <v>0</v>
      </c>
      <c r="AA137" s="25">
        <f ca="1">IFERROR(__xludf.DUMMYFUNCTION("""COMPUTED_VALUE"""),0)</f>
        <v>0</v>
      </c>
      <c r="AB137" s="25">
        <f ca="1">IFERROR(__xludf.DUMMYFUNCTION("""COMPUTED_VALUE"""),0)</f>
        <v>0</v>
      </c>
      <c r="AC137" s="23">
        <f ca="1">IFERROR(__xludf.DUMMYFUNCTION("""COMPUTED_VALUE"""),0)</f>
        <v>0</v>
      </c>
      <c r="AD137" s="26"/>
      <c r="AE137" s="27"/>
    </row>
    <row r="138" spans="1:31" ht="14.3">
      <c r="A138" s="6" t="str">
        <f ca="1">IFERROR(__xludf.DUMMYFUNCTION("""COMPUTED_VALUE"""),"23SDSCE01089")</f>
        <v>23SDSCE01089</v>
      </c>
      <c r="B138" s="37" t="str">
        <f ca="1">IFERROR(__xludf.DUMMYFUNCTION("""COMPUTED_VALUE"""),"DUDHREJIYA MANALI GOPALBHAI")</f>
        <v>DUDHREJIYA MANALI GOPALBHAI</v>
      </c>
      <c r="C138" s="18" t="str">
        <f ca="1">IFERROR(__xludf.DUMMYFUNCTION("""COMPUTED_VALUE"""),"SDS")</f>
        <v>SDS</v>
      </c>
      <c r="D138" s="18" t="str">
        <f ca="1">IFERROR(__xludf.DUMMYFUNCTION("""COMPUTED_VALUE"""),"DCE")</f>
        <v>DCE</v>
      </c>
      <c r="E138" s="18">
        <f ca="1">IFERROR(__xludf.DUMMYFUNCTION("""COMPUTED_VALUE"""),2)</f>
        <v>2</v>
      </c>
      <c r="F138" s="18" t="str">
        <f ca="1">IFERROR(__xludf.DUMMYFUNCTION("""COMPUTED_VALUE"""),"9173941505 9376925513")</f>
        <v>9173941505 9376925513</v>
      </c>
      <c r="G138" s="18" t="str">
        <f ca="1">IFERROR(__xludf.DUMMYFUNCTION("""COMPUTED_VALUE"""),"9173941505 9376925513")</f>
        <v>9173941505 9376925513</v>
      </c>
      <c r="H138" s="6" t="str">
        <f ca="1">IFERROR(__xludf.DUMMYFUNCTION("""COMPUTED_VALUE"""),"DCE_2023-26")</f>
        <v>DCE_2023-26</v>
      </c>
      <c r="I138" s="20"/>
      <c r="J138" s="21">
        <f ca="1">IFERROR(__xludf.DUMMYFUNCTION("""COMPUTED_VALUE"""),27500)</f>
        <v>27500</v>
      </c>
      <c r="K138" s="21">
        <f ca="1">IFERROR(__xludf.DUMMYFUNCTION("""COMPUTED_VALUE"""),27500)</f>
        <v>27500</v>
      </c>
      <c r="L138" s="21">
        <f ca="1">IFERROR(__xludf.DUMMYFUNCTION("""COMPUTED_VALUE"""),0)</f>
        <v>0</v>
      </c>
      <c r="M138" s="23">
        <f ca="1">IFERROR(__xludf.DUMMYFUNCTION("""COMPUTED_VALUE"""),0)</f>
        <v>0</v>
      </c>
      <c r="N138" s="21">
        <f ca="1">IFERROR(__xludf.DUMMYFUNCTION("""COMPUTED_VALUE"""),0)</f>
        <v>0</v>
      </c>
      <c r="O138" s="21">
        <f ca="1">IFERROR(__xludf.DUMMYFUNCTION("""COMPUTED_VALUE"""),3000)</f>
        <v>3000</v>
      </c>
      <c r="P138" s="21">
        <f ca="1">IFERROR(__xludf.DUMMYFUNCTION("""COMPUTED_VALUE"""),3000)</f>
        <v>3000</v>
      </c>
      <c r="Q138" s="23">
        <f ca="1">IFERROR(__xludf.DUMMYFUNCTION("""COMPUTED_VALUE"""),0)</f>
        <v>0</v>
      </c>
      <c r="R138" s="24">
        <f ca="1">IFERROR(__xludf.DUMMYFUNCTION("""COMPUTED_VALUE"""),0)</f>
        <v>0</v>
      </c>
      <c r="S138" s="23">
        <f ca="1">IFERROR(__xludf.DUMMYFUNCTION("""COMPUTED_VALUE"""),0)</f>
        <v>0</v>
      </c>
      <c r="T138" s="24">
        <f ca="1">IFERROR(__xludf.DUMMYFUNCTION("""COMPUTED_VALUE"""),0)</f>
        <v>0</v>
      </c>
      <c r="U138" s="23">
        <f ca="1">IFERROR(__xludf.DUMMYFUNCTION("""COMPUTED_VALUE"""),0)</f>
        <v>0</v>
      </c>
      <c r="V138" s="23">
        <f ca="1">IFERROR(__xludf.DUMMYFUNCTION("""COMPUTED_VALUE"""),0)</f>
        <v>0</v>
      </c>
      <c r="W138" s="23">
        <f ca="1">IFERROR(__xludf.DUMMYFUNCTION("""COMPUTED_VALUE"""),0)</f>
        <v>0</v>
      </c>
      <c r="X138" s="23">
        <f ca="1">IFERROR(__xludf.DUMMYFUNCTION("""COMPUTED_VALUE"""),0)</f>
        <v>0</v>
      </c>
      <c r="Y138" s="25">
        <f ca="1">IFERROR(__xludf.DUMMYFUNCTION("""COMPUTED_VALUE"""),0)</f>
        <v>0</v>
      </c>
      <c r="Z138" s="25">
        <f ca="1">IFERROR(__xludf.DUMMYFUNCTION("""COMPUTED_VALUE"""),0)</f>
        <v>0</v>
      </c>
      <c r="AA138" s="25">
        <f ca="1">IFERROR(__xludf.DUMMYFUNCTION("""COMPUTED_VALUE"""),0)</f>
        <v>0</v>
      </c>
      <c r="AB138" s="25">
        <f ca="1">IFERROR(__xludf.DUMMYFUNCTION("""COMPUTED_VALUE"""),0)</f>
        <v>0</v>
      </c>
      <c r="AC138" s="23">
        <f ca="1">IFERROR(__xludf.DUMMYFUNCTION("""COMPUTED_VALUE"""),0)</f>
        <v>0</v>
      </c>
      <c r="AD138" s="26"/>
      <c r="AE138" s="27"/>
    </row>
    <row r="139" spans="1:31" ht="14.3">
      <c r="A139" s="6" t="str">
        <f ca="1">IFERROR(__xludf.DUMMYFUNCTION("""COMPUTED_VALUE"""),"23SDSCE01090")</f>
        <v>23SDSCE01090</v>
      </c>
      <c r="B139" s="37" t="str">
        <f ca="1">IFERROR(__xludf.DUMMYFUNCTION("""COMPUTED_VALUE"""),"GEDIYA PRIYANSH SURESHBHAI")</f>
        <v>GEDIYA PRIYANSH SURESHBHAI</v>
      </c>
      <c r="C139" s="18" t="str">
        <f ca="1">IFERROR(__xludf.DUMMYFUNCTION("""COMPUTED_VALUE"""),"SDS")</f>
        <v>SDS</v>
      </c>
      <c r="D139" s="18" t="str">
        <f ca="1">IFERROR(__xludf.DUMMYFUNCTION("""COMPUTED_VALUE"""),"DCE")</f>
        <v>DCE</v>
      </c>
      <c r="E139" s="18">
        <f ca="1">IFERROR(__xludf.DUMMYFUNCTION("""COMPUTED_VALUE"""),2)</f>
        <v>2</v>
      </c>
      <c r="F139" s="18" t="str">
        <f ca="1">IFERROR(__xludf.DUMMYFUNCTION("""COMPUTED_VALUE"""),"9879258758
8200471734")</f>
        <v>9879258758
8200471734</v>
      </c>
      <c r="G139" s="18" t="str">
        <f ca="1">IFERROR(__xludf.DUMMYFUNCTION("""COMPUTED_VALUE"""),"9879258758
8200471734")</f>
        <v>9879258758
8200471734</v>
      </c>
      <c r="H139" s="6" t="str">
        <f ca="1">IFERROR(__xludf.DUMMYFUNCTION("""COMPUTED_VALUE"""),"DCE_2023-26")</f>
        <v>DCE_2023-26</v>
      </c>
      <c r="I139" s="20" t="str">
        <f ca="1">IFERROR(__xludf.DUMMYFUNCTION("""COMPUTED_VALUE"""),"KSP")</f>
        <v>KSP</v>
      </c>
      <c r="J139" s="21">
        <f ca="1">IFERROR(__xludf.DUMMYFUNCTION("""COMPUTED_VALUE"""),27500)</f>
        <v>27500</v>
      </c>
      <c r="K139" s="21">
        <f ca="1">IFERROR(__xludf.DUMMYFUNCTION("""COMPUTED_VALUE"""),0)</f>
        <v>0</v>
      </c>
      <c r="L139" s="21">
        <f ca="1">IFERROR(__xludf.DUMMYFUNCTION("""COMPUTED_VALUE"""),0)</f>
        <v>0</v>
      </c>
      <c r="M139" s="23">
        <f ca="1">IFERROR(__xludf.DUMMYFUNCTION("""COMPUTED_VALUE"""),6250)</f>
        <v>6250</v>
      </c>
      <c r="N139" s="21">
        <f ca="1">IFERROR(__xludf.DUMMYFUNCTION("""COMPUTED_VALUE"""),21250)</f>
        <v>21250</v>
      </c>
      <c r="O139" s="21">
        <f ca="1">IFERROR(__xludf.DUMMYFUNCTION("""COMPUTED_VALUE"""),3000)</f>
        <v>3000</v>
      </c>
      <c r="P139" s="21">
        <f ca="1">IFERROR(__xludf.DUMMYFUNCTION("""COMPUTED_VALUE"""),0)</f>
        <v>0</v>
      </c>
      <c r="Q139" s="23">
        <f ca="1">IFERROR(__xludf.DUMMYFUNCTION("""COMPUTED_VALUE"""),0)</f>
        <v>0</v>
      </c>
      <c r="R139" s="24">
        <f ca="1">IFERROR(__xludf.DUMMYFUNCTION("""COMPUTED_VALUE"""),0)</f>
        <v>0</v>
      </c>
      <c r="S139" s="23">
        <f ca="1">IFERROR(__xludf.DUMMYFUNCTION("""COMPUTED_VALUE"""),3000)</f>
        <v>3000</v>
      </c>
      <c r="T139" s="24">
        <f ca="1">IFERROR(__xludf.DUMMYFUNCTION("""COMPUTED_VALUE"""),0)</f>
        <v>0</v>
      </c>
      <c r="U139" s="23">
        <f ca="1">IFERROR(__xludf.DUMMYFUNCTION("""COMPUTED_VALUE"""),0)</f>
        <v>0</v>
      </c>
      <c r="V139" s="23">
        <f ca="1">IFERROR(__xludf.DUMMYFUNCTION("""COMPUTED_VALUE"""),0)</f>
        <v>0</v>
      </c>
      <c r="W139" s="23">
        <f ca="1">IFERROR(__xludf.DUMMYFUNCTION("""COMPUTED_VALUE"""),0)</f>
        <v>0</v>
      </c>
      <c r="X139" s="23">
        <f ca="1">IFERROR(__xludf.DUMMYFUNCTION("""COMPUTED_VALUE"""),0)</f>
        <v>0</v>
      </c>
      <c r="Y139" s="25">
        <f ca="1">IFERROR(__xludf.DUMMYFUNCTION("""COMPUTED_VALUE"""),0)</f>
        <v>0</v>
      </c>
      <c r="Z139" s="25">
        <f ca="1">IFERROR(__xludf.DUMMYFUNCTION("""COMPUTED_VALUE"""),0)</f>
        <v>0</v>
      </c>
      <c r="AA139" s="25">
        <f ca="1">IFERROR(__xludf.DUMMYFUNCTION("""COMPUTED_VALUE"""),0)</f>
        <v>0</v>
      </c>
      <c r="AB139" s="25">
        <f ca="1">IFERROR(__xludf.DUMMYFUNCTION("""COMPUTED_VALUE"""),0)</f>
        <v>0</v>
      </c>
      <c r="AC139" s="23">
        <f ca="1">IFERROR(__xludf.DUMMYFUNCTION("""COMPUTED_VALUE"""),0)</f>
        <v>0</v>
      </c>
      <c r="AD139" s="26" t="str">
        <f ca="1">IFERROR(__xludf.DUMMYFUNCTION("""COMPUTED_VALUE"""),"KSPS ( 6250/- )")</f>
        <v>KSPS ( 6250/- )</v>
      </c>
      <c r="AE139" s="27"/>
    </row>
    <row r="140" spans="1:31" ht="14.3">
      <c r="A140" s="6" t="str">
        <f ca="1">IFERROR(__xludf.DUMMYFUNCTION("""COMPUTED_VALUE"""),"23SDSCE01091")</f>
        <v>23SDSCE01091</v>
      </c>
      <c r="B140" s="37" t="str">
        <f ca="1">IFERROR(__xludf.DUMMYFUNCTION("""COMPUTED_VALUE"""),"GHARVALIYA JAY ATULBHAI")</f>
        <v>GHARVALIYA JAY ATULBHAI</v>
      </c>
      <c r="C140" s="18" t="str">
        <f ca="1">IFERROR(__xludf.DUMMYFUNCTION("""COMPUTED_VALUE"""),"SDS")</f>
        <v>SDS</v>
      </c>
      <c r="D140" s="18" t="str">
        <f ca="1">IFERROR(__xludf.DUMMYFUNCTION("""COMPUTED_VALUE"""),"DCE")</f>
        <v>DCE</v>
      </c>
      <c r="E140" s="18">
        <f ca="1">IFERROR(__xludf.DUMMYFUNCTION("""COMPUTED_VALUE"""),2)</f>
        <v>2</v>
      </c>
      <c r="F140" s="18" t="str">
        <f ca="1">IFERROR(__xludf.DUMMYFUNCTION("""COMPUTED_VALUE"""),"9375585894 9328005332")</f>
        <v>9375585894 9328005332</v>
      </c>
      <c r="G140" s="18" t="str">
        <f ca="1">IFERROR(__xludf.DUMMYFUNCTION("""COMPUTED_VALUE"""),"9375585894 9328005332")</f>
        <v>9375585894 9328005332</v>
      </c>
      <c r="H140" s="6" t="str">
        <f ca="1">IFERROR(__xludf.DUMMYFUNCTION("""COMPUTED_VALUE"""),"DCE_2023-26")</f>
        <v>DCE_2023-26</v>
      </c>
      <c r="I140" s="20"/>
      <c r="J140" s="21">
        <f ca="1">IFERROR(__xludf.DUMMYFUNCTION("""COMPUTED_VALUE"""),27500)</f>
        <v>27500</v>
      </c>
      <c r="K140" s="21">
        <f ca="1">IFERROR(__xludf.DUMMYFUNCTION("""COMPUTED_VALUE"""),27500)</f>
        <v>27500</v>
      </c>
      <c r="L140" s="21">
        <f ca="1">IFERROR(__xludf.DUMMYFUNCTION("""COMPUTED_VALUE"""),0)</f>
        <v>0</v>
      </c>
      <c r="M140" s="23">
        <f ca="1">IFERROR(__xludf.DUMMYFUNCTION("""COMPUTED_VALUE"""),0)</f>
        <v>0</v>
      </c>
      <c r="N140" s="21">
        <f ca="1">IFERROR(__xludf.DUMMYFUNCTION("""COMPUTED_VALUE"""),0)</f>
        <v>0</v>
      </c>
      <c r="O140" s="21">
        <f ca="1">IFERROR(__xludf.DUMMYFUNCTION("""COMPUTED_VALUE"""),3000)</f>
        <v>3000</v>
      </c>
      <c r="P140" s="21">
        <f ca="1">IFERROR(__xludf.DUMMYFUNCTION("""COMPUTED_VALUE"""),3000)</f>
        <v>3000</v>
      </c>
      <c r="Q140" s="23">
        <f ca="1">IFERROR(__xludf.DUMMYFUNCTION("""COMPUTED_VALUE"""),0)</f>
        <v>0</v>
      </c>
      <c r="R140" s="24">
        <f ca="1">IFERROR(__xludf.DUMMYFUNCTION("""COMPUTED_VALUE"""),0)</f>
        <v>0</v>
      </c>
      <c r="S140" s="23">
        <f ca="1">IFERROR(__xludf.DUMMYFUNCTION("""COMPUTED_VALUE"""),0)</f>
        <v>0</v>
      </c>
      <c r="T140" s="24">
        <f ca="1">IFERROR(__xludf.DUMMYFUNCTION("""COMPUTED_VALUE"""),0)</f>
        <v>0</v>
      </c>
      <c r="U140" s="23">
        <f ca="1">IFERROR(__xludf.DUMMYFUNCTION("""COMPUTED_VALUE"""),0)</f>
        <v>0</v>
      </c>
      <c r="V140" s="23">
        <f ca="1">IFERROR(__xludf.DUMMYFUNCTION("""COMPUTED_VALUE"""),0)</f>
        <v>0</v>
      </c>
      <c r="W140" s="23">
        <f ca="1">IFERROR(__xludf.DUMMYFUNCTION("""COMPUTED_VALUE"""),0)</f>
        <v>0</v>
      </c>
      <c r="X140" s="23">
        <f ca="1">IFERROR(__xludf.DUMMYFUNCTION("""COMPUTED_VALUE"""),0)</f>
        <v>0</v>
      </c>
      <c r="Y140" s="25">
        <f ca="1">IFERROR(__xludf.DUMMYFUNCTION("""COMPUTED_VALUE"""),0)</f>
        <v>0</v>
      </c>
      <c r="Z140" s="25">
        <f ca="1">IFERROR(__xludf.DUMMYFUNCTION("""COMPUTED_VALUE"""),0)</f>
        <v>0</v>
      </c>
      <c r="AA140" s="25">
        <f ca="1">IFERROR(__xludf.DUMMYFUNCTION("""COMPUTED_VALUE"""),0)</f>
        <v>0</v>
      </c>
      <c r="AB140" s="25">
        <f ca="1">IFERROR(__xludf.DUMMYFUNCTION("""COMPUTED_VALUE"""),0)</f>
        <v>0</v>
      </c>
      <c r="AC140" s="23">
        <f ca="1">IFERROR(__xludf.DUMMYFUNCTION("""COMPUTED_VALUE"""),0)</f>
        <v>0</v>
      </c>
      <c r="AD140" s="26"/>
      <c r="AE140" s="27"/>
    </row>
    <row r="141" spans="1:31" ht="14.3">
      <c r="A141" s="6" t="str">
        <f ca="1">IFERROR(__xludf.DUMMYFUNCTION("""COMPUTED_VALUE"""),"23SDSCE01092")</f>
        <v>23SDSCE01092</v>
      </c>
      <c r="B141" s="37" t="str">
        <f ca="1">IFERROR(__xludf.DUMMYFUNCTION("""COMPUTED_VALUE"""),"GHIYAD VISHVA MANISHBHAI")</f>
        <v>GHIYAD VISHVA MANISHBHAI</v>
      </c>
      <c r="C141" s="18" t="str">
        <f ca="1">IFERROR(__xludf.DUMMYFUNCTION("""COMPUTED_VALUE"""),"SDS")</f>
        <v>SDS</v>
      </c>
      <c r="D141" s="18" t="str">
        <f ca="1">IFERROR(__xludf.DUMMYFUNCTION("""COMPUTED_VALUE"""),"DCE")</f>
        <v>DCE</v>
      </c>
      <c r="E141" s="18">
        <f ca="1">IFERROR(__xludf.DUMMYFUNCTION("""COMPUTED_VALUE"""),2)</f>
        <v>2</v>
      </c>
      <c r="F141" s="18" t="str">
        <f ca="1">IFERROR(__xludf.DUMMYFUNCTION("""COMPUTED_VALUE"""),"8690745415 9998871704")</f>
        <v>8690745415 9998871704</v>
      </c>
      <c r="G141" s="18" t="str">
        <f ca="1">IFERROR(__xludf.DUMMYFUNCTION("""COMPUTED_VALUE"""),"8690745415 9998871704")</f>
        <v>8690745415 9998871704</v>
      </c>
      <c r="H141" s="6" t="str">
        <f ca="1">IFERROR(__xludf.DUMMYFUNCTION("""COMPUTED_VALUE"""),"DCE_2023-26")</f>
        <v>DCE_2023-26</v>
      </c>
      <c r="I141" s="20" t="str">
        <f ca="1">IFERROR(__xludf.DUMMYFUNCTION("""COMPUTED_VALUE"""),"KSP")</f>
        <v>KSP</v>
      </c>
      <c r="J141" s="21">
        <f ca="1">IFERROR(__xludf.DUMMYFUNCTION("""COMPUTED_VALUE"""),27500)</f>
        <v>27500</v>
      </c>
      <c r="K141" s="21">
        <f ca="1">IFERROR(__xludf.DUMMYFUNCTION("""COMPUTED_VALUE"""),25000)</f>
        <v>25000</v>
      </c>
      <c r="L141" s="21">
        <f ca="1">IFERROR(__xludf.DUMMYFUNCTION("""COMPUTED_VALUE"""),0)</f>
        <v>0</v>
      </c>
      <c r="M141" s="23">
        <f ca="1">IFERROR(__xludf.DUMMYFUNCTION("""COMPUTED_VALUE"""),2500)</f>
        <v>2500</v>
      </c>
      <c r="N141" s="21">
        <f ca="1">IFERROR(__xludf.DUMMYFUNCTION("""COMPUTED_VALUE"""),0)</f>
        <v>0</v>
      </c>
      <c r="O141" s="21">
        <f ca="1">IFERROR(__xludf.DUMMYFUNCTION("""COMPUTED_VALUE"""),3000)</f>
        <v>3000</v>
      </c>
      <c r="P141" s="21">
        <f ca="1">IFERROR(__xludf.DUMMYFUNCTION("""COMPUTED_VALUE"""),3000)</f>
        <v>3000</v>
      </c>
      <c r="Q141" s="23">
        <f ca="1">IFERROR(__xludf.DUMMYFUNCTION("""COMPUTED_VALUE"""),0)</f>
        <v>0</v>
      </c>
      <c r="R141" s="24">
        <f ca="1">IFERROR(__xludf.DUMMYFUNCTION("""COMPUTED_VALUE"""),0)</f>
        <v>0</v>
      </c>
      <c r="S141" s="23">
        <f ca="1">IFERROR(__xludf.DUMMYFUNCTION("""COMPUTED_VALUE"""),0)</f>
        <v>0</v>
      </c>
      <c r="T141" s="24">
        <f ca="1">IFERROR(__xludf.DUMMYFUNCTION("""COMPUTED_VALUE"""),0)</f>
        <v>0</v>
      </c>
      <c r="U141" s="23">
        <f ca="1">IFERROR(__xludf.DUMMYFUNCTION("""COMPUTED_VALUE"""),0)</f>
        <v>0</v>
      </c>
      <c r="V141" s="23">
        <f ca="1">IFERROR(__xludf.DUMMYFUNCTION("""COMPUTED_VALUE"""),0)</f>
        <v>0</v>
      </c>
      <c r="W141" s="23">
        <f ca="1">IFERROR(__xludf.DUMMYFUNCTION("""COMPUTED_VALUE"""),0)</f>
        <v>0</v>
      </c>
      <c r="X141" s="23">
        <f ca="1">IFERROR(__xludf.DUMMYFUNCTION("""COMPUTED_VALUE"""),0)</f>
        <v>0</v>
      </c>
      <c r="Y141" s="25">
        <f ca="1">IFERROR(__xludf.DUMMYFUNCTION("""COMPUTED_VALUE"""),0)</f>
        <v>0</v>
      </c>
      <c r="Z141" s="25">
        <f ca="1">IFERROR(__xludf.DUMMYFUNCTION("""COMPUTED_VALUE"""),0)</f>
        <v>0</v>
      </c>
      <c r="AA141" s="25">
        <f ca="1">IFERROR(__xludf.DUMMYFUNCTION("""COMPUTED_VALUE"""),0)</f>
        <v>0</v>
      </c>
      <c r="AB141" s="25">
        <f ca="1">IFERROR(__xludf.DUMMYFUNCTION("""COMPUTED_VALUE"""),0)</f>
        <v>0</v>
      </c>
      <c r="AC141" s="23">
        <f ca="1">IFERROR(__xludf.DUMMYFUNCTION("""COMPUTED_VALUE"""),0)</f>
        <v>0</v>
      </c>
      <c r="AD141" s="26" t="str">
        <f ca="1">IFERROR(__xludf.DUMMYFUNCTION("""COMPUTED_VALUE"""),"KSPS ( 2500/- )")</f>
        <v>KSPS ( 2500/- )</v>
      </c>
      <c r="AE141" s="27"/>
    </row>
    <row r="142" spans="1:31" ht="14.3">
      <c r="A142" s="6" t="str">
        <f ca="1">IFERROR(__xludf.DUMMYFUNCTION("""COMPUTED_VALUE"""),"23SDSCE01093")</f>
        <v>23SDSCE01093</v>
      </c>
      <c r="B142" s="37" t="str">
        <f ca="1">IFERROR(__xludf.DUMMYFUNCTION("""COMPUTED_VALUE"""),"GOSWAMI PARTH MANOJVAN")</f>
        <v>GOSWAMI PARTH MANOJVAN</v>
      </c>
      <c r="C142" s="18" t="str">
        <f ca="1">IFERROR(__xludf.DUMMYFUNCTION("""COMPUTED_VALUE"""),"SDS")</f>
        <v>SDS</v>
      </c>
      <c r="D142" s="18" t="str">
        <f ca="1">IFERROR(__xludf.DUMMYFUNCTION("""COMPUTED_VALUE"""),"DCE")</f>
        <v>DCE</v>
      </c>
      <c r="E142" s="18">
        <f ca="1">IFERROR(__xludf.DUMMYFUNCTION("""COMPUTED_VALUE"""),2)</f>
        <v>2</v>
      </c>
      <c r="F142" s="18" t="str">
        <f ca="1">IFERROR(__xludf.DUMMYFUNCTION("""COMPUTED_VALUE"""),"7984785595 9427245850")</f>
        <v>7984785595 9427245850</v>
      </c>
      <c r="G142" s="18" t="str">
        <f ca="1">IFERROR(__xludf.DUMMYFUNCTION("""COMPUTED_VALUE"""),"7984785595 9427245850")</f>
        <v>7984785595 9427245850</v>
      </c>
      <c r="H142" s="6" t="str">
        <f ca="1">IFERROR(__xludf.DUMMYFUNCTION("""COMPUTED_VALUE"""),"DCE_2023-26")</f>
        <v>DCE_2023-26</v>
      </c>
      <c r="I142" s="20"/>
      <c r="J142" s="21">
        <f ca="1">IFERROR(__xludf.DUMMYFUNCTION("""COMPUTED_VALUE"""),27500)</f>
        <v>27500</v>
      </c>
      <c r="K142" s="21">
        <f ca="1">IFERROR(__xludf.DUMMYFUNCTION("""COMPUTED_VALUE"""),27500)</f>
        <v>27500</v>
      </c>
      <c r="L142" s="21">
        <f ca="1">IFERROR(__xludf.DUMMYFUNCTION("""COMPUTED_VALUE"""),0)</f>
        <v>0</v>
      </c>
      <c r="M142" s="23">
        <f ca="1">IFERROR(__xludf.DUMMYFUNCTION("""COMPUTED_VALUE"""),0)</f>
        <v>0</v>
      </c>
      <c r="N142" s="21">
        <f ca="1">IFERROR(__xludf.DUMMYFUNCTION("""COMPUTED_VALUE"""),0)</f>
        <v>0</v>
      </c>
      <c r="O142" s="21">
        <f ca="1">IFERROR(__xludf.DUMMYFUNCTION("""COMPUTED_VALUE"""),3000)</f>
        <v>3000</v>
      </c>
      <c r="P142" s="21">
        <f ca="1">IFERROR(__xludf.DUMMYFUNCTION("""COMPUTED_VALUE"""),3000)</f>
        <v>3000</v>
      </c>
      <c r="Q142" s="23">
        <f ca="1">IFERROR(__xludf.DUMMYFUNCTION("""COMPUTED_VALUE"""),0)</f>
        <v>0</v>
      </c>
      <c r="R142" s="24">
        <f ca="1">IFERROR(__xludf.DUMMYFUNCTION("""COMPUTED_VALUE"""),0)</f>
        <v>0</v>
      </c>
      <c r="S142" s="23">
        <f ca="1">IFERROR(__xludf.DUMMYFUNCTION("""COMPUTED_VALUE"""),0)</f>
        <v>0</v>
      </c>
      <c r="T142" s="24">
        <f ca="1">IFERROR(__xludf.DUMMYFUNCTION("""COMPUTED_VALUE"""),0)</f>
        <v>0</v>
      </c>
      <c r="U142" s="23">
        <f ca="1">IFERROR(__xludf.DUMMYFUNCTION("""COMPUTED_VALUE"""),0)</f>
        <v>0</v>
      </c>
      <c r="V142" s="23">
        <f ca="1">IFERROR(__xludf.DUMMYFUNCTION("""COMPUTED_VALUE"""),0)</f>
        <v>0</v>
      </c>
      <c r="W142" s="23">
        <f ca="1">IFERROR(__xludf.DUMMYFUNCTION("""COMPUTED_VALUE"""),0)</f>
        <v>0</v>
      </c>
      <c r="X142" s="23">
        <f ca="1">IFERROR(__xludf.DUMMYFUNCTION("""COMPUTED_VALUE"""),0)</f>
        <v>0</v>
      </c>
      <c r="Y142" s="25">
        <f ca="1">IFERROR(__xludf.DUMMYFUNCTION("""COMPUTED_VALUE"""),0)</f>
        <v>0</v>
      </c>
      <c r="Z142" s="25">
        <f ca="1">IFERROR(__xludf.DUMMYFUNCTION("""COMPUTED_VALUE"""),0)</f>
        <v>0</v>
      </c>
      <c r="AA142" s="25">
        <f ca="1">IFERROR(__xludf.DUMMYFUNCTION("""COMPUTED_VALUE"""),0)</f>
        <v>0</v>
      </c>
      <c r="AB142" s="25">
        <f ca="1">IFERROR(__xludf.DUMMYFUNCTION("""COMPUTED_VALUE"""),0)</f>
        <v>0</v>
      </c>
      <c r="AC142" s="23">
        <f ca="1">IFERROR(__xludf.DUMMYFUNCTION("""COMPUTED_VALUE"""),0)</f>
        <v>0</v>
      </c>
      <c r="AD142" s="26"/>
      <c r="AE142" s="27"/>
    </row>
    <row r="143" spans="1:31" ht="14.3">
      <c r="A143" s="6" t="str">
        <f ca="1">IFERROR(__xludf.DUMMYFUNCTION("""COMPUTED_VALUE"""),"23SDSCE01094")</f>
        <v>23SDSCE01094</v>
      </c>
      <c r="B143" s="37" t="str">
        <f ca="1">IFERROR(__xludf.DUMMYFUNCTION("""COMPUTED_VALUE"""),"JADEJA BHAGYASHRIBA AJAYSINH")</f>
        <v>JADEJA BHAGYASHRIBA AJAYSINH</v>
      </c>
      <c r="C143" s="18" t="str">
        <f ca="1">IFERROR(__xludf.DUMMYFUNCTION("""COMPUTED_VALUE"""),"SDS")</f>
        <v>SDS</v>
      </c>
      <c r="D143" s="18" t="str">
        <f ca="1">IFERROR(__xludf.DUMMYFUNCTION("""COMPUTED_VALUE"""),"DCE")</f>
        <v>DCE</v>
      </c>
      <c r="E143" s="18">
        <f ca="1">IFERROR(__xludf.DUMMYFUNCTION("""COMPUTED_VALUE"""),2)</f>
        <v>2</v>
      </c>
      <c r="F143" s="18" t="str">
        <f ca="1">IFERROR(__xludf.DUMMYFUNCTION("""COMPUTED_VALUE"""),"9313523870 9978206452")</f>
        <v>9313523870 9978206452</v>
      </c>
      <c r="G143" s="18" t="str">
        <f ca="1">IFERROR(__xludf.DUMMYFUNCTION("""COMPUTED_VALUE"""),"9313523870 9978206452")</f>
        <v>9313523870 9978206452</v>
      </c>
      <c r="H143" s="6" t="str">
        <f ca="1">IFERROR(__xludf.DUMMYFUNCTION("""COMPUTED_VALUE"""),"DCE_2023-26")</f>
        <v>DCE_2023-26</v>
      </c>
      <c r="I143" s="20"/>
      <c r="J143" s="21">
        <f ca="1">IFERROR(__xludf.DUMMYFUNCTION("""COMPUTED_VALUE"""),27500)</f>
        <v>27500</v>
      </c>
      <c r="K143" s="21">
        <f ca="1">IFERROR(__xludf.DUMMYFUNCTION("""COMPUTED_VALUE"""),27500)</f>
        <v>27500</v>
      </c>
      <c r="L143" s="21">
        <f ca="1">IFERROR(__xludf.DUMMYFUNCTION("""COMPUTED_VALUE"""),0)</f>
        <v>0</v>
      </c>
      <c r="M143" s="23">
        <f ca="1">IFERROR(__xludf.DUMMYFUNCTION("""COMPUTED_VALUE"""),0)</f>
        <v>0</v>
      </c>
      <c r="N143" s="21">
        <f ca="1">IFERROR(__xludf.DUMMYFUNCTION("""COMPUTED_VALUE"""),0)</f>
        <v>0</v>
      </c>
      <c r="O143" s="21">
        <f ca="1">IFERROR(__xludf.DUMMYFUNCTION("""COMPUTED_VALUE"""),3000)</f>
        <v>3000</v>
      </c>
      <c r="P143" s="21">
        <f ca="1">IFERROR(__xludf.DUMMYFUNCTION("""COMPUTED_VALUE"""),3000)</f>
        <v>3000</v>
      </c>
      <c r="Q143" s="23">
        <f ca="1">IFERROR(__xludf.DUMMYFUNCTION("""COMPUTED_VALUE"""),0)</f>
        <v>0</v>
      </c>
      <c r="R143" s="24">
        <f ca="1">IFERROR(__xludf.DUMMYFUNCTION("""COMPUTED_VALUE"""),0)</f>
        <v>0</v>
      </c>
      <c r="S143" s="23">
        <f ca="1">IFERROR(__xludf.DUMMYFUNCTION("""COMPUTED_VALUE"""),0)</f>
        <v>0</v>
      </c>
      <c r="T143" s="24">
        <f ca="1">IFERROR(__xludf.DUMMYFUNCTION("""COMPUTED_VALUE"""),0)</f>
        <v>0</v>
      </c>
      <c r="U143" s="23">
        <f ca="1">IFERROR(__xludf.DUMMYFUNCTION("""COMPUTED_VALUE"""),0)</f>
        <v>0</v>
      </c>
      <c r="V143" s="23">
        <f ca="1">IFERROR(__xludf.DUMMYFUNCTION("""COMPUTED_VALUE"""),0)</f>
        <v>0</v>
      </c>
      <c r="W143" s="23">
        <f ca="1">IFERROR(__xludf.DUMMYFUNCTION("""COMPUTED_VALUE"""),0)</f>
        <v>0</v>
      </c>
      <c r="X143" s="23">
        <f ca="1">IFERROR(__xludf.DUMMYFUNCTION("""COMPUTED_VALUE"""),0)</f>
        <v>0</v>
      </c>
      <c r="Y143" s="25">
        <f ca="1">IFERROR(__xludf.DUMMYFUNCTION("""COMPUTED_VALUE"""),0)</f>
        <v>0</v>
      </c>
      <c r="Z143" s="25">
        <f ca="1">IFERROR(__xludf.DUMMYFUNCTION("""COMPUTED_VALUE"""),0)</f>
        <v>0</v>
      </c>
      <c r="AA143" s="25">
        <f ca="1">IFERROR(__xludf.DUMMYFUNCTION("""COMPUTED_VALUE"""),0)</f>
        <v>0</v>
      </c>
      <c r="AB143" s="25">
        <f ca="1">IFERROR(__xludf.DUMMYFUNCTION("""COMPUTED_VALUE"""),0)</f>
        <v>0</v>
      </c>
      <c r="AC143" s="23">
        <f ca="1">IFERROR(__xludf.DUMMYFUNCTION("""COMPUTED_VALUE"""),0)</f>
        <v>0</v>
      </c>
      <c r="AD143" s="26"/>
      <c r="AE143" s="27"/>
    </row>
    <row r="144" spans="1:31" ht="14.3">
      <c r="A144" s="6" t="str">
        <f ca="1">IFERROR(__xludf.DUMMYFUNCTION("""COMPUTED_VALUE"""),"23SDSCE01095")</f>
        <v>23SDSCE01095</v>
      </c>
      <c r="B144" s="37" t="str">
        <f ca="1">IFERROR(__xludf.DUMMYFUNCTION("""COMPUTED_VALUE"""),"JOTANGIYA ANJALI ASHWINBHAI")</f>
        <v>JOTANGIYA ANJALI ASHWINBHAI</v>
      </c>
      <c r="C144" s="18" t="str">
        <f ca="1">IFERROR(__xludf.DUMMYFUNCTION("""COMPUTED_VALUE"""),"SDS")</f>
        <v>SDS</v>
      </c>
      <c r="D144" s="18" t="str">
        <f ca="1">IFERROR(__xludf.DUMMYFUNCTION("""COMPUTED_VALUE"""),"DCE")</f>
        <v>DCE</v>
      </c>
      <c r="E144" s="18">
        <f ca="1">IFERROR(__xludf.DUMMYFUNCTION("""COMPUTED_VALUE"""),2)</f>
        <v>2</v>
      </c>
      <c r="F144" s="18" t="str">
        <f ca="1">IFERROR(__xludf.DUMMYFUNCTION("""COMPUTED_VALUE"""),"9979135759")</f>
        <v>9979135759</v>
      </c>
      <c r="G144" s="18" t="str">
        <f ca="1">IFERROR(__xludf.DUMMYFUNCTION("""COMPUTED_VALUE"""),"9979135759")</f>
        <v>9979135759</v>
      </c>
      <c r="H144" s="6" t="str">
        <f ca="1">IFERROR(__xludf.DUMMYFUNCTION("""COMPUTED_VALUE"""),"DCE_2023-26")</f>
        <v>DCE_2023-26</v>
      </c>
      <c r="I144" s="20"/>
      <c r="J144" s="21">
        <f ca="1">IFERROR(__xludf.DUMMYFUNCTION("""COMPUTED_VALUE"""),27500)</f>
        <v>27500</v>
      </c>
      <c r="K144" s="21">
        <f ca="1">IFERROR(__xludf.DUMMYFUNCTION("""COMPUTED_VALUE"""),27500)</f>
        <v>27500</v>
      </c>
      <c r="L144" s="21">
        <f ca="1">IFERROR(__xludf.DUMMYFUNCTION("""COMPUTED_VALUE"""),0)</f>
        <v>0</v>
      </c>
      <c r="M144" s="23">
        <f ca="1">IFERROR(__xludf.DUMMYFUNCTION("""COMPUTED_VALUE"""),0)</f>
        <v>0</v>
      </c>
      <c r="N144" s="21">
        <f ca="1">IFERROR(__xludf.DUMMYFUNCTION("""COMPUTED_VALUE"""),0)</f>
        <v>0</v>
      </c>
      <c r="O144" s="21">
        <f ca="1">IFERROR(__xludf.DUMMYFUNCTION("""COMPUTED_VALUE"""),3000)</f>
        <v>3000</v>
      </c>
      <c r="P144" s="21">
        <f ca="1">IFERROR(__xludf.DUMMYFUNCTION("""COMPUTED_VALUE"""),3000)</f>
        <v>3000</v>
      </c>
      <c r="Q144" s="23">
        <f ca="1">IFERROR(__xludf.DUMMYFUNCTION("""COMPUTED_VALUE"""),0)</f>
        <v>0</v>
      </c>
      <c r="R144" s="24">
        <f ca="1">IFERROR(__xludf.DUMMYFUNCTION("""COMPUTED_VALUE"""),0)</f>
        <v>0</v>
      </c>
      <c r="S144" s="23">
        <f ca="1">IFERROR(__xludf.DUMMYFUNCTION("""COMPUTED_VALUE"""),0)</f>
        <v>0</v>
      </c>
      <c r="T144" s="24">
        <f ca="1">IFERROR(__xludf.DUMMYFUNCTION("""COMPUTED_VALUE"""),0)</f>
        <v>0</v>
      </c>
      <c r="U144" s="23">
        <f ca="1">IFERROR(__xludf.DUMMYFUNCTION("""COMPUTED_VALUE"""),0)</f>
        <v>0</v>
      </c>
      <c r="V144" s="23">
        <f ca="1">IFERROR(__xludf.DUMMYFUNCTION("""COMPUTED_VALUE"""),0)</f>
        <v>0</v>
      </c>
      <c r="W144" s="23">
        <f ca="1">IFERROR(__xludf.DUMMYFUNCTION("""COMPUTED_VALUE"""),0)</f>
        <v>0</v>
      </c>
      <c r="X144" s="23">
        <f ca="1">IFERROR(__xludf.DUMMYFUNCTION("""COMPUTED_VALUE"""),0)</f>
        <v>0</v>
      </c>
      <c r="Y144" s="25">
        <f ca="1">IFERROR(__xludf.DUMMYFUNCTION("""COMPUTED_VALUE"""),0)</f>
        <v>0</v>
      </c>
      <c r="Z144" s="25">
        <f ca="1">IFERROR(__xludf.DUMMYFUNCTION("""COMPUTED_VALUE"""),0)</f>
        <v>0</v>
      </c>
      <c r="AA144" s="25">
        <f ca="1">IFERROR(__xludf.DUMMYFUNCTION("""COMPUTED_VALUE"""),0)</f>
        <v>0</v>
      </c>
      <c r="AB144" s="25">
        <f ca="1">IFERROR(__xludf.DUMMYFUNCTION("""COMPUTED_VALUE"""),0)</f>
        <v>0</v>
      </c>
      <c r="AC144" s="23">
        <f ca="1">IFERROR(__xludf.DUMMYFUNCTION("""COMPUTED_VALUE"""),0)</f>
        <v>0</v>
      </c>
      <c r="AD144" s="26"/>
      <c r="AE144" s="27"/>
    </row>
    <row r="145" spans="1:31" ht="14.3">
      <c r="A145" s="6" t="str">
        <f ca="1">IFERROR(__xludf.DUMMYFUNCTION("""COMPUTED_VALUE"""),"23SDSCE01096")</f>
        <v>23SDSCE01096</v>
      </c>
      <c r="B145" s="37" t="str">
        <f ca="1">IFERROR(__xludf.DUMMYFUNCTION("""COMPUTED_VALUE"""),"KALADIYA MAHEK ASHIKYUSUF")</f>
        <v>KALADIYA MAHEK ASHIKYUSUF</v>
      </c>
      <c r="C145" s="18" t="str">
        <f ca="1">IFERROR(__xludf.DUMMYFUNCTION("""COMPUTED_VALUE"""),"SDS")</f>
        <v>SDS</v>
      </c>
      <c r="D145" s="18" t="str">
        <f ca="1">IFERROR(__xludf.DUMMYFUNCTION("""COMPUTED_VALUE"""),"DCE")</f>
        <v>DCE</v>
      </c>
      <c r="E145" s="18">
        <f ca="1">IFERROR(__xludf.DUMMYFUNCTION("""COMPUTED_VALUE"""),2)</f>
        <v>2</v>
      </c>
      <c r="F145" s="18" t="str">
        <f ca="1">IFERROR(__xludf.DUMMYFUNCTION("""COMPUTED_VALUE"""),"8200099456 9824251831")</f>
        <v>8200099456 9824251831</v>
      </c>
      <c r="G145" s="18" t="str">
        <f ca="1">IFERROR(__xludf.DUMMYFUNCTION("""COMPUTED_VALUE"""),"8200099456 9824251831")</f>
        <v>8200099456 9824251831</v>
      </c>
      <c r="H145" s="6" t="str">
        <f ca="1">IFERROR(__xludf.DUMMYFUNCTION("""COMPUTED_VALUE"""),"DCE_2023-26")</f>
        <v>DCE_2023-26</v>
      </c>
      <c r="I145" s="20"/>
      <c r="J145" s="21">
        <f ca="1">IFERROR(__xludf.DUMMYFUNCTION("""COMPUTED_VALUE"""),27500)</f>
        <v>27500</v>
      </c>
      <c r="K145" s="21">
        <f ca="1">IFERROR(__xludf.DUMMYFUNCTION("""COMPUTED_VALUE"""),27500)</f>
        <v>27500</v>
      </c>
      <c r="L145" s="21">
        <f ca="1">IFERROR(__xludf.DUMMYFUNCTION("""COMPUTED_VALUE"""),0)</f>
        <v>0</v>
      </c>
      <c r="M145" s="23">
        <f ca="1">IFERROR(__xludf.DUMMYFUNCTION("""COMPUTED_VALUE"""),0)</f>
        <v>0</v>
      </c>
      <c r="N145" s="21">
        <f ca="1">IFERROR(__xludf.DUMMYFUNCTION("""COMPUTED_VALUE"""),0)</f>
        <v>0</v>
      </c>
      <c r="O145" s="21">
        <f ca="1">IFERROR(__xludf.DUMMYFUNCTION("""COMPUTED_VALUE"""),3000)</f>
        <v>3000</v>
      </c>
      <c r="P145" s="21">
        <f ca="1">IFERROR(__xludf.DUMMYFUNCTION("""COMPUTED_VALUE"""),3000)</f>
        <v>3000</v>
      </c>
      <c r="Q145" s="23">
        <f ca="1">IFERROR(__xludf.DUMMYFUNCTION("""COMPUTED_VALUE"""),0)</f>
        <v>0</v>
      </c>
      <c r="R145" s="38">
        <f ca="1">IFERROR(__xludf.DUMMYFUNCTION("""COMPUTED_VALUE"""),0)</f>
        <v>0</v>
      </c>
      <c r="S145" s="23">
        <f ca="1">IFERROR(__xludf.DUMMYFUNCTION("""COMPUTED_VALUE"""),0)</f>
        <v>0</v>
      </c>
      <c r="T145" s="24">
        <f ca="1">IFERROR(__xludf.DUMMYFUNCTION("""COMPUTED_VALUE"""),0)</f>
        <v>0</v>
      </c>
      <c r="U145" s="23">
        <f ca="1">IFERROR(__xludf.DUMMYFUNCTION("""COMPUTED_VALUE"""),0)</f>
        <v>0</v>
      </c>
      <c r="V145" s="23">
        <f ca="1">IFERROR(__xludf.DUMMYFUNCTION("""COMPUTED_VALUE"""),0)</f>
        <v>0</v>
      </c>
      <c r="W145" s="23">
        <f ca="1">IFERROR(__xludf.DUMMYFUNCTION("""COMPUTED_VALUE"""),0)</f>
        <v>0</v>
      </c>
      <c r="X145" s="23">
        <f ca="1">IFERROR(__xludf.DUMMYFUNCTION("""COMPUTED_VALUE"""),0)</f>
        <v>0</v>
      </c>
      <c r="Y145" s="25">
        <f ca="1">IFERROR(__xludf.DUMMYFUNCTION("""COMPUTED_VALUE"""),0)</f>
        <v>0</v>
      </c>
      <c r="Z145" s="25">
        <f ca="1">IFERROR(__xludf.DUMMYFUNCTION("""COMPUTED_VALUE"""),0)</f>
        <v>0</v>
      </c>
      <c r="AA145" s="25">
        <f ca="1">IFERROR(__xludf.DUMMYFUNCTION("""COMPUTED_VALUE"""),0)</f>
        <v>0</v>
      </c>
      <c r="AB145" s="25">
        <f ca="1">IFERROR(__xludf.DUMMYFUNCTION("""COMPUTED_VALUE"""),0)</f>
        <v>0</v>
      </c>
      <c r="AC145" s="23">
        <f ca="1">IFERROR(__xludf.DUMMYFUNCTION("""COMPUTED_VALUE"""),0)</f>
        <v>0</v>
      </c>
      <c r="AD145" s="26"/>
      <c r="AE145" s="27"/>
    </row>
    <row r="146" spans="1:31" ht="14.3">
      <c r="A146" s="6" t="str">
        <f ca="1">IFERROR(__xludf.DUMMYFUNCTION("""COMPUTED_VALUE"""),"23SDSCE01097")</f>
        <v>23SDSCE01097</v>
      </c>
      <c r="B146" s="37" t="str">
        <f ca="1">IFERROR(__xludf.DUMMYFUNCTION("""COMPUTED_VALUE"""),"KAPADIYA KENIL ATULBHAI")</f>
        <v>KAPADIYA KENIL ATULBHAI</v>
      </c>
      <c r="C146" s="18" t="str">
        <f ca="1">IFERROR(__xludf.DUMMYFUNCTION("""COMPUTED_VALUE"""),"SDS")</f>
        <v>SDS</v>
      </c>
      <c r="D146" s="18" t="str">
        <f ca="1">IFERROR(__xludf.DUMMYFUNCTION("""COMPUTED_VALUE"""),"DCE")</f>
        <v>DCE</v>
      </c>
      <c r="E146" s="18">
        <f ca="1">IFERROR(__xludf.DUMMYFUNCTION("""COMPUTED_VALUE"""),2)</f>
        <v>2</v>
      </c>
      <c r="F146" s="18" t="str">
        <f ca="1">IFERROR(__xludf.DUMMYFUNCTION("""COMPUTED_VALUE"""),"9712815937 9426715937")</f>
        <v>9712815937 9426715937</v>
      </c>
      <c r="G146" s="18" t="str">
        <f ca="1">IFERROR(__xludf.DUMMYFUNCTION("""COMPUTED_VALUE"""),"9712815937 9426715937")</f>
        <v>9712815937 9426715937</v>
      </c>
      <c r="H146" s="6" t="str">
        <f ca="1">IFERROR(__xludf.DUMMYFUNCTION("""COMPUTED_VALUE"""),"DCE_2023-26")</f>
        <v>DCE_2023-26</v>
      </c>
      <c r="I146" s="20" t="str">
        <f ca="1">IFERROR(__xludf.DUMMYFUNCTION("""COMPUTED_VALUE"""),"MYSY")</f>
        <v>MYSY</v>
      </c>
      <c r="J146" s="21">
        <f ca="1">IFERROR(__xludf.DUMMYFUNCTION("""COMPUTED_VALUE"""),27500)</f>
        <v>27500</v>
      </c>
      <c r="K146" s="21">
        <f ca="1">IFERROR(__xludf.DUMMYFUNCTION("""COMPUTED_VALUE"""),27500)</f>
        <v>27500</v>
      </c>
      <c r="L146" s="21">
        <f ca="1">IFERROR(__xludf.DUMMYFUNCTION("""COMPUTED_VALUE"""),0)</f>
        <v>0</v>
      </c>
      <c r="M146" s="23">
        <f ca="1">IFERROR(__xludf.DUMMYFUNCTION("""COMPUTED_VALUE"""),0)</f>
        <v>0</v>
      </c>
      <c r="N146" s="21">
        <f ca="1">IFERROR(__xludf.DUMMYFUNCTION("""COMPUTED_VALUE"""),0)</f>
        <v>0</v>
      </c>
      <c r="O146" s="21">
        <f ca="1">IFERROR(__xludf.DUMMYFUNCTION("""COMPUTED_VALUE"""),3000)</f>
        <v>3000</v>
      </c>
      <c r="P146" s="21">
        <f ca="1">IFERROR(__xludf.DUMMYFUNCTION("""COMPUTED_VALUE"""),3000)</f>
        <v>3000</v>
      </c>
      <c r="Q146" s="23">
        <f ca="1">IFERROR(__xludf.DUMMYFUNCTION("""COMPUTED_VALUE"""),0)</f>
        <v>0</v>
      </c>
      <c r="R146" s="24">
        <f ca="1">IFERROR(__xludf.DUMMYFUNCTION("""COMPUTED_VALUE"""),0)</f>
        <v>0</v>
      </c>
      <c r="S146" s="23">
        <f ca="1">IFERROR(__xludf.DUMMYFUNCTION("""COMPUTED_VALUE"""),0)</f>
        <v>0</v>
      </c>
      <c r="T146" s="24">
        <f ca="1">IFERROR(__xludf.DUMMYFUNCTION("""COMPUTED_VALUE"""),0)</f>
        <v>0</v>
      </c>
      <c r="U146" s="23">
        <f ca="1">IFERROR(__xludf.DUMMYFUNCTION("""COMPUTED_VALUE"""),0)</f>
        <v>0</v>
      </c>
      <c r="V146" s="23">
        <f ca="1">IFERROR(__xludf.DUMMYFUNCTION("""COMPUTED_VALUE"""),0)</f>
        <v>0</v>
      </c>
      <c r="W146" s="23">
        <f ca="1">IFERROR(__xludf.DUMMYFUNCTION("""COMPUTED_VALUE"""),0)</f>
        <v>0</v>
      </c>
      <c r="X146" s="23">
        <f ca="1">IFERROR(__xludf.DUMMYFUNCTION("""COMPUTED_VALUE"""),0)</f>
        <v>0</v>
      </c>
      <c r="Y146" s="25">
        <f ca="1">IFERROR(__xludf.DUMMYFUNCTION("""COMPUTED_VALUE"""),0)</f>
        <v>0</v>
      </c>
      <c r="Z146" s="25">
        <f ca="1">IFERROR(__xludf.DUMMYFUNCTION("""COMPUTED_VALUE"""),0)</f>
        <v>0</v>
      </c>
      <c r="AA146" s="25">
        <f ca="1">IFERROR(__xludf.DUMMYFUNCTION("""COMPUTED_VALUE"""),0)</f>
        <v>0</v>
      </c>
      <c r="AB146" s="25">
        <f ca="1">IFERROR(__xludf.DUMMYFUNCTION("""COMPUTED_VALUE"""),0)</f>
        <v>0</v>
      </c>
      <c r="AC146" s="23">
        <f ca="1">IFERROR(__xludf.DUMMYFUNCTION("""COMPUTED_VALUE"""),0)</f>
        <v>0</v>
      </c>
      <c r="AD146" s="26" t="str">
        <f ca="1">IFERROR(__xludf.DUMMYFUNCTION("""COMPUTED_VALUE"""),"MYSY (25000/-)	KSPS ( 12500/- )")</f>
        <v>MYSY (25000/-)	KSPS ( 12500/- )</v>
      </c>
      <c r="AE146" s="27"/>
    </row>
    <row r="147" spans="1:31" ht="14.3">
      <c r="A147" s="6" t="str">
        <f ca="1">IFERROR(__xludf.DUMMYFUNCTION("""COMPUTED_VALUE"""),"23SDSCE01098")</f>
        <v>23SDSCE01098</v>
      </c>
      <c r="B147" s="37" t="str">
        <f ca="1">IFERROR(__xludf.DUMMYFUNCTION("""COMPUTED_VALUE"""),"KARKAR KRUSITA RAJESHBHAI")</f>
        <v>KARKAR KRUSITA RAJESHBHAI</v>
      </c>
      <c r="C147" s="18" t="str">
        <f ca="1">IFERROR(__xludf.DUMMYFUNCTION("""COMPUTED_VALUE"""),"SDS")</f>
        <v>SDS</v>
      </c>
      <c r="D147" s="18" t="str">
        <f ca="1">IFERROR(__xludf.DUMMYFUNCTION("""COMPUTED_VALUE"""),"DCE")</f>
        <v>DCE</v>
      </c>
      <c r="E147" s="18">
        <f ca="1">IFERROR(__xludf.DUMMYFUNCTION("""COMPUTED_VALUE"""),2)</f>
        <v>2</v>
      </c>
      <c r="F147" s="6" t="str">
        <f ca="1">IFERROR(__xludf.DUMMYFUNCTION("""COMPUTED_VALUE"""),"9023347970 9428769961")</f>
        <v>9023347970 9428769961</v>
      </c>
      <c r="G147" s="6" t="str">
        <f ca="1">IFERROR(__xludf.DUMMYFUNCTION("""COMPUTED_VALUE"""),"9023347970 9428769961")</f>
        <v>9023347970 9428769961</v>
      </c>
      <c r="H147" s="6" t="str">
        <f ca="1">IFERROR(__xludf.DUMMYFUNCTION("""COMPUTED_VALUE"""),"DCE_2023-26")</f>
        <v>DCE_2023-26</v>
      </c>
      <c r="I147" s="20"/>
      <c r="J147" s="21">
        <f ca="1">IFERROR(__xludf.DUMMYFUNCTION("""COMPUTED_VALUE"""),27500)</f>
        <v>27500</v>
      </c>
      <c r="K147" s="21">
        <f ca="1">IFERROR(__xludf.DUMMYFUNCTION("""COMPUTED_VALUE"""),27500)</f>
        <v>27500</v>
      </c>
      <c r="L147" s="21">
        <f ca="1">IFERROR(__xludf.DUMMYFUNCTION("""COMPUTED_VALUE"""),0)</f>
        <v>0</v>
      </c>
      <c r="M147" s="23">
        <f ca="1">IFERROR(__xludf.DUMMYFUNCTION("""COMPUTED_VALUE"""),0)</f>
        <v>0</v>
      </c>
      <c r="N147" s="21">
        <f ca="1">IFERROR(__xludf.DUMMYFUNCTION("""COMPUTED_VALUE"""),0)</f>
        <v>0</v>
      </c>
      <c r="O147" s="21">
        <f ca="1">IFERROR(__xludf.DUMMYFUNCTION("""COMPUTED_VALUE"""),3000)</f>
        <v>3000</v>
      </c>
      <c r="P147" s="21">
        <f ca="1">IFERROR(__xludf.DUMMYFUNCTION("""COMPUTED_VALUE"""),3000)</f>
        <v>3000</v>
      </c>
      <c r="Q147" s="23">
        <f ca="1">IFERROR(__xludf.DUMMYFUNCTION("""COMPUTED_VALUE"""),0)</f>
        <v>0</v>
      </c>
      <c r="R147" s="24">
        <f ca="1">IFERROR(__xludf.DUMMYFUNCTION("""COMPUTED_VALUE"""),0)</f>
        <v>0</v>
      </c>
      <c r="S147" s="23">
        <f ca="1">IFERROR(__xludf.DUMMYFUNCTION("""COMPUTED_VALUE"""),0)</f>
        <v>0</v>
      </c>
      <c r="T147" s="24">
        <f ca="1">IFERROR(__xludf.DUMMYFUNCTION("""COMPUTED_VALUE"""),0)</f>
        <v>0</v>
      </c>
      <c r="U147" s="23">
        <f ca="1">IFERROR(__xludf.DUMMYFUNCTION("""COMPUTED_VALUE"""),0)</f>
        <v>0</v>
      </c>
      <c r="V147" s="23">
        <f ca="1">IFERROR(__xludf.DUMMYFUNCTION("""COMPUTED_VALUE"""),0)</f>
        <v>0</v>
      </c>
      <c r="W147" s="23">
        <f ca="1">IFERROR(__xludf.DUMMYFUNCTION("""COMPUTED_VALUE"""),0)</f>
        <v>0</v>
      </c>
      <c r="X147" s="23">
        <f ca="1">IFERROR(__xludf.DUMMYFUNCTION("""COMPUTED_VALUE"""),0)</f>
        <v>0</v>
      </c>
      <c r="Y147" s="25">
        <f ca="1">IFERROR(__xludf.DUMMYFUNCTION("""COMPUTED_VALUE"""),0)</f>
        <v>0</v>
      </c>
      <c r="Z147" s="25">
        <f ca="1">IFERROR(__xludf.DUMMYFUNCTION("""COMPUTED_VALUE"""),0)</f>
        <v>0</v>
      </c>
      <c r="AA147" s="25">
        <f ca="1">IFERROR(__xludf.DUMMYFUNCTION("""COMPUTED_VALUE"""),0)</f>
        <v>0</v>
      </c>
      <c r="AB147" s="25">
        <f ca="1">IFERROR(__xludf.DUMMYFUNCTION("""COMPUTED_VALUE"""),0)</f>
        <v>0</v>
      </c>
      <c r="AC147" s="23">
        <f ca="1">IFERROR(__xludf.DUMMYFUNCTION("""COMPUTED_VALUE"""),0)</f>
        <v>0</v>
      </c>
      <c r="AD147" s="26"/>
      <c r="AE147" s="27"/>
    </row>
    <row r="148" spans="1:31" ht="14.3">
      <c r="A148" s="6" t="str">
        <f ca="1">IFERROR(__xludf.DUMMYFUNCTION("""COMPUTED_VALUE"""),"23SDSCE01099")</f>
        <v>23SDSCE01099</v>
      </c>
      <c r="B148" s="37" t="str">
        <f ca="1">IFERROR(__xludf.DUMMYFUNCTION("""COMPUTED_VALUE"""),"KHOLIYA JAY RAJESHBHAI")</f>
        <v>KHOLIYA JAY RAJESHBHAI</v>
      </c>
      <c r="C148" s="18" t="str">
        <f ca="1">IFERROR(__xludf.DUMMYFUNCTION("""COMPUTED_VALUE"""),"SDS")</f>
        <v>SDS</v>
      </c>
      <c r="D148" s="18" t="str">
        <f ca="1">IFERROR(__xludf.DUMMYFUNCTION("""COMPUTED_VALUE"""),"DCE")</f>
        <v>DCE</v>
      </c>
      <c r="E148" s="18">
        <f ca="1">IFERROR(__xludf.DUMMYFUNCTION("""COMPUTED_VALUE"""),2)</f>
        <v>2</v>
      </c>
      <c r="F148" s="18" t="str">
        <f ca="1">IFERROR(__xludf.DUMMYFUNCTION("""COMPUTED_VALUE"""),"8128742590 9909460414")</f>
        <v>8128742590 9909460414</v>
      </c>
      <c r="G148" s="18" t="str">
        <f ca="1">IFERROR(__xludf.DUMMYFUNCTION("""COMPUTED_VALUE"""),"8128742590 9909460414")</f>
        <v>8128742590 9909460414</v>
      </c>
      <c r="H148" s="6" t="str">
        <f ca="1">IFERROR(__xludf.DUMMYFUNCTION("""COMPUTED_VALUE"""),"DCE_2023-26")</f>
        <v>DCE_2023-26</v>
      </c>
      <c r="I148" s="20" t="str">
        <f ca="1">IFERROR(__xludf.DUMMYFUNCTION("""COMPUTED_VALUE"""),"MYSY")</f>
        <v>MYSY</v>
      </c>
      <c r="J148" s="21">
        <f ca="1">IFERROR(__xludf.DUMMYFUNCTION("""COMPUTED_VALUE"""),27500)</f>
        <v>27500</v>
      </c>
      <c r="K148" s="21">
        <f ca="1">IFERROR(__xludf.DUMMYFUNCTION("""COMPUTED_VALUE"""),0)</f>
        <v>0</v>
      </c>
      <c r="L148" s="21">
        <f ca="1">IFERROR(__xludf.DUMMYFUNCTION("""COMPUTED_VALUE"""),0)</f>
        <v>0</v>
      </c>
      <c r="M148" s="23">
        <f ca="1">IFERROR(__xludf.DUMMYFUNCTION("""COMPUTED_VALUE"""),0)</f>
        <v>0</v>
      </c>
      <c r="N148" s="21">
        <f ca="1">IFERROR(__xludf.DUMMYFUNCTION("""COMPUTED_VALUE"""),27500)</f>
        <v>27500</v>
      </c>
      <c r="O148" s="21">
        <f ca="1">IFERROR(__xludf.DUMMYFUNCTION("""COMPUTED_VALUE"""),3000)</f>
        <v>3000</v>
      </c>
      <c r="P148" s="21">
        <f ca="1">IFERROR(__xludf.DUMMYFUNCTION("""COMPUTED_VALUE"""),3000)</f>
        <v>3000</v>
      </c>
      <c r="Q148" s="23">
        <f ca="1">IFERROR(__xludf.DUMMYFUNCTION("""COMPUTED_VALUE"""),0)</f>
        <v>0</v>
      </c>
      <c r="R148" s="24">
        <f ca="1">IFERROR(__xludf.DUMMYFUNCTION("""COMPUTED_VALUE"""),0)</f>
        <v>0</v>
      </c>
      <c r="S148" s="23">
        <f ca="1">IFERROR(__xludf.DUMMYFUNCTION("""COMPUTED_VALUE"""),0)</f>
        <v>0</v>
      </c>
      <c r="T148" s="24">
        <f ca="1">IFERROR(__xludf.DUMMYFUNCTION("""COMPUTED_VALUE"""),0)</f>
        <v>0</v>
      </c>
      <c r="U148" s="23">
        <f ca="1">IFERROR(__xludf.DUMMYFUNCTION("""COMPUTED_VALUE"""),0)</f>
        <v>0</v>
      </c>
      <c r="V148" s="23">
        <f ca="1">IFERROR(__xludf.DUMMYFUNCTION("""COMPUTED_VALUE"""),0)</f>
        <v>0</v>
      </c>
      <c r="W148" s="23">
        <f ca="1">IFERROR(__xludf.DUMMYFUNCTION("""COMPUTED_VALUE"""),0)</f>
        <v>0</v>
      </c>
      <c r="X148" s="23">
        <f ca="1">IFERROR(__xludf.DUMMYFUNCTION("""COMPUTED_VALUE"""),0)</f>
        <v>0</v>
      </c>
      <c r="Y148" s="25">
        <f ca="1">IFERROR(__xludf.DUMMYFUNCTION("""COMPUTED_VALUE"""),0)</f>
        <v>0</v>
      </c>
      <c r="Z148" s="25">
        <f ca="1">IFERROR(__xludf.DUMMYFUNCTION("""COMPUTED_VALUE"""),0)</f>
        <v>0</v>
      </c>
      <c r="AA148" s="25">
        <f ca="1">IFERROR(__xludf.DUMMYFUNCTION("""COMPUTED_VALUE"""),0)</f>
        <v>0</v>
      </c>
      <c r="AB148" s="25">
        <f ca="1">IFERROR(__xludf.DUMMYFUNCTION("""COMPUTED_VALUE"""),0)</f>
        <v>0</v>
      </c>
      <c r="AC148" s="23">
        <f ca="1">IFERROR(__xludf.DUMMYFUNCTION("""COMPUTED_VALUE"""),0)</f>
        <v>0</v>
      </c>
      <c r="AD148" s="26" t="str">
        <f ca="1">IFERROR(__xludf.DUMMYFUNCTION("""COMPUTED_VALUE"""),"MYSY (25000/-)	KSPS ( 12500/- )")</f>
        <v>MYSY (25000/-)	KSPS ( 12500/- )</v>
      </c>
      <c r="AE148" s="27"/>
    </row>
    <row r="149" spans="1:31" ht="14.3">
      <c r="A149" s="6" t="str">
        <f ca="1">IFERROR(__xludf.DUMMYFUNCTION("""COMPUTED_VALUE"""),"23SDSCE01100")</f>
        <v>23SDSCE01100</v>
      </c>
      <c r="B149" s="37" t="str">
        <f ca="1">IFERROR(__xludf.DUMMYFUNCTION("""COMPUTED_VALUE"""),"KHUNT VANSH SUNILBHAI")</f>
        <v>KHUNT VANSH SUNILBHAI</v>
      </c>
      <c r="C149" s="18" t="str">
        <f ca="1">IFERROR(__xludf.DUMMYFUNCTION("""COMPUTED_VALUE"""),"SDS")</f>
        <v>SDS</v>
      </c>
      <c r="D149" s="18" t="str">
        <f ca="1">IFERROR(__xludf.DUMMYFUNCTION("""COMPUTED_VALUE"""),"DCE")</f>
        <v>DCE</v>
      </c>
      <c r="E149" s="18">
        <f ca="1">IFERROR(__xludf.DUMMYFUNCTION("""COMPUTED_VALUE"""),2)</f>
        <v>2</v>
      </c>
      <c r="F149" s="18" t="str">
        <f ca="1">IFERROR(__xludf.DUMMYFUNCTION("""COMPUTED_VALUE"""),"9662556448 6353689298 9998341444")</f>
        <v>9662556448 6353689298 9998341444</v>
      </c>
      <c r="G149" s="18" t="str">
        <f ca="1">IFERROR(__xludf.DUMMYFUNCTION("""COMPUTED_VALUE"""),"9662556448 6353689298 9998341444")</f>
        <v>9662556448 6353689298 9998341444</v>
      </c>
      <c r="H149" s="6" t="str">
        <f ca="1">IFERROR(__xludf.DUMMYFUNCTION("""COMPUTED_VALUE"""),"DCE_2023-26")</f>
        <v>DCE_2023-26</v>
      </c>
      <c r="I149" s="20"/>
      <c r="J149" s="21">
        <f ca="1">IFERROR(__xludf.DUMMYFUNCTION("""COMPUTED_VALUE"""),27500)</f>
        <v>27500</v>
      </c>
      <c r="K149" s="21">
        <f ca="1">IFERROR(__xludf.DUMMYFUNCTION("""COMPUTED_VALUE"""),27500)</f>
        <v>27500</v>
      </c>
      <c r="L149" s="21">
        <f ca="1">IFERROR(__xludf.DUMMYFUNCTION("""COMPUTED_VALUE"""),0)</f>
        <v>0</v>
      </c>
      <c r="M149" s="23">
        <f ca="1">IFERROR(__xludf.DUMMYFUNCTION("""COMPUTED_VALUE"""),0)</f>
        <v>0</v>
      </c>
      <c r="N149" s="21">
        <f ca="1">IFERROR(__xludf.DUMMYFUNCTION("""COMPUTED_VALUE"""),0)</f>
        <v>0</v>
      </c>
      <c r="O149" s="21">
        <f ca="1">IFERROR(__xludf.DUMMYFUNCTION("""COMPUTED_VALUE"""),3000)</f>
        <v>3000</v>
      </c>
      <c r="P149" s="21">
        <f ca="1">IFERROR(__xludf.DUMMYFUNCTION("""COMPUTED_VALUE"""),3000)</f>
        <v>3000</v>
      </c>
      <c r="Q149" s="23">
        <f ca="1">IFERROR(__xludf.DUMMYFUNCTION("""COMPUTED_VALUE"""),0)</f>
        <v>0</v>
      </c>
      <c r="R149" s="24">
        <f ca="1">IFERROR(__xludf.DUMMYFUNCTION("""COMPUTED_VALUE"""),0)</f>
        <v>0</v>
      </c>
      <c r="S149" s="23">
        <f ca="1">IFERROR(__xludf.DUMMYFUNCTION("""COMPUTED_VALUE"""),0)</f>
        <v>0</v>
      </c>
      <c r="T149" s="24">
        <f ca="1">IFERROR(__xludf.DUMMYFUNCTION("""COMPUTED_VALUE"""),0)</f>
        <v>0</v>
      </c>
      <c r="U149" s="23">
        <f ca="1">IFERROR(__xludf.DUMMYFUNCTION("""COMPUTED_VALUE"""),0)</f>
        <v>0</v>
      </c>
      <c r="V149" s="23">
        <f ca="1">IFERROR(__xludf.DUMMYFUNCTION("""COMPUTED_VALUE"""),0)</f>
        <v>0</v>
      </c>
      <c r="W149" s="23">
        <f ca="1">IFERROR(__xludf.DUMMYFUNCTION("""COMPUTED_VALUE"""),0)</f>
        <v>0</v>
      </c>
      <c r="X149" s="23">
        <f ca="1">IFERROR(__xludf.DUMMYFUNCTION("""COMPUTED_VALUE"""),0)</f>
        <v>0</v>
      </c>
      <c r="Y149" s="25">
        <f ca="1">IFERROR(__xludf.DUMMYFUNCTION("""COMPUTED_VALUE"""),0)</f>
        <v>0</v>
      </c>
      <c r="Z149" s="25">
        <f ca="1">IFERROR(__xludf.DUMMYFUNCTION("""COMPUTED_VALUE"""),0)</f>
        <v>0</v>
      </c>
      <c r="AA149" s="25">
        <f ca="1">IFERROR(__xludf.DUMMYFUNCTION("""COMPUTED_VALUE"""),0)</f>
        <v>0</v>
      </c>
      <c r="AB149" s="25">
        <f ca="1">IFERROR(__xludf.DUMMYFUNCTION("""COMPUTED_VALUE"""),0)</f>
        <v>0</v>
      </c>
      <c r="AC149" s="23">
        <f ca="1">IFERROR(__xludf.DUMMYFUNCTION("""COMPUTED_VALUE"""),0)</f>
        <v>0</v>
      </c>
      <c r="AD149" s="26"/>
      <c r="AE149" s="27"/>
    </row>
    <row r="150" spans="1:31" ht="34.65">
      <c r="A150" s="6" t="str">
        <f ca="1">IFERROR(__xludf.DUMMYFUNCTION("""COMPUTED_VALUE"""),"23SDSCE01101")</f>
        <v>23SDSCE01101</v>
      </c>
      <c r="B150" s="37" t="str">
        <f ca="1">IFERROR(__xludf.DUMMYFUNCTION("""COMPUTED_VALUE"""),"LADANI PALAKBEN DIPAKBHAI")</f>
        <v>LADANI PALAKBEN DIPAKBHAI</v>
      </c>
      <c r="C150" s="18" t="str">
        <f ca="1">IFERROR(__xludf.DUMMYFUNCTION("""COMPUTED_VALUE"""),"SDS")</f>
        <v>SDS</v>
      </c>
      <c r="D150" s="18" t="str">
        <f ca="1">IFERROR(__xludf.DUMMYFUNCTION("""COMPUTED_VALUE"""),"DCE")</f>
        <v>DCE</v>
      </c>
      <c r="E150" s="18">
        <f ca="1">IFERROR(__xludf.DUMMYFUNCTION("""COMPUTED_VALUE"""),2)</f>
        <v>2</v>
      </c>
      <c r="F150" s="6" t="str">
        <f ca="1">IFERROR(__xludf.DUMMYFUNCTION("""COMPUTED_VALUE"""),"7567282059 8347348599")</f>
        <v>7567282059 8347348599</v>
      </c>
      <c r="G150" s="6" t="str">
        <f ca="1">IFERROR(__xludf.DUMMYFUNCTION("""COMPUTED_VALUE"""),"7567282059 8347348599")</f>
        <v>7567282059 8347348599</v>
      </c>
      <c r="H150" s="6" t="str">
        <f ca="1">IFERROR(__xludf.DUMMYFUNCTION("""COMPUTED_VALUE"""),"DCE_2023-26")</f>
        <v>DCE_2023-26</v>
      </c>
      <c r="I150" s="20" t="str">
        <f ca="1">IFERROR(__xludf.DUMMYFUNCTION("""COMPUTED_VALUE"""),"MYSY")</f>
        <v>MYSY</v>
      </c>
      <c r="J150" s="21">
        <f ca="1">IFERROR(__xludf.DUMMYFUNCTION("""COMPUTED_VALUE"""),27500)</f>
        <v>27500</v>
      </c>
      <c r="K150" s="21">
        <f ca="1">IFERROR(__xludf.DUMMYFUNCTION("""COMPUTED_VALUE"""),15000)</f>
        <v>15000</v>
      </c>
      <c r="L150" s="21">
        <f ca="1">IFERROR(__xludf.DUMMYFUNCTION("""COMPUTED_VALUE"""),0)</f>
        <v>0</v>
      </c>
      <c r="M150" s="23">
        <f ca="1">IFERROR(__xludf.DUMMYFUNCTION("""COMPUTED_VALUE"""),12500)</f>
        <v>12500</v>
      </c>
      <c r="N150" s="21">
        <f ca="1">IFERROR(__xludf.DUMMYFUNCTION("""COMPUTED_VALUE"""),0)</f>
        <v>0</v>
      </c>
      <c r="O150" s="21">
        <f ca="1">IFERROR(__xludf.DUMMYFUNCTION("""COMPUTED_VALUE"""),3000)</f>
        <v>3000</v>
      </c>
      <c r="P150" s="21">
        <f ca="1">IFERROR(__xludf.DUMMYFUNCTION("""COMPUTED_VALUE"""),3000)</f>
        <v>3000</v>
      </c>
      <c r="Q150" s="23">
        <f ca="1">IFERROR(__xludf.DUMMYFUNCTION("""COMPUTED_VALUE"""),0)</f>
        <v>0</v>
      </c>
      <c r="R150" s="24">
        <f ca="1">IFERROR(__xludf.DUMMYFUNCTION("""COMPUTED_VALUE"""),0)</f>
        <v>0</v>
      </c>
      <c r="S150" s="23">
        <f ca="1">IFERROR(__xludf.DUMMYFUNCTION("""COMPUTED_VALUE"""),0)</f>
        <v>0</v>
      </c>
      <c r="T150" s="24">
        <f ca="1">IFERROR(__xludf.DUMMYFUNCTION("""COMPUTED_VALUE"""),0)</f>
        <v>0</v>
      </c>
      <c r="U150" s="23">
        <f ca="1">IFERROR(__xludf.DUMMYFUNCTION("""COMPUTED_VALUE"""),0)</f>
        <v>0</v>
      </c>
      <c r="V150" s="23">
        <f ca="1">IFERROR(__xludf.DUMMYFUNCTION("""COMPUTED_VALUE"""),0)</f>
        <v>0</v>
      </c>
      <c r="W150" s="23">
        <f ca="1">IFERROR(__xludf.DUMMYFUNCTION("""COMPUTED_VALUE"""),0)</f>
        <v>0</v>
      </c>
      <c r="X150" s="23">
        <f ca="1">IFERROR(__xludf.DUMMYFUNCTION("""COMPUTED_VALUE"""),0)</f>
        <v>0</v>
      </c>
      <c r="Y150" s="25">
        <f ca="1">IFERROR(__xludf.DUMMYFUNCTION("""COMPUTED_VALUE"""),0)</f>
        <v>0</v>
      </c>
      <c r="Z150" s="25">
        <f ca="1">IFERROR(__xludf.DUMMYFUNCTION("""COMPUTED_VALUE"""),0)</f>
        <v>0</v>
      </c>
      <c r="AA150" s="25">
        <f ca="1">IFERROR(__xludf.DUMMYFUNCTION("""COMPUTED_VALUE"""),0)</f>
        <v>0</v>
      </c>
      <c r="AB150" s="25">
        <f ca="1">IFERROR(__xludf.DUMMYFUNCTION("""COMPUTED_VALUE"""),0)</f>
        <v>0</v>
      </c>
      <c r="AC150" s="23">
        <f ca="1">IFERROR(__xludf.DUMMYFUNCTION("""COMPUTED_VALUE"""),0)</f>
        <v>0</v>
      </c>
      <c r="AD150" s="26" t="str">
        <f ca="1">IFERROR(__xludf.DUMMYFUNCTION("""COMPUTED_VALUE"""),"KSPS ( 6250/- )
RS 6250 1ST SEM TRANSFER TO HERE")</f>
        <v>KSPS ( 6250/- )
RS 6250 1ST SEM TRANSFER TO HERE</v>
      </c>
      <c r="AE150" s="27"/>
    </row>
    <row r="151" spans="1:31" ht="14.3">
      <c r="A151" s="6" t="str">
        <f ca="1">IFERROR(__xludf.DUMMYFUNCTION("""COMPUTED_VALUE"""),"23SDSCE01102")</f>
        <v>23SDSCE01102</v>
      </c>
      <c r="B151" s="37" t="str">
        <f ca="1">IFERROR(__xludf.DUMMYFUNCTION("""COMPUTED_VALUE"""),"MASANI AMRUT KALIDASBHAI")</f>
        <v>MASANI AMRUT KALIDASBHAI</v>
      </c>
      <c r="C151" s="18" t="str">
        <f ca="1">IFERROR(__xludf.DUMMYFUNCTION("""COMPUTED_VALUE"""),"SDS")</f>
        <v>SDS</v>
      </c>
      <c r="D151" s="18" t="str">
        <f ca="1">IFERROR(__xludf.DUMMYFUNCTION("""COMPUTED_VALUE"""),"DCE")</f>
        <v>DCE</v>
      </c>
      <c r="E151" s="18">
        <f ca="1">IFERROR(__xludf.DUMMYFUNCTION("""COMPUTED_VALUE"""),2)</f>
        <v>2</v>
      </c>
      <c r="F151" s="18" t="str">
        <f ca="1">IFERROR(__xludf.DUMMYFUNCTION("""COMPUTED_VALUE"""),"9724427465 9106725651")</f>
        <v>9724427465 9106725651</v>
      </c>
      <c r="G151" s="18" t="str">
        <f ca="1">IFERROR(__xludf.DUMMYFUNCTION("""COMPUTED_VALUE"""),"9724427465 9106725651")</f>
        <v>9724427465 9106725651</v>
      </c>
      <c r="H151" s="6" t="str">
        <f ca="1">IFERROR(__xludf.DUMMYFUNCTION("""COMPUTED_VALUE"""),"DCE_2023-26")</f>
        <v>DCE_2023-26</v>
      </c>
      <c r="I151" s="20"/>
      <c r="J151" s="21">
        <f ca="1">IFERROR(__xludf.DUMMYFUNCTION("""COMPUTED_VALUE"""),27500)</f>
        <v>27500</v>
      </c>
      <c r="K151" s="21">
        <f ca="1">IFERROR(__xludf.DUMMYFUNCTION("""COMPUTED_VALUE"""),27500)</f>
        <v>27500</v>
      </c>
      <c r="L151" s="21">
        <f ca="1">IFERROR(__xludf.DUMMYFUNCTION("""COMPUTED_VALUE"""),0)</f>
        <v>0</v>
      </c>
      <c r="M151" s="23">
        <f ca="1">IFERROR(__xludf.DUMMYFUNCTION("""COMPUTED_VALUE"""),0)</f>
        <v>0</v>
      </c>
      <c r="N151" s="21">
        <f ca="1">IFERROR(__xludf.DUMMYFUNCTION("""COMPUTED_VALUE"""),0)</f>
        <v>0</v>
      </c>
      <c r="O151" s="21">
        <f ca="1">IFERROR(__xludf.DUMMYFUNCTION("""COMPUTED_VALUE"""),3000)</f>
        <v>3000</v>
      </c>
      <c r="P151" s="21">
        <f ca="1">IFERROR(__xludf.DUMMYFUNCTION("""COMPUTED_VALUE"""),3000)</f>
        <v>3000</v>
      </c>
      <c r="Q151" s="23">
        <f ca="1">IFERROR(__xludf.DUMMYFUNCTION("""COMPUTED_VALUE"""),0)</f>
        <v>0</v>
      </c>
      <c r="R151" s="24">
        <f ca="1">IFERROR(__xludf.DUMMYFUNCTION("""COMPUTED_VALUE"""),0)</f>
        <v>0</v>
      </c>
      <c r="S151" s="23">
        <f ca="1">IFERROR(__xludf.DUMMYFUNCTION("""COMPUTED_VALUE"""),0)</f>
        <v>0</v>
      </c>
      <c r="T151" s="24">
        <f ca="1">IFERROR(__xludf.DUMMYFUNCTION("""COMPUTED_VALUE"""),0)</f>
        <v>0</v>
      </c>
      <c r="U151" s="23">
        <f ca="1">IFERROR(__xludf.DUMMYFUNCTION("""COMPUTED_VALUE"""),0)</f>
        <v>0</v>
      </c>
      <c r="V151" s="23">
        <f ca="1">IFERROR(__xludf.DUMMYFUNCTION("""COMPUTED_VALUE"""),0)</f>
        <v>0</v>
      </c>
      <c r="W151" s="23">
        <f ca="1">IFERROR(__xludf.DUMMYFUNCTION("""COMPUTED_VALUE"""),0)</f>
        <v>0</v>
      </c>
      <c r="X151" s="23">
        <f ca="1">IFERROR(__xludf.DUMMYFUNCTION("""COMPUTED_VALUE"""),0)</f>
        <v>0</v>
      </c>
      <c r="Y151" s="25">
        <f ca="1">IFERROR(__xludf.DUMMYFUNCTION("""COMPUTED_VALUE"""),0)</f>
        <v>0</v>
      </c>
      <c r="Z151" s="25">
        <f ca="1">IFERROR(__xludf.DUMMYFUNCTION("""COMPUTED_VALUE"""),0)</f>
        <v>0</v>
      </c>
      <c r="AA151" s="25">
        <f ca="1">IFERROR(__xludf.DUMMYFUNCTION("""COMPUTED_VALUE"""),0)</f>
        <v>0</v>
      </c>
      <c r="AB151" s="25">
        <f ca="1">IFERROR(__xludf.DUMMYFUNCTION("""COMPUTED_VALUE"""),0)</f>
        <v>0</v>
      </c>
      <c r="AC151" s="23">
        <f ca="1">IFERROR(__xludf.DUMMYFUNCTION("""COMPUTED_VALUE"""),0)</f>
        <v>0</v>
      </c>
      <c r="AD151" s="26"/>
      <c r="AE151" s="27"/>
    </row>
    <row r="152" spans="1:31" ht="14.3">
      <c r="A152" s="6" t="str">
        <f ca="1">IFERROR(__xludf.DUMMYFUNCTION("""COMPUTED_VALUE"""),"23SDSCE01103")</f>
        <v>23SDSCE01103</v>
      </c>
      <c r="B152" s="37" t="str">
        <f ca="1">IFERROR(__xludf.DUMMYFUNCTION("""COMPUTED_VALUE"""),"MONPARA PRINCE SHAILESHBHAI")</f>
        <v>MONPARA PRINCE SHAILESHBHAI</v>
      </c>
      <c r="C152" s="18" t="str">
        <f ca="1">IFERROR(__xludf.DUMMYFUNCTION("""COMPUTED_VALUE"""),"SDS")</f>
        <v>SDS</v>
      </c>
      <c r="D152" s="18" t="str">
        <f ca="1">IFERROR(__xludf.DUMMYFUNCTION("""COMPUTED_VALUE"""),"DCE")</f>
        <v>DCE</v>
      </c>
      <c r="E152" s="18">
        <f ca="1">IFERROR(__xludf.DUMMYFUNCTION("""COMPUTED_VALUE"""),2)</f>
        <v>2</v>
      </c>
      <c r="F152" s="6" t="str">
        <f ca="1">IFERROR(__xludf.DUMMYFUNCTION("""COMPUTED_VALUE"""),"7016480572 9879630961")</f>
        <v>7016480572 9879630961</v>
      </c>
      <c r="G152" s="6" t="str">
        <f ca="1">IFERROR(__xludf.DUMMYFUNCTION("""COMPUTED_VALUE"""),"7016480572 9879630961")</f>
        <v>7016480572 9879630961</v>
      </c>
      <c r="H152" s="6" t="str">
        <f ca="1">IFERROR(__xludf.DUMMYFUNCTION("""COMPUTED_VALUE"""),"DCE_2023-26")</f>
        <v>DCE_2023-26</v>
      </c>
      <c r="I152" s="20"/>
      <c r="J152" s="21">
        <f ca="1">IFERROR(__xludf.DUMMYFUNCTION("""COMPUTED_VALUE"""),27500)</f>
        <v>27500</v>
      </c>
      <c r="K152" s="21">
        <f ca="1">IFERROR(__xludf.DUMMYFUNCTION("""COMPUTED_VALUE"""),0)</f>
        <v>0</v>
      </c>
      <c r="L152" s="21">
        <f ca="1">IFERROR(__xludf.DUMMYFUNCTION("""COMPUTED_VALUE"""),0)</f>
        <v>0</v>
      </c>
      <c r="M152" s="23">
        <f ca="1">IFERROR(__xludf.DUMMYFUNCTION("""COMPUTED_VALUE"""),0)</f>
        <v>0</v>
      </c>
      <c r="N152" s="21">
        <f ca="1">IFERROR(__xludf.DUMMYFUNCTION("""COMPUTED_VALUE"""),27500)</f>
        <v>27500</v>
      </c>
      <c r="O152" s="21">
        <f ca="1">IFERROR(__xludf.DUMMYFUNCTION("""COMPUTED_VALUE"""),3000)</f>
        <v>3000</v>
      </c>
      <c r="P152" s="21">
        <f ca="1">IFERROR(__xludf.DUMMYFUNCTION("""COMPUTED_VALUE"""),0)</f>
        <v>0</v>
      </c>
      <c r="Q152" s="23">
        <f ca="1">IFERROR(__xludf.DUMMYFUNCTION("""COMPUTED_VALUE"""),0)</f>
        <v>0</v>
      </c>
      <c r="R152" s="24">
        <f ca="1">IFERROR(__xludf.DUMMYFUNCTION("""COMPUTED_VALUE"""),0)</f>
        <v>0</v>
      </c>
      <c r="S152" s="23">
        <f ca="1">IFERROR(__xludf.DUMMYFUNCTION("""COMPUTED_VALUE"""),3000)</f>
        <v>3000</v>
      </c>
      <c r="T152" s="24">
        <f ca="1">IFERROR(__xludf.DUMMYFUNCTION("""COMPUTED_VALUE"""),0)</f>
        <v>0</v>
      </c>
      <c r="U152" s="23">
        <f ca="1">IFERROR(__xludf.DUMMYFUNCTION("""COMPUTED_VALUE"""),0)</f>
        <v>0</v>
      </c>
      <c r="V152" s="23">
        <f ca="1">IFERROR(__xludf.DUMMYFUNCTION("""COMPUTED_VALUE"""),0)</f>
        <v>0</v>
      </c>
      <c r="W152" s="23">
        <f ca="1">IFERROR(__xludf.DUMMYFUNCTION("""COMPUTED_VALUE"""),0)</f>
        <v>0</v>
      </c>
      <c r="X152" s="23">
        <f ca="1">IFERROR(__xludf.DUMMYFUNCTION("""COMPUTED_VALUE"""),0)</f>
        <v>0</v>
      </c>
      <c r="Y152" s="25">
        <f ca="1">IFERROR(__xludf.DUMMYFUNCTION("""COMPUTED_VALUE"""),0)</f>
        <v>0</v>
      </c>
      <c r="Z152" s="25">
        <f ca="1">IFERROR(__xludf.DUMMYFUNCTION("""COMPUTED_VALUE"""),0)</f>
        <v>0</v>
      </c>
      <c r="AA152" s="25">
        <f ca="1">IFERROR(__xludf.DUMMYFUNCTION("""COMPUTED_VALUE"""),0)</f>
        <v>0</v>
      </c>
      <c r="AB152" s="25">
        <f ca="1">IFERROR(__xludf.DUMMYFUNCTION("""COMPUTED_VALUE"""),0)</f>
        <v>0</v>
      </c>
      <c r="AC152" s="23">
        <f ca="1">IFERROR(__xludf.DUMMYFUNCTION("""COMPUTED_VALUE"""),0)</f>
        <v>0</v>
      </c>
      <c r="AD152" s="26"/>
      <c r="AE152" s="27"/>
    </row>
    <row r="153" spans="1:31" ht="14.3">
      <c r="A153" s="6" t="str">
        <f ca="1">IFERROR(__xludf.DUMMYFUNCTION("""COMPUTED_VALUE"""),"23SDSCE01104")</f>
        <v>23SDSCE01104</v>
      </c>
      <c r="B153" s="37" t="str">
        <f ca="1">IFERROR(__xludf.DUMMYFUNCTION("""COMPUTED_VALUE"""),"NANDANIYA JENIL GIRISHBHAI")</f>
        <v>NANDANIYA JENIL GIRISHBHAI</v>
      </c>
      <c r="C153" s="18" t="str">
        <f ca="1">IFERROR(__xludf.DUMMYFUNCTION("""COMPUTED_VALUE"""),"SDS")</f>
        <v>SDS</v>
      </c>
      <c r="D153" s="18" t="str">
        <f ca="1">IFERROR(__xludf.DUMMYFUNCTION("""COMPUTED_VALUE"""),"DCE")</f>
        <v>DCE</v>
      </c>
      <c r="E153" s="18">
        <f ca="1">IFERROR(__xludf.DUMMYFUNCTION("""COMPUTED_VALUE"""),2)</f>
        <v>2</v>
      </c>
      <c r="F153" s="18" t="str">
        <f ca="1">IFERROR(__xludf.DUMMYFUNCTION("""COMPUTED_VALUE"""),"9313277615 9879029251")</f>
        <v>9313277615 9879029251</v>
      </c>
      <c r="G153" s="18" t="str">
        <f ca="1">IFERROR(__xludf.DUMMYFUNCTION("""COMPUTED_VALUE"""),"9313277615 9879029251")</f>
        <v>9313277615 9879029251</v>
      </c>
      <c r="H153" s="6" t="str">
        <f ca="1">IFERROR(__xludf.DUMMYFUNCTION("""COMPUTED_VALUE"""),"DCE_2023-26")</f>
        <v>DCE_2023-26</v>
      </c>
      <c r="I153" s="20"/>
      <c r="J153" s="21">
        <f ca="1">IFERROR(__xludf.DUMMYFUNCTION("""COMPUTED_VALUE"""),27500)</f>
        <v>27500</v>
      </c>
      <c r="K153" s="21">
        <f ca="1">IFERROR(__xludf.DUMMYFUNCTION("""COMPUTED_VALUE"""),27500)</f>
        <v>27500</v>
      </c>
      <c r="L153" s="21">
        <f ca="1">IFERROR(__xludf.DUMMYFUNCTION("""COMPUTED_VALUE"""),0)</f>
        <v>0</v>
      </c>
      <c r="M153" s="23">
        <f ca="1">IFERROR(__xludf.DUMMYFUNCTION("""COMPUTED_VALUE"""),0)</f>
        <v>0</v>
      </c>
      <c r="N153" s="21">
        <f ca="1">IFERROR(__xludf.DUMMYFUNCTION("""COMPUTED_VALUE"""),0)</f>
        <v>0</v>
      </c>
      <c r="O153" s="21">
        <f ca="1">IFERROR(__xludf.DUMMYFUNCTION("""COMPUTED_VALUE"""),3000)</f>
        <v>3000</v>
      </c>
      <c r="P153" s="21">
        <f ca="1">IFERROR(__xludf.DUMMYFUNCTION("""COMPUTED_VALUE"""),3000)</f>
        <v>3000</v>
      </c>
      <c r="Q153" s="23">
        <f ca="1">IFERROR(__xludf.DUMMYFUNCTION("""COMPUTED_VALUE"""),0)</f>
        <v>0</v>
      </c>
      <c r="R153" s="24">
        <f ca="1">IFERROR(__xludf.DUMMYFUNCTION("""COMPUTED_VALUE"""),0)</f>
        <v>0</v>
      </c>
      <c r="S153" s="23">
        <f ca="1">IFERROR(__xludf.DUMMYFUNCTION("""COMPUTED_VALUE"""),0)</f>
        <v>0</v>
      </c>
      <c r="T153" s="24">
        <f ca="1">IFERROR(__xludf.DUMMYFUNCTION("""COMPUTED_VALUE"""),0)</f>
        <v>0</v>
      </c>
      <c r="U153" s="23">
        <f ca="1">IFERROR(__xludf.DUMMYFUNCTION("""COMPUTED_VALUE"""),0)</f>
        <v>0</v>
      </c>
      <c r="V153" s="23">
        <f ca="1">IFERROR(__xludf.DUMMYFUNCTION("""COMPUTED_VALUE"""),0)</f>
        <v>0</v>
      </c>
      <c r="W153" s="23">
        <f ca="1">IFERROR(__xludf.DUMMYFUNCTION("""COMPUTED_VALUE"""),0)</f>
        <v>0</v>
      </c>
      <c r="X153" s="23">
        <f ca="1">IFERROR(__xludf.DUMMYFUNCTION("""COMPUTED_VALUE"""),0)</f>
        <v>0</v>
      </c>
      <c r="Y153" s="25">
        <f ca="1">IFERROR(__xludf.DUMMYFUNCTION("""COMPUTED_VALUE"""),0)</f>
        <v>0</v>
      </c>
      <c r="Z153" s="25">
        <f ca="1">IFERROR(__xludf.DUMMYFUNCTION("""COMPUTED_VALUE"""),0)</f>
        <v>0</v>
      </c>
      <c r="AA153" s="25">
        <f ca="1">IFERROR(__xludf.DUMMYFUNCTION("""COMPUTED_VALUE"""),0)</f>
        <v>0</v>
      </c>
      <c r="AB153" s="25">
        <f ca="1">IFERROR(__xludf.DUMMYFUNCTION("""COMPUTED_VALUE"""),0)</f>
        <v>0</v>
      </c>
      <c r="AC153" s="23">
        <f ca="1">IFERROR(__xludf.DUMMYFUNCTION("""COMPUTED_VALUE"""),0)</f>
        <v>0</v>
      </c>
      <c r="AD153" s="26"/>
      <c r="AE153" s="27"/>
    </row>
    <row r="154" spans="1:31" ht="14.3">
      <c r="A154" s="6" t="str">
        <f ca="1">IFERROR(__xludf.DUMMYFUNCTION("""COMPUTED_VALUE"""),"23SDSCE01105")</f>
        <v>23SDSCE01105</v>
      </c>
      <c r="B154" s="37" t="str">
        <f ca="1">IFERROR(__xludf.DUMMYFUNCTION("""COMPUTED_VALUE"""),"PADALIYA MAAN RINKALBHAI")</f>
        <v>PADALIYA MAAN RINKALBHAI</v>
      </c>
      <c r="C154" s="18" t="str">
        <f ca="1">IFERROR(__xludf.DUMMYFUNCTION("""COMPUTED_VALUE"""),"SDS")</f>
        <v>SDS</v>
      </c>
      <c r="D154" s="18" t="str">
        <f ca="1">IFERROR(__xludf.DUMMYFUNCTION("""COMPUTED_VALUE"""),"DCE")</f>
        <v>DCE</v>
      </c>
      <c r="E154" s="18">
        <f ca="1">IFERROR(__xludf.DUMMYFUNCTION("""COMPUTED_VALUE"""),2)</f>
        <v>2</v>
      </c>
      <c r="F154" s="6" t="str">
        <f ca="1">IFERROR(__xludf.DUMMYFUNCTION("""COMPUTED_VALUE"""),"9998101586 9925632357 ")</f>
        <v xml:space="preserve">9998101586 9925632357 </v>
      </c>
      <c r="G154" s="6" t="str">
        <f ca="1">IFERROR(__xludf.DUMMYFUNCTION("""COMPUTED_VALUE"""),"9998101586 9925632357 ")</f>
        <v xml:space="preserve">9998101586 9925632357 </v>
      </c>
      <c r="H154" s="6" t="str">
        <f ca="1">IFERROR(__xludf.DUMMYFUNCTION("""COMPUTED_VALUE"""),"DME_2023-26")</f>
        <v>DME_2023-26</v>
      </c>
      <c r="I154" s="20"/>
      <c r="J154" s="21">
        <f ca="1">IFERROR(__xludf.DUMMYFUNCTION("""COMPUTED_VALUE"""),27500)</f>
        <v>27500</v>
      </c>
      <c r="K154" s="21">
        <f ca="1">IFERROR(__xludf.DUMMYFUNCTION("""COMPUTED_VALUE"""),27500)</f>
        <v>27500</v>
      </c>
      <c r="L154" s="21">
        <f ca="1">IFERROR(__xludf.DUMMYFUNCTION("""COMPUTED_VALUE"""),0)</f>
        <v>0</v>
      </c>
      <c r="M154" s="23">
        <f ca="1">IFERROR(__xludf.DUMMYFUNCTION("""COMPUTED_VALUE"""),0)</f>
        <v>0</v>
      </c>
      <c r="N154" s="21">
        <f ca="1">IFERROR(__xludf.DUMMYFUNCTION("""COMPUTED_VALUE"""),0)</f>
        <v>0</v>
      </c>
      <c r="O154" s="21">
        <f ca="1">IFERROR(__xludf.DUMMYFUNCTION("""COMPUTED_VALUE"""),3000)</f>
        <v>3000</v>
      </c>
      <c r="P154" s="21">
        <f ca="1">IFERROR(__xludf.DUMMYFUNCTION("""COMPUTED_VALUE"""),3000)</f>
        <v>3000</v>
      </c>
      <c r="Q154" s="23">
        <f ca="1">IFERROR(__xludf.DUMMYFUNCTION("""COMPUTED_VALUE"""),0)</f>
        <v>0</v>
      </c>
      <c r="R154" s="24">
        <f ca="1">IFERROR(__xludf.DUMMYFUNCTION("""COMPUTED_VALUE"""),0)</f>
        <v>0</v>
      </c>
      <c r="S154" s="23">
        <f ca="1">IFERROR(__xludf.DUMMYFUNCTION("""COMPUTED_VALUE"""),0)</f>
        <v>0</v>
      </c>
      <c r="T154" s="24">
        <f ca="1">IFERROR(__xludf.DUMMYFUNCTION("""COMPUTED_VALUE"""),0)</f>
        <v>0</v>
      </c>
      <c r="U154" s="23">
        <f ca="1">IFERROR(__xludf.DUMMYFUNCTION("""COMPUTED_VALUE"""),0)</f>
        <v>0</v>
      </c>
      <c r="V154" s="23">
        <f ca="1">IFERROR(__xludf.DUMMYFUNCTION("""COMPUTED_VALUE"""),0)</f>
        <v>0</v>
      </c>
      <c r="W154" s="23">
        <f ca="1">IFERROR(__xludf.DUMMYFUNCTION("""COMPUTED_VALUE"""),0)</f>
        <v>0</v>
      </c>
      <c r="X154" s="23">
        <f ca="1">IFERROR(__xludf.DUMMYFUNCTION("""COMPUTED_VALUE"""),0)</f>
        <v>0</v>
      </c>
      <c r="Y154" s="25">
        <f ca="1">IFERROR(__xludf.DUMMYFUNCTION("""COMPUTED_VALUE"""),0)</f>
        <v>0</v>
      </c>
      <c r="Z154" s="25">
        <f ca="1">IFERROR(__xludf.DUMMYFUNCTION("""COMPUTED_VALUE"""),0)</f>
        <v>0</v>
      </c>
      <c r="AA154" s="25">
        <f ca="1">IFERROR(__xludf.DUMMYFUNCTION("""COMPUTED_VALUE"""),0)</f>
        <v>0</v>
      </c>
      <c r="AB154" s="25">
        <f ca="1">IFERROR(__xludf.DUMMYFUNCTION("""COMPUTED_VALUE"""),0)</f>
        <v>0</v>
      </c>
      <c r="AC154" s="23">
        <f ca="1">IFERROR(__xludf.DUMMYFUNCTION("""COMPUTED_VALUE"""),0)</f>
        <v>0</v>
      </c>
      <c r="AD154" s="26"/>
      <c r="AE154" s="27"/>
    </row>
    <row r="155" spans="1:31" ht="14.3">
      <c r="A155" s="6" t="str">
        <f ca="1">IFERROR(__xludf.DUMMYFUNCTION("""COMPUTED_VALUE"""),"23SDSCE01106")</f>
        <v>23SDSCE01106</v>
      </c>
      <c r="B155" s="37" t="str">
        <f ca="1">IFERROR(__xludf.DUMMYFUNCTION("""COMPUTED_VALUE"""),"PADALIYA VED VIMALBHAI")</f>
        <v>PADALIYA VED VIMALBHAI</v>
      </c>
      <c r="C155" s="18" t="str">
        <f ca="1">IFERROR(__xludf.DUMMYFUNCTION("""COMPUTED_VALUE"""),"SDS")</f>
        <v>SDS</v>
      </c>
      <c r="D155" s="18" t="str">
        <f ca="1">IFERROR(__xludf.DUMMYFUNCTION("""COMPUTED_VALUE"""),"DCE")</f>
        <v>DCE</v>
      </c>
      <c r="E155" s="18">
        <f ca="1">IFERROR(__xludf.DUMMYFUNCTION("""COMPUTED_VALUE"""),2)</f>
        <v>2</v>
      </c>
      <c r="F155" s="18" t="str">
        <f ca="1">IFERROR(__xludf.DUMMYFUNCTION("""COMPUTED_VALUE"""),"9106799512 9925894055")</f>
        <v>9106799512 9925894055</v>
      </c>
      <c r="G155" s="18" t="str">
        <f ca="1">IFERROR(__xludf.DUMMYFUNCTION("""COMPUTED_VALUE"""),"9106799512 9925894055")</f>
        <v>9106799512 9925894055</v>
      </c>
      <c r="H155" s="6" t="str">
        <f ca="1">IFERROR(__xludf.DUMMYFUNCTION("""COMPUTED_VALUE"""),"DCE_2023-26")</f>
        <v>DCE_2023-26</v>
      </c>
      <c r="I155" s="20"/>
      <c r="J155" s="21">
        <f ca="1">IFERROR(__xludf.DUMMYFUNCTION("""COMPUTED_VALUE"""),27500)</f>
        <v>27500</v>
      </c>
      <c r="K155" s="21">
        <f ca="1">IFERROR(__xludf.DUMMYFUNCTION("""COMPUTED_VALUE"""),27500)</f>
        <v>27500</v>
      </c>
      <c r="L155" s="21">
        <f ca="1">IFERROR(__xludf.DUMMYFUNCTION("""COMPUTED_VALUE"""),0)</f>
        <v>0</v>
      </c>
      <c r="M155" s="23">
        <f ca="1">IFERROR(__xludf.DUMMYFUNCTION("""COMPUTED_VALUE"""),0)</f>
        <v>0</v>
      </c>
      <c r="N155" s="21">
        <f ca="1">IFERROR(__xludf.DUMMYFUNCTION("""COMPUTED_VALUE"""),0)</f>
        <v>0</v>
      </c>
      <c r="O155" s="21">
        <f ca="1">IFERROR(__xludf.DUMMYFUNCTION("""COMPUTED_VALUE"""),3000)</f>
        <v>3000</v>
      </c>
      <c r="P155" s="21">
        <f ca="1">IFERROR(__xludf.DUMMYFUNCTION("""COMPUTED_VALUE"""),3000)</f>
        <v>3000</v>
      </c>
      <c r="Q155" s="23">
        <f ca="1">IFERROR(__xludf.DUMMYFUNCTION("""COMPUTED_VALUE"""),0)</f>
        <v>0</v>
      </c>
      <c r="R155" s="24">
        <f ca="1">IFERROR(__xludf.DUMMYFUNCTION("""COMPUTED_VALUE"""),0)</f>
        <v>0</v>
      </c>
      <c r="S155" s="23">
        <f ca="1">IFERROR(__xludf.DUMMYFUNCTION("""COMPUTED_VALUE"""),0)</f>
        <v>0</v>
      </c>
      <c r="T155" s="24">
        <f ca="1">IFERROR(__xludf.DUMMYFUNCTION("""COMPUTED_VALUE"""),0)</f>
        <v>0</v>
      </c>
      <c r="U155" s="23">
        <f ca="1">IFERROR(__xludf.DUMMYFUNCTION("""COMPUTED_VALUE"""),0)</f>
        <v>0</v>
      </c>
      <c r="V155" s="23">
        <f ca="1">IFERROR(__xludf.DUMMYFUNCTION("""COMPUTED_VALUE"""),0)</f>
        <v>0</v>
      </c>
      <c r="W155" s="23">
        <f ca="1">IFERROR(__xludf.DUMMYFUNCTION("""COMPUTED_VALUE"""),0)</f>
        <v>0</v>
      </c>
      <c r="X155" s="23">
        <f ca="1">IFERROR(__xludf.DUMMYFUNCTION("""COMPUTED_VALUE"""),0)</f>
        <v>0</v>
      </c>
      <c r="Y155" s="25">
        <f ca="1">IFERROR(__xludf.DUMMYFUNCTION("""COMPUTED_VALUE"""),0)</f>
        <v>0</v>
      </c>
      <c r="Z155" s="25">
        <f ca="1">IFERROR(__xludf.DUMMYFUNCTION("""COMPUTED_VALUE"""),0)</f>
        <v>0</v>
      </c>
      <c r="AA155" s="25">
        <f ca="1">IFERROR(__xludf.DUMMYFUNCTION("""COMPUTED_VALUE"""),0)</f>
        <v>0</v>
      </c>
      <c r="AB155" s="25">
        <f ca="1">IFERROR(__xludf.DUMMYFUNCTION("""COMPUTED_VALUE"""),0)</f>
        <v>0</v>
      </c>
      <c r="AC155" s="23">
        <f ca="1">IFERROR(__xludf.DUMMYFUNCTION("""COMPUTED_VALUE"""),0)</f>
        <v>0</v>
      </c>
      <c r="AD155" s="26"/>
      <c r="AE155" s="27"/>
    </row>
    <row r="156" spans="1:31" ht="14.3">
      <c r="A156" s="6" t="str">
        <f ca="1">IFERROR(__xludf.DUMMYFUNCTION("""COMPUTED_VALUE"""),"23SDSCE01107")</f>
        <v>23SDSCE01107</v>
      </c>
      <c r="B156" s="37" t="str">
        <f ca="1">IFERROR(__xludf.DUMMYFUNCTION("""COMPUTED_VALUE"""),"PAGHDAR PART HARDASBHAI")</f>
        <v>PAGHDAR PART HARDASBHAI</v>
      </c>
      <c r="C156" s="18" t="str">
        <f ca="1">IFERROR(__xludf.DUMMYFUNCTION("""COMPUTED_VALUE"""),"SDS")</f>
        <v>SDS</v>
      </c>
      <c r="D156" s="18" t="str">
        <f ca="1">IFERROR(__xludf.DUMMYFUNCTION("""COMPUTED_VALUE"""),"DCE")</f>
        <v>DCE</v>
      </c>
      <c r="E156" s="18">
        <f ca="1">IFERROR(__xludf.DUMMYFUNCTION("""COMPUTED_VALUE"""),2)</f>
        <v>2</v>
      </c>
      <c r="F156" s="18" t="str">
        <f ca="1">IFERROR(__xludf.DUMMYFUNCTION("""COMPUTED_VALUE"""),"8140668221 9106526861")</f>
        <v>8140668221 9106526861</v>
      </c>
      <c r="G156" s="18" t="str">
        <f ca="1">IFERROR(__xludf.DUMMYFUNCTION("""COMPUTED_VALUE"""),"8140668221 9106526861")</f>
        <v>8140668221 9106526861</v>
      </c>
      <c r="H156" s="6" t="str">
        <f ca="1">IFERROR(__xludf.DUMMYFUNCTION("""COMPUTED_VALUE"""),"DCE_2023-26")</f>
        <v>DCE_2023-26</v>
      </c>
      <c r="I156" s="20" t="str">
        <f ca="1">IFERROR(__xludf.DUMMYFUNCTION("""COMPUTED_VALUE"""),"MYSY")</f>
        <v>MYSY</v>
      </c>
      <c r="J156" s="21">
        <f ca="1">IFERROR(__xludf.DUMMYFUNCTION("""COMPUTED_VALUE"""),27500)</f>
        <v>27500</v>
      </c>
      <c r="K156" s="21">
        <f ca="1">IFERROR(__xludf.DUMMYFUNCTION("""COMPUTED_VALUE"""),27500)</f>
        <v>27500</v>
      </c>
      <c r="L156" s="21">
        <f ca="1">IFERROR(__xludf.DUMMYFUNCTION("""COMPUTED_VALUE"""),0)</f>
        <v>0</v>
      </c>
      <c r="M156" s="23">
        <f ca="1">IFERROR(__xludf.DUMMYFUNCTION("""COMPUTED_VALUE"""),0)</f>
        <v>0</v>
      </c>
      <c r="N156" s="21">
        <f ca="1">IFERROR(__xludf.DUMMYFUNCTION("""COMPUTED_VALUE"""),0)</f>
        <v>0</v>
      </c>
      <c r="O156" s="21">
        <f ca="1">IFERROR(__xludf.DUMMYFUNCTION("""COMPUTED_VALUE"""),3000)</f>
        <v>3000</v>
      </c>
      <c r="P156" s="21">
        <f ca="1">IFERROR(__xludf.DUMMYFUNCTION("""COMPUTED_VALUE"""),3000)</f>
        <v>3000</v>
      </c>
      <c r="Q156" s="23">
        <f ca="1">IFERROR(__xludf.DUMMYFUNCTION("""COMPUTED_VALUE"""),0)</f>
        <v>0</v>
      </c>
      <c r="R156" s="24">
        <f ca="1">IFERROR(__xludf.DUMMYFUNCTION("""COMPUTED_VALUE"""),0)</f>
        <v>0</v>
      </c>
      <c r="S156" s="23">
        <f ca="1">IFERROR(__xludf.DUMMYFUNCTION("""COMPUTED_VALUE"""),0)</f>
        <v>0</v>
      </c>
      <c r="T156" s="24">
        <f ca="1">IFERROR(__xludf.DUMMYFUNCTION("""COMPUTED_VALUE"""),0)</f>
        <v>0</v>
      </c>
      <c r="U156" s="23">
        <f ca="1">IFERROR(__xludf.DUMMYFUNCTION("""COMPUTED_VALUE"""),0)</f>
        <v>0</v>
      </c>
      <c r="V156" s="23">
        <f ca="1">IFERROR(__xludf.DUMMYFUNCTION("""COMPUTED_VALUE"""),0)</f>
        <v>0</v>
      </c>
      <c r="W156" s="23">
        <f ca="1">IFERROR(__xludf.DUMMYFUNCTION("""COMPUTED_VALUE"""),0)</f>
        <v>0</v>
      </c>
      <c r="X156" s="23">
        <f ca="1">IFERROR(__xludf.DUMMYFUNCTION("""COMPUTED_VALUE"""),0)</f>
        <v>0</v>
      </c>
      <c r="Y156" s="25">
        <f ca="1">IFERROR(__xludf.DUMMYFUNCTION("""COMPUTED_VALUE"""),0)</f>
        <v>0</v>
      </c>
      <c r="Z156" s="25">
        <f ca="1">IFERROR(__xludf.DUMMYFUNCTION("""COMPUTED_VALUE"""),0)</f>
        <v>0</v>
      </c>
      <c r="AA156" s="25">
        <f ca="1">IFERROR(__xludf.DUMMYFUNCTION("""COMPUTED_VALUE"""),0)</f>
        <v>0</v>
      </c>
      <c r="AB156" s="25">
        <f ca="1">IFERROR(__xludf.DUMMYFUNCTION("""COMPUTED_VALUE"""),0)</f>
        <v>0</v>
      </c>
      <c r="AC156" s="23">
        <f ca="1">IFERROR(__xludf.DUMMYFUNCTION("""COMPUTED_VALUE"""),0)</f>
        <v>0</v>
      </c>
      <c r="AD156" s="26" t="str">
        <f ca="1">IFERROR(__xludf.DUMMYFUNCTION("""COMPUTED_VALUE"""),"MYSY (25000/-)	KSPS ( 12500/- )")</f>
        <v>MYSY (25000/-)	KSPS ( 12500/- )</v>
      </c>
      <c r="AE156" s="27"/>
    </row>
    <row r="157" spans="1:31" ht="14.3">
      <c r="A157" s="6" t="str">
        <f ca="1">IFERROR(__xludf.DUMMYFUNCTION("""COMPUTED_VALUE"""),"23SDSCE01108")</f>
        <v>23SDSCE01108</v>
      </c>
      <c r="B157" s="37" t="str">
        <f ca="1">IFERROR(__xludf.DUMMYFUNCTION("""COMPUTED_VALUE"""),"PANCHASARA VIVEK VIJAYBHAI")</f>
        <v>PANCHASARA VIVEK VIJAYBHAI</v>
      </c>
      <c r="C157" s="18" t="str">
        <f ca="1">IFERROR(__xludf.DUMMYFUNCTION("""COMPUTED_VALUE"""),"SDS")</f>
        <v>SDS</v>
      </c>
      <c r="D157" s="18" t="str">
        <f ca="1">IFERROR(__xludf.DUMMYFUNCTION("""COMPUTED_VALUE"""),"DCE")</f>
        <v>DCE</v>
      </c>
      <c r="E157" s="18">
        <f ca="1">IFERROR(__xludf.DUMMYFUNCTION("""COMPUTED_VALUE"""),2)</f>
        <v>2</v>
      </c>
      <c r="F157" s="18" t="str">
        <f ca="1">IFERROR(__xludf.DUMMYFUNCTION("""COMPUTED_VALUE"""),"9737175978 9979602467")</f>
        <v>9737175978 9979602467</v>
      </c>
      <c r="G157" s="18" t="str">
        <f ca="1">IFERROR(__xludf.DUMMYFUNCTION("""COMPUTED_VALUE"""),"9737175978 9979602467")</f>
        <v>9737175978 9979602467</v>
      </c>
      <c r="H157" s="6" t="str">
        <f ca="1">IFERROR(__xludf.DUMMYFUNCTION("""COMPUTED_VALUE"""),"DCE_2023-26")</f>
        <v>DCE_2023-26</v>
      </c>
      <c r="I157" s="20" t="str">
        <f ca="1">IFERROR(__xludf.DUMMYFUNCTION("""COMPUTED_VALUE"""),"KSP")</f>
        <v>KSP</v>
      </c>
      <c r="J157" s="21">
        <f ca="1">IFERROR(__xludf.DUMMYFUNCTION("""COMPUTED_VALUE"""),27500)</f>
        <v>27500</v>
      </c>
      <c r="K157" s="21">
        <f ca="1">IFERROR(__xludf.DUMMYFUNCTION("""COMPUTED_VALUE"""),21250)</f>
        <v>21250</v>
      </c>
      <c r="L157" s="21">
        <f ca="1">IFERROR(__xludf.DUMMYFUNCTION("""COMPUTED_VALUE"""),0)</f>
        <v>0</v>
      </c>
      <c r="M157" s="23">
        <f ca="1">IFERROR(__xludf.DUMMYFUNCTION("""COMPUTED_VALUE"""),6250)</f>
        <v>6250</v>
      </c>
      <c r="N157" s="21">
        <f ca="1">IFERROR(__xludf.DUMMYFUNCTION("""COMPUTED_VALUE"""),0)</f>
        <v>0</v>
      </c>
      <c r="O157" s="21">
        <f ca="1">IFERROR(__xludf.DUMMYFUNCTION("""COMPUTED_VALUE"""),3000)</f>
        <v>3000</v>
      </c>
      <c r="P157" s="21">
        <f ca="1">IFERROR(__xludf.DUMMYFUNCTION("""COMPUTED_VALUE"""),3000)</f>
        <v>3000</v>
      </c>
      <c r="Q157" s="23">
        <f ca="1">IFERROR(__xludf.DUMMYFUNCTION("""COMPUTED_VALUE"""),0)</f>
        <v>0</v>
      </c>
      <c r="R157" s="24">
        <f ca="1">IFERROR(__xludf.DUMMYFUNCTION("""COMPUTED_VALUE"""),0)</f>
        <v>0</v>
      </c>
      <c r="S157" s="23">
        <f ca="1">IFERROR(__xludf.DUMMYFUNCTION("""COMPUTED_VALUE"""),0)</f>
        <v>0</v>
      </c>
      <c r="T157" s="24">
        <f ca="1">IFERROR(__xludf.DUMMYFUNCTION("""COMPUTED_VALUE"""),0)</f>
        <v>0</v>
      </c>
      <c r="U157" s="23">
        <f ca="1">IFERROR(__xludf.DUMMYFUNCTION("""COMPUTED_VALUE"""),0)</f>
        <v>0</v>
      </c>
      <c r="V157" s="23">
        <f ca="1">IFERROR(__xludf.DUMMYFUNCTION("""COMPUTED_VALUE"""),0)</f>
        <v>0</v>
      </c>
      <c r="W157" s="23">
        <f ca="1">IFERROR(__xludf.DUMMYFUNCTION("""COMPUTED_VALUE"""),0)</f>
        <v>0</v>
      </c>
      <c r="X157" s="23">
        <f ca="1">IFERROR(__xludf.DUMMYFUNCTION("""COMPUTED_VALUE"""),0)</f>
        <v>0</v>
      </c>
      <c r="Y157" s="25">
        <f ca="1">IFERROR(__xludf.DUMMYFUNCTION("""COMPUTED_VALUE"""),0)</f>
        <v>0</v>
      </c>
      <c r="Z157" s="25">
        <f ca="1">IFERROR(__xludf.DUMMYFUNCTION("""COMPUTED_VALUE"""),0)</f>
        <v>0</v>
      </c>
      <c r="AA157" s="25">
        <f ca="1">IFERROR(__xludf.DUMMYFUNCTION("""COMPUTED_VALUE"""),0)</f>
        <v>0</v>
      </c>
      <c r="AB157" s="25">
        <f ca="1">IFERROR(__xludf.DUMMYFUNCTION("""COMPUTED_VALUE"""),0)</f>
        <v>0</v>
      </c>
      <c r="AC157" s="23">
        <f ca="1">IFERROR(__xludf.DUMMYFUNCTION("""COMPUTED_VALUE"""),0)</f>
        <v>0</v>
      </c>
      <c r="AD157" s="26" t="str">
        <f ca="1">IFERROR(__xludf.DUMMYFUNCTION("""COMPUTED_VALUE"""),"KSPS ( 6250/- )")</f>
        <v>KSPS ( 6250/- )</v>
      </c>
      <c r="AE157" s="27"/>
    </row>
    <row r="158" spans="1:31" ht="14.3">
      <c r="A158" s="6" t="str">
        <f ca="1">IFERROR(__xludf.DUMMYFUNCTION("""COMPUTED_VALUE"""),"23SDSCE01109")</f>
        <v>23SDSCE01109</v>
      </c>
      <c r="B158" s="37" t="str">
        <f ca="1">IFERROR(__xludf.DUMMYFUNCTION("""COMPUTED_VALUE"""),"PATRA SABUJ SANJAY")</f>
        <v>PATRA SABUJ SANJAY</v>
      </c>
      <c r="C158" s="18" t="str">
        <f ca="1">IFERROR(__xludf.DUMMYFUNCTION("""COMPUTED_VALUE"""),"SDS")</f>
        <v>SDS</v>
      </c>
      <c r="D158" s="18" t="str">
        <f ca="1">IFERROR(__xludf.DUMMYFUNCTION("""COMPUTED_VALUE"""),"DCE")</f>
        <v>DCE</v>
      </c>
      <c r="E158" s="18">
        <f ca="1">IFERROR(__xludf.DUMMYFUNCTION("""COMPUTED_VALUE"""),2)</f>
        <v>2</v>
      </c>
      <c r="F158" s="18" t="str">
        <f ca="1">IFERROR(__xludf.DUMMYFUNCTION("""COMPUTED_VALUE"""),"9409510510 9408651950")</f>
        <v>9409510510 9408651950</v>
      </c>
      <c r="G158" s="18" t="str">
        <f ca="1">IFERROR(__xludf.DUMMYFUNCTION("""COMPUTED_VALUE"""),"9409510510 9408651950")</f>
        <v>9409510510 9408651950</v>
      </c>
      <c r="H158" s="6" t="str">
        <f ca="1">IFERROR(__xludf.DUMMYFUNCTION("""COMPUTED_VALUE"""),"DCE_2023-26")</f>
        <v>DCE_2023-26</v>
      </c>
      <c r="I158" s="20"/>
      <c r="J158" s="21">
        <f ca="1">IFERROR(__xludf.DUMMYFUNCTION("""COMPUTED_VALUE"""),27500)</f>
        <v>27500</v>
      </c>
      <c r="K158" s="21">
        <f ca="1">IFERROR(__xludf.DUMMYFUNCTION("""COMPUTED_VALUE"""),27500)</f>
        <v>27500</v>
      </c>
      <c r="L158" s="21">
        <f ca="1">IFERROR(__xludf.DUMMYFUNCTION("""COMPUTED_VALUE"""),0)</f>
        <v>0</v>
      </c>
      <c r="M158" s="23">
        <f ca="1">IFERROR(__xludf.DUMMYFUNCTION("""COMPUTED_VALUE"""),0)</f>
        <v>0</v>
      </c>
      <c r="N158" s="21">
        <f ca="1">IFERROR(__xludf.DUMMYFUNCTION("""COMPUTED_VALUE"""),0)</f>
        <v>0</v>
      </c>
      <c r="O158" s="21">
        <f ca="1">IFERROR(__xludf.DUMMYFUNCTION("""COMPUTED_VALUE"""),3000)</f>
        <v>3000</v>
      </c>
      <c r="P158" s="21">
        <f ca="1">IFERROR(__xludf.DUMMYFUNCTION("""COMPUTED_VALUE"""),3000)</f>
        <v>3000</v>
      </c>
      <c r="Q158" s="23">
        <f ca="1">IFERROR(__xludf.DUMMYFUNCTION("""COMPUTED_VALUE"""),0)</f>
        <v>0</v>
      </c>
      <c r="R158" s="24">
        <f ca="1">IFERROR(__xludf.DUMMYFUNCTION("""COMPUTED_VALUE"""),0)</f>
        <v>0</v>
      </c>
      <c r="S158" s="23">
        <f ca="1">IFERROR(__xludf.DUMMYFUNCTION("""COMPUTED_VALUE"""),0)</f>
        <v>0</v>
      </c>
      <c r="T158" s="24">
        <f ca="1">IFERROR(__xludf.DUMMYFUNCTION("""COMPUTED_VALUE"""),0)</f>
        <v>0</v>
      </c>
      <c r="U158" s="23">
        <f ca="1">IFERROR(__xludf.DUMMYFUNCTION("""COMPUTED_VALUE"""),0)</f>
        <v>0</v>
      </c>
      <c r="V158" s="23">
        <f ca="1">IFERROR(__xludf.DUMMYFUNCTION("""COMPUTED_VALUE"""),0)</f>
        <v>0</v>
      </c>
      <c r="W158" s="23">
        <f ca="1">IFERROR(__xludf.DUMMYFUNCTION("""COMPUTED_VALUE"""),0)</f>
        <v>0</v>
      </c>
      <c r="X158" s="23">
        <f ca="1">IFERROR(__xludf.DUMMYFUNCTION("""COMPUTED_VALUE"""),0)</f>
        <v>0</v>
      </c>
      <c r="Y158" s="25">
        <f ca="1">IFERROR(__xludf.DUMMYFUNCTION("""COMPUTED_VALUE"""),0)</f>
        <v>0</v>
      </c>
      <c r="Z158" s="25">
        <f ca="1">IFERROR(__xludf.DUMMYFUNCTION("""COMPUTED_VALUE"""),0)</f>
        <v>0</v>
      </c>
      <c r="AA158" s="25">
        <f ca="1">IFERROR(__xludf.DUMMYFUNCTION("""COMPUTED_VALUE"""),0)</f>
        <v>0</v>
      </c>
      <c r="AB158" s="25">
        <f ca="1">IFERROR(__xludf.DUMMYFUNCTION("""COMPUTED_VALUE"""),0)</f>
        <v>0</v>
      </c>
      <c r="AC158" s="23">
        <f ca="1">IFERROR(__xludf.DUMMYFUNCTION("""COMPUTED_VALUE"""),0)</f>
        <v>0</v>
      </c>
      <c r="AD158" s="26"/>
      <c r="AE158" s="27"/>
    </row>
    <row r="159" spans="1:31" ht="14.3">
      <c r="A159" s="6" t="str">
        <f ca="1">IFERROR(__xludf.DUMMYFUNCTION("""COMPUTED_VALUE"""),"23SDSCE01110")</f>
        <v>23SDSCE01110</v>
      </c>
      <c r="B159" s="37" t="str">
        <f ca="1">IFERROR(__xludf.DUMMYFUNCTION("""COMPUTED_VALUE"""),"PIPALIYA JEEL VINODBHAI")</f>
        <v>PIPALIYA JEEL VINODBHAI</v>
      </c>
      <c r="C159" s="18" t="str">
        <f ca="1">IFERROR(__xludf.DUMMYFUNCTION("""COMPUTED_VALUE"""),"SDS")</f>
        <v>SDS</v>
      </c>
      <c r="D159" s="18" t="str">
        <f ca="1">IFERROR(__xludf.DUMMYFUNCTION("""COMPUTED_VALUE"""),"DCE")</f>
        <v>DCE</v>
      </c>
      <c r="E159" s="18">
        <f ca="1">IFERROR(__xludf.DUMMYFUNCTION("""COMPUTED_VALUE"""),2)</f>
        <v>2</v>
      </c>
      <c r="F159" s="18" t="str">
        <f ca="1">IFERROR(__xludf.DUMMYFUNCTION("""COMPUTED_VALUE"""),"9824940955
9016184541")</f>
        <v>9824940955
9016184541</v>
      </c>
      <c r="G159" s="18" t="str">
        <f ca="1">IFERROR(__xludf.DUMMYFUNCTION("""COMPUTED_VALUE"""),"9824940955
9016184541")</f>
        <v>9824940955
9016184541</v>
      </c>
      <c r="H159" s="6" t="str">
        <f ca="1">IFERROR(__xludf.DUMMYFUNCTION("""COMPUTED_VALUE"""),"DCE_2023-26")</f>
        <v>DCE_2023-26</v>
      </c>
      <c r="I159" s="20" t="str">
        <f ca="1">IFERROR(__xludf.DUMMYFUNCTION("""COMPUTED_VALUE"""),"KSP")</f>
        <v>KSP</v>
      </c>
      <c r="J159" s="21">
        <f ca="1">IFERROR(__xludf.DUMMYFUNCTION("""COMPUTED_VALUE"""),27500)</f>
        <v>27500</v>
      </c>
      <c r="K159" s="21">
        <f ca="1">IFERROR(__xludf.DUMMYFUNCTION("""COMPUTED_VALUE"""),21250)</f>
        <v>21250</v>
      </c>
      <c r="L159" s="21">
        <f ca="1">IFERROR(__xludf.DUMMYFUNCTION("""COMPUTED_VALUE"""),0)</f>
        <v>0</v>
      </c>
      <c r="M159" s="23">
        <f ca="1">IFERROR(__xludf.DUMMYFUNCTION("""COMPUTED_VALUE"""),6250)</f>
        <v>6250</v>
      </c>
      <c r="N159" s="21">
        <f ca="1">IFERROR(__xludf.DUMMYFUNCTION("""COMPUTED_VALUE"""),0)</f>
        <v>0</v>
      </c>
      <c r="O159" s="21">
        <f ca="1">IFERROR(__xludf.DUMMYFUNCTION("""COMPUTED_VALUE"""),3000)</f>
        <v>3000</v>
      </c>
      <c r="P159" s="21">
        <f ca="1">IFERROR(__xludf.DUMMYFUNCTION("""COMPUTED_VALUE"""),3000)</f>
        <v>3000</v>
      </c>
      <c r="Q159" s="23">
        <f ca="1">IFERROR(__xludf.DUMMYFUNCTION("""COMPUTED_VALUE"""),0)</f>
        <v>0</v>
      </c>
      <c r="R159" s="24">
        <f ca="1">IFERROR(__xludf.DUMMYFUNCTION("""COMPUTED_VALUE"""),0)</f>
        <v>0</v>
      </c>
      <c r="S159" s="23">
        <f ca="1">IFERROR(__xludf.DUMMYFUNCTION("""COMPUTED_VALUE"""),0)</f>
        <v>0</v>
      </c>
      <c r="T159" s="24">
        <f ca="1">IFERROR(__xludf.DUMMYFUNCTION("""COMPUTED_VALUE"""),0)</f>
        <v>0</v>
      </c>
      <c r="U159" s="23">
        <f ca="1">IFERROR(__xludf.DUMMYFUNCTION("""COMPUTED_VALUE"""),0)</f>
        <v>0</v>
      </c>
      <c r="V159" s="23">
        <f ca="1">IFERROR(__xludf.DUMMYFUNCTION("""COMPUTED_VALUE"""),0)</f>
        <v>0</v>
      </c>
      <c r="W159" s="23">
        <f ca="1">IFERROR(__xludf.DUMMYFUNCTION("""COMPUTED_VALUE"""),0)</f>
        <v>0</v>
      </c>
      <c r="X159" s="23">
        <f ca="1">IFERROR(__xludf.DUMMYFUNCTION("""COMPUTED_VALUE"""),0)</f>
        <v>0</v>
      </c>
      <c r="Y159" s="25">
        <f ca="1">IFERROR(__xludf.DUMMYFUNCTION("""COMPUTED_VALUE"""),0)</f>
        <v>0</v>
      </c>
      <c r="Z159" s="25">
        <f ca="1">IFERROR(__xludf.DUMMYFUNCTION("""COMPUTED_VALUE"""),0)</f>
        <v>0</v>
      </c>
      <c r="AA159" s="25">
        <f ca="1">IFERROR(__xludf.DUMMYFUNCTION("""COMPUTED_VALUE"""),0)</f>
        <v>0</v>
      </c>
      <c r="AB159" s="25">
        <f ca="1">IFERROR(__xludf.DUMMYFUNCTION("""COMPUTED_VALUE"""),0)</f>
        <v>0</v>
      </c>
      <c r="AC159" s="23">
        <f ca="1">IFERROR(__xludf.DUMMYFUNCTION("""COMPUTED_VALUE"""),0)</f>
        <v>0</v>
      </c>
      <c r="AD159" s="26" t="str">
        <f ca="1">IFERROR(__xludf.DUMMYFUNCTION("""COMPUTED_VALUE"""),"KSPS ( 6250/- )")</f>
        <v>KSPS ( 6250/- )</v>
      </c>
      <c r="AE159" s="27"/>
    </row>
    <row r="160" spans="1:31" ht="14.3">
      <c r="A160" s="6" t="str">
        <f ca="1">IFERROR(__xludf.DUMMYFUNCTION("""COMPUTED_VALUE"""),"23SDSCE01111")</f>
        <v>23SDSCE01111</v>
      </c>
      <c r="B160" s="37" t="str">
        <f ca="1">IFERROR(__xludf.DUMMYFUNCTION("""COMPUTED_VALUE"""),"POPAT RIYA SACHINBHAI")</f>
        <v>POPAT RIYA SACHINBHAI</v>
      </c>
      <c r="C160" s="18" t="str">
        <f ca="1">IFERROR(__xludf.DUMMYFUNCTION("""COMPUTED_VALUE"""),"SDS")</f>
        <v>SDS</v>
      </c>
      <c r="D160" s="18" t="str">
        <f ca="1">IFERROR(__xludf.DUMMYFUNCTION("""COMPUTED_VALUE"""),"DCE")</f>
        <v>DCE</v>
      </c>
      <c r="E160" s="18">
        <f ca="1">IFERROR(__xludf.DUMMYFUNCTION("""COMPUTED_VALUE"""),2)</f>
        <v>2</v>
      </c>
      <c r="F160" s="18" t="str">
        <f ca="1">IFERROR(__xludf.DUMMYFUNCTION("""COMPUTED_VALUE"""),"9558717749 9328174046 9510304443")</f>
        <v>9558717749 9328174046 9510304443</v>
      </c>
      <c r="G160" s="18" t="str">
        <f ca="1">IFERROR(__xludf.DUMMYFUNCTION("""COMPUTED_VALUE"""),"9558717749 9328174046 9510304443")</f>
        <v>9558717749 9328174046 9510304443</v>
      </c>
      <c r="H160" s="6" t="str">
        <f ca="1">IFERROR(__xludf.DUMMYFUNCTION("""COMPUTED_VALUE"""),"DCE_2023-26")</f>
        <v>DCE_2023-26</v>
      </c>
      <c r="I160" s="20" t="str">
        <f ca="1">IFERROR(__xludf.DUMMYFUNCTION("""COMPUTED_VALUE"""),"MYSY")</f>
        <v>MYSY</v>
      </c>
      <c r="J160" s="21">
        <f ca="1">IFERROR(__xludf.DUMMYFUNCTION("""COMPUTED_VALUE"""),27500)</f>
        <v>27500</v>
      </c>
      <c r="K160" s="21">
        <f ca="1">IFERROR(__xludf.DUMMYFUNCTION("""COMPUTED_VALUE"""),0)</f>
        <v>0</v>
      </c>
      <c r="L160" s="21">
        <f ca="1">IFERROR(__xludf.DUMMYFUNCTION("""COMPUTED_VALUE"""),0)</f>
        <v>0</v>
      </c>
      <c r="M160" s="23">
        <f ca="1">IFERROR(__xludf.DUMMYFUNCTION("""COMPUTED_VALUE"""),0)</f>
        <v>0</v>
      </c>
      <c r="N160" s="21">
        <f ca="1">IFERROR(__xludf.DUMMYFUNCTION("""COMPUTED_VALUE"""),27500)</f>
        <v>27500</v>
      </c>
      <c r="O160" s="21">
        <f ca="1">IFERROR(__xludf.DUMMYFUNCTION("""COMPUTED_VALUE"""),3000)</f>
        <v>3000</v>
      </c>
      <c r="P160" s="21">
        <f ca="1">IFERROR(__xludf.DUMMYFUNCTION("""COMPUTED_VALUE"""),3000)</f>
        <v>3000</v>
      </c>
      <c r="Q160" s="23">
        <f ca="1">IFERROR(__xludf.DUMMYFUNCTION("""COMPUTED_VALUE"""),0)</f>
        <v>0</v>
      </c>
      <c r="R160" s="24">
        <f ca="1">IFERROR(__xludf.DUMMYFUNCTION("""COMPUTED_VALUE"""),0)</f>
        <v>0</v>
      </c>
      <c r="S160" s="23">
        <f ca="1">IFERROR(__xludf.DUMMYFUNCTION("""COMPUTED_VALUE"""),0)</f>
        <v>0</v>
      </c>
      <c r="T160" s="24">
        <f ca="1">IFERROR(__xludf.DUMMYFUNCTION("""COMPUTED_VALUE"""),0)</f>
        <v>0</v>
      </c>
      <c r="U160" s="23">
        <f ca="1">IFERROR(__xludf.DUMMYFUNCTION("""COMPUTED_VALUE"""),0)</f>
        <v>0</v>
      </c>
      <c r="V160" s="23">
        <f ca="1">IFERROR(__xludf.DUMMYFUNCTION("""COMPUTED_VALUE"""),0)</f>
        <v>0</v>
      </c>
      <c r="W160" s="23">
        <f ca="1">IFERROR(__xludf.DUMMYFUNCTION("""COMPUTED_VALUE"""),0)</f>
        <v>0</v>
      </c>
      <c r="X160" s="23">
        <f ca="1">IFERROR(__xludf.DUMMYFUNCTION("""COMPUTED_VALUE"""),0)</f>
        <v>0</v>
      </c>
      <c r="Y160" s="25">
        <f ca="1">IFERROR(__xludf.DUMMYFUNCTION("""COMPUTED_VALUE"""),0)</f>
        <v>0</v>
      </c>
      <c r="Z160" s="25">
        <f ca="1">IFERROR(__xludf.DUMMYFUNCTION("""COMPUTED_VALUE"""),0)</f>
        <v>0</v>
      </c>
      <c r="AA160" s="25">
        <f ca="1">IFERROR(__xludf.DUMMYFUNCTION("""COMPUTED_VALUE"""),0)</f>
        <v>0</v>
      </c>
      <c r="AB160" s="25">
        <f ca="1">IFERROR(__xludf.DUMMYFUNCTION("""COMPUTED_VALUE"""),0)</f>
        <v>0</v>
      </c>
      <c r="AC160" s="23">
        <f ca="1">IFERROR(__xludf.DUMMYFUNCTION("""COMPUTED_VALUE"""),0)</f>
        <v>0</v>
      </c>
      <c r="AD160" s="26"/>
      <c r="AE160" s="27"/>
    </row>
    <row r="161" spans="1:31" ht="14.3">
      <c r="A161" s="6" t="str">
        <f ca="1">IFERROR(__xludf.DUMMYFUNCTION("""COMPUTED_VALUE"""),"23SDSCE01112")</f>
        <v>23SDSCE01112</v>
      </c>
      <c r="B161" s="37" t="str">
        <f ca="1">IFERROR(__xludf.DUMMYFUNCTION("""COMPUTED_VALUE"""),"POSHIYA KIRTAN SHAILESHBHAI")</f>
        <v>POSHIYA KIRTAN SHAILESHBHAI</v>
      </c>
      <c r="C161" s="18" t="str">
        <f ca="1">IFERROR(__xludf.DUMMYFUNCTION("""COMPUTED_VALUE"""),"SDS")</f>
        <v>SDS</v>
      </c>
      <c r="D161" s="18" t="str">
        <f ca="1">IFERROR(__xludf.DUMMYFUNCTION("""COMPUTED_VALUE"""),"DCE")</f>
        <v>DCE</v>
      </c>
      <c r="E161" s="18">
        <f ca="1">IFERROR(__xludf.DUMMYFUNCTION("""COMPUTED_VALUE"""),2)</f>
        <v>2</v>
      </c>
      <c r="F161" s="18" t="str">
        <f ca="1">IFERROR(__xludf.DUMMYFUNCTION("""COMPUTED_VALUE"""),"9624765055 9904538702")</f>
        <v>9624765055 9904538702</v>
      </c>
      <c r="G161" s="18" t="str">
        <f ca="1">IFERROR(__xludf.DUMMYFUNCTION("""COMPUTED_VALUE"""),"9624765055 9904538702")</f>
        <v>9624765055 9904538702</v>
      </c>
      <c r="H161" s="6" t="str">
        <f ca="1">IFERROR(__xludf.DUMMYFUNCTION("""COMPUTED_VALUE"""),"DCE_2023-26")</f>
        <v>DCE_2023-26</v>
      </c>
      <c r="I161" s="20"/>
      <c r="J161" s="21">
        <f ca="1">IFERROR(__xludf.DUMMYFUNCTION("""COMPUTED_VALUE"""),27500)</f>
        <v>27500</v>
      </c>
      <c r="K161" s="21">
        <f ca="1">IFERROR(__xludf.DUMMYFUNCTION("""COMPUTED_VALUE"""),27500)</f>
        <v>27500</v>
      </c>
      <c r="L161" s="21">
        <f ca="1">IFERROR(__xludf.DUMMYFUNCTION("""COMPUTED_VALUE"""),0)</f>
        <v>0</v>
      </c>
      <c r="M161" s="23">
        <f ca="1">IFERROR(__xludf.DUMMYFUNCTION("""COMPUTED_VALUE"""),0)</f>
        <v>0</v>
      </c>
      <c r="N161" s="21">
        <f ca="1">IFERROR(__xludf.DUMMYFUNCTION("""COMPUTED_VALUE"""),0)</f>
        <v>0</v>
      </c>
      <c r="O161" s="21">
        <f ca="1">IFERROR(__xludf.DUMMYFUNCTION("""COMPUTED_VALUE"""),3000)</f>
        <v>3000</v>
      </c>
      <c r="P161" s="21">
        <f ca="1">IFERROR(__xludf.DUMMYFUNCTION("""COMPUTED_VALUE"""),3000)</f>
        <v>3000</v>
      </c>
      <c r="Q161" s="23">
        <f ca="1">IFERROR(__xludf.DUMMYFUNCTION("""COMPUTED_VALUE"""),0)</f>
        <v>0</v>
      </c>
      <c r="R161" s="24">
        <f ca="1">IFERROR(__xludf.DUMMYFUNCTION("""COMPUTED_VALUE"""),0)</f>
        <v>0</v>
      </c>
      <c r="S161" s="23">
        <f ca="1">IFERROR(__xludf.DUMMYFUNCTION("""COMPUTED_VALUE"""),0)</f>
        <v>0</v>
      </c>
      <c r="T161" s="24">
        <f ca="1">IFERROR(__xludf.DUMMYFUNCTION("""COMPUTED_VALUE"""),0)</f>
        <v>0</v>
      </c>
      <c r="U161" s="23">
        <f ca="1">IFERROR(__xludf.DUMMYFUNCTION("""COMPUTED_VALUE"""),0)</f>
        <v>0</v>
      </c>
      <c r="V161" s="23">
        <f ca="1">IFERROR(__xludf.DUMMYFUNCTION("""COMPUTED_VALUE"""),0)</f>
        <v>0</v>
      </c>
      <c r="W161" s="23">
        <f ca="1">IFERROR(__xludf.DUMMYFUNCTION("""COMPUTED_VALUE"""),0)</f>
        <v>0</v>
      </c>
      <c r="X161" s="23">
        <f ca="1">IFERROR(__xludf.DUMMYFUNCTION("""COMPUTED_VALUE"""),0)</f>
        <v>0</v>
      </c>
      <c r="Y161" s="25">
        <f ca="1">IFERROR(__xludf.DUMMYFUNCTION("""COMPUTED_VALUE"""),0)</f>
        <v>0</v>
      </c>
      <c r="Z161" s="25">
        <f ca="1">IFERROR(__xludf.DUMMYFUNCTION("""COMPUTED_VALUE"""),0)</f>
        <v>0</v>
      </c>
      <c r="AA161" s="25">
        <f ca="1">IFERROR(__xludf.DUMMYFUNCTION("""COMPUTED_VALUE"""),0)</f>
        <v>0</v>
      </c>
      <c r="AB161" s="25">
        <f ca="1">IFERROR(__xludf.DUMMYFUNCTION("""COMPUTED_VALUE"""),0)</f>
        <v>0</v>
      </c>
      <c r="AC161" s="23">
        <f ca="1">IFERROR(__xludf.DUMMYFUNCTION("""COMPUTED_VALUE"""),0)</f>
        <v>0</v>
      </c>
      <c r="AD161" s="26"/>
      <c r="AE161" s="27"/>
    </row>
    <row r="162" spans="1:31" ht="28.55">
      <c r="A162" s="6" t="str">
        <f ca="1">IFERROR(__xludf.DUMMYFUNCTION("""COMPUTED_VALUE"""),"23SDSCE01113")</f>
        <v>23SDSCE01113</v>
      </c>
      <c r="B162" s="37" t="str">
        <f ca="1">IFERROR(__xludf.DUMMYFUNCTION("""COMPUTED_VALUE"""),"RAKHAIYA MAHAVIR HITESHBHAI")</f>
        <v>RAKHAIYA MAHAVIR HITESHBHAI</v>
      </c>
      <c r="C162" s="18" t="str">
        <f ca="1">IFERROR(__xludf.DUMMYFUNCTION("""COMPUTED_VALUE"""),"SDS")</f>
        <v>SDS</v>
      </c>
      <c r="D162" s="18" t="str">
        <f ca="1">IFERROR(__xludf.DUMMYFUNCTION("""COMPUTED_VALUE"""),"DCE")</f>
        <v>DCE</v>
      </c>
      <c r="E162" s="18">
        <f ca="1">IFERROR(__xludf.DUMMYFUNCTION("""COMPUTED_VALUE"""),2)</f>
        <v>2</v>
      </c>
      <c r="F162" s="18" t="str">
        <f ca="1">IFERROR(__xludf.DUMMYFUNCTION("""COMPUTED_VALUE"""),"6356733039 7698177077")</f>
        <v>6356733039 7698177077</v>
      </c>
      <c r="G162" s="18" t="str">
        <f ca="1">IFERROR(__xludf.DUMMYFUNCTION("""COMPUTED_VALUE"""),"6356733039 7698177077")</f>
        <v>6356733039 7698177077</v>
      </c>
      <c r="H162" s="6" t="str">
        <f ca="1">IFERROR(__xludf.DUMMYFUNCTION("""COMPUTED_VALUE"""),"DCE_2023-26")</f>
        <v>DCE_2023-26</v>
      </c>
      <c r="I162" s="20" t="str">
        <f ca="1">IFERROR(__xludf.DUMMYFUNCTION("""COMPUTED_VALUE"""),"FREESHIP CARD")</f>
        <v>FREESHIP CARD</v>
      </c>
      <c r="J162" s="21">
        <f ca="1">IFERROR(__xludf.DUMMYFUNCTION("""COMPUTED_VALUE"""),27500)</f>
        <v>27500</v>
      </c>
      <c r="K162" s="21">
        <f ca="1">IFERROR(__xludf.DUMMYFUNCTION("""COMPUTED_VALUE"""),0)</f>
        <v>0</v>
      </c>
      <c r="L162" s="21">
        <f ca="1">IFERROR(__xludf.DUMMYFUNCTION("""COMPUTED_VALUE"""),0)</f>
        <v>0</v>
      </c>
      <c r="M162" s="23">
        <f ca="1">IFERROR(__xludf.DUMMYFUNCTION("""COMPUTED_VALUE"""),0)</f>
        <v>0</v>
      </c>
      <c r="N162" s="21">
        <f ca="1">IFERROR(__xludf.DUMMYFUNCTION("""COMPUTED_VALUE"""),27500)</f>
        <v>27500</v>
      </c>
      <c r="O162" s="21">
        <f ca="1">IFERROR(__xludf.DUMMYFUNCTION("""COMPUTED_VALUE"""),3000)</f>
        <v>3000</v>
      </c>
      <c r="P162" s="21">
        <f ca="1">IFERROR(__xludf.DUMMYFUNCTION("""COMPUTED_VALUE"""),0)</f>
        <v>0</v>
      </c>
      <c r="Q162" s="23">
        <f ca="1">IFERROR(__xludf.DUMMYFUNCTION("""COMPUTED_VALUE"""),0)</f>
        <v>0</v>
      </c>
      <c r="R162" s="24">
        <f ca="1">IFERROR(__xludf.DUMMYFUNCTION("""COMPUTED_VALUE"""),0)</f>
        <v>0</v>
      </c>
      <c r="S162" s="23">
        <f ca="1">IFERROR(__xludf.DUMMYFUNCTION("""COMPUTED_VALUE"""),3000)</f>
        <v>3000</v>
      </c>
      <c r="T162" s="24">
        <f ca="1">IFERROR(__xludf.DUMMYFUNCTION("""COMPUTED_VALUE"""),0)</f>
        <v>0</v>
      </c>
      <c r="U162" s="23">
        <f ca="1">IFERROR(__xludf.DUMMYFUNCTION("""COMPUTED_VALUE"""),0)</f>
        <v>0</v>
      </c>
      <c r="V162" s="23">
        <f ca="1">IFERROR(__xludf.DUMMYFUNCTION("""COMPUTED_VALUE"""),0)</f>
        <v>0</v>
      </c>
      <c r="W162" s="23">
        <f ca="1">IFERROR(__xludf.DUMMYFUNCTION("""COMPUTED_VALUE"""),0)</f>
        <v>0</v>
      </c>
      <c r="X162" s="23">
        <f ca="1">IFERROR(__xludf.DUMMYFUNCTION("""COMPUTED_VALUE"""),0)</f>
        <v>0</v>
      </c>
      <c r="Y162" s="25">
        <f ca="1">IFERROR(__xludf.DUMMYFUNCTION("""COMPUTED_VALUE"""),0)</f>
        <v>0</v>
      </c>
      <c r="Z162" s="25">
        <f ca="1">IFERROR(__xludf.DUMMYFUNCTION("""COMPUTED_VALUE"""),0)</f>
        <v>0</v>
      </c>
      <c r="AA162" s="25">
        <f ca="1">IFERROR(__xludf.DUMMYFUNCTION("""COMPUTED_VALUE"""),0)</f>
        <v>0</v>
      </c>
      <c r="AB162" s="25">
        <f ca="1">IFERROR(__xludf.DUMMYFUNCTION("""COMPUTED_VALUE"""),0)</f>
        <v>0</v>
      </c>
      <c r="AC162" s="23">
        <f ca="1">IFERROR(__xludf.DUMMYFUNCTION("""COMPUTED_VALUE"""),0)</f>
        <v>0</v>
      </c>
      <c r="AD162" s="26" t="str">
        <f ca="1">IFERROR(__xludf.DUMMYFUNCTION("""COMPUTED_VALUE"""),"FREESHIP CARD")</f>
        <v>FREESHIP CARD</v>
      </c>
      <c r="AE162" s="27"/>
    </row>
    <row r="163" spans="1:31" ht="14.3">
      <c r="A163" s="6" t="str">
        <f ca="1">IFERROR(__xludf.DUMMYFUNCTION("""COMPUTED_VALUE"""),"23SDSCE01114")</f>
        <v>23SDSCE01114</v>
      </c>
      <c r="B163" s="37" t="str">
        <f ca="1">IFERROR(__xludf.DUMMYFUNCTION("""COMPUTED_VALUE"""),"RATHOD PARTH HARESHBHAI")</f>
        <v>RATHOD PARTH HARESHBHAI</v>
      </c>
      <c r="C163" s="18" t="str">
        <f ca="1">IFERROR(__xludf.DUMMYFUNCTION("""COMPUTED_VALUE"""),"SDS")</f>
        <v>SDS</v>
      </c>
      <c r="D163" s="18" t="str">
        <f ca="1">IFERROR(__xludf.DUMMYFUNCTION("""COMPUTED_VALUE"""),"DCE")</f>
        <v>DCE</v>
      </c>
      <c r="E163" s="18">
        <f ca="1">IFERROR(__xludf.DUMMYFUNCTION("""COMPUTED_VALUE"""),2)</f>
        <v>2</v>
      </c>
      <c r="F163" s="18" t="str">
        <f ca="1">IFERROR(__xludf.DUMMYFUNCTION("""COMPUTED_VALUE"""),"6356134018 9979442815")</f>
        <v>6356134018 9979442815</v>
      </c>
      <c r="G163" s="18" t="str">
        <f ca="1">IFERROR(__xludf.DUMMYFUNCTION("""COMPUTED_VALUE"""),"6356134018 9979442815")</f>
        <v>6356134018 9979442815</v>
      </c>
      <c r="H163" s="6" t="str">
        <f ca="1">IFERROR(__xludf.DUMMYFUNCTION("""COMPUTED_VALUE"""),"DCE_2023-26")</f>
        <v>DCE_2023-26</v>
      </c>
      <c r="I163" s="20"/>
      <c r="J163" s="21">
        <f ca="1">IFERROR(__xludf.DUMMYFUNCTION("""COMPUTED_VALUE"""),27500)</f>
        <v>27500</v>
      </c>
      <c r="K163" s="21">
        <f ca="1">IFERROR(__xludf.DUMMYFUNCTION("""COMPUTED_VALUE"""),0)</f>
        <v>0</v>
      </c>
      <c r="L163" s="21">
        <f ca="1">IFERROR(__xludf.DUMMYFUNCTION("""COMPUTED_VALUE"""),0)</f>
        <v>0</v>
      </c>
      <c r="M163" s="23">
        <f ca="1">IFERROR(__xludf.DUMMYFUNCTION("""COMPUTED_VALUE"""),0)</f>
        <v>0</v>
      </c>
      <c r="N163" s="21">
        <f ca="1">IFERROR(__xludf.DUMMYFUNCTION("""COMPUTED_VALUE"""),27500)</f>
        <v>27500</v>
      </c>
      <c r="O163" s="21">
        <f ca="1">IFERROR(__xludf.DUMMYFUNCTION("""COMPUTED_VALUE"""),3000)</f>
        <v>3000</v>
      </c>
      <c r="P163" s="21">
        <f ca="1">IFERROR(__xludf.DUMMYFUNCTION("""COMPUTED_VALUE"""),0)</f>
        <v>0</v>
      </c>
      <c r="Q163" s="23">
        <f ca="1">IFERROR(__xludf.DUMMYFUNCTION("""COMPUTED_VALUE"""),0)</f>
        <v>0</v>
      </c>
      <c r="R163" s="24">
        <f ca="1">IFERROR(__xludf.DUMMYFUNCTION("""COMPUTED_VALUE"""),0)</f>
        <v>0</v>
      </c>
      <c r="S163" s="23">
        <f ca="1">IFERROR(__xludf.DUMMYFUNCTION("""COMPUTED_VALUE"""),3000)</f>
        <v>3000</v>
      </c>
      <c r="T163" s="24">
        <f ca="1">IFERROR(__xludf.DUMMYFUNCTION("""COMPUTED_VALUE"""),0)</f>
        <v>0</v>
      </c>
      <c r="U163" s="23">
        <f ca="1">IFERROR(__xludf.DUMMYFUNCTION("""COMPUTED_VALUE"""),0)</f>
        <v>0</v>
      </c>
      <c r="V163" s="23">
        <f ca="1">IFERROR(__xludf.DUMMYFUNCTION("""COMPUTED_VALUE"""),0)</f>
        <v>0</v>
      </c>
      <c r="W163" s="23">
        <f ca="1">IFERROR(__xludf.DUMMYFUNCTION("""COMPUTED_VALUE"""),0)</f>
        <v>0</v>
      </c>
      <c r="X163" s="23">
        <f ca="1">IFERROR(__xludf.DUMMYFUNCTION("""COMPUTED_VALUE"""),0)</f>
        <v>0</v>
      </c>
      <c r="Y163" s="25">
        <f ca="1">IFERROR(__xludf.DUMMYFUNCTION("""COMPUTED_VALUE"""),0)</f>
        <v>0</v>
      </c>
      <c r="Z163" s="25">
        <f ca="1">IFERROR(__xludf.DUMMYFUNCTION("""COMPUTED_VALUE"""),0)</f>
        <v>0</v>
      </c>
      <c r="AA163" s="25">
        <f ca="1">IFERROR(__xludf.DUMMYFUNCTION("""COMPUTED_VALUE"""),0)</f>
        <v>0</v>
      </c>
      <c r="AB163" s="25">
        <f ca="1">IFERROR(__xludf.DUMMYFUNCTION("""COMPUTED_VALUE"""),0)</f>
        <v>0</v>
      </c>
      <c r="AC163" s="23">
        <f ca="1">IFERROR(__xludf.DUMMYFUNCTION("""COMPUTED_VALUE"""),0)</f>
        <v>0</v>
      </c>
      <c r="AD163" s="26"/>
      <c r="AE163" s="27"/>
    </row>
    <row r="164" spans="1:31" ht="14.3">
      <c r="A164" s="6" t="str">
        <f ca="1">IFERROR(__xludf.DUMMYFUNCTION("""COMPUTED_VALUE"""),"23SDSCE01115")</f>
        <v>23SDSCE01115</v>
      </c>
      <c r="B164" s="37" t="str">
        <f ca="1">IFERROR(__xludf.DUMMYFUNCTION("""COMPUTED_VALUE"""),"RATHOD PRIYANKA DIPAKBHAI")</f>
        <v>RATHOD PRIYANKA DIPAKBHAI</v>
      </c>
      <c r="C164" s="18" t="str">
        <f ca="1">IFERROR(__xludf.DUMMYFUNCTION("""COMPUTED_VALUE"""),"SDS")</f>
        <v>SDS</v>
      </c>
      <c r="D164" s="18" t="str">
        <f ca="1">IFERROR(__xludf.DUMMYFUNCTION("""COMPUTED_VALUE"""),"DCE")</f>
        <v>DCE</v>
      </c>
      <c r="E164" s="18">
        <f ca="1">IFERROR(__xludf.DUMMYFUNCTION("""COMPUTED_VALUE"""),2)</f>
        <v>2</v>
      </c>
      <c r="F164" s="18" t="str">
        <f ca="1">IFERROR(__xludf.DUMMYFUNCTION("""COMPUTED_VALUE"""),"8849924469")</f>
        <v>8849924469</v>
      </c>
      <c r="G164" s="18" t="str">
        <f ca="1">IFERROR(__xludf.DUMMYFUNCTION("""COMPUTED_VALUE"""),"8849924469")</f>
        <v>8849924469</v>
      </c>
      <c r="H164" s="6" t="str">
        <f ca="1">IFERROR(__xludf.DUMMYFUNCTION("""COMPUTED_VALUE"""),"DCE_2023-26")</f>
        <v>DCE_2023-26</v>
      </c>
      <c r="I164" s="20"/>
      <c r="J164" s="21">
        <f ca="1">IFERROR(__xludf.DUMMYFUNCTION("""COMPUTED_VALUE"""),27500)</f>
        <v>27500</v>
      </c>
      <c r="K164" s="21">
        <f ca="1">IFERROR(__xludf.DUMMYFUNCTION("""COMPUTED_VALUE"""),0)</f>
        <v>0</v>
      </c>
      <c r="L164" s="21">
        <f ca="1">IFERROR(__xludf.DUMMYFUNCTION("""COMPUTED_VALUE"""),0)</f>
        <v>0</v>
      </c>
      <c r="M164" s="23">
        <f ca="1">IFERROR(__xludf.DUMMYFUNCTION("""COMPUTED_VALUE"""),0)</f>
        <v>0</v>
      </c>
      <c r="N164" s="21">
        <f ca="1">IFERROR(__xludf.DUMMYFUNCTION("""COMPUTED_VALUE"""),27500)</f>
        <v>27500</v>
      </c>
      <c r="O164" s="21">
        <f ca="1">IFERROR(__xludf.DUMMYFUNCTION("""COMPUTED_VALUE"""),3000)</f>
        <v>3000</v>
      </c>
      <c r="P164" s="21">
        <f ca="1">IFERROR(__xludf.DUMMYFUNCTION("""COMPUTED_VALUE"""),0)</f>
        <v>0</v>
      </c>
      <c r="Q164" s="23">
        <f ca="1">IFERROR(__xludf.DUMMYFUNCTION("""COMPUTED_VALUE"""),0)</f>
        <v>0</v>
      </c>
      <c r="R164" s="24">
        <f ca="1">IFERROR(__xludf.DUMMYFUNCTION("""COMPUTED_VALUE"""),0)</f>
        <v>0</v>
      </c>
      <c r="S164" s="23">
        <f ca="1">IFERROR(__xludf.DUMMYFUNCTION("""COMPUTED_VALUE"""),3000)</f>
        <v>3000</v>
      </c>
      <c r="T164" s="24">
        <f ca="1">IFERROR(__xludf.DUMMYFUNCTION("""COMPUTED_VALUE"""),0)</f>
        <v>0</v>
      </c>
      <c r="U164" s="23">
        <f ca="1">IFERROR(__xludf.DUMMYFUNCTION("""COMPUTED_VALUE"""),0)</f>
        <v>0</v>
      </c>
      <c r="V164" s="23">
        <f ca="1">IFERROR(__xludf.DUMMYFUNCTION("""COMPUTED_VALUE"""),0)</f>
        <v>0</v>
      </c>
      <c r="W164" s="23">
        <f ca="1">IFERROR(__xludf.DUMMYFUNCTION("""COMPUTED_VALUE"""),0)</f>
        <v>0</v>
      </c>
      <c r="X164" s="23">
        <f ca="1">IFERROR(__xludf.DUMMYFUNCTION("""COMPUTED_VALUE"""),0)</f>
        <v>0</v>
      </c>
      <c r="Y164" s="25">
        <f ca="1">IFERROR(__xludf.DUMMYFUNCTION("""COMPUTED_VALUE"""),0)</f>
        <v>0</v>
      </c>
      <c r="Z164" s="25">
        <f ca="1">IFERROR(__xludf.DUMMYFUNCTION("""COMPUTED_VALUE"""),0)</f>
        <v>0</v>
      </c>
      <c r="AA164" s="25">
        <f ca="1">IFERROR(__xludf.DUMMYFUNCTION("""COMPUTED_VALUE"""),0)</f>
        <v>0</v>
      </c>
      <c r="AB164" s="25">
        <f ca="1">IFERROR(__xludf.DUMMYFUNCTION("""COMPUTED_VALUE"""),0)</f>
        <v>0</v>
      </c>
      <c r="AC164" s="23">
        <f ca="1">IFERROR(__xludf.DUMMYFUNCTION("""COMPUTED_VALUE"""),0)</f>
        <v>0</v>
      </c>
      <c r="AD164" s="26"/>
      <c r="AE164" s="27"/>
    </row>
    <row r="165" spans="1:31" ht="14.3">
      <c r="A165" s="6" t="str">
        <f ca="1">IFERROR(__xludf.DUMMYFUNCTION("""COMPUTED_VALUE"""),"23SDSCE01117")</f>
        <v>23SDSCE01117</v>
      </c>
      <c r="B165" s="37" t="str">
        <f ca="1">IFERROR(__xludf.DUMMYFUNCTION("""COMPUTED_VALUE"""),"SANGADIYA ADITYABHAI GIRISHBHAI")</f>
        <v>SANGADIYA ADITYABHAI GIRISHBHAI</v>
      </c>
      <c r="C165" s="18" t="str">
        <f ca="1">IFERROR(__xludf.DUMMYFUNCTION("""COMPUTED_VALUE"""),"SDS")</f>
        <v>SDS</v>
      </c>
      <c r="D165" s="18" t="str">
        <f ca="1">IFERROR(__xludf.DUMMYFUNCTION("""COMPUTED_VALUE"""),"DCE")</f>
        <v>DCE</v>
      </c>
      <c r="E165" s="18">
        <f ca="1">IFERROR(__xludf.DUMMYFUNCTION("""COMPUTED_VALUE"""),2)</f>
        <v>2</v>
      </c>
      <c r="F165" s="18" t="str">
        <f ca="1">IFERROR(__xludf.DUMMYFUNCTION("""COMPUTED_VALUE"""),"7698367408 9924008808")</f>
        <v>7698367408 9924008808</v>
      </c>
      <c r="G165" s="18" t="str">
        <f ca="1">IFERROR(__xludf.DUMMYFUNCTION("""COMPUTED_VALUE"""),"7698367408 9924008808")</f>
        <v>7698367408 9924008808</v>
      </c>
      <c r="H165" s="6" t="str">
        <f ca="1">IFERROR(__xludf.DUMMYFUNCTION("""COMPUTED_VALUE"""),"DCE_2023-26")</f>
        <v>DCE_2023-26</v>
      </c>
      <c r="I165" s="20"/>
      <c r="J165" s="21">
        <f ca="1">IFERROR(__xludf.DUMMYFUNCTION("""COMPUTED_VALUE"""),27500)</f>
        <v>27500</v>
      </c>
      <c r="K165" s="21">
        <f ca="1">IFERROR(__xludf.DUMMYFUNCTION("""COMPUTED_VALUE"""),27500)</f>
        <v>27500</v>
      </c>
      <c r="L165" s="21">
        <f ca="1">IFERROR(__xludf.DUMMYFUNCTION("""COMPUTED_VALUE"""),0)</f>
        <v>0</v>
      </c>
      <c r="M165" s="23">
        <f ca="1">IFERROR(__xludf.DUMMYFUNCTION("""COMPUTED_VALUE"""),0)</f>
        <v>0</v>
      </c>
      <c r="N165" s="21">
        <f ca="1">IFERROR(__xludf.DUMMYFUNCTION("""COMPUTED_VALUE"""),0)</f>
        <v>0</v>
      </c>
      <c r="O165" s="21">
        <f ca="1">IFERROR(__xludf.DUMMYFUNCTION("""COMPUTED_VALUE"""),3000)</f>
        <v>3000</v>
      </c>
      <c r="P165" s="21">
        <f ca="1">IFERROR(__xludf.DUMMYFUNCTION("""COMPUTED_VALUE"""),3000)</f>
        <v>3000</v>
      </c>
      <c r="Q165" s="23">
        <f ca="1">IFERROR(__xludf.DUMMYFUNCTION("""COMPUTED_VALUE"""),0)</f>
        <v>0</v>
      </c>
      <c r="R165" s="24">
        <f ca="1">IFERROR(__xludf.DUMMYFUNCTION("""COMPUTED_VALUE"""),0)</f>
        <v>0</v>
      </c>
      <c r="S165" s="23">
        <f ca="1">IFERROR(__xludf.DUMMYFUNCTION("""COMPUTED_VALUE"""),0)</f>
        <v>0</v>
      </c>
      <c r="T165" s="24">
        <f ca="1">IFERROR(__xludf.DUMMYFUNCTION("""COMPUTED_VALUE"""),0)</f>
        <v>0</v>
      </c>
      <c r="U165" s="23">
        <f ca="1">IFERROR(__xludf.DUMMYFUNCTION("""COMPUTED_VALUE"""),0)</f>
        <v>0</v>
      </c>
      <c r="V165" s="23">
        <f ca="1">IFERROR(__xludf.DUMMYFUNCTION("""COMPUTED_VALUE"""),0)</f>
        <v>0</v>
      </c>
      <c r="W165" s="23">
        <f ca="1">IFERROR(__xludf.DUMMYFUNCTION("""COMPUTED_VALUE"""),0)</f>
        <v>0</v>
      </c>
      <c r="X165" s="23">
        <f ca="1">IFERROR(__xludf.DUMMYFUNCTION("""COMPUTED_VALUE"""),0)</f>
        <v>0</v>
      </c>
      <c r="Y165" s="25">
        <f ca="1">IFERROR(__xludf.DUMMYFUNCTION("""COMPUTED_VALUE"""),0)</f>
        <v>0</v>
      </c>
      <c r="Z165" s="25">
        <f ca="1">IFERROR(__xludf.DUMMYFUNCTION("""COMPUTED_VALUE"""),0)</f>
        <v>0</v>
      </c>
      <c r="AA165" s="25">
        <f ca="1">IFERROR(__xludf.DUMMYFUNCTION("""COMPUTED_VALUE"""),0)</f>
        <v>0</v>
      </c>
      <c r="AB165" s="25">
        <f ca="1">IFERROR(__xludf.DUMMYFUNCTION("""COMPUTED_VALUE"""),0)</f>
        <v>0</v>
      </c>
      <c r="AC165" s="23">
        <f ca="1">IFERROR(__xludf.DUMMYFUNCTION("""COMPUTED_VALUE"""),0)</f>
        <v>0</v>
      </c>
      <c r="AD165" s="26"/>
      <c r="AE165" s="27"/>
    </row>
    <row r="166" spans="1:31" ht="14.3">
      <c r="A166" s="6" t="str">
        <f ca="1">IFERROR(__xludf.DUMMYFUNCTION("""COMPUTED_VALUE"""),"23SDSCE01118")</f>
        <v>23SDSCE01118</v>
      </c>
      <c r="B166" s="37" t="str">
        <f ca="1">IFERROR(__xludf.DUMMYFUNCTION("""COMPUTED_VALUE"""),"SAPARIYA DHRUV MAHESHBHAI")</f>
        <v>SAPARIYA DHRUV MAHESHBHAI</v>
      </c>
      <c r="C166" s="18" t="str">
        <f ca="1">IFERROR(__xludf.DUMMYFUNCTION("""COMPUTED_VALUE"""),"SDS")</f>
        <v>SDS</v>
      </c>
      <c r="D166" s="18" t="str">
        <f ca="1">IFERROR(__xludf.DUMMYFUNCTION("""COMPUTED_VALUE"""),"DCE")</f>
        <v>DCE</v>
      </c>
      <c r="E166" s="18">
        <f ca="1">IFERROR(__xludf.DUMMYFUNCTION("""COMPUTED_VALUE"""),2)</f>
        <v>2</v>
      </c>
      <c r="F166" s="18" t="str">
        <f ca="1">IFERROR(__xludf.DUMMYFUNCTION("""COMPUTED_VALUE"""),"8320111018 9427772766 9106835045")</f>
        <v>8320111018 9427772766 9106835045</v>
      </c>
      <c r="G166" s="18" t="str">
        <f ca="1">IFERROR(__xludf.DUMMYFUNCTION("""COMPUTED_VALUE"""),"8320111018 9427772766 9106835045")</f>
        <v>8320111018 9427772766 9106835045</v>
      </c>
      <c r="H166" s="6" t="str">
        <f ca="1">IFERROR(__xludf.DUMMYFUNCTION("""COMPUTED_VALUE"""),"DCE_2023-26")</f>
        <v>DCE_2023-26</v>
      </c>
      <c r="I166" s="20"/>
      <c r="J166" s="21">
        <f ca="1">IFERROR(__xludf.DUMMYFUNCTION("""COMPUTED_VALUE"""),27500)</f>
        <v>27500</v>
      </c>
      <c r="K166" s="21">
        <f ca="1">IFERROR(__xludf.DUMMYFUNCTION("""COMPUTED_VALUE"""),27500)</f>
        <v>27500</v>
      </c>
      <c r="L166" s="21">
        <f ca="1">IFERROR(__xludf.DUMMYFUNCTION("""COMPUTED_VALUE"""),0)</f>
        <v>0</v>
      </c>
      <c r="M166" s="23">
        <f ca="1">IFERROR(__xludf.DUMMYFUNCTION("""COMPUTED_VALUE"""),0)</f>
        <v>0</v>
      </c>
      <c r="N166" s="21">
        <f ca="1">IFERROR(__xludf.DUMMYFUNCTION("""COMPUTED_VALUE"""),0)</f>
        <v>0</v>
      </c>
      <c r="O166" s="21">
        <f ca="1">IFERROR(__xludf.DUMMYFUNCTION("""COMPUTED_VALUE"""),3000)</f>
        <v>3000</v>
      </c>
      <c r="P166" s="21">
        <f ca="1">IFERROR(__xludf.DUMMYFUNCTION("""COMPUTED_VALUE"""),3000)</f>
        <v>3000</v>
      </c>
      <c r="Q166" s="23">
        <f ca="1">IFERROR(__xludf.DUMMYFUNCTION("""COMPUTED_VALUE"""),0)</f>
        <v>0</v>
      </c>
      <c r="R166" s="24">
        <f ca="1">IFERROR(__xludf.DUMMYFUNCTION("""COMPUTED_VALUE"""),0)</f>
        <v>0</v>
      </c>
      <c r="S166" s="23">
        <f ca="1">IFERROR(__xludf.DUMMYFUNCTION("""COMPUTED_VALUE"""),0)</f>
        <v>0</v>
      </c>
      <c r="T166" s="24">
        <f ca="1">IFERROR(__xludf.DUMMYFUNCTION("""COMPUTED_VALUE"""),0)</f>
        <v>0</v>
      </c>
      <c r="U166" s="23">
        <f ca="1">IFERROR(__xludf.DUMMYFUNCTION("""COMPUTED_VALUE"""),0)</f>
        <v>0</v>
      </c>
      <c r="V166" s="23">
        <f ca="1">IFERROR(__xludf.DUMMYFUNCTION("""COMPUTED_VALUE"""),0)</f>
        <v>0</v>
      </c>
      <c r="W166" s="23">
        <f ca="1">IFERROR(__xludf.DUMMYFUNCTION("""COMPUTED_VALUE"""),0)</f>
        <v>0</v>
      </c>
      <c r="X166" s="23">
        <f ca="1">IFERROR(__xludf.DUMMYFUNCTION("""COMPUTED_VALUE"""),0)</f>
        <v>0</v>
      </c>
      <c r="Y166" s="25">
        <f ca="1">IFERROR(__xludf.DUMMYFUNCTION("""COMPUTED_VALUE"""),0)</f>
        <v>0</v>
      </c>
      <c r="Z166" s="25">
        <f ca="1">IFERROR(__xludf.DUMMYFUNCTION("""COMPUTED_VALUE"""),0)</f>
        <v>0</v>
      </c>
      <c r="AA166" s="25">
        <f ca="1">IFERROR(__xludf.DUMMYFUNCTION("""COMPUTED_VALUE"""),0)</f>
        <v>0</v>
      </c>
      <c r="AB166" s="25">
        <f ca="1">IFERROR(__xludf.DUMMYFUNCTION("""COMPUTED_VALUE"""),0)</f>
        <v>0</v>
      </c>
      <c r="AC166" s="23">
        <f ca="1">IFERROR(__xludf.DUMMYFUNCTION("""COMPUTED_VALUE"""),0)</f>
        <v>0</v>
      </c>
      <c r="AD166" s="26"/>
      <c r="AE166" s="27"/>
    </row>
    <row r="167" spans="1:31" ht="14.3">
      <c r="A167" s="6" t="str">
        <f ca="1">IFERROR(__xludf.DUMMYFUNCTION("""COMPUTED_VALUE"""),"23SDSCE01119")</f>
        <v>23SDSCE01119</v>
      </c>
      <c r="B167" s="37" t="str">
        <f ca="1">IFERROR(__xludf.DUMMYFUNCTION("""COMPUTED_VALUE"""),"SHAHMADAR NOMAN HARUNSHA")</f>
        <v>SHAHMADAR NOMAN HARUNSHA</v>
      </c>
      <c r="C167" s="18" t="str">
        <f ca="1">IFERROR(__xludf.DUMMYFUNCTION("""COMPUTED_VALUE"""),"SDS")</f>
        <v>SDS</v>
      </c>
      <c r="D167" s="18" t="str">
        <f ca="1">IFERROR(__xludf.DUMMYFUNCTION("""COMPUTED_VALUE"""),"DCE")</f>
        <v>DCE</v>
      </c>
      <c r="E167" s="18">
        <f ca="1">IFERROR(__xludf.DUMMYFUNCTION("""COMPUTED_VALUE"""),2)</f>
        <v>2</v>
      </c>
      <c r="F167" s="18" t="str">
        <f ca="1">IFERROR(__xludf.DUMMYFUNCTION("""COMPUTED_VALUE"""),"8511989895 7041666411")</f>
        <v>8511989895 7041666411</v>
      </c>
      <c r="G167" s="18" t="str">
        <f ca="1">IFERROR(__xludf.DUMMYFUNCTION("""COMPUTED_VALUE"""),"8511989895 7041666411")</f>
        <v>8511989895 7041666411</v>
      </c>
      <c r="H167" s="6" t="str">
        <f ca="1">IFERROR(__xludf.DUMMYFUNCTION("""COMPUTED_VALUE"""),"DCE_2023-26")</f>
        <v>DCE_2023-26</v>
      </c>
      <c r="I167" s="20"/>
      <c r="J167" s="21">
        <f ca="1">IFERROR(__xludf.DUMMYFUNCTION("""COMPUTED_VALUE"""),27500)</f>
        <v>27500</v>
      </c>
      <c r="K167" s="21">
        <f ca="1">IFERROR(__xludf.DUMMYFUNCTION("""COMPUTED_VALUE"""),27500)</f>
        <v>27500</v>
      </c>
      <c r="L167" s="21">
        <f ca="1">IFERROR(__xludf.DUMMYFUNCTION("""COMPUTED_VALUE"""),0)</f>
        <v>0</v>
      </c>
      <c r="M167" s="23">
        <f ca="1">IFERROR(__xludf.DUMMYFUNCTION("""COMPUTED_VALUE"""),0)</f>
        <v>0</v>
      </c>
      <c r="N167" s="21">
        <f ca="1">IFERROR(__xludf.DUMMYFUNCTION("""COMPUTED_VALUE"""),0)</f>
        <v>0</v>
      </c>
      <c r="O167" s="21">
        <f ca="1">IFERROR(__xludf.DUMMYFUNCTION("""COMPUTED_VALUE"""),3000)</f>
        <v>3000</v>
      </c>
      <c r="P167" s="21">
        <f ca="1">IFERROR(__xludf.DUMMYFUNCTION("""COMPUTED_VALUE"""),3000)</f>
        <v>3000</v>
      </c>
      <c r="Q167" s="23">
        <f ca="1">IFERROR(__xludf.DUMMYFUNCTION("""COMPUTED_VALUE"""),0)</f>
        <v>0</v>
      </c>
      <c r="R167" s="24">
        <f ca="1">IFERROR(__xludf.DUMMYFUNCTION("""COMPUTED_VALUE"""),0)</f>
        <v>0</v>
      </c>
      <c r="S167" s="23">
        <f ca="1">IFERROR(__xludf.DUMMYFUNCTION("""COMPUTED_VALUE"""),0)</f>
        <v>0</v>
      </c>
      <c r="T167" s="24">
        <f ca="1">IFERROR(__xludf.DUMMYFUNCTION("""COMPUTED_VALUE"""),0)</f>
        <v>0</v>
      </c>
      <c r="U167" s="23">
        <f ca="1">IFERROR(__xludf.DUMMYFUNCTION("""COMPUTED_VALUE"""),0)</f>
        <v>0</v>
      </c>
      <c r="V167" s="23">
        <f ca="1">IFERROR(__xludf.DUMMYFUNCTION("""COMPUTED_VALUE"""),0)</f>
        <v>0</v>
      </c>
      <c r="W167" s="23">
        <f ca="1">IFERROR(__xludf.DUMMYFUNCTION("""COMPUTED_VALUE"""),0)</f>
        <v>0</v>
      </c>
      <c r="X167" s="23">
        <f ca="1">IFERROR(__xludf.DUMMYFUNCTION("""COMPUTED_VALUE"""),0)</f>
        <v>0</v>
      </c>
      <c r="Y167" s="25">
        <f ca="1">IFERROR(__xludf.DUMMYFUNCTION("""COMPUTED_VALUE"""),0)</f>
        <v>0</v>
      </c>
      <c r="Z167" s="25">
        <f ca="1">IFERROR(__xludf.DUMMYFUNCTION("""COMPUTED_VALUE"""),0)</f>
        <v>0</v>
      </c>
      <c r="AA167" s="25">
        <f ca="1">IFERROR(__xludf.DUMMYFUNCTION("""COMPUTED_VALUE"""),0)</f>
        <v>0</v>
      </c>
      <c r="AB167" s="25">
        <f ca="1">IFERROR(__xludf.DUMMYFUNCTION("""COMPUTED_VALUE"""),0)</f>
        <v>0</v>
      </c>
      <c r="AC167" s="23">
        <f ca="1">IFERROR(__xludf.DUMMYFUNCTION("""COMPUTED_VALUE"""),0)</f>
        <v>0</v>
      </c>
      <c r="AD167" s="26"/>
      <c r="AE167" s="27"/>
    </row>
    <row r="168" spans="1:31" ht="28.55">
      <c r="A168" s="6" t="str">
        <f ca="1">IFERROR(__xludf.DUMMYFUNCTION("""COMPUTED_VALUE"""),"23SDSCE01120")</f>
        <v>23SDSCE01120</v>
      </c>
      <c r="B168" s="37" t="str">
        <f ca="1">IFERROR(__xludf.DUMMYFUNCTION("""COMPUTED_VALUE"""),"DAKSHKUMAR SINDHAV")</f>
        <v>DAKSHKUMAR SINDHAV</v>
      </c>
      <c r="C168" s="18" t="str">
        <f ca="1">IFERROR(__xludf.DUMMYFUNCTION("""COMPUTED_VALUE"""),"SDS")</f>
        <v>SDS</v>
      </c>
      <c r="D168" s="18" t="str">
        <f ca="1">IFERROR(__xludf.DUMMYFUNCTION("""COMPUTED_VALUE"""),"DCE")</f>
        <v>DCE</v>
      </c>
      <c r="E168" s="18">
        <f ca="1">IFERROR(__xludf.DUMMYFUNCTION("""COMPUTED_VALUE"""),2)</f>
        <v>2</v>
      </c>
      <c r="F168" s="18" t="str">
        <f ca="1">IFERROR(__xludf.DUMMYFUNCTION("""COMPUTED_VALUE"""),"9898875474
9574783320")</f>
        <v>9898875474
9574783320</v>
      </c>
      <c r="G168" s="18" t="str">
        <f ca="1">IFERROR(__xludf.DUMMYFUNCTION("""COMPUTED_VALUE"""),"9898875474
9574783320")</f>
        <v>9898875474
9574783320</v>
      </c>
      <c r="H168" s="6" t="str">
        <f ca="1">IFERROR(__xludf.DUMMYFUNCTION("""COMPUTED_VALUE"""),"DCE_2023-26")</f>
        <v>DCE_2023-26</v>
      </c>
      <c r="I168" s="20" t="str">
        <f ca="1">IFERROR(__xludf.DUMMYFUNCTION("""COMPUTED_VALUE"""),"FREESHIP CARD")</f>
        <v>FREESHIP CARD</v>
      </c>
      <c r="J168" s="21">
        <f ca="1">IFERROR(__xludf.DUMMYFUNCTION("""COMPUTED_VALUE"""),27500)</f>
        <v>27500</v>
      </c>
      <c r="K168" s="21">
        <f ca="1">IFERROR(__xludf.DUMMYFUNCTION("""COMPUTED_VALUE"""),0)</f>
        <v>0</v>
      </c>
      <c r="L168" s="21">
        <f ca="1">IFERROR(__xludf.DUMMYFUNCTION("""COMPUTED_VALUE"""),0)</f>
        <v>0</v>
      </c>
      <c r="M168" s="23">
        <f ca="1">IFERROR(__xludf.DUMMYFUNCTION("""COMPUTED_VALUE"""),0)</f>
        <v>0</v>
      </c>
      <c r="N168" s="21">
        <f ca="1">IFERROR(__xludf.DUMMYFUNCTION("""COMPUTED_VALUE"""),27500)</f>
        <v>27500</v>
      </c>
      <c r="O168" s="21">
        <f ca="1">IFERROR(__xludf.DUMMYFUNCTION("""COMPUTED_VALUE"""),3000)</f>
        <v>3000</v>
      </c>
      <c r="P168" s="21">
        <f ca="1">IFERROR(__xludf.DUMMYFUNCTION("""COMPUTED_VALUE"""),0)</f>
        <v>0</v>
      </c>
      <c r="Q168" s="23">
        <f ca="1">IFERROR(__xludf.DUMMYFUNCTION("""COMPUTED_VALUE"""),0)</f>
        <v>0</v>
      </c>
      <c r="R168" s="24">
        <f ca="1">IFERROR(__xludf.DUMMYFUNCTION("""COMPUTED_VALUE"""),0)</f>
        <v>0</v>
      </c>
      <c r="S168" s="23">
        <f ca="1">IFERROR(__xludf.DUMMYFUNCTION("""COMPUTED_VALUE"""),3000)</f>
        <v>3000</v>
      </c>
      <c r="T168" s="24">
        <f ca="1">IFERROR(__xludf.DUMMYFUNCTION("""COMPUTED_VALUE"""),0)</f>
        <v>0</v>
      </c>
      <c r="U168" s="23">
        <f ca="1">IFERROR(__xludf.DUMMYFUNCTION("""COMPUTED_VALUE"""),0)</f>
        <v>0</v>
      </c>
      <c r="V168" s="23">
        <f ca="1">IFERROR(__xludf.DUMMYFUNCTION("""COMPUTED_VALUE"""),0)</f>
        <v>0</v>
      </c>
      <c r="W168" s="23">
        <f ca="1">IFERROR(__xludf.DUMMYFUNCTION("""COMPUTED_VALUE"""),0)</f>
        <v>0</v>
      </c>
      <c r="X168" s="23">
        <f ca="1">IFERROR(__xludf.DUMMYFUNCTION("""COMPUTED_VALUE"""),0)</f>
        <v>0</v>
      </c>
      <c r="Y168" s="25">
        <f ca="1">IFERROR(__xludf.DUMMYFUNCTION("""COMPUTED_VALUE"""),0)</f>
        <v>0</v>
      </c>
      <c r="Z168" s="25">
        <f ca="1">IFERROR(__xludf.DUMMYFUNCTION("""COMPUTED_VALUE"""),0)</f>
        <v>0</v>
      </c>
      <c r="AA168" s="25">
        <f ca="1">IFERROR(__xludf.DUMMYFUNCTION("""COMPUTED_VALUE"""),0)</f>
        <v>0</v>
      </c>
      <c r="AB168" s="25">
        <f ca="1">IFERROR(__xludf.DUMMYFUNCTION("""COMPUTED_VALUE"""),0)</f>
        <v>0</v>
      </c>
      <c r="AC168" s="23">
        <f ca="1">IFERROR(__xludf.DUMMYFUNCTION("""COMPUTED_VALUE"""),0)</f>
        <v>0</v>
      </c>
      <c r="AD168" s="26" t="str">
        <f ca="1">IFERROR(__xludf.DUMMYFUNCTION("""COMPUTED_VALUE"""),"FREESHIP CARD")</f>
        <v>FREESHIP CARD</v>
      </c>
      <c r="AE168" s="27"/>
    </row>
    <row r="169" spans="1:31" ht="14.3">
      <c r="A169" s="6" t="str">
        <f ca="1">IFERROR(__xludf.DUMMYFUNCTION("""COMPUTED_VALUE"""),"23SDSCE01121")</f>
        <v>23SDSCE01121</v>
      </c>
      <c r="B169" s="37" t="str">
        <f ca="1">IFERROR(__xludf.DUMMYFUNCTION("""COMPUTED_VALUE"""),"SOLANKI PARTH BHARATBHAI")</f>
        <v>SOLANKI PARTH BHARATBHAI</v>
      </c>
      <c r="C169" s="18" t="str">
        <f ca="1">IFERROR(__xludf.DUMMYFUNCTION("""COMPUTED_VALUE"""),"SDS")</f>
        <v>SDS</v>
      </c>
      <c r="D169" s="18" t="str">
        <f ca="1">IFERROR(__xludf.DUMMYFUNCTION("""COMPUTED_VALUE"""),"DCE")</f>
        <v>DCE</v>
      </c>
      <c r="E169" s="18">
        <f ca="1">IFERROR(__xludf.DUMMYFUNCTION("""COMPUTED_VALUE"""),2)</f>
        <v>2</v>
      </c>
      <c r="F169" s="18" t="str">
        <f ca="1">IFERROR(__xludf.DUMMYFUNCTION("""COMPUTED_VALUE"""),"9624765055 9904538702")</f>
        <v>9624765055 9904538702</v>
      </c>
      <c r="G169" s="18" t="str">
        <f ca="1">IFERROR(__xludf.DUMMYFUNCTION("""COMPUTED_VALUE"""),"9624765055 9904538702")</f>
        <v>9624765055 9904538702</v>
      </c>
      <c r="H169" s="6" t="str">
        <f ca="1">IFERROR(__xludf.DUMMYFUNCTION("""COMPUTED_VALUE"""),"DCE_2023-26")</f>
        <v>DCE_2023-26</v>
      </c>
      <c r="I169" s="20" t="str">
        <f ca="1">IFERROR(__xludf.DUMMYFUNCTION("""COMPUTED_VALUE"""),"KSP")</f>
        <v>KSP</v>
      </c>
      <c r="J169" s="21">
        <f ca="1">IFERROR(__xludf.DUMMYFUNCTION("""COMPUTED_VALUE"""),27500)</f>
        <v>27500</v>
      </c>
      <c r="K169" s="21">
        <f ca="1">IFERROR(__xludf.DUMMYFUNCTION("""COMPUTED_VALUE"""),21250)</f>
        <v>21250</v>
      </c>
      <c r="L169" s="21">
        <f ca="1">IFERROR(__xludf.DUMMYFUNCTION("""COMPUTED_VALUE"""),0)</f>
        <v>0</v>
      </c>
      <c r="M169" s="23">
        <f ca="1">IFERROR(__xludf.DUMMYFUNCTION("""COMPUTED_VALUE"""),6250)</f>
        <v>6250</v>
      </c>
      <c r="N169" s="21">
        <f ca="1">IFERROR(__xludf.DUMMYFUNCTION("""COMPUTED_VALUE"""),0)</f>
        <v>0</v>
      </c>
      <c r="O169" s="21">
        <f ca="1">IFERROR(__xludf.DUMMYFUNCTION("""COMPUTED_VALUE"""),3000)</f>
        <v>3000</v>
      </c>
      <c r="P169" s="21">
        <f ca="1">IFERROR(__xludf.DUMMYFUNCTION("""COMPUTED_VALUE"""),3000)</f>
        <v>3000</v>
      </c>
      <c r="Q169" s="23">
        <f ca="1">IFERROR(__xludf.DUMMYFUNCTION("""COMPUTED_VALUE"""),0)</f>
        <v>0</v>
      </c>
      <c r="R169" s="24">
        <f ca="1">IFERROR(__xludf.DUMMYFUNCTION("""COMPUTED_VALUE"""),0)</f>
        <v>0</v>
      </c>
      <c r="S169" s="23">
        <f ca="1">IFERROR(__xludf.DUMMYFUNCTION("""COMPUTED_VALUE"""),0)</f>
        <v>0</v>
      </c>
      <c r="T169" s="24">
        <f ca="1">IFERROR(__xludf.DUMMYFUNCTION("""COMPUTED_VALUE"""),0)</f>
        <v>0</v>
      </c>
      <c r="U169" s="23">
        <f ca="1">IFERROR(__xludf.DUMMYFUNCTION("""COMPUTED_VALUE"""),0)</f>
        <v>0</v>
      </c>
      <c r="V169" s="23">
        <f ca="1">IFERROR(__xludf.DUMMYFUNCTION("""COMPUTED_VALUE"""),0)</f>
        <v>0</v>
      </c>
      <c r="W169" s="23">
        <f ca="1">IFERROR(__xludf.DUMMYFUNCTION("""COMPUTED_VALUE"""),0)</f>
        <v>0</v>
      </c>
      <c r="X169" s="23">
        <f ca="1">IFERROR(__xludf.DUMMYFUNCTION("""COMPUTED_VALUE"""),0)</f>
        <v>0</v>
      </c>
      <c r="Y169" s="25">
        <f ca="1">IFERROR(__xludf.DUMMYFUNCTION("""COMPUTED_VALUE"""),0)</f>
        <v>0</v>
      </c>
      <c r="Z169" s="25">
        <f ca="1">IFERROR(__xludf.DUMMYFUNCTION("""COMPUTED_VALUE"""),0)</f>
        <v>0</v>
      </c>
      <c r="AA169" s="25">
        <f ca="1">IFERROR(__xludf.DUMMYFUNCTION("""COMPUTED_VALUE"""),0)</f>
        <v>0</v>
      </c>
      <c r="AB169" s="25">
        <f ca="1">IFERROR(__xludf.DUMMYFUNCTION("""COMPUTED_VALUE"""),0)</f>
        <v>0</v>
      </c>
      <c r="AC169" s="23">
        <f ca="1">IFERROR(__xludf.DUMMYFUNCTION("""COMPUTED_VALUE"""),0)</f>
        <v>0</v>
      </c>
      <c r="AD169" s="26" t="str">
        <f ca="1">IFERROR(__xludf.DUMMYFUNCTION("""COMPUTED_VALUE"""),"KSPS ( 6250/- )")</f>
        <v>KSPS ( 6250/- )</v>
      </c>
      <c r="AE169" s="27"/>
    </row>
    <row r="170" spans="1:31" ht="14.3">
      <c r="A170" s="6" t="str">
        <f ca="1">IFERROR(__xludf.DUMMYFUNCTION("""COMPUTED_VALUE"""),"23SDSCE01122")</f>
        <v>23SDSCE01122</v>
      </c>
      <c r="B170" s="37" t="str">
        <f ca="1">IFERROR(__xludf.DUMMYFUNCTION("""COMPUTED_VALUE"""),"SHYAM NAVIN")</f>
        <v>SHYAM NAVIN</v>
      </c>
      <c r="C170" s="18" t="str">
        <f ca="1">IFERROR(__xludf.DUMMYFUNCTION("""COMPUTED_VALUE"""),"SDS")</f>
        <v>SDS</v>
      </c>
      <c r="D170" s="18" t="str">
        <f ca="1">IFERROR(__xludf.DUMMYFUNCTION("""COMPUTED_VALUE"""),"DCE")</f>
        <v>DCE</v>
      </c>
      <c r="E170" s="18">
        <f ca="1">IFERROR(__xludf.DUMMYFUNCTION("""COMPUTED_VALUE"""),2)</f>
        <v>2</v>
      </c>
      <c r="F170" s="18" t="str">
        <f ca="1">IFERROR(__xludf.DUMMYFUNCTION("""COMPUTED_VALUE"""),"6355895394
9904720880")</f>
        <v>6355895394
9904720880</v>
      </c>
      <c r="G170" s="18" t="str">
        <f ca="1">IFERROR(__xludf.DUMMYFUNCTION("""COMPUTED_VALUE"""),"6355895394
9904720880")</f>
        <v>6355895394
9904720880</v>
      </c>
      <c r="H170" s="6" t="str">
        <f ca="1">IFERROR(__xludf.DUMMYFUNCTION("""COMPUTED_VALUE"""),"DCE_2023-26")</f>
        <v>DCE_2023-26</v>
      </c>
      <c r="I170" s="20" t="str">
        <f ca="1">IFERROR(__xludf.DUMMYFUNCTION("""COMPUTED_VALUE"""),"MYSY")</f>
        <v>MYSY</v>
      </c>
      <c r="J170" s="21">
        <f ca="1">IFERROR(__xludf.DUMMYFUNCTION("""COMPUTED_VALUE"""),27500)</f>
        <v>27500</v>
      </c>
      <c r="K170" s="21">
        <f ca="1">IFERROR(__xludf.DUMMYFUNCTION("""COMPUTED_VALUE"""),27500)</f>
        <v>27500</v>
      </c>
      <c r="L170" s="21">
        <f ca="1">IFERROR(__xludf.DUMMYFUNCTION("""COMPUTED_VALUE"""),0)</f>
        <v>0</v>
      </c>
      <c r="M170" s="23">
        <f ca="1">IFERROR(__xludf.DUMMYFUNCTION("""COMPUTED_VALUE"""),0)</f>
        <v>0</v>
      </c>
      <c r="N170" s="21">
        <f ca="1">IFERROR(__xludf.DUMMYFUNCTION("""COMPUTED_VALUE"""),0)</f>
        <v>0</v>
      </c>
      <c r="O170" s="21">
        <f ca="1">IFERROR(__xludf.DUMMYFUNCTION("""COMPUTED_VALUE"""),3000)</f>
        <v>3000</v>
      </c>
      <c r="P170" s="21">
        <f ca="1">IFERROR(__xludf.DUMMYFUNCTION("""COMPUTED_VALUE"""),3000)</f>
        <v>3000</v>
      </c>
      <c r="Q170" s="23">
        <f ca="1">IFERROR(__xludf.DUMMYFUNCTION("""COMPUTED_VALUE"""),0)</f>
        <v>0</v>
      </c>
      <c r="R170" s="24">
        <f ca="1">IFERROR(__xludf.DUMMYFUNCTION("""COMPUTED_VALUE"""),0)</f>
        <v>0</v>
      </c>
      <c r="S170" s="23">
        <f ca="1">IFERROR(__xludf.DUMMYFUNCTION("""COMPUTED_VALUE"""),0)</f>
        <v>0</v>
      </c>
      <c r="T170" s="24">
        <f ca="1">IFERROR(__xludf.DUMMYFUNCTION("""COMPUTED_VALUE"""),0)</f>
        <v>0</v>
      </c>
      <c r="U170" s="23">
        <f ca="1">IFERROR(__xludf.DUMMYFUNCTION("""COMPUTED_VALUE"""),0)</f>
        <v>0</v>
      </c>
      <c r="V170" s="23">
        <f ca="1">IFERROR(__xludf.DUMMYFUNCTION("""COMPUTED_VALUE"""),0)</f>
        <v>0</v>
      </c>
      <c r="W170" s="23">
        <f ca="1">IFERROR(__xludf.DUMMYFUNCTION("""COMPUTED_VALUE"""),0)</f>
        <v>0</v>
      </c>
      <c r="X170" s="23">
        <f ca="1">IFERROR(__xludf.DUMMYFUNCTION("""COMPUTED_VALUE"""),0)</f>
        <v>0</v>
      </c>
      <c r="Y170" s="25">
        <f ca="1">IFERROR(__xludf.DUMMYFUNCTION("""COMPUTED_VALUE"""),0)</f>
        <v>0</v>
      </c>
      <c r="Z170" s="25">
        <f ca="1">IFERROR(__xludf.DUMMYFUNCTION("""COMPUTED_VALUE"""),0)</f>
        <v>0</v>
      </c>
      <c r="AA170" s="25">
        <f ca="1">IFERROR(__xludf.DUMMYFUNCTION("""COMPUTED_VALUE"""),0)</f>
        <v>0</v>
      </c>
      <c r="AB170" s="25">
        <f ca="1">IFERROR(__xludf.DUMMYFUNCTION("""COMPUTED_VALUE"""),0)</f>
        <v>0</v>
      </c>
      <c r="AC170" s="23">
        <f ca="1">IFERROR(__xludf.DUMMYFUNCTION("""COMPUTED_VALUE"""),0)</f>
        <v>0</v>
      </c>
      <c r="AD170" s="26" t="str">
        <f ca="1">IFERROR(__xludf.DUMMYFUNCTION("""COMPUTED_VALUE"""),"MYSY (25000/-)	KSPS ( 12500/- )")</f>
        <v>MYSY (25000/-)	KSPS ( 12500/- )</v>
      </c>
      <c r="AE170" s="27"/>
    </row>
    <row r="171" spans="1:31" ht="14.3">
      <c r="A171" s="6" t="str">
        <f ca="1">IFERROR(__xludf.DUMMYFUNCTION("""COMPUTED_VALUE"""),"23SDSCE01123")</f>
        <v>23SDSCE01123</v>
      </c>
      <c r="B171" s="37" t="str">
        <f ca="1">IFERROR(__xludf.DUMMYFUNCTION("""COMPUTED_VALUE"""),"VISHNUSWAMI BANSARI RAMESHBHAI")</f>
        <v>VISHNUSWAMI BANSARI RAMESHBHAI</v>
      </c>
      <c r="C171" s="18" t="str">
        <f ca="1">IFERROR(__xludf.DUMMYFUNCTION("""COMPUTED_VALUE"""),"SDS")</f>
        <v>SDS</v>
      </c>
      <c r="D171" s="18" t="str">
        <f ca="1">IFERROR(__xludf.DUMMYFUNCTION("""COMPUTED_VALUE"""),"DCE")</f>
        <v>DCE</v>
      </c>
      <c r="E171" s="18">
        <f ca="1">IFERROR(__xludf.DUMMYFUNCTION("""COMPUTED_VALUE"""),2)</f>
        <v>2</v>
      </c>
      <c r="F171" s="18" t="str">
        <f ca="1">IFERROR(__xludf.DUMMYFUNCTION("""COMPUTED_VALUE"""),"8849924469")</f>
        <v>8849924469</v>
      </c>
      <c r="G171" s="18" t="str">
        <f ca="1">IFERROR(__xludf.DUMMYFUNCTION("""COMPUTED_VALUE"""),"8849924469")</f>
        <v>8849924469</v>
      </c>
      <c r="H171" s="6" t="str">
        <f ca="1">IFERROR(__xludf.DUMMYFUNCTION("""COMPUTED_VALUE"""),"DCE_2023-26")</f>
        <v>DCE_2023-26</v>
      </c>
      <c r="I171" s="20" t="str">
        <f ca="1">IFERROR(__xludf.DUMMYFUNCTION("""COMPUTED_VALUE"""),"KSP")</f>
        <v>KSP</v>
      </c>
      <c r="J171" s="21">
        <f ca="1">IFERROR(__xludf.DUMMYFUNCTION("""COMPUTED_VALUE"""),27500)</f>
        <v>27500</v>
      </c>
      <c r="K171" s="21">
        <f ca="1">IFERROR(__xludf.DUMMYFUNCTION("""COMPUTED_VALUE"""),0)</f>
        <v>0</v>
      </c>
      <c r="L171" s="21">
        <f ca="1">IFERROR(__xludf.DUMMYFUNCTION("""COMPUTED_VALUE"""),0)</f>
        <v>0</v>
      </c>
      <c r="M171" s="23">
        <f ca="1">IFERROR(__xludf.DUMMYFUNCTION("""COMPUTED_VALUE"""),6250)</f>
        <v>6250</v>
      </c>
      <c r="N171" s="21">
        <f ca="1">IFERROR(__xludf.DUMMYFUNCTION("""COMPUTED_VALUE"""),21250)</f>
        <v>21250</v>
      </c>
      <c r="O171" s="21">
        <f ca="1">IFERROR(__xludf.DUMMYFUNCTION("""COMPUTED_VALUE"""),3000)</f>
        <v>3000</v>
      </c>
      <c r="P171" s="21">
        <f ca="1">IFERROR(__xludf.DUMMYFUNCTION("""COMPUTED_VALUE"""),0)</f>
        <v>0</v>
      </c>
      <c r="Q171" s="23">
        <f ca="1">IFERROR(__xludf.DUMMYFUNCTION("""COMPUTED_VALUE"""),0)</f>
        <v>0</v>
      </c>
      <c r="R171" s="24">
        <f ca="1">IFERROR(__xludf.DUMMYFUNCTION("""COMPUTED_VALUE"""),0)</f>
        <v>0</v>
      </c>
      <c r="S171" s="23">
        <f ca="1">IFERROR(__xludf.DUMMYFUNCTION("""COMPUTED_VALUE"""),3000)</f>
        <v>3000</v>
      </c>
      <c r="T171" s="24">
        <f ca="1">IFERROR(__xludf.DUMMYFUNCTION("""COMPUTED_VALUE"""),0)</f>
        <v>0</v>
      </c>
      <c r="U171" s="23">
        <f ca="1">IFERROR(__xludf.DUMMYFUNCTION("""COMPUTED_VALUE"""),0)</f>
        <v>0</v>
      </c>
      <c r="V171" s="23">
        <f ca="1">IFERROR(__xludf.DUMMYFUNCTION("""COMPUTED_VALUE"""),0)</f>
        <v>0</v>
      </c>
      <c r="W171" s="23">
        <f ca="1">IFERROR(__xludf.DUMMYFUNCTION("""COMPUTED_VALUE"""),0)</f>
        <v>0</v>
      </c>
      <c r="X171" s="23">
        <f ca="1">IFERROR(__xludf.DUMMYFUNCTION("""COMPUTED_VALUE"""),0)</f>
        <v>0</v>
      </c>
      <c r="Y171" s="25">
        <f ca="1">IFERROR(__xludf.DUMMYFUNCTION("""COMPUTED_VALUE"""),0)</f>
        <v>0</v>
      </c>
      <c r="Z171" s="25">
        <f ca="1">IFERROR(__xludf.DUMMYFUNCTION("""COMPUTED_VALUE"""),0)</f>
        <v>0</v>
      </c>
      <c r="AA171" s="25">
        <f ca="1">IFERROR(__xludf.DUMMYFUNCTION("""COMPUTED_VALUE"""),0)</f>
        <v>0</v>
      </c>
      <c r="AB171" s="25">
        <f ca="1">IFERROR(__xludf.DUMMYFUNCTION("""COMPUTED_VALUE"""),0)</f>
        <v>0</v>
      </c>
      <c r="AC171" s="23">
        <f ca="1">IFERROR(__xludf.DUMMYFUNCTION("""COMPUTED_VALUE"""),0)</f>
        <v>0</v>
      </c>
      <c r="AD171" s="26" t="str">
        <f ca="1">IFERROR(__xludf.DUMMYFUNCTION("""COMPUTED_VALUE"""),"KSPS ( 6250/- )")</f>
        <v>KSPS ( 6250/- )</v>
      </c>
      <c r="AE171" s="27"/>
    </row>
    <row r="172" spans="1:31" ht="14.3">
      <c r="A172" s="6" t="str">
        <f ca="1">IFERROR(__xludf.DUMMYFUNCTION("""COMPUTED_VALUE"""),"23SDSCE01203")</f>
        <v>23SDSCE01203</v>
      </c>
      <c r="B172" s="37" t="str">
        <f ca="1">IFERROR(__xludf.DUMMYFUNCTION("""COMPUTED_VALUE"""),"AGWAN MOHAMMAD ZAKIR MAHEBUBBHAI")</f>
        <v>AGWAN MOHAMMAD ZAKIR MAHEBUBBHAI</v>
      </c>
      <c r="C172" s="18" t="str">
        <f ca="1">IFERROR(__xludf.DUMMYFUNCTION("""COMPUTED_VALUE"""),"SDS")</f>
        <v>SDS</v>
      </c>
      <c r="D172" s="18" t="str">
        <f ca="1">IFERROR(__xludf.DUMMYFUNCTION("""COMPUTED_VALUE"""),"DCE")</f>
        <v>DCE</v>
      </c>
      <c r="E172" s="18">
        <f ca="1">IFERROR(__xludf.DUMMYFUNCTION("""COMPUTED_VALUE"""),2)</f>
        <v>2</v>
      </c>
      <c r="F172" s="18" t="str">
        <f ca="1">IFERROR(__xludf.DUMMYFUNCTION("""COMPUTED_VALUE"""),"9998457839 9824852254")</f>
        <v>9998457839 9824852254</v>
      </c>
      <c r="G172" s="18" t="str">
        <f ca="1">IFERROR(__xludf.DUMMYFUNCTION("""COMPUTED_VALUE"""),"9998457839 9824852254")</f>
        <v>9998457839 9824852254</v>
      </c>
      <c r="H172" s="6" t="str">
        <f ca="1">IFERROR(__xludf.DUMMYFUNCTION("""COMPUTED_VALUE"""),"DCE_2023-26")</f>
        <v>DCE_2023-26</v>
      </c>
      <c r="I172" s="20"/>
      <c r="J172" s="21">
        <f ca="1">IFERROR(__xludf.DUMMYFUNCTION("""COMPUTED_VALUE"""),27500)</f>
        <v>27500</v>
      </c>
      <c r="K172" s="21">
        <f ca="1">IFERROR(__xludf.DUMMYFUNCTION("""COMPUTED_VALUE"""),27500)</f>
        <v>27500</v>
      </c>
      <c r="L172" s="21">
        <f ca="1">IFERROR(__xludf.DUMMYFUNCTION("""COMPUTED_VALUE"""),0)</f>
        <v>0</v>
      </c>
      <c r="M172" s="23">
        <f ca="1">IFERROR(__xludf.DUMMYFUNCTION("""COMPUTED_VALUE"""),0)</f>
        <v>0</v>
      </c>
      <c r="N172" s="21">
        <f ca="1">IFERROR(__xludf.DUMMYFUNCTION("""COMPUTED_VALUE"""),0)</f>
        <v>0</v>
      </c>
      <c r="O172" s="21">
        <f ca="1">IFERROR(__xludf.DUMMYFUNCTION("""COMPUTED_VALUE"""),3000)</f>
        <v>3000</v>
      </c>
      <c r="P172" s="21">
        <f ca="1">IFERROR(__xludf.DUMMYFUNCTION("""COMPUTED_VALUE"""),0)</f>
        <v>0</v>
      </c>
      <c r="Q172" s="23">
        <f ca="1">IFERROR(__xludf.DUMMYFUNCTION("""COMPUTED_VALUE"""),0)</f>
        <v>0</v>
      </c>
      <c r="R172" s="24">
        <f ca="1">IFERROR(__xludf.DUMMYFUNCTION("""COMPUTED_VALUE"""),0)</f>
        <v>0</v>
      </c>
      <c r="S172" s="23">
        <f ca="1">IFERROR(__xludf.DUMMYFUNCTION("""COMPUTED_VALUE"""),3000)</f>
        <v>3000</v>
      </c>
      <c r="T172" s="24">
        <f ca="1">IFERROR(__xludf.DUMMYFUNCTION("""COMPUTED_VALUE"""),0)</f>
        <v>0</v>
      </c>
      <c r="U172" s="23">
        <f ca="1">IFERROR(__xludf.DUMMYFUNCTION("""COMPUTED_VALUE"""),0)</f>
        <v>0</v>
      </c>
      <c r="V172" s="23">
        <f ca="1">IFERROR(__xludf.DUMMYFUNCTION("""COMPUTED_VALUE"""),0)</f>
        <v>0</v>
      </c>
      <c r="W172" s="23">
        <f ca="1">IFERROR(__xludf.DUMMYFUNCTION("""COMPUTED_VALUE"""),0)</f>
        <v>0</v>
      </c>
      <c r="X172" s="23">
        <f ca="1">IFERROR(__xludf.DUMMYFUNCTION("""COMPUTED_VALUE"""),0)</f>
        <v>0</v>
      </c>
      <c r="Y172" s="25">
        <f ca="1">IFERROR(__xludf.DUMMYFUNCTION("""COMPUTED_VALUE"""),0)</f>
        <v>0</v>
      </c>
      <c r="Z172" s="25">
        <f ca="1">IFERROR(__xludf.DUMMYFUNCTION("""COMPUTED_VALUE"""),0)</f>
        <v>0</v>
      </c>
      <c r="AA172" s="25">
        <f ca="1">IFERROR(__xludf.DUMMYFUNCTION("""COMPUTED_VALUE"""),0)</f>
        <v>0</v>
      </c>
      <c r="AB172" s="25">
        <f ca="1">IFERROR(__xludf.DUMMYFUNCTION("""COMPUTED_VALUE"""),0)</f>
        <v>0</v>
      </c>
      <c r="AC172" s="23">
        <f ca="1">IFERROR(__xludf.DUMMYFUNCTION("""COMPUTED_VALUE"""),0)</f>
        <v>0</v>
      </c>
      <c r="AD172" s="26"/>
      <c r="AE172" s="27"/>
    </row>
    <row r="173" spans="1:31" ht="14.3">
      <c r="A173" s="6" t="str">
        <f ca="1">IFERROR(__xludf.DUMMYFUNCTION("""COMPUTED_VALUE"""),"23SDSCE01204")</f>
        <v>23SDSCE01204</v>
      </c>
      <c r="B173" s="37" t="str">
        <f ca="1">IFERROR(__xludf.DUMMYFUNCTION("""COMPUTED_VALUE"""),"BAMBHANIYA YASH DHANSUKH")</f>
        <v>BAMBHANIYA YASH DHANSUKH</v>
      </c>
      <c r="C173" s="18" t="str">
        <f ca="1">IFERROR(__xludf.DUMMYFUNCTION("""COMPUTED_VALUE"""),"SDS")</f>
        <v>SDS</v>
      </c>
      <c r="D173" s="18" t="str">
        <f ca="1">IFERROR(__xludf.DUMMYFUNCTION("""COMPUTED_VALUE"""),"DCE")</f>
        <v>DCE</v>
      </c>
      <c r="E173" s="18">
        <f ca="1">IFERROR(__xludf.DUMMYFUNCTION("""COMPUTED_VALUE"""),2)</f>
        <v>2</v>
      </c>
      <c r="F173" s="18" t="str">
        <f ca="1">IFERROR(__xludf.DUMMYFUNCTION("""COMPUTED_VALUE"""),"7434850264 9265663100")</f>
        <v>7434850264 9265663100</v>
      </c>
      <c r="G173" s="18" t="str">
        <f ca="1">IFERROR(__xludf.DUMMYFUNCTION("""COMPUTED_VALUE"""),"7434850264 9265663100")</f>
        <v>7434850264 9265663100</v>
      </c>
      <c r="H173" s="6" t="str">
        <f ca="1">IFERROR(__xludf.DUMMYFUNCTION("""COMPUTED_VALUE"""),"DCE_2023-26")</f>
        <v>DCE_2023-26</v>
      </c>
      <c r="I173" s="20"/>
      <c r="J173" s="21">
        <f ca="1">IFERROR(__xludf.DUMMYFUNCTION("""COMPUTED_VALUE"""),27500)</f>
        <v>27500</v>
      </c>
      <c r="K173" s="21">
        <f ca="1">IFERROR(__xludf.DUMMYFUNCTION("""COMPUTED_VALUE"""),27500)</f>
        <v>27500</v>
      </c>
      <c r="L173" s="21">
        <f ca="1">IFERROR(__xludf.DUMMYFUNCTION("""COMPUTED_VALUE"""),0)</f>
        <v>0</v>
      </c>
      <c r="M173" s="23">
        <f ca="1">IFERROR(__xludf.DUMMYFUNCTION("""COMPUTED_VALUE"""),0)</f>
        <v>0</v>
      </c>
      <c r="N173" s="21">
        <f ca="1">IFERROR(__xludf.DUMMYFUNCTION("""COMPUTED_VALUE"""),0)</f>
        <v>0</v>
      </c>
      <c r="O173" s="21">
        <f ca="1">IFERROR(__xludf.DUMMYFUNCTION("""COMPUTED_VALUE"""),3000)</f>
        <v>3000</v>
      </c>
      <c r="P173" s="21">
        <f ca="1">IFERROR(__xludf.DUMMYFUNCTION("""COMPUTED_VALUE"""),3000)</f>
        <v>3000</v>
      </c>
      <c r="Q173" s="23">
        <f ca="1">IFERROR(__xludf.DUMMYFUNCTION("""COMPUTED_VALUE"""),0)</f>
        <v>0</v>
      </c>
      <c r="R173" s="24">
        <f ca="1">IFERROR(__xludf.DUMMYFUNCTION("""COMPUTED_VALUE"""),0)</f>
        <v>0</v>
      </c>
      <c r="S173" s="23">
        <f ca="1">IFERROR(__xludf.DUMMYFUNCTION("""COMPUTED_VALUE"""),0)</f>
        <v>0</v>
      </c>
      <c r="T173" s="24">
        <f ca="1">IFERROR(__xludf.DUMMYFUNCTION("""COMPUTED_VALUE"""),0)</f>
        <v>0</v>
      </c>
      <c r="U173" s="23">
        <f ca="1">IFERROR(__xludf.DUMMYFUNCTION("""COMPUTED_VALUE"""),0)</f>
        <v>0</v>
      </c>
      <c r="V173" s="23">
        <f ca="1">IFERROR(__xludf.DUMMYFUNCTION("""COMPUTED_VALUE"""),0)</f>
        <v>0</v>
      </c>
      <c r="W173" s="23">
        <f ca="1">IFERROR(__xludf.DUMMYFUNCTION("""COMPUTED_VALUE"""),0)</f>
        <v>0</v>
      </c>
      <c r="X173" s="23">
        <f ca="1">IFERROR(__xludf.DUMMYFUNCTION("""COMPUTED_VALUE"""),0)</f>
        <v>0</v>
      </c>
      <c r="Y173" s="25">
        <f ca="1">IFERROR(__xludf.DUMMYFUNCTION("""COMPUTED_VALUE"""),0)</f>
        <v>0</v>
      </c>
      <c r="Z173" s="25">
        <f ca="1">IFERROR(__xludf.DUMMYFUNCTION("""COMPUTED_VALUE"""),0)</f>
        <v>0</v>
      </c>
      <c r="AA173" s="25">
        <f ca="1">IFERROR(__xludf.DUMMYFUNCTION("""COMPUTED_VALUE"""),0)</f>
        <v>0</v>
      </c>
      <c r="AB173" s="25">
        <f ca="1">IFERROR(__xludf.DUMMYFUNCTION("""COMPUTED_VALUE"""),0)</f>
        <v>0</v>
      </c>
      <c r="AC173" s="23">
        <f ca="1">IFERROR(__xludf.DUMMYFUNCTION("""COMPUTED_VALUE"""),0)</f>
        <v>0</v>
      </c>
      <c r="AD173" s="26"/>
      <c r="AE173" s="27"/>
    </row>
    <row r="174" spans="1:31" ht="14.3">
      <c r="A174" s="6" t="str">
        <f ca="1">IFERROR(__xludf.DUMMYFUNCTION("""COMPUTED_VALUE"""),"23SDSCE01205")</f>
        <v>23SDSCE01205</v>
      </c>
      <c r="B174" s="37" t="str">
        <f ca="1">IFERROR(__xludf.DUMMYFUNCTION("""COMPUTED_VALUE"""),"BHAYANI JANVI RASIKBHAI")</f>
        <v>BHAYANI JANVI RASIKBHAI</v>
      </c>
      <c r="C174" s="18" t="str">
        <f ca="1">IFERROR(__xludf.DUMMYFUNCTION("""COMPUTED_VALUE"""),"SDS")</f>
        <v>SDS</v>
      </c>
      <c r="D174" s="18" t="str">
        <f ca="1">IFERROR(__xludf.DUMMYFUNCTION("""COMPUTED_VALUE"""),"DCE")</f>
        <v>DCE</v>
      </c>
      <c r="E174" s="18">
        <f ca="1">IFERROR(__xludf.DUMMYFUNCTION("""COMPUTED_VALUE"""),2)</f>
        <v>2</v>
      </c>
      <c r="F174" s="18" t="str">
        <f ca="1">IFERROR(__xludf.DUMMYFUNCTION("""COMPUTED_VALUE"""),"7863859904
9879878216")</f>
        <v>7863859904
9879878216</v>
      </c>
      <c r="G174" s="18" t="str">
        <f ca="1">IFERROR(__xludf.DUMMYFUNCTION("""COMPUTED_VALUE"""),"7863859904
9879878216")</f>
        <v>7863859904
9879878216</v>
      </c>
      <c r="H174" s="6" t="str">
        <f ca="1">IFERROR(__xludf.DUMMYFUNCTION("""COMPUTED_VALUE"""),"DCE_2023-26")</f>
        <v>DCE_2023-26</v>
      </c>
      <c r="I174" s="20" t="str">
        <f ca="1">IFERROR(__xludf.DUMMYFUNCTION("""COMPUTED_VALUE"""),"MYSY")</f>
        <v>MYSY</v>
      </c>
      <c r="J174" s="21">
        <f ca="1">IFERROR(__xludf.DUMMYFUNCTION("""COMPUTED_VALUE"""),27500)</f>
        <v>27500</v>
      </c>
      <c r="K174" s="21">
        <f ca="1">IFERROR(__xludf.DUMMYFUNCTION("""COMPUTED_VALUE"""),0)</f>
        <v>0</v>
      </c>
      <c r="L174" s="21">
        <f ca="1">IFERROR(__xludf.DUMMYFUNCTION("""COMPUTED_VALUE"""),0)</f>
        <v>0</v>
      </c>
      <c r="M174" s="23">
        <f ca="1">IFERROR(__xludf.DUMMYFUNCTION("""COMPUTED_VALUE"""),0)</f>
        <v>0</v>
      </c>
      <c r="N174" s="21">
        <f ca="1">IFERROR(__xludf.DUMMYFUNCTION("""COMPUTED_VALUE"""),27500)</f>
        <v>27500</v>
      </c>
      <c r="O174" s="21">
        <f ca="1">IFERROR(__xludf.DUMMYFUNCTION("""COMPUTED_VALUE"""),3000)</f>
        <v>3000</v>
      </c>
      <c r="P174" s="21">
        <f ca="1">IFERROR(__xludf.DUMMYFUNCTION("""COMPUTED_VALUE"""),3000)</f>
        <v>3000</v>
      </c>
      <c r="Q174" s="23">
        <f ca="1">IFERROR(__xludf.DUMMYFUNCTION("""COMPUTED_VALUE"""),0)</f>
        <v>0</v>
      </c>
      <c r="R174" s="24">
        <f ca="1">IFERROR(__xludf.DUMMYFUNCTION("""COMPUTED_VALUE"""),0)</f>
        <v>0</v>
      </c>
      <c r="S174" s="23">
        <f ca="1">IFERROR(__xludf.DUMMYFUNCTION("""COMPUTED_VALUE"""),0)</f>
        <v>0</v>
      </c>
      <c r="T174" s="24">
        <f ca="1">IFERROR(__xludf.DUMMYFUNCTION("""COMPUTED_VALUE"""),0)</f>
        <v>0</v>
      </c>
      <c r="U174" s="23">
        <f ca="1">IFERROR(__xludf.DUMMYFUNCTION("""COMPUTED_VALUE"""),0)</f>
        <v>0</v>
      </c>
      <c r="V174" s="23">
        <f ca="1">IFERROR(__xludf.DUMMYFUNCTION("""COMPUTED_VALUE"""),0)</f>
        <v>0</v>
      </c>
      <c r="W174" s="23">
        <f ca="1">IFERROR(__xludf.DUMMYFUNCTION("""COMPUTED_VALUE"""),0)</f>
        <v>0</v>
      </c>
      <c r="X174" s="23">
        <f ca="1">IFERROR(__xludf.DUMMYFUNCTION("""COMPUTED_VALUE"""),0)</f>
        <v>0</v>
      </c>
      <c r="Y174" s="25">
        <f ca="1">IFERROR(__xludf.DUMMYFUNCTION("""COMPUTED_VALUE"""),0)</f>
        <v>0</v>
      </c>
      <c r="Z174" s="25">
        <f ca="1">IFERROR(__xludf.DUMMYFUNCTION("""COMPUTED_VALUE"""),0)</f>
        <v>0</v>
      </c>
      <c r="AA174" s="25">
        <f ca="1">IFERROR(__xludf.DUMMYFUNCTION("""COMPUTED_VALUE"""),0)</f>
        <v>0</v>
      </c>
      <c r="AB174" s="25">
        <f ca="1">IFERROR(__xludf.DUMMYFUNCTION("""COMPUTED_VALUE"""),0)</f>
        <v>0</v>
      </c>
      <c r="AC174" s="23">
        <f ca="1">IFERROR(__xludf.DUMMYFUNCTION("""COMPUTED_VALUE"""),0)</f>
        <v>0</v>
      </c>
      <c r="AD174" s="26" t="str">
        <f ca="1">IFERROR(__xludf.DUMMYFUNCTION("""COMPUTED_VALUE"""),"MYSY (25000/-)	KSPS ( 12500/- )")</f>
        <v>MYSY (25000/-)	KSPS ( 12500/- )</v>
      </c>
      <c r="AE174" s="27"/>
    </row>
    <row r="175" spans="1:31" ht="14.3">
      <c r="A175" s="6" t="str">
        <f ca="1">IFERROR(__xludf.DUMMYFUNCTION("""COMPUTED_VALUE"""),"23SDSCE01206")</f>
        <v>23SDSCE01206</v>
      </c>
      <c r="B175" s="37" t="str">
        <f ca="1">IFERROR(__xludf.DUMMYFUNCTION("""COMPUTED_VALUE"""),"ANAS BILAKHIA")</f>
        <v>ANAS BILAKHIA</v>
      </c>
      <c r="C175" s="18" t="str">
        <f ca="1">IFERROR(__xludf.DUMMYFUNCTION("""COMPUTED_VALUE"""),"SDS")</f>
        <v>SDS</v>
      </c>
      <c r="D175" s="18" t="str">
        <f ca="1">IFERROR(__xludf.DUMMYFUNCTION("""COMPUTED_VALUE"""),"DCE")</f>
        <v>DCE</v>
      </c>
      <c r="E175" s="18">
        <f ca="1">IFERROR(__xludf.DUMMYFUNCTION("""COMPUTED_VALUE"""),2)</f>
        <v>2</v>
      </c>
      <c r="F175" s="18" t="str">
        <f ca="1">IFERROR(__xludf.DUMMYFUNCTION("""COMPUTED_VALUE"""),"8140593509 9016626021")</f>
        <v>8140593509 9016626021</v>
      </c>
      <c r="G175" s="18" t="str">
        <f ca="1">IFERROR(__xludf.DUMMYFUNCTION("""COMPUTED_VALUE"""),"8140593509 9016626021")</f>
        <v>8140593509 9016626021</v>
      </c>
      <c r="H175" s="6" t="str">
        <f ca="1">IFERROR(__xludf.DUMMYFUNCTION("""COMPUTED_VALUE"""),"DCE_2023-26")</f>
        <v>DCE_2023-26</v>
      </c>
      <c r="I175" s="20" t="str">
        <f ca="1">IFERROR(__xludf.DUMMYFUNCTION("""COMPUTED_VALUE"""),"KSP")</f>
        <v>KSP</v>
      </c>
      <c r="J175" s="21">
        <f ca="1">IFERROR(__xludf.DUMMYFUNCTION("""COMPUTED_VALUE"""),27500)</f>
        <v>27500</v>
      </c>
      <c r="K175" s="21">
        <f ca="1">IFERROR(__xludf.DUMMYFUNCTION("""COMPUTED_VALUE"""),21250)</f>
        <v>21250</v>
      </c>
      <c r="L175" s="21">
        <f ca="1">IFERROR(__xludf.DUMMYFUNCTION("""COMPUTED_VALUE"""),0)</f>
        <v>0</v>
      </c>
      <c r="M175" s="23">
        <f ca="1">IFERROR(__xludf.DUMMYFUNCTION("""COMPUTED_VALUE"""),6250)</f>
        <v>6250</v>
      </c>
      <c r="N175" s="21">
        <f ca="1">IFERROR(__xludf.DUMMYFUNCTION("""COMPUTED_VALUE"""),0)</f>
        <v>0</v>
      </c>
      <c r="O175" s="21">
        <f ca="1">IFERROR(__xludf.DUMMYFUNCTION("""COMPUTED_VALUE"""),3000)</f>
        <v>3000</v>
      </c>
      <c r="P175" s="21">
        <f ca="1">IFERROR(__xludf.DUMMYFUNCTION("""COMPUTED_VALUE"""),3000)</f>
        <v>3000</v>
      </c>
      <c r="Q175" s="23">
        <f ca="1">IFERROR(__xludf.DUMMYFUNCTION("""COMPUTED_VALUE"""),0)</f>
        <v>0</v>
      </c>
      <c r="R175" s="24">
        <f ca="1">IFERROR(__xludf.DUMMYFUNCTION("""COMPUTED_VALUE"""),0)</f>
        <v>0</v>
      </c>
      <c r="S175" s="23">
        <f ca="1">IFERROR(__xludf.DUMMYFUNCTION("""COMPUTED_VALUE"""),0)</f>
        <v>0</v>
      </c>
      <c r="T175" s="24">
        <f ca="1">IFERROR(__xludf.DUMMYFUNCTION("""COMPUTED_VALUE"""),0)</f>
        <v>0</v>
      </c>
      <c r="U175" s="23">
        <f ca="1">IFERROR(__xludf.DUMMYFUNCTION("""COMPUTED_VALUE"""),0)</f>
        <v>0</v>
      </c>
      <c r="V175" s="23">
        <f ca="1">IFERROR(__xludf.DUMMYFUNCTION("""COMPUTED_VALUE"""),0)</f>
        <v>0</v>
      </c>
      <c r="W175" s="23">
        <f ca="1">IFERROR(__xludf.DUMMYFUNCTION("""COMPUTED_VALUE"""),0)</f>
        <v>0</v>
      </c>
      <c r="X175" s="23">
        <f ca="1">IFERROR(__xludf.DUMMYFUNCTION("""COMPUTED_VALUE"""),0)</f>
        <v>0</v>
      </c>
      <c r="Y175" s="25">
        <f ca="1">IFERROR(__xludf.DUMMYFUNCTION("""COMPUTED_VALUE"""),0)</f>
        <v>0</v>
      </c>
      <c r="Z175" s="25">
        <f ca="1">IFERROR(__xludf.DUMMYFUNCTION("""COMPUTED_VALUE"""),0)</f>
        <v>0</v>
      </c>
      <c r="AA175" s="25">
        <f ca="1">IFERROR(__xludf.DUMMYFUNCTION("""COMPUTED_VALUE"""),0)</f>
        <v>0</v>
      </c>
      <c r="AB175" s="25">
        <f ca="1">IFERROR(__xludf.DUMMYFUNCTION("""COMPUTED_VALUE"""),0)</f>
        <v>0</v>
      </c>
      <c r="AC175" s="23">
        <f ca="1">IFERROR(__xludf.DUMMYFUNCTION("""COMPUTED_VALUE"""),0)</f>
        <v>0</v>
      </c>
      <c r="AD175" s="26" t="str">
        <f ca="1">IFERROR(__xludf.DUMMYFUNCTION("""COMPUTED_VALUE"""),"KSPS ( 6250/- )")</f>
        <v>KSPS ( 6250/- )</v>
      </c>
      <c r="AE175" s="27"/>
    </row>
    <row r="176" spans="1:31" ht="23.1">
      <c r="A176" s="6" t="str">
        <f ca="1">IFERROR(__xludf.DUMMYFUNCTION("""COMPUTED_VALUE"""),"23SDSCE01207")</f>
        <v>23SDSCE01207</v>
      </c>
      <c r="B176" s="37" t="str">
        <f ca="1">IFERROR(__xludf.DUMMYFUNCTION("""COMPUTED_VALUE"""),"CHANDARANA TULSI KASHMIK KUMAR")</f>
        <v>CHANDARANA TULSI KASHMIK KUMAR</v>
      </c>
      <c r="C176" s="18" t="str">
        <f ca="1">IFERROR(__xludf.DUMMYFUNCTION("""COMPUTED_VALUE"""),"SDS")</f>
        <v>SDS</v>
      </c>
      <c r="D176" s="18" t="str">
        <f ca="1">IFERROR(__xludf.DUMMYFUNCTION("""COMPUTED_VALUE"""),"DCE")</f>
        <v>DCE</v>
      </c>
      <c r="E176" s="18">
        <f ca="1">IFERROR(__xludf.DUMMYFUNCTION("""COMPUTED_VALUE"""),2)</f>
        <v>2</v>
      </c>
      <c r="F176" s="18" t="str">
        <f ca="1">IFERROR(__xludf.DUMMYFUNCTION("""COMPUTED_VALUE"""),"9924961807")</f>
        <v>9924961807</v>
      </c>
      <c r="G176" s="18" t="str">
        <f ca="1">IFERROR(__xludf.DUMMYFUNCTION("""COMPUTED_VALUE"""),"9924961807")</f>
        <v>9924961807</v>
      </c>
      <c r="H176" s="6" t="str">
        <f ca="1">IFERROR(__xludf.DUMMYFUNCTION("""COMPUTED_VALUE"""),"DCE_2023-26")</f>
        <v>DCE_2023-26</v>
      </c>
      <c r="I176" s="20" t="str">
        <f ca="1">IFERROR(__xludf.DUMMYFUNCTION("""COMPUTED_VALUE"""),"TFW")</f>
        <v>TFW</v>
      </c>
      <c r="J176" s="21">
        <f ca="1">IFERROR(__xludf.DUMMYFUNCTION("""COMPUTED_VALUE"""),0)</f>
        <v>0</v>
      </c>
      <c r="K176" s="21">
        <f ca="1">IFERROR(__xludf.DUMMYFUNCTION("""COMPUTED_VALUE"""),27500)</f>
        <v>27500</v>
      </c>
      <c r="L176" s="21">
        <f ca="1">IFERROR(__xludf.DUMMYFUNCTION("""COMPUTED_VALUE"""),0)</f>
        <v>0</v>
      </c>
      <c r="M176" s="23">
        <f ca="1">IFERROR(__xludf.DUMMYFUNCTION("""COMPUTED_VALUE"""),0)</f>
        <v>0</v>
      </c>
      <c r="N176" s="21">
        <f ca="1">IFERROR(__xludf.DUMMYFUNCTION("""COMPUTED_VALUE"""),-27500)</f>
        <v>-27500</v>
      </c>
      <c r="O176" s="21">
        <f ca="1">IFERROR(__xludf.DUMMYFUNCTION("""COMPUTED_VALUE"""),0)</f>
        <v>0</v>
      </c>
      <c r="P176" s="21">
        <f ca="1">IFERROR(__xludf.DUMMYFUNCTION("""COMPUTED_VALUE"""),3000)</f>
        <v>3000</v>
      </c>
      <c r="Q176" s="23">
        <f ca="1">IFERROR(__xludf.DUMMYFUNCTION("""COMPUTED_VALUE"""),0)</f>
        <v>0</v>
      </c>
      <c r="R176" s="24">
        <f ca="1">IFERROR(__xludf.DUMMYFUNCTION("""COMPUTED_VALUE"""),0)</f>
        <v>0</v>
      </c>
      <c r="S176" s="23">
        <f ca="1">IFERROR(__xludf.DUMMYFUNCTION("""COMPUTED_VALUE"""),-3000)</f>
        <v>-3000</v>
      </c>
      <c r="T176" s="24">
        <f ca="1">IFERROR(__xludf.DUMMYFUNCTION("""COMPUTED_VALUE"""),0)</f>
        <v>0</v>
      </c>
      <c r="U176" s="23">
        <f ca="1">IFERROR(__xludf.DUMMYFUNCTION("""COMPUTED_VALUE"""),0)</f>
        <v>0</v>
      </c>
      <c r="V176" s="23">
        <f ca="1">IFERROR(__xludf.DUMMYFUNCTION("""COMPUTED_VALUE"""),0)</f>
        <v>0</v>
      </c>
      <c r="W176" s="23">
        <f ca="1">IFERROR(__xludf.DUMMYFUNCTION("""COMPUTED_VALUE"""),0)</f>
        <v>0</v>
      </c>
      <c r="X176" s="23">
        <f ca="1">IFERROR(__xludf.DUMMYFUNCTION("""COMPUTED_VALUE"""),0)</f>
        <v>0</v>
      </c>
      <c r="Y176" s="25">
        <f ca="1">IFERROR(__xludf.DUMMYFUNCTION("""COMPUTED_VALUE"""),0)</f>
        <v>0</v>
      </c>
      <c r="Z176" s="25">
        <f ca="1">IFERROR(__xludf.DUMMYFUNCTION("""COMPUTED_VALUE"""),0)</f>
        <v>0</v>
      </c>
      <c r="AA176" s="25">
        <f ca="1">IFERROR(__xludf.DUMMYFUNCTION("""COMPUTED_VALUE"""),0)</f>
        <v>0</v>
      </c>
      <c r="AB176" s="25">
        <f ca="1">IFERROR(__xludf.DUMMYFUNCTION("""COMPUTED_VALUE"""),0)</f>
        <v>0</v>
      </c>
      <c r="AC176" s="23">
        <f ca="1">IFERROR(__xludf.DUMMYFUNCTION("""COMPUTED_VALUE"""),0)</f>
        <v>0</v>
      </c>
      <c r="AD176" s="26" t="str">
        <f ca="1">IFERROR(__xludf.DUMMYFUNCTION("""COMPUTED_VALUE"""),"THIS FEE REFUND 
NO FEE 100 % SCHOLASHIP")</f>
        <v>THIS FEE REFUND 
NO FEE 100 % SCHOLASHIP</v>
      </c>
      <c r="AE176" s="27"/>
    </row>
    <row r="177" spans="1:31" ht="14.3">
      <c r="A177" s="6" t="str">
        <f ca="1">IFERROR(__xludf.DUMMYFUNCTION("""COMPUTED_VALUE"""),"23SDSCE01208")</f>
        <v>23SDSCE01208</v>
      </c>
      <c r="B177" s="37" t="str">
        <f ca="1">IFERROR(__xludf.DUMMYFUNCTION("""COMPUTED_VALUE"""),"CHANGELA YUG MANISHBHAI")</f>
        <v>CHANGELA YUG MANISHBHAI</v>
      </c>
      <c r="C177" s="18" t="str">
        <f ca="1">IFERROR(__xludf.DUMMYFUNCTION("""COMPUTED_VALUE"""),"SDS")</f>
        <v>SDS</v>
      </c>
      <c r="D177" s="18" t="str">
        <f ca="1">IFERROR(__xludf.DUMMYFUNCTION("""COMPUTED_VALUE"""),"DCE")</f>
        <v>DCE</v>
      </c>
      <c r="E177" s="18">
        <f ca="1">IFERROR(__xludf.DUMMYFUNCTION("""COMPUTED_VALUE"""),2)</f>
        <v>2</v>
      </c>
      <c r="F177" s="18" t="str">
        <f ca="1">IFERROR(__xludf.DUMMYFUNCTION("""COMPUTED_VALUE"""),"8154835933 8141135933")</f>
        <v>8154835933 8141135933</v>
      </c>
      <c r="G177" s="18" t="str">
        <f ca="1">IFERROR(__xludf.DUMMYFUNCTION("""COMPUTED_VALUE"""),"8154835933 8141135933")</f>
        <v>8154835933 8141135933</v>
      </c>
      <c r="H177" s="6" t="str">
        <f ca="1">IFERROR(__xludf.DUMMYFUNCTION("""COMPUTED_VALUE"""),"DCE_2023-26")</f>
        <v>DCE_2023-26</v>
      </c>
      <c r="I177" s="20"/>
      <c r="J177" s="21">
        <f ca="1">IFERROR(__xludf.DUMMYFUNCTION("""COMPUTED_VALUE"""),27500)</f>
        <v>27500</v>
      </c>
      <c r="K177" s="21">
        <f ca="1">IFERROR(__xludf.DUMMYFUNCTION("""COMPUTED_VALUE"""),27500)</f>
        <v>27500</v>
      </c>
      <c r="L177" s="21">
        <f ca="1">IFERROR(__xludf.DUMMYFUNCTION("""COMPUTED_VALUE"""),0)</f>
        <v>0</v>
      </c>
      <c r="M177" s="23">
        <f ca="1">IFERROR(__xludf.DUMMYFUNCTION("""COMPUTED_VALUE"""),0)</f>
        <v>0</v>
      </c>
      <c r="N177" s="21">
        <f ca="1">IFERROR(__xludf.DUMMYFUNCTION("""COMPUTED_VALUE"""),0)</f>
        <v>0</v>
      </c>
      <c r="O177" s="21">
        <f ca="1">IFERROR(__xludf.DUMMYFUNCTION("""COMPUTED_VALUE"""),3000)</f>
        <v>3000</v>
      </c>
      <c r="P177" s="21">
        <f ca="1">IFERROR(__xludf.DUMMYFUNCTION("""COMPUTED_VALUE"""),3000)</f>
        <v>3000</v>
      </c>
      <c r="Q177" s="23">
        <f ca="1">IFERROR(__xludf.DUMMYFUNCTION("""COMPUTED_VALUE"""),0)</f>
        <v>0</v>
      </c>
      <c r="R177" s="24">
        <f ca="1">IFERROR(__xludf.DUMMYFUNCTION("""COMPUTED_VALUE"""),0)</f>
        <v>0</v>
      </c>
      <c r="S177" s="23">
        <f ca="1">IFERROR(__xludf.DUMMYFUNCTION("""COMPUTED_VALUE"""),0)</f>
        <v>0</v>
      </c>
      <c r="T177" s="24">
        <f ca="1">IFERROR(__xludf.DUMMYFUNCTION("""COMPUTED_VALUE"""),0)</f>
        <v>0</v>
      </c>
      <c r="U177" s="23">
        <f ca="1">IFERROR(__xludf.DUMMYFUNCTION("""COMPUTED_VALUE"""),0)</f>
        <v>0</v>
      </c>
      <c r="V177" s="23">
        <f ca="1">IFERROR(__xludf.DUMMYFUNCTION("""COMPUTED_VALUE"""),0)</f>
        <v>0</v>
      </c>
      <c r="W177" s="23">
        <f ca="1">IFERROR(__xludf.DUMMYFUNCTION("""COMPUTED_VALUE"""),0)</f>
        <v>0</v>
      </c>
      <c r="X177" s="23">
        <f ca="1">IFERROR(__xludf.DUMMYFUNCTION("""COMPUTED_VALUE"""),0)</f>
        <v>0</v>
      </c>
      <c r="Y177" s="25">
        <f ca="1">IFERROR(__xludf.DUMMYFUNCTION("""COMPUTED_VALUE"""),0)</f>
        <v>0</v>
      </c>
      <c r="Z177" s="25">
        <f ca="1">IFERROR(__xludf.DUMMYFUNCTION("""COMPUTED_VALUE"""),0)</f>
        <v>0</v>
      </c>
      <c r="AA177" s="25">
        <f ca="1">IFERROR(__xludf.DUMMYFUNCTION("""COMPUTED_VALUE"""),0)</f>
        <v>0</v>
      </c>
      <c r="AB177" s="25">
        <f ca="1">IFERROR(__xludf.DUMMYFUNCTION("""COMPUTED_VALUE"""),0)</f>
        <v>0</v>
      </c>
      <c r="AC177" s="23">
        <f ca="1">IFERROR(__xludf.DUMMYFUNCTION("""COMPUTED_VALUE"""),0)</f>
        <v>0</v>
      </c>
      <c r="AD177" s="26"/>
      <c r="AE177" s="27"/>
    </row>
    <row r="178" spans="1:31" ht="14.3">
      <c r="A178" s="6" t="str">
        <f ca="1">IFERROR(__xludf.DUMMYFUNCTION("""COMPUTED_VALUE"""),"23SDSCE01209")</f>
        <v>23SDSCE01209</v>
      </c>
      <c r="B178" s="37" t="str">
        <f ca="1">IFERROR(__xludf.DUMMYFUNCTION("""COMPUTED_VALUE"""),"CHAPANERA SHREY NILESHBHAI")</f>
        <v>CHAPANERA SHREY NILESHBHAI</v>
      </c>
      <c r="C178" s="18" t="str">
        <f ca="1">IFERROR(__xludf.DUMMYFUNCTION("""COMPUTED_VALUE"""),"SDS")</f>
        <v>SDS</v>
      </c>
      <c r="D178" s="18" t="str">
        <f ca="1">IFERROR(__xludf.DUMMYFUNCTION("""COMPUTED_VALUE"""),"DCE")</f>
        <v>DCE</v>
      </c>
      <c r="E178" s="18">
        <f ca="1">IFERROR(__xludf.DUMMYFUNCTION("""COMPUTED_VALUE"""),2)</f>
        <v>2</v>
      </c>
      <c r="F178" s="18" t="str">
        <f ca="1">IFERROR(__xludf.DUMMYFUNCTION("""COMPUTED_VALUE"""),"9054614884 9825388836")</f>
        <v>9054614884 9825388836</v>
      </c>
      <c r="G178" s="18" t="str">
        <f ca="1">IFERROR(__xludf.DUMMYFUNCTION("""COMPUTED_VALUE"""),"9054614884 9825388836")</f>
        <v>9054614884 9825388836</v>
      </c>
      <c r="H178" s="6" t="str">
        <f ca="1">IFERROR(__xludf.DUMMYFUNCTION("""COMPUTED_VALUE"""),"DCE_2023-26")</f>
        <v>DCE_2023-26</v>
      </c>
      <c r="I178" s="20" t="str">
        <f ca="1">IFERROR(__xludf.DUMMYFUNCTION("""COMPUTED_VALUE"""),"KSP")</f>
        <v>KSP</v>
      </c>
      <c r="J178" s="21">
        <f ca="1">IFERROR(__xludf.DUMMYFUNCTION("""COMPUTED_VALUE"""),27500)</f>
        <v>27500</v>
      </c>
      <c r="K178" s="21">
        <f ca="1">IFERROR(__xludf.DUMMYFUNCTION("""COMPUTED_VALUE"""),22500)</f>
        <v>22500</v>
      </c>
      <c r="L178" s="21">
        <f ca="1">IFERROR(__xludf.DUMMYFUNCTION("""COMPUTED_VALUE"""),0)</f>
        <v>0</v>
      </c>
      <c r="M178" s="23">
        <f ca="1">IFERROR(__xludf.DUMMYFUNCTION("""COMPUTED_VALUE"""),5000)</f>
        <v>5000</v>
      </c>
      <c r="N178" s="21">
        <f ca="1">IFERROR(__xludf.DUMMYFUNCTION("""COMPUTED_VALUE"""),0)</f>
        <v>0</v>
      </c>
      <c r="O178" s="21">
        <f ca="1">IFERROR(__xludf.DUMMYFUNCTION("""COMPUTED_VALUE"""),3000)</f>
        <v>3000</v>
      </c>
      <c r="P178" s="21">
        <f ca="1">IFERROR(__xludf.DUMMYFUNCTION("""COMPUTED_VALUE"""),3000)</f>
        <v>3000</v>
      </c>
      <c r="Q178" s="23">
        <f ca="1">IFERROR(__xludf.DUMMYFUNCTION("""COMPUTED_VALUE"""),0)</f>
        <v>0</v>
      </c>
      <c r="R178" s="24">
        <f ca="1">IFERROR(__xludf.DUMMYFUNCTION("""COMPUTED_VALUE"""),0)</f>
        <v>0</v>
      </c>
      <c r="S178" s="23">
        <f ca="1">IFERROR(__xludf.DUMMYFUNCTION("""COMPUTED_VALUE"""),0)</f>
        <v>0</v>
      </c>
      <c r="T178" s="24">
        <f ca="1">IFERROR(__xludf.DUMMYFUNCTION("""COMPUTED_VALUE"""),0)</f>
        <v>0</v>
      </c>
      <c r="U178" s="23">
        <f ca="1">IFERROR(__xludf.DUMMYFUNCTION("""COMPUTED_VALUE"""),0)</f>
        <v>0</v>
      </c>
      <c r="V178" s="23">
        <f ca="1">IFERROR(__xludf.DUMMYFUNCTION("""COMPUTED_VALUE"""),0)</f>
        <v>0</v>
      </c>
      <c r="W178" s="23">
        <f ca="1">IFERROR(__xludf.DUMMYFUNCTION("""COMPUTED_VALUE"""),0)</f>
        <v>0</v>
      </c>
      <c r="X178" s="23">
        <f ca="1">IFERROR(__xludf.DUMMYFUNCTION("""COMPUTED_VALUE"""),0)</f>
        <v>0</v>
      </c>
      <c r="Y178" s="25">
        <f ca="1">IFERROR(__xludf.DUMMYFUNCTION("""COMPUTED_VALUE"""),0)</f>
        <v>0</v>
      </c>
      <c r="Z178" s="25">
        <f ca="1">IFERROR(__xludf.DUMMYFUNCTION("""COMPUTED_VALUE"""),0)</f>
        <v>0</v>
      </c>
      <c r="AA178" s="25">
        <f ca="1">IFERROR(__xludf.DUMMYFUNCTION("""COMPUTED_VALUE"""),0)</f>
        <v>0</v>
      </c>
      <c r="AB178" s="25">
        <f ca="1">IFERROR(__xludf.DUMMYFUNCTION("""COMPUTED_VALUE"""),0)</f>
        <v>0</v>
      </c>
      <c r="AC178" s="23">
        <f ca="1">IFERROR(__xludf.DUMMYFUNCTION("""COMPUTED_VALUE"""),0)</f>
        <v>0</v>
      </c>
      <c r="AD178" s="26" t="str">
        <f ca="1">IFERROR(__xludf.DUMMYFUNCTION("""COMPUTED_VALUE"""),"RS 5000 ONE TIME ONLY")</f>
        <v>RS 5000 ONE TIME ONLY</v>
      </c>
      <c r="AE178" s="27"/>
    </row>
    <row r="179" spans="1:31" ht="14.3">
      <c r="A179" s="6" t="str">
        <f ca="1">IFERROR(__xludf.DUMMYFUNCTION("""COMPUTED_VALUE"""),"23SDSCE01210")</f>
        <v>23SDSCE01210</v>
      </c>
      <c r="B179" s="37" t="str">
        <f ca="1">IFERROR(__xludf.DUMMYFUNCTION("""COMPUTED_VALUE"""),"DEVANI ASHVI MANAHRBHAI")</f>
        <v>DEVANI ASHVI MANAHRBHAI</v>
      </c>
      <c r="C179" s="18" t="str">
        <f ca="1">IFERROR(__xludf.DUMMYFUNCTION("""COMPUTED_VALUE"""),"SDS")</f>
        <v>SDS</v>
      </c>
      <c r="D179" s="18" t="str">
        <f ca="1">IFERROR(__xludf.DUMMYFUNCTION("""COMPUTED_VALUE"""),"DCE")</f>
        <v>DCE</v>
      </c>
      <c r="E179" s="18">
        <f ca="1">IFERROR(__xludf.DUMMYFUNCTION("""COMPUTED_VALUE"""),2)</f>
        <v>2</v>
      </c>
      <c r="F179" s="18" t="str">
        <f ca="1">IFERROR(__xludf.DUMMYFUNCTION("""COMPUTED_VALUE"""),"8866884375 9898890443 8460614635")</f>
        <v>8866884375 9898890443 8460614635</v>
      </c>
      <c r="G179" s="18" t="str">
        <f ca="1">IFERROR(__xludf.DUMMYFUNCTION("""COMPUTED_VALUE"""),"8866884375 9898890443 8460614635")</f>
        <v>8866884375 9898890443 8460614635</v>
      </c>
      <c r="H179" s="6" t="str">
        <f ca="1">IFERROR(__xludf.DUMMYFUNCTION("""COMPUTED_VALUE"""),"DCE_2023-26")</f>
        <v>DCE_2023-26</v>
      </c>
      <c r="I179" s="20" t="str">
        <f ca="1">IFERROR(__xludf.DUMMYFUNCTION("""COMPUTED_VALUE"""),"MYSY")</f>
        <v>MYSY</v>
      </c>
      <c r="J179" s="21">
        <f ca="1">IFERROR(__xludf.DUMMYFUNCTION("""COMPUTED_VALUE"""),27500)</f>
        <v>27500</v>
      </c>
      <c r="K179" s="21">
        <f ca="1">IFERROR(__xludf.DUMMYFUNCTION("""COMPUTED_VALUE"""),0)</f>
        <v>0</v>
      </c>
      <c r="L179" s="21">
        <f ca="1">IFERROR(__xludf.DUMMYFUNCTION("""COMPUTED_VALUE"""),0)</f>
        <v>0</v>
      </c>
      <c r="M179" s="23">
        <f ca="1">IFERROR(__xludf.DUMMYFUNCTION("""COMPUTED_VALUE"""),0)</f>
        <v>0</v>
      </c>
      <c r="N179" s="21">
        <f ca="1">IFERROR(__xludf.DUMMYFUNCTION("""COMPUTED_VALUE"""),27500)</f>
        <v>27500</v>
      </c>
      <c r="O179" s="21">
        <f ca="1">IFERROR(__xludf.DUMMYFUNCTION("""COMPUTED_VALUE"""),3000)</f>
        <v>3000</v>
      </c>
      <c r="P179" s="21">
        <f ca="1">IFERROR(__xludf.DUMMYFUNCTION("""COMPUTED_VALUE"""),3000)</f>
        <v>3000</v>
      </c>
      <c r="Q179" s="23">
        <f ca="1">IFERROR(__xludf.DUMMYFUNCTION("""COMPUTED_VALUE"""),0)</f>
        <v>0</v>
      </c>
      <c r="R179" s="24">
        <f ca="1">IFERROR(__xludf.DUMMYFUNCTION("""COMPUTED_VALUE"""),0)</f>
        <v>0</v>
      </c>
      <c r="S179" s="23">
        <f ca="1">IFERROR(__xludf.DUMMYFUNCTION("""COMPUTED_VALUE"""),0)</f>
        <v>0</v>
      </c>
      <c r="T179" s="24">
        <f ca="1">IFERROR(__xludf.DUMMYFUNCTION("""COMPUTED_VALUE"""),0)</f>
        <v>0</v>
      </c>
      <c r="U179" s="23">
        <f ca="1">IFERROR(__xludf.DUMMYFUNCTION("""COMPUTED_VALUE"""),0)</f>
        <v>0</v>
      </c>
      <c r="V179" s="23">
        <f ca="1">IFERROR(__xludf.DUMMYFUNCTION("""COMPUTED_VALUE"""),0)</f>
        <v>0</v>
      </c>
      <c r="W179" s="23">
        <f ca="1">IFERROR(__xludf.DUMMYFUNCTION("""COMPUTED_VALUE"""),0)</f>
        <v>0</v>
      </c>
      <c r="X179" s="23">
        <f ca="1">IFERROR(__xludf.DUMMYFUNCTION("""COMPUTED_VALUE"""),0)</f>
        <v>0</v>
      </c>
      <c r="Y179" s="25">
        <f ca="1">IFERROR(__xludf.DUMMYFUNCTION("""COMPUTED_VALUE"""),0)</f>
        <v>0</v>
      </c>
      <c r="Z179" s="25">
        <f ca="1">IFERROR(__xludf.DUMMYFUNCTION("""COMPUTED_VALUE"""),0)</f>
        <v>0</v>
      </c>
      <c r="AA179" s="25">
        <f ca="1">IFERROR(__xludf.DUMMYFUNCTION("""COMPUTED_VALUE"""),0)</f>
        <v>0</v>
      </c>
      <c r="AB179" s="25">
        <f ca="1">IFERROR(__xludf.DUMMYFUNCTION("""COMPUTED_VALUE"""),0)</f>
        <v>0</v>
      </c>
      <c r="AC179" s="23">
        <f ca="1">IFERROR(__xludf.DUMMYFUNCTION("""COMPUTED_VALUE"""),0)</f>
        <v>0</v>
      </c>
      <c r="AD179" s="26" t="str">
        <f ca="1">IFERROR(__xludf.DUMMYFUNCTION("""COMPUTED_VALUE"""),"MYSY 50%")</f>
        <v>MYSY 50%</v>
      </c>
      <c r="AE179" s="27"/>
    </row>
    <row r="180" spans="1:31" ht="14.3">
      <c r="A180" s="6" t="str">
        <f ca="1">IFERROR(__xludf.DUMMYFUNCTION("""COMPUTED_VALUE"""),"23SDSCE01211")</f>
        <v>23SDSCE01211</v>
      </c>
      <c r="B180" s="37" t="str">
        <f ca="1">IFERROR(__xludf.DUMMYFUNCTION("""COMPUTED_VALUE"""),"DEVMURARI KARAN RAJANBHAI")</f>
        <v>DEVMURARI KARAN RAJANBHAI</v>
      </c>
      <c r="C180" s="18" t="str">
        <f ca="1">IFERROR(__xludf.DUMMYFUNCTION("""COMPUTED_VALUE"""),"SDS")</f>
        <v>SDS</v>
      </c>
      <c r="D180" s="18" t="str">
        <f ca="1">IFERROR(__xludf.DUMMYFUNCTION("""COMPUTED_VALUE"""),"DCE")</f>
        <v>DCE</v>
      </c>
      <c r="E180" s="18">
        <f ca="1">IFERROR(__xludf.DUMMYFUNCTION("""COMPUTED_VALUE"""),2)</f>
        <v>2</v>
      </c>
      <c r="F180" s="18" t="str">
        <f ca="1">IFERROR(__xludf.DUMMYFUNCTION("""COMPUTED_VALUE"""),"9662805927 9723883327")</f>
        <v>9662805927 9723883327</v>
      </c>
      <c r="G180" s="18" t="str">
        <f ca="1">IFERROR(__xludf.DUMMYFUNCTION("""COMPUTED_VALUE"""),"9662805927 9723883327")</f>
        <v>9662805927 9723883327</v>
      </c>
      <c r="H180" s="6" t="str">
        <f ca="1">IFERROR(__xludf.DUMMYFUNCTION("""COMPUTED_VALUE"""),"DCE_2023-26")</f>
        <v>DCE_2023-26</v>
      </c>
      <c r="I180" s="20"/>
      <c r="J180" s="21">
        <f ca="1">IFERROR(__xludf.DUMMYFUNCTION("""COMPUTED_VALUE"""),27500)</f>
        <v>27500</v>
      </c>
      <c r="K180" s="21">
        <f ca="1">IFERROR(__xludf.DUMMYFUNCTION("""COMPUTED_VALUE"""),27500)</f>
        <v>27500</v>
      </c>
      <c r="L180" s="21">
        <f ca="1">IFERROR(__xludf.DUMMYFUNCTION("""COMPUTED_VALUE"""),0)</f>
        <v>0</v>
      </c>
      <c r="M180" s="23">
        <f ca="1">IFERROR(__xludf.DUMMYFUNCTION("""COMPUTED_VALUE"""),0)</f>
        <v>0</v>
      </c>
      <c r="N180" s="21">
        <f ca="1">IFERROR(__xludf.DUMMYFUNCTION("""COMPUTED_VALUE"""),0)</f>
        <v>0</v>
      </c>
      <c r="O180" s="21">
        <f ca="1">IFERROR(__xludf.DUMMYFUNCTION("""COMPUTED_VALUE"""),3000)</f>
        <v>3000</v>
      </c>
      <c r="P180" s="21">
        <f ca="1">IFERROR(__xludf.DUMMYFUNCTION("""COMPUTED_VALUE"""),3000)</f>
        <v>3000</v>
      </c>
      <c r="Q180" s="23">
        <f ca="1">IFERROR(__xludf.DUMMYFUNCTION("""COMPUTED_VALUE"""),0)</f>
        <v>0</v>
      </c>
      <c r="R180" s="24">
        <f ca="1">IFERROR(__xludf.DUMMYFUNCTION("""COMPUTED_VALUE"""),0)</f>
        <v>0</v>
      </c>
      <c r="S180" s="23">
        <f ca="1">IFERROR(__xludf.DUMMYFUNCTION("""COMPUTED_VALUE"""),0)</f>
        <v>0</v>
      </c>
      <c r="T180" s="24">
        <f ca="1">IFERROR(__xludf.DUMMYFUNCTION("""COMPUTED_VALUE"""),0)</f>
        <v>0</v>
      </c>
      <c r="U180" s="23">
        <f ca="1">IFERROR(__xludf.DUMMYFUNCTION("""COMPUTED_VALUE"""),0)</f>
        <v>0</v>
      </c>
      <c r="V180" s="23">
        <f ca="1">IFERROR(__xludf.DUMMYFUNCTION("""COMPUTED_VALUE"""),0)</f>
        <v>0</v>
      </c>
      <c r="W180" s="23">
        <f ca="1">IFERROR(__xludf.DUMMYFUNCTION("""COMPUTED_VALUE"""),0)</f>
        <v>0</v>
      </c>
      <c r="X180" s="23">
        <f ca="1">IFERROR(__xludf.DUMMYFUNCTION("""COMPUTED_VALUE"""),0)</f>
        <v>0</v>
      </c>
      <c r="Y180" s="25">
        <f ca="1">IFERROR(__xludf.DUMMYFUNCTION("""COMPUTED_VALUE"""),0)</f>
        <v>0</v>
      </c>
      <c r="Z180" s="25">
        <f ca="1">IFERROR(__xludf.DUMMYFUNCTION("""COMPUTED_VALUE"""),0)</f>
        <v>0</v>
      </c>
      <c r="AA180" s="25">
        <f ca="1">IFERROR(__xludf.DUMMYFUNCTION("""COMPUTED_VALUE"""),0)</f>
        <v>0</v>
      </c>
      <c r="AB180" s="25">
        <f ca="1">IFERROR(__xludf.DUMMYFUNCTION("""COMPUTED_VALUE"""),0)</f>
        <v>0</v>
      </c>
      <c r="AC180" s="23">
        <f ca="1">IFERROR(__xludf.DUMMYFUNCTION("""COMPUTED_VALUE"""),0)</f>
        <v>0</v>
      </c>
      <c r="AD180" s="26"/>
      <c r="AE180" s="27"/>
    </row>
    <row r="181" spans="1:31" ht="14.3">
      <c r="A181" s="6" t="str">
        <f ca="1">IFERROR(__xludf.DUMMYFUNCTION("""COMPUTED_VALUE"""),"23SDSCE01212")</f>
        <v>23SDSCE01212</v>
      </c>
      <c r="B181" s="37" t="str">
        <f ca="1">IFERROR(__xludf.DUMMYFUNCTION("""COMPUTED_VALUE"""),"DOMADIYA PRANAV NILESHBHAI")</f>
        <v>DOMADIYA PRANAV NILESHBHAI</v>
      </c>
      <c r="C181" s="18" t="str">
        <f ca="1">IFERROR(__xludf.DUMMYFUNCTION("""COMPUTED_VALUE"""),"SDS")</f>
        <v>SDS</v>
      </c>
      <c r="D181" s="18" t="str">
        <f ca="1">IFERROR(__xludf.DUMMYFUNCTION("""COMPUTED_VALUE"""),"DCE")</f>
        <v>DCE</v>
      </c>
      <c r="E181" s="18">
        <f ca="1">IFERROR(__xludf.DUMMYFUNCTION("""COMPUTED_VALUE"""),2)</f>
        <v>2</v>
      </c>
      <c r="F181" s="18" t="str">
        <f ca="1">IFERROR(__xludf.DUMMYFUNCTION("""COMPUTED_VALUE"""),"9925267207 9016894889")</f>
        <v>9925267207 9016894889</v>
      </c>
      <c r="G181" s="18" t="str">
        <f ca="1">IFERROR(__xludf.DUMMYFUNCTION("""COMPUTED_VALUE"""),"9925267207 9016894889")</f>
        <v>9925267207 9016894889</v>
      </c>
      <c r="H181" s="6" t="str">
        <f ca="1">IFERROR(__xludf.DUMMYFUNCTION("""COMPUTED_VALUE"""),"DCE_2023-26")</f>
        <v>DCE_2023-26</v>
      </c>
      <c r="I181" s="20" t="str">
        <f ca="1">IFERROR(__xludf.DUMMYFUNCTION("""COMPUTED_VALUE"""),"MYSY")</f>
        <v>MYSY</v>
      </c>
      <c r="J181" s="21">
        <f ca="1">IFERROR(__xludf.DUMMYFUNCTION("""COMPUTED_VALUE"""),27500)</f>
        <v>27500</v>
      </c>
      <c r="K181" s="21">
        <f ca="1">IFERROR(__xludf.DUMMYFUNCTION("""COMPUTED_VALUE"""),27500)</f>
        <v>27500</v>
      </c>
      <c r="L181" s="21">
        <f ca="1">IFERROR(__xludf.DUMMYFUNCTION("""COMPUTED_VALUE"""),0)</f>
        <v>0</v>
      </c>
      <c r="M181" s="23">
        <f ca="1">IFERROR(__xludf.DUMMYFUNCTION("""COMPUTED_VALUE"""),0)</f>
        <v>0</v>
      </c>
      <c r="N181" s="21">
        <f ca="1">IFERROR(__xludf.DUMMYFUNCTION("""COMPUTED_VALUE"""),0)</f>
        <v>0</v>
      </c>
      <c r="O181" s="21">
        <f ca="1">IFERROR(__xludf.DUMMYFUNCTION("""COMPUTED_VALUE"""),3000)</f>
        <v>3000</v>
      </c>
      <c r="P181" s="21">
        <f ca="1">IFERROR(__xludf.DUMMYFUNCTION("""COMPUTED_VALUE"""),3000)</f>
        <v>3000</v>
      </c>
      <c r="Q181" s="23">
        <f ca="1">IFERROR(__xludf.DUMMYFUNCTION("""COMPUTED_VALUE"""),0)</f>
        <v>0</v>
      </c>
      <c r="R181" s="24">
        <f ca="1">IFERROR(__xludf.DUMMYFUNCTION("""COMPUTED_VALUE"""),0)</f>
        <v>0</v>
      </c>
      <c r="S181" s="23">
        <f ca="1">IFERROR(__xludf.DUMMYFUNCTION("""COMPUTED_VALUE"""),0)</f>
        <v>0</v>
      </c>
      <c r="T181" s="24">
        <f ca="1">IFERROR(__xludf.DUMMYFUNCTION("""COMPUTED_VALUE"""),0)</f>
        <v>0</v>
      </c>
      <c r="U181" s="23">
        <f ca="1">IFERROR(__xludf.DUMMYFUNCTION("""COMPUTED_VALUE"""),0)</f>
        <v>0</v>
      </c>
      <c r="V181" s="23">
        <f ca="1">IFERROR(__xludf.DUMMYFUNCTION("""COMPUTED_VALUE"""),0)</f>
        <v>0</v>
      </c>
      <c r="W181" s="23">
        <f ca="1">IFERROR(__xludf.DUMMYFUNCTION("""COMPUTED_VALUE"""),0)</f>
        <v>0</v>
      </c>
      <c r="X181" s="23">
        <f ca="1">IFERROR(__xludf.DUMMYFUNCTION("""COMPUTED_VALUE"""),0)</f>
        <v>0</v>
      </c>
      <c r="Y181" s="25">
        <f ca="1">IFERROR(__xludf.DUMMYFUNCTION("""COMPUTED_VALUE"""),0)</f>
        <v>0</v>
      </c>
      <c r="Z181" s="25">
        <f ca="1">IFERROR(__xludf.DUMMYFUNCTION("""COMPUTED_VALUE"""),0)</f>
        <v>0</v>
      </c>
      <c r="AA181" s="25">
        <f ca="1">IFERROR(__xludf.DUMMYFUNCTION("""COMPUTED_VALUE"""),0)</f>
        <v>0</v>
      </c>
      <c r="AB181" s="25">
        <f ca="1">IFERROR(__xludf.DUMMYFUNCTION("""COMPUTED_VALUE"""),0)</f>
        <v>0</v>
      </c>
      <c r="AC181" s="23">
        <f ca="1">IFERROR(__xludf.DUMMYFUNCTION("""COMPUTED_VALUE"""),0)</f>
        <v>0</v>
      </c>
      <c r="AD181" s="26" t="str">
        <f ca="1">IFERROR(__xludf.DUMMYFUNCTION("""COMPUTED_VALUE"""),"MYSY (25000/-)	KSPS ( 12500/- )")</f>
        <v>MYSY (25000/-)	KSPS ( 12500/- )</v>
      </c>
      <c r="AE181" s="27"/>
    </row>
    <row r="182" spans="1:31" ht="14.3">
      <c r="A182" s="6" t="str">
        <f ca="1">IFERROR(__xludf.DUMMYFUNCTION("""COMPUTED_VALUE"""),"23SDSCE01213")</f>
        <v>23SDSCE01213</v>
      </c>
      <c r="B182" s="37" t="str">
        <f ca="1">IFERROR(__xludf.DUMMYFUNCTION("""COMPUTED_VALUE"""),"GODHANIYA JAYESH SARMANBHAI")</f>
        <v>GODHANIYA JAYESH SARMANBHAI</v>
      </c>
      <c r="C182" s="18" t="str">
        <f ca="1">IFERROR(__xludf.DUMMYFUNCTION("""COMPUTED_VALUE"""),"SDS")</f>
        <v>SDS</v>
      </c>
      <c r="D182" s="18" t="str">
        <f ca="1">IFERROR(__xludf.DUMMYFUNCTION("""COMPUTED_VALUE"""),"DCE")</f>
        <v>DCE</v>
      </c>
      <c r="E182" s="18">
        <f ca="1">IFERROR(__xludf.DUMMYFUNCTION("""COMPUTED_VALUE"""),2)</f>
        <v>2</v>
      </c>
      <c r="F182" s="18" t="str">
        <f ca="1">IFERROR(__xludf.DUMMYFUNCTION("""COMPUTED_VALUE"""),"9998593622 9924465495")</f>
        <v>9998593622 9924465495</v>
      </c>
      <c r="G182" s="18" t="str">
        <f ca="1">IFERROR(__xludf.DUMMYFUNCTION("""COMPUTED_VALUE"""),"9998593622 9924465495")</f>
        <v>9998593622 9924465495</v>
      </c>
      <c r="H182" s="6" t="str">
        <f ca="1">IFERROR(__xludf.DUMMYFUNCTION("""COMPUTED_VALUE"""),"DCE_2023-26")</f>
        <v>DCE_2023-26</v>
      </c>
      <c r="I182" s="20"/>
      <c r="J182" s="21">
        <f ca="1">IFERROR(__xludf.DUMMYFUNCTION("""COMPUTED_VALUE"""),27500)</f>
        <v>27500</v>
      </c>
      <c r="K182" s="21">
        <f ca="1">IFERROR(__xludf.DUMMYFUNCTION("""COMPUTED_VALUE"""),27500)</f>
        <v>27500</v>
      </c>
      <c r="L182" s="21">
        <f ca="1">IFERROR(__xludf.DUMMYFUNCTION("""COMPUTED_VALUE"""),0)</f>
        <v>0</v>
      </c>
      <c r="M182" s="23">
        <f ca="1">IFERROR(__xludf.DUMMYFUNCTION("""COMPUTED_VALUE"""),0)</f>
        <v>0</v>
      </c>
      <c r="N182" s="21">
        <f ca="1">IFERROR(__xludf.DUMMYFUNCTION("""COMPUTED_VALUE"""),0)</f>
        <v>0</v>
      </c>
      <c r="O182" s="21">
        <f ca="1">IFERROR(__xludf.DUMMYFUNCTION("""COMPUTED_VALUE"""),3000)</f>
        <v>3000</v>
      </c>
      <c r="P182" s="21">
        <f ca="1">IFERROR(__xludf.DUMMYFUNCTION("""COMPUTED_VALUE"""),3000)</f>
        <v>3000</v>
      </c>
      <c r="Q182" s="23">
        <f ca="1">IFERROR(__xludf.DUMMYFUNCTION("""COMPUTED_VALUE"""),0)</f>
        <v>0</v>
      </c>
      <c r="R182" s="24">
        <f ca="1">IFERROR(__xludf.DUMMYFUNCTION("""COMPUTED_VALUE"""),0)</f>
        <v>0</v>
      </c>
      <c r="S182" s="23">
        <f ca="1">IFERROR(__xludf.DUMMYFUNCTION("""COMPUTED_VALUE"""),0)</f>
        <v>0</v>
      </c>
      <c r="T182" s="24">
        <f ca="1">IFERROR(__xludf.DUMMYFUNCTION("""COMPUTED_VALUE"""),0)</f>
        <v>0</v>
      </c>
      <c r="U182" s="23">
        <f ca="1">IFERROR(__xludf.DUMMYFUNCTION("""COMPUTED_VALUE"""),0)</f>
        <v>0</v>
      </c>
      <c r="V182" s="23">
        <f ca="1">IFERROR(__xludf.DUMMYFUNCTION("""COMPUTED_VALUE"""),0)</f>
        <v>0</v>
      </c>
      <c r="W182" s="23">
        <f ca="1">IFERROR(__xludf.DUMMYFUNCTION("""COMPUTED_VALUE"""),0)</f>
        <v>0</v>
      </c>
      <c r="X182" s="23">
        <f ca="1">IFERROR(__xludf.DUMMYFUNCTION("""COMPUTED_VALUE"""),0)</f>
        <v>0</v>
      </c>
      <c r="Y182" s="25">
        <f ca="1">IFERROR(__xludf.DUMMYFUNCTION("""COMPUTED_VALUE"""),0)</f>
        <v>0</v>
      </c>
      <c r="Z182" s="25">
        <f ca="1">IFERROR(__xludf.DUMMYFUNCTION("""COMPUTED_VALUE"""),0)</f>
        <v>0</v>
      </c>
      <c r="AA182" s="25">
        <f ca="1">IFERROR(__xludf.DUMMYFUNCTION("""COMPUTED_VALUE"""),0)</f>
        <v>0</v>
      </c>
      <c r="AB182" s="25">
        <f ca="1">IFERROR(__xludf.DUMMYFUNCTION("""COMPUTED_VALUE"""),0)</f>
        <v>0</v>
      </c>
      <c r="AC182" s="23">
        <f ca="1">IFERROR(__xludf.DUMMYFUNCTION("""COMPUTED_VALUE"""),0)</f>
        <v>0</v>
      </c>
      <c r="AD182" s="26"/>
      <c r="AE182" s="27"/>
    </row>
    <row r="183" spans="1:31" ht="14.3">
      <c r="A183" s="6" t="str">
        <f ca="1">IFERROR(__xludf.DUMMYFUNCTION("""COMPUTED_VALUE"""),"23SDSCE01214")</f>
        <v>23SDSCE01214</v>
      </c>
      <c r="B183" s="37" t="str">
        <f ca="1">IFERROR(__xludf.DUMMYFUNCTION("""COMPUTED_VALUE"""),"GOTI OM PARESHBHAI")</f>
        <v>GOTI OM PARESHBHAI</v>
      </c>
      <c r="C183" s="18" t="str">
        <f ca="1">IFERROR(__xludf.DUMMYFUNCTION("""COMPUTED_VALUE"""),"SDS")</f>
        <v>SDS</v>
      </c>
      <c r="D183" s="18" t="str">
        <f ca="1">IFERROR(__xludf.DUMMYFUNCTION("""COMPUTED_VALUE"""),"DCE")</f>
        <v>DCE</v>
      </c>
      <c r="E183" s="18">
        <f ca="1">IFERROR(__xludf.DUMMYFUNCTION("""COMPUTED_VALUE"""),2)</f>
        <v>2</v>
      </c>
      <c r="F183" s="18" t="str">
        <f ca="1">IFERROR(__xludf.DUMMYFUNCTION("""COMPUTED_VALUE"""),"8780485484 9979264332")</f>
        <v>8780485484 9979264332</v>
      </c>
      <c r="G183" s="18" t="str">
        <f ca="1">IFERROR(__xludf.DUMMYFUNCTION("""COMPUTED_VALUE"""),"8780485484 9979264332")</f>
        <v>8780485484 9979264332</v>
      </c>
      <c r="H183" s="6" t="str">
        <f ca="1">IFERROR(__xludf.DUMMYFUNCTION("""COMPUTED_VALUE"""),"DCE_2023-26")</f>
        <v>DCE_2023-26</v>
      </c>
      <c r="I183" s="20"/>
      <c r="J183" s="21">
        <f ca="1">IFERROR(__xludf.DUMMYFUNCTION("""COMPUTED_VALUE"""),27500)</f>
        <v>27500</v>
      </c>
      <c r="K183" s="21">
        <f ca="1">IFERROR(__xludf.DUMMYFUNCTION("""COMPUTED_VALUE"""),27500)</f>
        <v>27500</v>
      </c>
      <c r="L183" s="21">
        <f ca="1">IFERROR(__xludf.DUMMYFUNCTION("""COMPUTED_VALUE"""),0)</f>
        <v>0</v>
      </c>
      <c r="M183" s="23">
        <f ca="1">IFERROR(__xludf.DUMMYFUNCTION("""COMPUTED_VALUE"""),0)</f>
        <v>0</v>
      </c>
      <c r="N183" s="21">
        <f ca="1">IFERROR(__xludf.DUMMYFUNCTION("""COMPUTED_VALUE"""),0)</f>
        <v>0</v>
      </c>
      <c r="O183" s="21">
        <f ca="1">IFERROR(__xludf.DUMMYFUNCTION("""COMPUTED_VALUE"""),3000)</f>
        <v>3000</v>
      </c>
      <c r="P183" s="21">
        <f ca="1">IFERROR(__xludf.DUMMYFUNCTION("""COMPUTED_VALUE"""),3000)</f>
        <v>3000</v>
      </c>
      <c r="Q183" s="23">
        <f ca="1">IFERROR(__xludf.DUMMYFUNCTION("""COMPUTED_VALUE"""),0)</f>
        <v>0</v>
      </c>
      <c r="R183" s="24">
        <f ca="1">IFERROR(__xludf.DUMMYFUNCTION("""COMPUTED_VALUE"""),0)</f>
        <v>0</v>
      </c>
      <c r="S183" s="23">
        <f ca="1">IFERROR(__xludf.DUMMYFUNCTION("""COMPUTED_VALUE"""),0)</f>
        <v>0</v>
      </c>
      <c r="T183" s="24">
        <f ca="1">IFERROR(__xludf.DUMMYFUNCTION("""COMPUTED_VALUE"""),0)</f>
        <v>0</v>
      </c>
      <c r="U183" s="23">
        <f ca="1">IFERROR(__xludf.DUMMYFUNCTION("""COMPUTED_VALUE"""),0)</f>
        <v>0</v>
      </c>
      <c r="V183" s="23">
        <f ca="1">IFERROR(__xludf.DUMMYFUNCTION("""COMPUTED_VALUE"""),0)</f>
        <v>0</v>
      </c>
      <c r="W183" s="23">
        <f ca="1">IFERROR(__xludf.DUMMYFUNCTION("""COMPUTED_VALUE"""),0)</f>
        <v>0</v>
      </c>
      <c r="X183" s="23">
        <f ca="1">IFERROR(__xludf.DUMMYFUNCTION("""COMPUTED_VALUE"""),0)</f>
        <v>0</v>
      </c>
      <c r="Y183" s="25">
        <f ca="1">IFERROR(__xludf.DUMMYFUNCTION("""COMPUTED_VALUE"""),0)</f>
        <v>0</v>
      </c>
      <c r="Z183" s="25">
        <f ca="1">IFERROR(__xludf.DUMMYFUNCTION("""COMPUTED_VALUE"""),0)</f>
        <v>0</v>
      </c>
      <c r="AA183" s="25">
        <f ca="1">IFERROR(__xludf.DUMMYFUNCTION("""COMPUTED_VALUE"""),0)</f>
        <v>0</v>
      </c>
      <c r="AB183" s="25">
        <f ca="1">IFERROR(__xludf.DUMMYFUNCTION("""COMPUTED_VALUE"""),0)</f>
        <v>0</v>
      </c>
      <c r="AC183" s="23">
        <f ca="1">IFERROR(__xludf.DUMMYFUNCTION("""COMPUTED_VALUE"""),0)</f>
        <v>0</v>
      </c>
      <c r="AD183" s="26"/>
      <c r="AE183" s="27"/>
    </row>
    <row r="184" spans="1:31" ht="14.3">
      <c r="A184" s="6" t="str">
        <f ca="1">IFERROR(__xludf.DUMMYFUNCTION("""COMPUTED_VALUE"""),"23SDSCE01215")</f>
        <v>23SDSCE01215</v>
      </c>
      <c r="B184" s="37" t="str">
        <f ca="1">IFERROR(__xludf.DUMMYFUNCTION("""COMPUTED_VALUE"""),"HIRAPARA HARVINKUMAR BAKULBHAI")</f>
        <v>HIRAPARA HARVINKUMAR BAKULBHAI</v>
      </c>
      <c r="C184" s="18" t="str">
        <f ca="1">IFERROR(__xludf.DUMMYFUNCTION("""COMPUTED_VALUE"""),"SDS")</f>
        <v>SDS</v>
      </c>
      <c r="D184" s="18" t="str">
        <f ca="1">IFERROR(__xludf.DUMMYFUNCTION("""COMPUTED_VALUE"""),"DCE")</f>
        <v>DCE</v>
      </c>
      <c r="E184" s="18">
        <f ca="1">IFERROR(__xludf.DUMMYFUNCTION("""COMPUTED_VALUE"""),2)</f>
        <v>2</v>
      </c>
      <c r="F184" s="18" t="str">
        <f ca="1">IFERROR(__xludf.DUMMYFUNCTION("""COMPUTED_VALUE"""),"7069136955 9723436955")</f>
        <v>7069136955 9723436955</v>
      </c>
      <c r="G184" s="18" t="str">
        <f ca="1">IFERROR(__xludf.DUMMYFUNCTION("""COMPUTED_VALUE"""),"7069136955 9723436955")</f>
        <v>7069136955 9723436955</v>
      </c>
      <c r="H184" s="6" t="str">
        <f ca="1">IFERROR(__xludf.DUMMYFUNCTION("""COMPUTED_VALUE"""),"DCE_2023-26")</f>
        <v>DCE_2023-26</v>
      </c>
      <c r="I184" s="20" t="str">
        <f ca="1">IFERROR(__xludf.DUMMYFUNCTION("""COMPUTED_VALUE"""),"MYSY")</f>
        <v>MYSY</v>
      </c>
      <c r="J184" s="21">
        <f ca="1">IFERROR(__xludf.DUMMYFUNCTION("""COMPUTED_VALUE"""),27500)</f>
        <v>27500</v>
      </c>
      <c r="K184" s="21">
        <f ca="1">IFERROR(__xludf.DUMMYFUNCTION("""COMPUTED_VALUE"""),27500)</f>
        <v>27500</v>
      </c>
      <c r="L184" s="21">
        <f ca="1">IFERROR(__xludf.DUMMYFUNCTION("""COMPUTED_VALUE"""),0)</f>
        <v>0</v>
      </c>
      <c r="M184" s="23">
        <f ca="1">IFERROR(__xludf.DUMMYFUNCTION("""COMPUTED_VALUE"""),0)</f>
        <v>0</v>
      </c>
      <c r="N184" s="21">
        <f ca="1">IFERROR(__xludf.DUMMYFUNCTION("""COMPUTED_VALUE"""),0)</f>
        <v>0</v>
      </c>
      <c r="O184" s="21">
        <f ca="1">IFERROR(__xludf.DUMMYFUNCTION("""COMPUTED_VALUE"""),3000)</f>
        <v>3000</v>
      </c>
      <c r="P184" s="21">
        <f ca="1">IFERROR(__xludf.DUMMYFUNCTION("""COMPUTED_VALUE"""),3000)</f>
        <v>3000</v>
      </c>
      <c r="Q184" s="23">
        <f ca="1">IFERROR(__xludf.DUMMYFUNCTION("""COMPUTED_VALUE"""),0)</f>
        <v>0</v>
      </c>
      <c r="R184" s="30">
        <f ca="1">IFERROR(__xludf.DUMMYFUNCTION("""COMPUTED_VALUE"""),0)</f>
        <v>0</v>
      </c>
      <c r="S184" s="23">
        <f ca="1">IFERROR(__xludf.DUMMYFUNCTION("""COMPUTED_VALUE"""),0)</f>
        <v>0</v>
      </c>
      <c r="T184" s="24">
        <f ca="1">IFERROR(__xludf.DUMMYFUNCTION("""COMPUTED_VALUE"""),0)</f>
        <v>0</v>
      </c>
      <c r="U184" s="23">
        <f ca="1">IFERROR(__xludf.DUMMYFUNCTION("""COMPUTED_VALUE"""),0)</f>
        <v>0</v>
      </c>
      <c r="V184" s="23">
        <f ca="1">IFERROR(__xludf.DUMMYFUNCTION("""COMPUTED_VALUE"""),0)</f>
        <v>0</v>
      </c>
      <c r="W184" s="23">
        <f ca="1">IFERROR(__xludf.DUMMYFUNCTION("""COMPUTED_VALUE"""),0)</f>
        <v>0</v>
      </c>
      <c r="X184" s="23">
        <f ca="1">IFERROR(__xludf.DUMMYFUNCTION("""COMPUTED_VALUE"""),0)</f>
        <v>0</v>
      </c>
      <c r="Y184" s="25">
        <f ca="1">IFERROR(__xludf.DUMMYFUNCTION("""COMPUTED_VALUE"""),0)</f>
        <v>0</v>
      </c>
      <c r="Z184" s="25">
        <f ca="1">IFERROR(__xludf.DUMMYFUNCTION("""COMPUTED_VALUE"""),0)</f>
        <v>0</v>
      </c>
      <c r="AA184" s="25">
        <f ca="1">IFERROR(__xludf.DUMMYFUNCTION("""COMPUTED_VALUE"""),0)</f>
        <v>0</v>
      </c>
      <c r="AB184" s="25">
        <f ca="1">IFERROR(__xludf.DUMMYFUNCTION("""COMPUTED_VALUE"""),0)</f>
        <v>0</v>
      </c>
      <c r="AC184" s="23">
        <f ca="1">IFERROR(__xludf.DUMMYFUNCTION("""COMPUTED_VALUE"""),0)</f>
        <v>0</v>
      </c>
      <c r="AD184" s="26" t="str">
        <f ca="1">IFERROR(__xludf.DUMMYFUNCTION("""COMPUTED_VALUE"""),"MYSY (25000/-)	KSPS ( 12500/- )")</f>
        <v>MYSY (25000/-)	KSPS ( 12500/- )</v>
      </c>
      <c r="AE184" s="27"/>
    </row>
    <row r="185" spans="1:31" ht="14.3">
      <c r="A185" s="6" t="str">
        <f ca="1">IFERROR(__xludf.DUMMYFUNCTION("""COMPUTED_VALUE"""),"23SDSCE01216")</f>
        <v>23SDSCE01216</v>
      </c>
      <c r="B185" s="37" t="str">
        <f ca="1">IFERROR(__xludf.DUMMYFUNCTION("""COMPUTED_VALUE"""),"HIRAPARA OMI")</f>
        <v>HIRAPARA OMI</v>
      </c>
      <c r="C185" s="18" t="str">
        <f ca="1">IFERROR(__xludf.DUMMYFUNCTION("""COMPUTED_VALUE"""),"SDS")</f>
        <v>SDS</v>
      </c>
      <c r="D185" s="18" t="str">
        <f ca="1">IFERROR(__xludf.DUMMYFUNCTION("""COMPUTED_VALUE"""),"DCE")</f>
        <v>DCE</v>
      </c>
      <c r="E185" s="18">
        <f ca="1">IFERROR(__xludf.DUMMYFUNCTION("""COMPUTED_VALUE"""),2)</f>
        <v>2</v>
      </c>
      <c r="F185" s="18" t="str">
        <f ca="1">IFERROR(__xludf.DUMMYFUNCTION("""COMPUTED_VALUE"""),"7226901920 9712273372")</f>
        <v>7226901920 9712273372</v>
      </c>
      <c r="G185" s="18" t="str">
        <f ca="1">IFERROR(__xludf.DUMMYFUNCTION("""COMPUTED_VALUE"""),"7226901920 9712273372")</f>
        <v>7226901920 9712273372</v>
      </c>
      <c r="H185" s="6" t="str">
        <f ca="1">IFERROR(__xludf.DUMMYFUNCTION("""COMPUTED_VALUE"""),"DCE_2023-26")</f>
        <v>DCE_2023-26</v>
      </c>
      <c r="I185" s="20"/>
      <c r="J185" s="21">
        <f ca="1">IFERROR(__xludf.DUMMYFUNCTION("""COMPUTED_VALUE"""),27500)</f>
        <v>27500</v>
      </c>
      <c r="K185" s="21">
        <f ca="1">IFERROR(__xludf.DUMMYFUNCTION("""COMPUTED_VALUE"""),27500)</f>
        <v>27500</v>
      </c>
      <c r="L185" s="21">
        <f ca="1">IFERROR(__xludf.DUMMYFUNCTION("""COMPUTED_VALUE"""),0)</f>
        <v>0</v>
      </c>
      <c r="M185" s="23">
        <f ca="1">IFERROR(__xludf.DUMMYFUNCTION("""COMPUTED_VALUE"""),0)</f>
        <v>0</v>
      </c>
      <c r="N185" s="21">
        <f ca="1">IFERROR(__xludf.DUMMYFUNCTION("""COMPUTED_VALUE"""),0)</f>
        <v>0</v>
      </c>
      <c r="O185" s="21">
        <f ca="1">IFERROR(__xludf.DUMMYFUNCTION("""COMPUTED_VALUE"""),3000)</f>
        <v>3000</v>
      </c>
      <c r="P185" s="21">
        <f ca="1">IFERROR(__xludf.DUMMYFUNCTION("""COMPUTED_VALUE"""),3000)</f>
        <v>3000</v>
      </c>
      <c r="Q185" s="23">
        <f ca="1">IFERROR(__xludf.DUMMYFUNCTION("""COMPUTED_VALUE"""),0)</f>
        <v>0</v>
      </c>
      <c r="R185" s="24">
        <f ca="1">IFERROR(__xludf.DUMMYFUNCTION("""COMPUTED_VALUE"""),0)</f>
        <v>0</v>
      </c>
      <c r="S185" s="23">
        <f ca="1">IFERROR(__xludf.DUMMYFUNCTION("""COMPUTED_VALUE"""),0)</f>
        <v>0</v>
      </c>
      <c r="T185" s="24">
        <f ca="1">IFERROR(__xludf.DUMMYFUNCTION("""COMPUTED_VALUE"""),0)</f>
        <v>0</v>
      </c>
      <c r="U185" s="23">
        <f ca="1">IFERROR(__xludf.DUMMYFUNCTION("""COMPUTED_VALUE"""),0)</f>
        <v>0</v>
      </c>
      <c r="V185" s="23">
        <f ca="1">IFERROR(__xludf.DUMMYFUNCTION("""COMPUTED_VALUE"""),0)</f>
        <v>0</v>
      </c>
      <c r="W185" s="23">
        <f ca="1">IFERROR(__xludf.DUMMYFUNCTION("""COMPUTED_VALUE"""),0)</f>
        <v>0</v>
      </c>
      <c r="X185" s="23">
        <f ca="1">IFERROR(__xludf.DUMMYFUNCTION("""COMPUTED_VALUE"""),0)</f>
        <v>0</v>
      </c>
      <c r="Y185" s="25">
        <f ca="1">IFERROR(__xludf.DUMMYFUNCTION("""COMPUTED_VALUE"""),0)</f>
        <v>0</v>
      </c>
      <c r="Z185" s="25">
        <f ca="1">IFERROR(__xludf.DUMMYFUNCTION("""COMPUTED_VALUE"""),0)</f>
        <v>0</v>
      </c>
      <c r="AA185" s="25">
        <f ca="1">IFERROR(__xludf.DUMMYFUNCTION("""COMPUTED_VALUE"""),0)</f>
        <v>0</v>
      </c>
      <c r="AB185" s="25">
        <f ca="1">IFERROR(__xludf.DUMMYFUNCTION("""COMPUTED_VALUE"""),0)</f>
        <v>0</v>
      </c>
      <c r="AC185" s="23">
        <f ca="1">IFERROR(__xludf.DUMMYFUNCTION("""COMPUTED_VALUE"""),0)</f>
        <v>0</v>
      </c>
      <c r="AD185" s="26"/>
      <c r="AE185" s="27"/>
    </row>
    <row r="186" spans="1:31" ht="14.3">
      <c r="A186" s="6" t="str">
        <f ca="1">IFERROR(__xludf.DUMMYFUNCTION("""COMPUTED_VALUE"""),"23SDSCE01217")</f>
        <v>23SDSCE01217</v>
      </c>
      <c r="B186" s="37" t="str">
        <f ca="1">IFERROR(__xludf.DUMMYFUNCTION("""COMPUTED_VALUE"""),"PARAM NILESHKUMAR JOSHI")</f>
        <v>PARAM NILESHKUMAR JOSHI</v>
      </c>
      <c r="C186" s="18" t="str">
        <f ca="1">IFERROR(__xludf.DUMMYFUNCTION("""COMPUTED_VALUE"""),"SDS")</f>
        <v>SDS</v>
      </c>
      <c r="D186" s="18" t="str">
        <f ca="1">IFERROR(__xludf.DUMMYFUNCTION("""COMPUTED_VALUE"""),"DCE")</f>
        <v>DCE</v>
      </c>
      <c r="E186" s="18">
        <f ca="1">IFERROR(__xludf.DUMMYFUNCTION("""COMPUTED_VALUE"""),2)</f>
        <v>2</v>
      </c>
      <c r="F186" s="18" t="str">
        <f ca="1">IFERROR(__xludf.DUMMYFUNCTION("""COMPUTED_VALUE"""),"8511576528 7226016606")</f>
        <v>8511576528 7226016606</v>
      </c>
      <c r="G186" s="18" t="str">
        <f ca="1">IFERROR(__xludf.DUMMYFUNCTION("""COMPUTED_VALUE"""),"8511576528 7226016606")</f>
        <v>8511576528 7226016606</v>
      </c>
      <c r="H186" s="6" t="str">
        <f ca="1">IFERROR(__xludf.DUMMYFUNCTION("""COMPUTED_VALUE"""),"DCE_2023-26")</f>
        <v>DCE_2023-26</v>
      </c>
      <c r="I186" s="20"/>
      <c r="J186" s="21">
        <f ca="1">IFERROR(__xludf.DUMMYFUNCTION("""COMPUTED_VALUE"""),27500)</f>
        <v>27500</v>
      </c>
      <c r="K186" s="21">
        <f ca="1">IFERROR(__xludf.DUMMYFUNCTION("""COMPUTED_VALUE"""),27500)</f>
        <v>27500</v>
      </c>
      <c r="L186" s="21">
        <f ca="1">IFERROR(__xludf.DUMMYFUNCTION("""COMPUTED_VALUE"""),0)</f>
        <v>0</v>
      </c>
      <c r="M186" s="23">
        <f ca="1">IFERROR(__xludf.DUMMYFUNCTION("""COMPUTED_VALUE"""),0)</f>
        <v>0</v>
      </c>
      <c r="N186" s="21">
        <f ca="1">IFERROR(__xludf.DUMMYFUNCTION("""COMPUTED_VALUE"""),0)</f>
        <v>0</v>
      </c>
      <c r="O186" s="21">
        <f ca="1">IFERROR(__xludf.DUMMYFUNCTION("""COMPUTED_VALUE"""),3000)</f>
        <v>3000</v>
      </c>
      <c r="P186" s="21">
        <f ca="1">IFERROR(__xludf.DUMMYFUNCTION("""COMPUTED_VALUE"""),3000)</f>
        <v>3000</v>
      </c>
      <c r="Q186" s="23">
        <f ca="1">IFERROR(__xludf.DUMMYFUNCTION("""COMPUTED_VALUE"""),0)</f>
        <v>0</v>
      </c>
      <c r="R186" s="24">
        <f ca="1">IFERROR(__xludf.DUMMYFUNCTION("""COMPUTED_VALUE"""),0)</f>
        <v>0</v>
      </c>
      <c r="S186" s="23">
        <f ca="1">IFERROR(__xludf.DUMMYFUNCTION("""COMPUTED_VALUE"""),0)</f>
        <v>0</v>
      </c>
      <c r="T186" s="24">
        <f ca="1">IFERROR(__xludf.DUMMYFUNCTION("""COMPUTED_VALUE"""),0)</f>
        <v>0</v>
      </c>
      <c r="U186" s="23">
        <f ca="1">IFERROR(__xludf.DUMMYFUNCTION("""COMPUTED_VALUE"""),0)</f>
        <v>0</v>
      </c>
      <c r="V186" s="23">
        <f ca="1">IFERROR(__xludf.DUMMYFUNCTION("""COMPUTED_VALUE"""),0)</f>
        <v>0</v>
      </c>
      <c r="W186" s="23">
        <f ca="1">IFERROR(__xludf.DUMMYFUNCTION("""COMPUTED_VALUE"""),0)</f>
        <v>0</v>
      </c>
      <c r="X186" s="23">
        <f ca="1">IFERROR(__xludf.DUMMYFUNCTION("""COMPUTED_VALUE"""),0)</f>
        <v>0</v>
      </c>
      <c r="Y186" s="25">
        <f ca="1">IFERROR(__xludf.DUMMYFUNCTION("""COMPUTED_VALUE"""),0)</f>
        <v>0</v>
      </c>
      <c r="Z186" s="25">
        <f ca="1">IFERROR(__xludf.DUMMYFUNCTION("""COMPUTED_VALUE"""),0)</f>
        <v>0</v>
      </c>
      <c r="AA186" s="25">
        <f ca="1">IFERROR(__xludf.DUMMYFUNCTION("""COMPUTED_VALUE"""),0)</f>
        <v>0</v>
      </c>
      <c r="AB186" s="25">
        <f ca="1">IFERROR(__xludf.DUMMYFUNCTION("""COMPUTED_VALUE"""),0)</f>
        <v>0</v>
      </c>
      <c r="AC186" s="23">
        <f ca="1">IFERROR(__xludf.DUMMYFUNCTION("""COMPUTED_VALUE"""),0)</f>
        <v>0</v>
      </c>
      <c r="AD186" s="26"/>
      <c r="AE186" s="27"/>
    </row>
    <row r="187" spans="1:31" ht="14.3">
      <c r="A187" s="6" t="str">
        <f ca="1">IFERROR(__xludf.DUMMYFUNCTION("""COMPUTED_VALUE"""),"23SDSCE01218")</f>
        <v>23SDSCE01218</v>
      </c>
      <c r="B187" s="37" t="str">
        <f ca="1">IFERROR(__xludf.DUMMYFUNCTION("""COMPUTED_VALUE"""),"KANSAGRA HETKUMAR KEVINBHAI")</f>
        <v>KANSAGRA HETKUMAR KEVINBHAI</v>
      </c>
      <c r="C187" s="18" t="str">
        <f ca="1">IFERROR(__xludf.DUMMYFUNCTION("""COMPUTED_VALUE"""),"SDS")</f>
        <v>SDS</v>
      </c>
      <c r="D187" s="18" t="str">
        <f ca="1">IFERROR(__xludf.DUMMYFUNCTION("""COMPUTED_VALUE"""),"DCE")</f>
        <v>DCE</v>
      </c>
      <c r="E187" s="18">
        <f ca="1">IFERROR(__xludf.DUMMYFUNCTION("""COMPUTED_VALUE"""),2)</f>
        <v>2</v>
      </c>
      <c r="F187" s="18" t="str">
        <f ca="1">IFERROR(__xludf.DUMMYFUNCTION("""COMPUTED_VALUE"""),"9913635460 9537869744")</f>
        <v>9913635460 9537869744</v>
      </c>
      <c r="G187" s="18" t="str">
        <f ca="1">IFERROR(__xludf.DUMMYFUNCTION("""COMPUTED_VALUE"""),"9913635460 9537869744")</f>
        <v>9913635460 9537869744</v>
      </c>
      <c r="H187" s="6" t="str">
        <f ca="1">IFERROR(__xludf.DUMMYFUNCTION("""COMPUTED_VALUE"""),"DCE_2023-26")</f>
        <v>DCE_2023-26</v>
      </c>
      <c r="I187" s="20"/>
      <c r="J187" s="21">
        <f ca="1">IFERROR(__xludf.DUMMYFUNCTION("""COMPUTED_VALUE"""),27500)</f>
        <v>27500</v>
      </c>
      <c r="K187" s="21">
        <f ca="1">IFERROR(__xludf.DUMMYFUNCTION("""COMPUTED_VALUE"""),27500)</f>
        <v>27500</v>
      </c>
      <c r="L187" s="21">
        <f ca="1">IFERROR(__xludf.DUMMYFUNCTION("""COMPUTED_VALUE"""),0)</f>
        <v>0</v>
      </c>
      <c r="M187" s="23">
        <f ca="1">IFERROR(__xludf.DUMMYFUNCTION("""COMPUTED_VALUE"""),0)</f>
        <v>0</v>
      </c>
      <c r="N187" s="21">
        <f ca="1">IFERROR(__xludf.DUMMYFUNCTION("""COMPUTED_VALUE"""),0)</f>
        <v>0</v>
      </c>
      <c r="O187" s="21">
        <f ca="1">IFERROR(__xludf.DUMMYFUNCTION("""COMPUTED_VALUE"""),3000)</f>
        <v>3000</v>
      </c>
      <c r="P187" s="21">
        <f ca="1">IFERROR(__xludf.DUMMYFUNCTION("""COMPUTED_VALUE"""),3000)</f>
        <v>3000</v>
      </c>
      <c r="Q187" s="23">
        <f ca="1">IFERROR(__xludf.DUMMYFUNCTION("""COMPUTED_VALUE"""),0)</f>
        <v>0</v>
      </c>
      <c r="R187" s="24">
        <f ca="1">IFERROR(__xludf.DUMMYFUNCTION("""COMPUTED_VALUE"""),0)</f>
        <v>0</v>
      </c>
      <c r="S187" s="23">
        <f ca="1">IFERROR(__xludf.DUMMYFUNCTION("""COMPUTED_VALUE"""),0)</f>
        <v>0</v>
      </c>
      <c r="T187" s="24">
        <f ca="1">IFERROR(__xludf.DUMMYFUNCTION("""COMPUTED_VALUE"""),0)</f>
        <v>0</v>
      </c>
      <c r="U187" s="23">
        <f ca="1">IFERROR(__xludf.DUMMYFUNCTION("""COMPUTED_VALUE"""),0)</f>
        <v>0</v>
      </c>
      <c r="V187" s="23">
        <f ca="1">IFERROR(__xludf.DUMMYFUNCTION("""COMPUTED_VALUE"""),0)</f>
        <v>0</v>
      </c>
      <c r="W187" s="23">
        <f ca="1">IFERROR(__xludf.DUMMYFUNCTION("""COMPUTED_VALUE"""),0)</f>
        <v>0</v>
      </c>
      <c r="X187" s="23">
        <f ca="1">IFERROR(__xludf.DUMMYFUNCTION("""COMPUTED_VALUE"""),0)</f>
        <v>0</v>
      </c>
      <c r="Y187" s="25">
        <f ca="1">IFERROR(__xludf.DUMMYFUNCTION("""COMPUTED_VALUE"""),0)</f>
        <v>0</v>
      </c>
      <c r="Z187" s="25">
        <f ca="1">IFERROR(__xludf.DUMMYFUNCTION("""COMPUTED_VALUE"""),0)</f>
        <v>0</v>
      </c>
      <c r="AA187" s="25">
        <f ca="1">IFERROR(__xludf.DUMMYFUNCTION("""COMPUTED_VALUE"""),0)</f>
        <v>0</v>
      </c>
      <c r="AB187" s="25">
        <f ca="1">IFERROR(__xludf.DUMMYFUNCTION("""COMPUTED_VALUE"""),0)</f>
        <v>0</v>
      </c>
      <c r="AC187" s="23">
        <f ca="1">IFERROR(__xludf.DUMMYFUNCTION("""COMPUTED_VALUE"""),0)</f>
        <v>0</v>
      </c>
      <c r="AD187" s="26"/>
      <c r="AE187" s="27"/>
    </row>
    <row r="188" spans="1:31" ht="14.3">
      <c r="A188" s="6" t="str">
        <f ca="1">IFERROR(__xludf.DUMMYFUNCTION("""COMPUTED_VALUE"""),"23SDSCE01219")</f>
        <v>23SDSCE01219</v>
      </c>
      <c r="B188" s="37" t="str">
        <f ca="1">IFERROR(__xludf.DUMMYFUNCTION("""COMPUTED_VALUE"""),"KATESHIYA JATIN JIGNESHBHAI")</f>
        <v>KATESHIYA JATIN JIGNESHBHAI</v>
      </c>
      <c r="C188" s="18" t="str">
        <f ca="1">IFERROR(__xludf.DUMMYFUNCTION("""COMPUTED_VALUE"""),"SDS")</f>
        <v>SDS</v>
      </c>
      <c r="D188" s="18" t="str">
        <f ca="1">IFERROR(__xludf.DUMMYFUNCTION("""COMPUTED_VALUE"""),"DCE")</f>
        <v>DCE</v>
      </c>
      <c r="E188" s="18">
        <f ca="1">IFERROR(__xludf.DUMMYFUNCTION("""COMPUTED_VALUE"""),2)</f>
        <v>2</v>
      </c>
      <c r="F188" s="18" t="str">
        <f ca="1">IFERROR(__xludf.DUMMYFUNCTION("""COMPUTED_VALUE"""),"9624765055 9904538702")</f>
        <v>9624765055 9904538702</v>
      </c>
      <c r="G188" s="18" t="str">
        <f ca="1">IFERROR(__xludf.DUMMYFUNCTION("""COMPUTED_VALUE"""),"9624765055 9904538702")</f>
        <v>9624765055 9904538702</v>
      </c>
      <c r="H188" s="6" t="str">
        <f ca="1">IFERROR(__xludf.DUMMYFUNCTION("""COMPUTED_VALUE"""),"DCV_2023-26")</f>
        <v>DCV_2023-26</v>
      </c>
      <c r="I188" s="20"/>
      <c r="J188" s="21">
        <f ca="1">IFERROR(__xludf.DUMMYFUNCTION("""COMPUTED_VALUE"""),27500)</f>
        <v>27500</v>
      </c>
      <c r="K188" s="21">
        <f ca="1">IFERROR(__xludf.DUMMYFUNCTION("""COMPUTED_VALUE"""),27500)</f>
        <v>27500</v>
      </c>
      <c r="L188" s="21">
        <f ca="1">IFERROR(__xludf.DUMMYFUNCTION("""COMPUTED_VALUE"""),0)</f>
        <v>0</v>
      </c>
      <c r="M188" s="23">
        <f ca="1">IFERROR(__xludf.DUMMYFUNCTION("""COMPUTED_VALUE"""),0)</f>
        <v>0</v>
      </c>
      <c r="N188" s="21">
        <f ca="1">IFERROR(__xludf.DUMMYFUNCTION("""COMPUTED_VALUE"""),0)</f>
        <v>0</v>
      </c>
      <c r="O188" s="21">
        <f ca="1">IFERROR(__xludf.DUMMYFUNCTION("""COMPUTED_VALUE"""),3000)</f>
        <v>3000</v>
      </c>
      <c r="P188" s="21">
        <f ca="1">IFERROR(__xludf.DUMMYFUNCTION("""COMPUTED_VALUE"""),3000)</f>
        <v>3000</v>
      </c>
      <c r="Q188" s="23">
        <f ca="1">IFERROR(__xludf.DUMMYFUNCTION("""COMPUTED_VALUE"""),0)</f>
        <v>0</v>
      </c>
      <c r="R188" s="24">
        <f ca="1">IFERROR(__xludf.DUMMYFUNCTION("""COMPUTED_VALUE"""),0)</f>
        <v>0</v>
      </c>
      <c r="S188" s="23">
        <f ca="1">IFERROR(__xludf.DUMMYFUNCTION("""COMPUTED_VALUE"""),0)</f>
        <v>0</v>
      </c>
      <c r="T188" s="24">
        <f ca="1">IFERROR(__xludf.DUMMYFUNCTION("""COMPUTED_VALUE"""),0)</f>
        <v>0</v>
      </c>
      <c r="U188" s="23">
        <f ca="1">IFERROR(__xludf.DUMMYFUNCTION("""COMPUTED_VALUE"""),0)</f>
        <v>0</v>
      </c>
      <c r="V188" s="23">
        <f ca="1">IFERROR(__xludf.DUMMYFUNCTION("""COMPUTED_VALUE"""),0)</f>
        <v>0</v>
      </c>
      <c r="W188" s="23">
        <f ca="1">IFERROR(__xludf.DUMMYFUNCTION("""COMPUTED_VALUE"""),0)</f>
        <v>0</v>
      </c>
      <c r="X188" s="23">
        <f ca="1">IFERROR(__xludf.DUMMYFUNCTION("""COMPUTED_VALUE"""),0)</f>
        <v>0</v>
      </c>
      <c r="Y188" s="25">
        <f ca="1">IFERROR(__xludf.DUMMYFUNCTION("""COMPUTED_VALUE"""),0)</f>
        <v>0</v>
      </c>
      <c r="Z188" s="25">
        <f ca="1">IFERROR(__xludf.DUMMYFUNCTION("""COMPUTED_VALUE"""),0)</f>
        <v>0</v>
      </c>
      <c r="AA188" s="25">
        <f ca="1">IFERROR(__xludf.DUMMYFUNCTION("""COMPUTED_VALUE"""),0)</f>
        <v>0</v>
      </c>
      <c r="AB188" s="25">
        <f ca="1">IFERROR(__xludf.DUMMYFUNCTION("""COMPUTED_VALUE"""),0)</f>
        <v>0</v>
      </c>
      <c r="AC188" s="23">
        <f ca="1">IFERROR(__xludf.DUMMYFUNCTION("""COMPUTED_VALUE"""),0)</f>
        <v>0</v>
      </c>
      <c r="AD188" s="26"/>
      <c r="AE188" s="27"/>
    </row>
    <row r="189" spans="1:31" ht="14.3">
      <c r="A189" s="6" t="str">
        <f ca="1">IFERROR(__xludf.DUMMYFUNCTION("""COMPUTED_VALUE"""),"23SDSCE01220")</f>
        <v>23SDSCE01220</v>
      </c>
      <c r="B189" s="37" t="str">
        <f ca="1">IFERROR(__xludf.DUMMYFUNCTION("""COMPUTED_VALUE"""),"KOTHIVAR ADITYA RAJESHBHAI")</f>
        <v>KOTHIVAR ADITYA RAJESHBHAI</v>
      </c>
      <c r="C189" s="18" t="str">
        <f ca="1">IFERROR(__xludf.DUMMYFUNCTION("""COMPUTED_VALUE"""),"SDS")</f>
        <v>SDS</v>
      </c>
      <c r="D189" s="18" t="str">
        <f ca="1">IFERROR(__xludf.DUMMYFUNCTION("""COMPUTED_VALUE"""),"DCE")</f>
        <v>DCE</v>
      </c>
      <c r="E189" s="18">
        <f ca="1">IFERROR(__xludf.DUMMYFUNCTION("""COMPUTED_VALUE"""),2)</f>
        <v>2</v>
      </c>
      <c r="F189" s="18" t="str">
        <f ca="1">IFERROR(__xludf.DUMMYFUNCTION("""COMPUTED_VALUE"""),"6352799804 9909475220")</f>
        <v>6352799804 9909475220</v>
      </c>
      <c r="G189" s="18" t="str">
        <f ca="1">IFERROR(__xludf.DUMMYFUNCTION("""COMPUTED_VALUE"""),"6352799804 9909475220")</f>
        <v>6352799804 9909475220</v>
      </c>
      <c r="H189" s="6" t="str">
        <f ca="1">IFERROR(__xludf.DUMMYFUNCTION("""COMPUTED_VALUE"""),"DCE_2023-26")</f>
        <v>DCE_2023-26</v>
      </c>
      <c r="I189" s="20"/>
      <c r="J189" s="21">
        <f ca="1">IFERROR(__xludf.DUMMYFUNCTION("""COMPUTED_VALUE"""),27500)</f>
        <v>27500</v>
      </c>
      <c r="K189" s="21">
        <f ca="1">IFERROR(__xludf.DUMMYFUNCTION("""COMPUTED_VALUE"""),0)</f>
        <v>0</v>
      </c>
      <c r="L189" s="21">
        <f ca="1">IFERROR(__xludf.DUMMYFUNCTION("""COMPUTED_VALUE"""),0)</f>
        <v>0</v>
      </c>
      <c r="M189" s="23">
        <f ca="1">IFERROR(__xludf.DUMMYFUNCTION("""COMPUTED_VALUE"""),0)</f>
        <v>0</v>
      </c>
      <c r="N189" s="21">
        <f ca="1">IFERROR(__xludf.DUMMYFUNCTION("""COMPUTED_VALUE"""),27500)</f>
        <v>27500</v>
      </c>
      <c r="O189" s="21">
        <f ca="1">IFERROR(__xludf.DUMMYFUNCTION("""COMPUTED_VALUE"""),3000)</f>
        <v>3000</v>
      </c>
      <c r="P189" s="21">
        <f ca="1">IFERROR(__xludf.DUMMYFUNCTION("""COMPUTED_VALUE"""),0)</f>
        <v>0</v>
      </c>
      <c r="Q189" s="23">
        <f ca="1">IFERROR(__xludf.DUMMYFUNCTION("""COMPUTED_VALUE"""),0)</f>
        <v>0</v>
      </c>
      <c r="R189" s="24">
        <f ca="1">IFERROR(__xludf.DUMMYFUNCTION("""COMPUTED_VALUE"""),0)</f>
        <v>0</v>
      </c>
      <c r="S189" s="23">
        <f ca="1">IFERROR(__xludf.DUMMYFUNCTION("""COMPUTED_VALUE"""),3000)</f>
        <v>3000</v>
      </c>
      <c r="T189" s="24">
        <f ca="1">IFERROR(__xludf.DUMMYFUNCTION("""COMPUTED_VALUE"""),0)</f>
        <v>0</v>
      </c>
      <c r="U189" s="23">
        <f ca="1">IFERROR(__xludf.DUMMYFUNCTION("""COMPUTED_VALUE"""),0)</f>
        <v>0</v>
      </c>
      <c r="V189" s="23">
        <f ca="1">IFERROR(__xludf.DUMMYFUNCTION("""COMPUTED_VALUE"""),0)</f>
        <v>0</v>
      </c>
      <c r="W189" s="23">
        <f ca="1">IFERROR(__xludf.DUMMYFUNCTION("""COMPUTED_VALUE"""),0)</f>
        <v>0</v>
      </c>
      <c r="X189" s="23">
        <f ca="1">IFERROR(__xludf.DUMMYFUNCTION("""COMPUTED_VALUE"""),0)</f>
        <v>0</v>
      </c>
      <c r="Y189" s="25">
        <f ca="1">IFERROR(__xludf.DUMMYFUNCTION("""COMPUTED_VALUE"""),0)</f>
        <v>0</v>
      </c>
      <c r="Z189" s="25">
        <f ca="1">IFERROR(__xludf.DUMMYFUNCTION("""COMPUTED_VALUE"""),0)</f>
        <v>0</v>
      </c>
      <c r="AA189" s="25">
        <f ca="1">IFERROR(__xludf.DUMMYFUNCTION("""COMPUTED_VALUE"""),0)</f>
        <v>0</v>
      </c>
      <c r="AB189" s="25">
        <f ca="1">IFERROR(__xludf.DUMMYFUNCTION("""COMPUTED_VALUE"""),0)</f>
        <v>0</v>
      </c>
      <c r="AC189" s="23">
        <f ca="1">IFERROR(__xludf.DUMMYFUNCTION("""COMPUTED_VALUE"""),0)</f>
        <v>0</v>
      </c>
      <c r="AD189" s="26"/>
      <c r="AE189" s="27"/>
    </row>
    <row r="190" spans="1:31" ht="14.3">
      <c r="A190" s="6" t="str">
        <f ca="1">IFERROR(__xludf.DUMMYFUNCTION("""COMPUTED_VALUE"""),"23SDSCE01221")</f>
        <v>23SDSCE01221</v>
      </c>
      <c r="B190" s="37" t="str">
        <f ca="1">IFERROR(__xludf.DUMMYFUNCTION("""COMPUTED_VALUE"""),"PANARA HETVI SHARADBHAI")</f>
        <v>PANARA HETVI SHARADBHAI</v>
      </c>
      <c r="C190" s="18" t="str">
        <f ca="1">IFERROR(__xludf.DUMMYFUNCTION("""COMPUTED_VALUE"""),"SDS")</f>
        <v>SDS</v>
      </c>
      <c r="D190" s="18" t="str">
        <f ca="1">IFERROR(__xludf.DUMMYFUNCTION("""COMPUTED_VALUE"""),"DCE")</f>
        <v>DCE</v>
      </c>
      <c r="E190" s="18">
        <f ca="1">IFERROR(__xludf.DUMMYFUNCTION("""COMPUTED_VALUE"""),2)</f>
        <v>2</v>
      </c>
      <c r="F190" s="18" t="str">
        <f ca="1">IFERROR(__xludf.DUMMYFUNCTION("""COMPUTED_VALUE"""),"6359075599 9824346246")</f>
        <v>6359075599 9824346246</v>
      </c>
      <c r="G190" s="18" t="str">
        <f ca="1">IFERROR(__xludf.DUMMYFUNCTION("""COMPUTED_VALUE"""),"6359075599 9824346246")</f>
        <v>6359075599 9824346246</v>
      </c>
      <c r="H190" s="6" t="str">
        <f ca="1">IFERROR(__xludf.DUMMYFUNCTION("""COMPUTED_VALUE"""),"DCE_2023-26")</f>
        <v>DCE_2023-26</v>
      </c>
      <c r="I190" s="20"/>
      <c r="J190" s="21">
        <f ca="1">IFERROR(__xludf.DUMMYFUNCTION("""COMPUTED_VALUE"""),27500)</f>
        <v>27500</v>
      </c>
      <c r="K190" s="21">
        <f ca="1">IFERROR(__xludf.DUMMYFUNCTION("""COMPUTED_VALUE"""),0)</f>
        <v>0</v>
      </c>
      <c r="L190" s="21">
        <f ca="1">IFERROR(__xludf.DUMMYFUNCTION("""COMPUTED_VALUE"""),0)</f>
        <v>0</v>
      </c>
      <c r="M190" s="23">
        <f ca="1">IFERROR(__xludf.DUMMYFUNCTION("""COMPUTED_VALUE"""),0)</f>
        <v>0</v>
      </c>
      <c r="N190" s="21">
        <f ca="1">IFERROR(__xludf.DUMMYFUNCTION("""COMPUTED_VALUE"""),27500)</f>
        <v>27500</v>
      </c>
      <c r="O190" s="21">
        <f ca="1">IFERROR(__xludf.DUMMYFUNCTION("""COMPUTED_VALUE"""),3000)</f>
        <v>3000</v>
      </c>
      <c r="P190" s="21">
        <f ca="1">IFERROR(__xludf.DUMMYFUNCTION("""COMPUTED_VALUE"""),0)</f>
        <v>0</v>
      </c>
      <c r="Q190" s="23">
        <f ca="1">IFERROR(__xludf.DUMMYFUNCTION("""COMPUTED_VALUE"""),0)</f>
        <v>0</v>
      </c>
      <c r="R190" s="24">
        <f ca="1">IFERROR(__xludf.DUMMYFUNCTION("""COMPUTED_VALUE"""),0)</f>
        <v>0</v>
      </c>
      <c r="S190" s="23">
        <f ca="1">IFERROR(__xludf.DUMMYFUNCTION("""COMPUTED_VALUE"""),3000)</f>
        <v>3000</v>
      </c>
      <c r="T190" s="24">
        <f ca="1">IFERROR(__xludf.DUMMYFUNCTION("""COMPUTED_VALUE"""),0)</f>
        <v>0</v>
      </c>
      <c r="U190" s="23">
        <f ca="1">IFERROR(__xludf.DUMMYFUNCTION("""COMPUTED_VALUE"""),0)</f>
        <v>0</v>
      </c>
      <c r="V190" s="23">
        <f ca="1">IFERROR(__xludf.DUMMYFUNCTION("""COMPUTED_VALUE"""),0)</f>
        <v>0</v>
      </c>
      <c r="W190" s="23">
        <f ca="1">IFERROR(__xludf.DUMMYFUNCTION("""COMPUTED_VALUE"""),0)</f>
        <v>0</v>
      </c>
      <c r="X190" s="23">
        <f ca="1">IFERROR(__xludf.DUMMYFUNCTION("""COMPUTED_VALUE"""),0)</f>
        <v>0</v>
      </c>
      <c r="Y190" s="25">
        <f ca="1">IFERROR(__xludf.DUMMYFUNCTION("""COMPUTED_VALUE"""),0)</f>
        <v>0</v>
      </c>
      <c r="Z190" s="25">
        <f ca="1">IFERROR(__xludf.DUMMYFUNCTION("""COMPUTED_VALUE"""),0)</f>
        <v>0</v>
      </c>
      <c r="AA190" s="25">
        <f ca="1">IFERROR(__xludf.DUMMYFUNCTION("""COMPUTED_VALUE"""),0)</f>
        <v>0</v>
      </c>
      <c r="AB190" s="25">
        <f ca="1">IFERROR(__xludf.DUMMYFUNCTION("""COMPUTED_VALUE"""),0)</f>
        <v>0</v>
      </c>
      <c r="AC190" s="23">
        <f ca="1">IFERROR(__xludf.DUMMYFUNCTION("""COMPUTED_VALUE"""),0)</f>
        <v>0</v>
      </c>
      <c r="AD190" s="26"/>
      <c r="AE190" s="27"/>
    </row>
    <row r="191" spans="1:31" ht="14.3">
      <c r="A191" s="6" t="str">
        <f ca="1">IFERROR(__xludf.DUMMYFUNCTION("""COMPUTED_VALUE"""),"23SDSCE01222")</f>
        <v>23SDSCE01222</v>
      </c>
      <c r="B191" s="37" t="str">
        <f ca="1">IFERROR(__xludf.DUMMYFUNCTION("""COMPUTED_VALUE"""),"PANSERIYA ANANDKUMAR PRAKASHBHAI")</f>
        <v>PANSERIYA ANANDKUMAR PRAKASHBHAI</v>
      </c>
      <c r="C191" s="18" t="str">
        <f ca="1">IFERROR(__xludf.DUMMYFUNCTION("""COMPUTED_VALUE"""),"SDS")</f>
        <v>SDS</v>
      </c>
      <c r="D191" s="18" t="str">
        <f ca="1">IFERROR(__xludf.DUMMYFUNCTION("""COMPUTED_VALUE"""),"DCE")</f>
        <v>DCE</v>
      </c>
      <c r="E191" s="18">
        <f ca="1">IFERROR(__xludf.DUMMYFUNCTION("""COMPUTED_VALUE"""),2)</f>
        <v>2</v>
      </c>
      <c r="F191" s="18" t="str">
        <f ca="1">IFERROR(__xludf.DUMMYFUNCTION("""COMPUTED_VALUE"""),"9512864861 8238292407 9558241718")</f>
        <v>9512864861 8238292407 9558241718</v>
      </c>
      <c r="G191" s="18" t="str">
        <f ca="1">IFERROR(__xludf.DUMMYFUNCTION("""COMPUTED_VALUE"""),"9512864861 8238292407 9558241718")</f>
        <v>9512864861 8238292407 9558241718</v>
      </c>
      <c r="H191" s="6" t="str">
        <f ca="1">IFERROR(__xludf.DUMMYFUNCTION("""COMPUTED_VALUE"""),"DCE_2023-26")</f>
        <v>DCE_2023-26</v>
      </c>
      <c r="I191" s="20"/>
      <c r="J191" s="21">
        <f ca="1">IFERROR(__xludf.DUMMYFUNCTION("""COMPUTED_VALUE"""),27500)</f>
        <v>27500</v>
      </c>
      <c r="K191" s="21">
        <f ca="1">IFERROR(__xludf.DUMMYFUNCTION("""COMPUTED_VALUE"""),27500)</f>
        <v>27500</v>
      </c>
      <c r="L191" s="21">
        <f ca="1">IFERROR(__xludf.DUMMYFUNCTION("""COMPUTED_VALUE"""),0)</f>
        <v>0</v>
      </c>
      <c r="M191" s="23">
        <f ca="1">IFERROR(__xludf.DUMMYFUNCTION("""COMPUTED_VALUE"""),0)</f>
        <v>0</v>
      </c>
      <c r="N191" s="21">
        <f ca="1">IFERROR(__xludf.DUMMYFUNCTION("""COMPUTED_VALUE"""),0)</f>
        <v>0</v>
      </c>
      <c r="O191" s="21">
        <f ca="1">IFERROR(__xludf.DUMMYFUNCTION("""COMPUTED_VALUE"""),3000)</f>
        <v>3000</v>
      </c>
      <c r="P191" s="21">
        <f ca="1">IFERROR(__xludf.DUMMYFUNCTION("""COMPUTED_VALUE"""),3000)</f>
        <v>3000</v>
      </c>
      <c r="Q191" s="23">
        <f ca="1">IFERROR(__xludf.DUMMYFUNCTION("""COMPUTED_VALUE"""),0)</f>
        <v>0</v>
      </c>
      <c r="R191" s="24">
        <f ca="1">IFERROR(__xludf.DUMMYFUNCTION("""COMPUTED_VALUE"""),0)</f>
        <v>0</v>
      </c>
      <c r="S191" s="23">
        <f ca="1">IFERROR(__xludf.DUMMYFUNCTION("""COMPUTED_VALUE"""),0)</f>
        <v>0</v>
      </c>
      <c r="T191" s="24">
        <f ca="1">IFERROR(__xludf.DUMMYFUNCTION("""COMPUTED_VALUE"""),0)</f>
        <v>0</v>
      </c>
      <c r="U191" s="23">
        <f ca="1">IFERROR(__xludf.DUMMYFUNCTION("""COMPUTED_VALUE"""),0)</f>
        <v>0</v>
      </c>
      <c r="V191" s="23">
        <f ca="1">IFERROR(__xludf.DUMMYFUNCTION("""COMPUTED_VALUE"""),0)</f>
        <v>0</v>
      </c>
      <c r="W191" s="23">
        <f ca="1">IFERROR(__xludf.DUMMYFUNCTION("""COMPUTED_VALUE"""),0)</f>
        <v>0</v>
      </c>
      <c r="X191" s="23">
        <f ca="1">IFERROR(__xludf.DUMMYFUNCTION("""COMPUTED_VALUE"""),0)</f>
        <v>0</v>
      </c>
      <c r="Y191" s="25">
        <f ca="1">IFERROR(__xludf.DUMMYFUNCTION("""COMPUTED_VALUE"""),0)</f>
        <v>0</v>
      </c>
      <c r="Z191" s="25">
        <f ca="1">IFERROR(__xludf.DUMMYFUNCTION("""COMPUTED_VALUE"""),0)</f>
        <v>0</v>
      </c>
      <c r="AA191" s="25">
        <f ca="1">IFERROR(__xludf.DUMMYFUNCTION("""COMPUTED_VALUE"""),0)</f>
        <v>0</v>
      </c>
      <c r="AB191" s="25">
        <f ca="1">IFERROR(__xludf.DUMMYFUNCTION("""COMPUTED_VALUE"""),0)</f>
        <v>0</v>
      </c>
      <c r="AC191" s="23">
        <f ca="1">IFERROR(__xludf.DUMMYFUNCTION("""COMPUTED_VALUE"""),0)</f>
        <v>0</v>
      </c>
      <c r="AD191" s="26"/>
      <c r="AE191" s="27"/>
    </row>
    <row r="192" spans="1:31" ht="14.3">
      <c r="A192" s="6" t="str">
        <f ca="1">IFERROR(__xludf.DUMMYFUNCTION("""COMPUTED_VALUE"""),"23SDSCE01223")</f>
        <v>23SDSCE01223</v>
      </c>
      <c r="B192" s="37" t="str">
        <f ca="1">IFERROR(__xludf.DUMMYFUNCTION("""COMPUTED_VALUE"""),"RAMANI NANDANI KISHORBHAI")</f>
        <v>RAMANI NANDANI KISHORBHAI</v>
      </c>
      <c r="C192" s="18" t="str">
        <f ca="1">IFERROR(__xludf.DUMMYFUNCTION("""COMPUTED_VALUE"""),"SDS")</f>
        <v>SDS</v>
      </c>
      <c r="D192" s="18" t="str">
        <f ca="1">IFERROR(__xludf.DUMMYFUNCTION("""COMPUTED_VALUE"""),"DCE")</f>
        <v>DCE</v>
      </c>
      <c r="E192" s="18">
        <f ca="1">IFERROR(__xludf.DUMMYFUNCTION("""COMPUTED_VALUE"""),2)</f>
        <v>2</v>
      </c>
      <c r="F192" s="18" t="str">
        <f ca="1">IFERROR(__xludf.DUMMYFUNCTION("""COMPUTED_VALUE"""),"6355361356 9727114843")</f>
        <v>6355361356 9727114843</v>
      </c>
      <c r="G192" s="18" t="str">
        <f ca="1">IFERROR(__xludf.DUMMYFUNCTION("""COMPUTED_VALUE"""),"6355361356 9727114843")</f>
        <v>6355361356 9727114843</v>
      </c>
      <c r="H192" s="6" t="str">
        <f ca="1">IFERROR(__xludf.DUMMYFUNCTION("""COMPUTED_VALUE"""),"DCE_2023-26")</f>
        <v>DCE_2023-26</v>
      </c>
      <c r="I192" s="20" t="str">
        <f ca="1">IFERROR(__xludf.DUMMYFUNCTION("""COMPUTED_VALUE"""),"MYSY")</f>
        <v>MYSY</v>
      </c>
      <c r="J192" s="21">
        <f ca="1">IFERROR(__xludf.DUMMYFUNCTION("""COMPUTED_VALUE"""),27500)</f>
        <v>27500</v>
      </c>
      <c r="K192" s="21">
        <f ca="1">IFERROR(__xludf.DUMMYFUNCTION("""COMPUTED_VALUE"""),0)</f>
        <v>0</v>
      </c>
      <c r="L192" s="21">
        <f ca="1">IFERROR(__xludf.DUMMYFUNCTION("""COMPUTED_VALUE"""),0)</f>
        <v>0</v>
      </c>
      <c r="M192" s="23">
        <f ca="1">IFERROR(__xludf.DUMMYFUNCTION("""COMPUTED_VALUE"""),0)</f>
        <v>0</v>
      </c>
      <c r="N192" s="21">
        <f ca="1">IFERROR(__xludf.DUMMYFUNCTION("""COMPUTED_VALUE"""),27500)</f>
        <v>27500</v>
      </c>
      <c r="O192" s="21">
        <f ca="1">IFERROR(__xludf.DUMMYFUNCTION("""COMPUTED_VALUE"""),3000)</f>
        <v>3000</v>
      </c>
      <c r="P192" s="21">
        <f ca="1">IFERROR(__xludf.DUMMYFUNCTION("""COMPUTED_VALUE"""),3000)</f>
        <v>3000</v>
      </c>
      <c r="Q192" s="23">
        <f ca="1">IFERROR(__xludf.DUMMYFUNCTION("""COMPUTED_VALUE"""),0)</f>
        <v>0</v>
      </c>
      <c r="R192" s="24">
        <f ca="1">IFERROR(__xludf.DUMMYFUNCTION("""COMPUTED_VALUE"""),0)</f>
        <v>0</v>
      </c>
      <c r="S192" s="23">
        <f ca="1">IFERROR(__xludf.DUMMYFUNCTION("""COMPUTED_VALUE"""),0)</f>
        <v>0</v>
      </c>
      <c r="T192" s="24">
        <f ca="1">IFERROR(__xludf.DUMMYFUNCTION("""COMPUTED_VALUE"""),0)</f>
        <v>0</v>
      </c>
      <c r="U192" s="23">
        <f ca="1">IFERROR(__xludf.DUMMYFUNCTION("""COMPUTED_VALUE"""),0)</f>
        <v>0</v>
      </c>
      <c r="V192" s="23">
        <f ca="1">IFERROR(__xludf.DUMMYFUNCTION("""COMPUTED_VALUE"""),0)</f>
        <v>0</v>
      </c>
      <c r="W192" s="23">
        <f ca="1">IFERROR(__xludf.DUMMYFUNCTION("""COMPUTED_VALUE"""),0)</f>
        <v>0</v>
      </c>
      <c r="X192" s="23">
        <f ca="1">IFERROR(__xludf.DUMMYFUNCTION("""COMPUTED_VALUE"""),0)</f>
        <v>0</v>
      </c>
      <c r="Y192" s="25">
        <f ca="1">IFERROR(__xludf.DUMMYFUNCTION("""COMPUTED_VALUE"""),0)</f>
        <v>0</v>
      </c>
      <c r="Z192" s="25">
        <f ca="1">IFERROR(__xludf.DUMMYFUNCTION("""COMPUTED_VALUE"""),0)</f>
        <v>0</v>
      </c>
      <c r="AA192" s="25">
        <f ca="1">IFERROR(__xludf.DUMMYFUNCTION("""COMPUTED_VALUE"""),0)</f>
        <v>0</v>
      </c>
      <c r="AB192" s="25">
        <f ca="1">IFERROR(__xludf.DUMMYFUNCTION("""COMPUTED_VALUE"""),0)</f>
        <v>0</v>
      </c>
      <c r="AC192" s="23">
        <f ca="1">IFERROR(__xludf.DUMMYFUNCTION("""COMPUTED_VALUE"""),0)</f>
        <v>0</v>
      </c>
      <c r="AD192" s="26" t="str">
        <f ca="1">IFERROR(__xludf.DUMMYFUNCTION("""COMPUTED_VALUE"""),"MYSY (25000/-)	KSPS ( 12500/- )")</f>
        <v>MYSY (25000/-)	KSPS ( 12500/- )</v>
      </c>
      <c r="AE192" s="27"/>
    </row>
    <row r="193" spans="1:31" ht="23.1">
      <c r="A193" s="6" t="str">
        <f ca="1">IFERROR(__xludf.DUMMYFUNCTION("""COMPUTED_VALUE"""),"23SDSCE01224")</f>
        <v>23SDSCE01224</v>
      </c>
      <c r="B193" s="37" t="str">
        <f ca="1">IFERROR(__xludf.DUMMYFUNCTION("""COMPUTED_VALUE"""),"RAMANI VIDHYA JAYSUKHBHAI")</f>
        <v>RAMANI VIDHYA JAYSUKHBHAI</v>
      </c>
      <c r="C193" s="18" t="str">
        <f ca="1">IFERROR(__xludf.DUMMYFUNCTION("""COMPUTED_VALUE"""),"SDS")</f>
        <v>SDS</v>
      </c>
      <c r="D193" s="18" t="str">
        <f ca="1">IFERROR(__xludf.DUMMYFUNCTION("""COMPUTED_VALUE"""),"DCE")</f>
        <v>DCE</v>
      </c>
      <c r="E193" s="18">
        <f ca="1">IFERROR(__xludf.DUMMYFUNCTION("""COMPUTED_VALUE"""),2)</f>
        <v>2</v>
      </c>
      <c r="F193" s="18" t="str">
        <f ca="1">IFERROR(__xludf.DUMMYFUNCTION("""COMPUTED_VALUE"""),"9909625330")</f>
        <v>9909625330</v>
      </c>
      <c r="G193" s="18" t="str">
        <f ca="1">IFERROR(__xludf.DUMMYFUNCTION("""COMPUTED_VALUE"""),"9909625330")</f>
        <v>9909625330</v>
      </c>
      <c r="H193" s="6" t="str">
        <f ca="1">IFERROR(__xludf.DUMMYFUNCTION("""COMPUTED_VALUE"""),"DCE_2023-26")</f>
        <v>DCE_2023-26</v>
      </c>
      <c r="I193" s="20" t="str">
        <f ca="1">IFERROR(__xludf.DUMMYFUNCTION("""COMPUTED_VALUE"""),"TFW")</f>
        <v>TFW</v>
      </c>
      <c r="J193" s="21">
        <f ca="1">IFERROR(__xludf.DUMMYFUNCTION("""COMPUTED_VALUE"""),0)</f>
        <v>0</v>
      </c>
      <c r="K193" s="21">
        <f ca="1">IFERROR(__xludf.DUMMYFUNCTION("""COMPUTED_VALUE"""),0)</f>
        <v>0</v>
      </c>
      <c r="L193" s="21">
        <f ca="1">IFERROR(__xludf.DUMMYFUNCTION("""COMPUTED_VALUE"""),0)</f>
        <v>0</v>
      </c>
      <c r="M193" s="23">
        <f ca="1">IFERROR(__xludf.DUMMYFUNCTION("""COMPUTED_VALUE"""),0)</f>
        <v>0</v>
      </c>
      <c r="N193" s="21">
        <f ca="1">IFERROR(__xludf.DUMMYFUNCTION("""COMPUTED_VALUE"""),0)</f>
        <v>0</v>
      </c>
      <c r="O193" s="21">
        <f ca="1">IFERROR(__xludf.DUMMYFUNCTION("""COMPUTED_VALUE"""),0)</f>
        <v>0</v>
      </c>
      <c r="P193" s="21">
        <f ca="1">IFERROR(__xludf.DUMMYFUNCTION("""COMPUTED_VALUE"""),0)</f>
        <v>0</v>
      </c>
      <c r="Q193" s="23">
        <f ca="1">IFERROR(__xludf.DUMMYFUNCTION("""COMPUTED_VALUE"""),0)</f>
        <v>0</v>
      </c>
      <c r="R193" s="24">
        <f ca="1">IFERROR(__xludf.DUMMYFUNCTION("""COMPUTED_VALUE"""),0)</f>
        <v>0</v>
      </c>
      <c r="S193" s="23">
        <f ca="1">IFERROR(__xludf.DUMMYFUNCTION("""COMPUTED_VALUE"""),0)</f>
        <v>0</v>
      </c>
      <c r="T193" s="24">
        <f ca="1">IFERROR(__xludf.DUMMYFUNCTION("""COMPUTED_VALUE"""),0)</f>
        <v>0</v>
      </c>
      <c r="U193" s="23">
        <f ca="1">IFERROR(__xludf.DUMMYFUNCTION("""COMPUTED_VALUE"""),0)</f>
        <v>0</v>
      </c>
      <c r="V193" s="23">
        <f ca="1">IFERROR(__xludf.DUMMYFUNCTION("""COMPUTED_VALUE"""),0)</f>
        <v>0</v>
      </c>
      <c r="W193" s="23">
        <f ca="1">IFERROR(__xludf.DUMMYFUNCTION("""COMPUTED_VALUE"""),0)</f>
        <v>0</v>
      </c>
      <c r="X193" s="23">
        <f ca="1">IFERROR(__xludf.DUMMYFUNCTION("""COMPUTED_VALUE"""),0)</f>
        <v>0</v>
      </c>
      <c r="Y193" s="25">
        <f ca="1">IFERROR(__xludf.DUMMYFUNCTION("""COMPUTED_VALUE"""),0)</f>
        <v>0</v>
      </c>
      <c r="Z193" s="25">
        <f ca="1">IFERROR(__xludf.DUMMYFUNCTION("""COMPUTED_VALUE"""),0)</f>
        <v>0</v>
      </c>
      <c r="AA193" s="25">
        <f ca="1">IFERROR(__xludf.DUMMYFUNCTION("""COMPUTED_VALUE"""),0)</f>
        <v>0</v>
      </c>
      <c r="AB193" s="25">
        <f ca="1">IFERROR(__xludf.DUMMYFUNCTION("""COMPUTED_VALUE"""),0)</f>
        <v>0</v>
      </c>
      <c r="AC193" s="23">
        <f ca="1">IFERROR(__xludf.DUMMYFUNCTION("""COMPUTED_VALUE"""),0)</f>
        <v>0</v>
      </c>
      <c r="AD193" s="26" t="str">
        <f ca="1">IFERROR(__xludf.DUMMYFUNCTION("""COMPUTED_VALUE"""),"NO FEE 
100 % SCHOLARSHIP")</f>
        <v>NO FEE 
100 % SCHOLARSHIP</v>
      </c>
      <c r="AE193" s="27"/>
    </row>
    <row r="194" spans="1:31" ht="14.3">
      <c r="A194" s="6" t="str">
        <f ca="1">IFERROR(__xludf.DUMMYFUNCTION("""COMPUTED_VALUE"""),"23SDSCE01225")</f>
        <v>23SDSCE01225</v>
      </c>
      <c r="B194" s="37" t="str">
        <f ca="1">IFERROR(__xludf.DUMMYFUNCTION("""COMPUTED_VALUE"""),"SABHAYA OM ATULBHAI")</f>
        <v>SABHAYA OM ATULBHAI</v>
      </c>
      <c r="C194" s="18" t="str">
        <f ca="1">IFERROR(__xludf.DUMMYFUNCTION("""COMPUTED_VALUE"""),"SDS")</f>
        <v>SDS</v>
      </c>
      <c r="D194" s="18" t="str">
        <f ca="1">IFERROR(__xludf.DUMMYFUNCTION("""COMPUTED_VALUE"""),"DCE")</f>
        <v>DCE</v>
      </c>
      <c r="E194" s="18">
        <f ca="1">IFERROR(__xludf.DUMMYFUNCTION("""COMPUTED_VALUE"""),2)</f>
        <v>2</v>
      </c>
      <c r="F194" s="6" t="str">
        <f ca="1">IFERROR(__xludf.DUMMYFUNCTION("""COMPUTED_VALUE"""),"8200179695 8160577964")</f>
        <v>8200179695 8160577964</v>
      </c>
      <c r="G194" s="6" t="str">
        <f ca="1">IFERROR(__xludf.DUMMYFUNCTION("""COMPUTED_VALUE"""),"8200179695 8160577964")</f>
        <v>8200179695 8160577964</v>
      </c>
      <c r="H194" s="6" t="str">
        <f ca="1">IFERROR(__xludf.DUMMYFUNCTION("""COMPUTED_VALUE"""),"DCE_2023-26")</f>
        <v>DCE_2023-26</v>
      </c>
      <c r="I194" s="20" t="str">
        <f ca="1">IFERROR(__xludf.DUMMYFUNCTION("""COMPUTED_VALUE"""),"MYSY")</f>
        <v>MYSY</v>
      </c>
      <c r="J194" s="21">
        <f ca="1">IFERROR(__xludf.DUMMYFUNCTION("""COMPUTED_VALUE"""),27500)</f>
        <v>27500</v>
      </c>
      <c r="K194" s="21">
        <f ca="1">IFERROR(__xludf.DUMMYFUNCTION("""COMPUTED_VALUE"""),0)</f>
        <v>0</v>
      </c>
      <c r="L194" s="21">
        <f ca="1">IFERROR(__xludf.DUMMYFUNCTION("""COMPUTED_VALUE"""),0)</f>
        <v>0</v>
      </c>
      <c r="M194" s="23">
        <f ca="1">IFERROR(__xludf.DUMMYFUNCTION("""COMPUTED_VALUE"""),0)</f>
        <v>0</v>
      </c>
      <c r="N194" s="21">
        <f ca="1">IFERROR(__xludf.DUMMYFUNCTION("""COMPUTED_VALUE"""),27500)</f>
        <v>27500</v>
      </c>
      <c r="O194" s="21">
        <f ca="1">IFERROR(__xludf.DUMMYFUNCTION("""COMPUTED_VALUE"""),3000)</f>
        <v>3000</v>
      </c>
      <c r="P194" s="21">
        <f ca="1">IFERROR(__xludf.DUMMYFUNCTION("""COMPUTED_VALUE"""),0)</f>
        <v>0</v>
      </c>
      <c r="Q194" s="23">
        <f ca="1">IFERROR(__xludf.DUMMYFUNCTION("""COMPUTED_VALUE"""),0)</f>
        <v>0</v>
      </c>
      <c r="R194" s="24">
        <f ca="1">IFERROR(__xludf.DUMMYFUNCTION("""COMPUTED_VALUE"""),0)</f>
        <v>0</v>
      </c>
      <c r="S194" s="23">
        <f ca="1">IFERROR(__xludf.DUMMYFUNCTION("""COMPUTED_VALUE"""),3000)</f>
        <v>3000</v>
      </c>
      <c r="T194" s="24">
        <f ca="1">IFERROR(__xludf.DUMMYFUNCTION("""COMPUTED_VALUE"""),0)</f>
        <v>0</v>
      </c>
      <c r="U194" s="23">
        <f ca="1">IFERROR(__xludf.DUMMYFUNCTION("""COMPUTED_VALUE"""),0)</f>
        <v>0</v>
      </c>
      <c r="V194" s="23">
        <f ca="1">IFERROR(__xludf.DUMMYFUNCTION("""COMPUTED_VALUE"""),0)</f>
        <v>0</v>
      </c>
      <c r="W194" s="23">
        <f ca="1">IFERROR(__xludf.DUMMYFUNCTION("""COMPUTED_VALUE"""),0)</f>
        <v>0</v>
      </c>
      <c r="X194" s="23">
        <f ca="1">IFERROR(__xludf.DUMMYFUNCTION("""COMPUTED_VALUE"""),0)</f>
        <v>0</v>
      </c>
      <c r="Y194" s="25">
        <f ca="1">IFERROR(__xludf.DUMMYFUNCTION("""COMPUTED_VALUE"""),0)</f>
        <v>0</v>
      </c>
      <c r="Z194" s="25">
        <f ca="1">IFERROR(__xludf.DUMMYFUNCTION("""COMPUTED_VALUE"""),0)</f>
        <v>0</v>
      </c>
      <c r="AA194" s="25">
        <f ca="1">IFERROR(__xludf.DUMMYFUNCTION("""COMPUTED_VALUE"""),0)</f>
        <v>0</v>
      </c>
      <c r="AB194" s="25">
        <f ca="1">IFERROR(__xludf.DUMMYFUNCTION("""COMPUTED_VALUE"""),0)</f>
        <v>0</v>
      </c>
      <c r="AC194" s="23">
        <f ca="1">IFERROR(__xludf.DUMMYFUNCTION("""COMPUTED_VALUE"""),0)</f>
        <v>0</v>
      </c>
      <c r="AD194" s="26" t="str">
        <f ca="1">IFERROR(__xludf.DUMMYFUNCTION("""COMPUTED_VALUE"""),"MYSY (25000/-)")</f>
        <v>MYSY (25000/-)</v>
      </c>
      <c r="AE194" s="27"/>
    </row>
    <row r="195" spans="1:31" ht="14.3">
      <c r="A195" s="6" t="str">
        <f ca="1">IFERROR(__xludf.DUMMYFUNCTION("""COMPUTED_VALUE"""),"23SDSCE01226")</f>
        <v>23SDSCE01226</v>
      </c>
      <c r="B195" s="37" t="str">
        <f ca="1">IFERROR(__xludf.DUMMYFUNCTION("""COMPUTED_VALUE"""),"SANTHOKI ESHITH")</f>
        <v>SANTHOKI ESHITH</v>
      </c>
      <c r="C195" s="18" t="str">
        <f ca="1">IFERROR(__xludf.DUMMYFUNCTION("""COMPUTED_VALUE"""),"SDS")</f>
        <v>SDS</v>
      </c>
      <c r="D195" s="18" t="str">
        <f ca="1">IFERROR(__xludf.DUMMYFUNCTION("""COMPUTED_VALUE"""),"DCE")</f>
        <v>DCE</v>
      </c>
      <c r="E195" s="18">
        <f ca="1">IFERROR(__xludf.DUMMYFUNCTION("""COMPUTED_VALUE"""),2)</f>
        <v>2</v>
      </c>
      <c r="F195" s="18" t="str">
        <f ca="1">IFERROR(__xludf.DUMMYFUNCTION("""COMPUTED_VALUE"""),"8799643342 9441367302")</f>
        <v>8799643342 9441367302</v>
      </c>
      <c r="G195" s="18" t="str">
        <f ca="1">IFERROR(__xludf.DUMMYFUNCTION("""COMPUTED_VALUE"""),"8799643342 9441367302")</f>
        <v>8799643342 9441367302</v>
      </c>
      <c r="H195" s="6" t="str">
        <f ca="1">IFERROR(__xludf.DUMMYFUNCTION("""COMPUTED_VALUE"""),"DCE_2023-26")</f>
        <v>DCE_2023-26</v>
      </c>
      <c r="I195" s="20"/>
      <c r="J195" s="21">
        <f ca="1">IFERROR(__xludf.DUMMYFUNCTION("""COMPUTED_VALUE"""),27500)</f>
        <v>27500</v>
      </c>
      <c r="K195" s="21">
        <f ca="1">IFERROR(__xludf.DUMMYFUNCTION("""COMPUTED_VALUE"""),27500)</f>
        <v>27500</v>
      </c>
      <c r="L195" s="21">
        <f ca="1">IFERROR(__xludf.DUMMYFUNCTION("""COMPUTED_VALUE"""),0)</f>
        <v>0</v>
      </c>
      <c r="M195" s="23">
        <f ca="1">IFERROR(__xludf.DUMMYFUNCTION("""COMPUTED_VALUE"""),0)</f>
        <v>0</v>
      </c>
      <c r="N195" s="21">
        <f ca="1">IFERROR(__xludf.DUMMYFUNCTION("""COMPUTED_VALUE"""),0)</f>
        <v>0</v>
      </c>
      <c r="O195" s="21">
        <f ca="1">IFERROR(__xludf.DUMMYFUNCTION("""COMPUTED_VALUE"""),3000)</f>
        <v>3000</v>
      </c>
      <c r="P195" s="21">
        <f ca="1">IFERROR(__xludf.DUMMYFUNCTION("""COMPUTED_VALUE"""),3000)</f>
        <v>3000</v>
      </c>
      <c r="Q195" s="23">
        <f ca="1">IFERROR(__xludf.DUMMYFUNCTION("""COMPUTED_VALUE"""),0)</f>
        <v>0</v>
      </c>
      <c r="R195" s="24">
        <f ca="1">IFERROR(__xludf.DUMMYFUNCTION("""COMPUTED_VALUE"""),0)</f>
        <v>0</v>
      </c>
      <c r="S195" s="23">
        <f ca="1">IFERROR(__xludf.DUMMYFUNCTION("""COMPUTED_VALUE"""),0)</f>
        <v>0</v>
      </c>
      <c r="T195" s="24">
        <f ca="1">IFERROR(__xludf.DUMMYFUNCTION("""COMPUTED_VALUE"""),0)</f>
        <v>0</v>
      </c>
      <c r="U195" s="23">
        <f ca="1">IFERROR(__xludf.DUMMYFUNCTION("""COMPUTED_VALUE"""),0)</f>
        <v>0</v>
      </c>
      <c r="V195" s="23">
        <f ca="1">IFERROR(__xludf.DUMMYFUNCTION("""COMPUTED_VALUE"""),0)</f>
        <v>0</v>
      </c>
      <c r="W195" s="23">
        <f ca="1">IFERROR(__xludf.DUMMYFUNCTION("""COMPUTED_VALUE"""),0)</f>
        <v>0</v>
      </c>
      <c r="X195" s="23">
        <f ca="1">IFERROR(__xludf.DUMMYFUNCTION("""COMPUTED_VALUE"""),0)</f>
        <v>0</v>
      </c>
      <c r="Y195" s="25">
        <f ca="1">IFERROR(__xludf.DUMMYFUNCTION("""COMPUTED_VALUE"""),0)</f>
        <v>0</v>
      </c>
      <c r="Z195" s="25">
        <f ca="1">IFERROR(__xludf.DUMMYFUNCTION("""COMPUTED_VALUE"""),0)</f>
        <v>0</v>
      </c>
      <c r="AA195" s="25">
        <f ca="1">IFERROR(__xludf.DUMMYFUNCTION("""COMPUTED_VALUE"""),0)</f>
        <v>0</v>
      </c>
      <c r="AB195" s="25">
        <f ca="1">IFERROR(__xludf.DUMMYFUNCTION("""COMPUTED_VALUE"""),0)</f>
        <v>0</v>
      </c>
      <c r="AC195" s="23">
        <f ca="1">IFERROR(__xludf.DUMMYFUNCTION("""COMPUTED_VALUE"""),0)</f>
        <v>0</v>
      </c>
      <c r="AD195" s="26"/>
      <c r="AE195" s="27"/>
    </row>
    <row r="196" spans="1:31" ht="14.3">
      <c r="A196" s="6" t="str">
        <f ca="1">IFERROR(__xludf.DUMMYFUNCTION("""COMPUTED_VALUE"""),"23SDSCE01227")</f>
        <v>23SDSCE01227</v>
      </c>
      <c r="B196" s="37" t="str">
        <f ca="1">IFERROR(__xludf.DUMMYFUNCTION("""COMPUTED_VALUE"""),"SARVAIYA JIGAR HARSHADBHAI")</f>
        <v>SARVAIYA JIGAR HARSHADBHAI</v>
      </c>
      <c r="C196" s="18" t="str">
        <f ca="1">IFERROR(__xludf.DUMMYFUNCTION("""COMPUTED_VALUE"""),"SDS")</f>
        <v>SDS</v>
      </c>
      <c r="D196" s="18" t="str">
        <f ca="1">IFERROR(__xludf.DUMMYFUNCTION("""COMPUTED_VALUE"""),"DCE")</f>
        <v>DCE</v>
      </c>
      <c r="E196" s="18">
        <f ca="1">IFERROR(__xludf.DUMMYFUNCTION("""COMPUTED_VALUE"""),2)</f>
        <v>2</v>
      </c>
      <c r="F196" s="18" t="str">
        <f ca="1">IFERROR(__xludf.DUMMYFUNCTION("""COMPUTED_VALUE"""),"9687623818 9687634478")</f>
        <v>9687623818 9687634478</v>
      </c>
      <c r="G196" s="18" t="str">
        <f ca="1">IFERROR(__xludf.DUMMYFUNCTION("""COMPUTED_VALUE"""),"9687623818 9687634478")</f>
        <v>9687623818 9687634478</v>
      </c>
      <c r="H196" s="6" t="str">
        <f ca="1">IFERROR(__xludf.DUMMYFUNCTION("""COMPUTED_VALUE"""),"DCE_2023-26")</f>
        <v>DCE_2023-26</v>
      </c>
      <c r="I196" s="20"/>
      <c r="J196" s="21">
        <f ca="1">IFERROR(__xludf.DUMMYFUNCTION("""COMPUTED_VALUE"""),27500)</f>
        <v>27500</v>
      </c>
      <c r="K196" s="21">
        <f ca="1">IFERROR(__xludf.DUMMYFUNCTION("""COMPUTED_VALUE"""),27500)</f>
        <v>27500</v>
      </c>
      <c r="L196" s="21">
        <f ca="1">IFERROR(__xludf.DUMMYFUNCTION("""COMPUTED_VALUE"""),0)</f>
        <v>0</v>
      </c>
      <c r="M196" s="23">
        <f ca="1">IFERROR(__xludf.DUMMYFUNCTION("""COMPUTED_VALUE"""),0)</f>
        <v>0</v>
      </c>
      <c r="N196" s="21">
        <f ca="1">IFERROR(__xludf.DUMMYFUNCTION("""COMPUTED_VALUE"""),0)</f>
        <v>0</v>
      </c>
      <c r="O196" s="21">
        <f ca="1">IFERROR(__xludf.DUMMYFUNCTION("""COMPUTED_VALUE"""),3000)</f>
        <v>3000</v>
      </c>
      <c r="P196" s="21">
        <f ca="1">IFERROR(__xludf.DUMMYFUNCTION("""COMPUTED_VALUE"""),3000)</f>
        <v>3000</v>
      </c>
      <c r="Q196" s="23">
        <f ca="1">IFERROR(__xludf.DUMMYFUNCTION("""COMPUTED_VALUE"""),0)</f>
        <v>0</v>
      </c>
      <c r="R196" s="24">
        <f ca="1">IFERROR(__xludf.DUMMYFUNCTION("""COMPUTED_VALUE"""),0)</f>
        <v>0</v>
      </c>
      <c r="S196" s="23">
        <f ca="1">IFERROR(__xludf.DUMMYFUNCTION("""COMPUTED_VALUE"""),0)</f>
        <v>0</v>
      </c>
      <c r="T196" s="24">
        <f ca="1">IFERROR(__xludf.DUMMYFUNCTION("""COMPUTED_VALUE"""),0)</f>
        <v>0</v>
      </c>
      <c r="U196" s="23">
        <f ca="1">IFERROR(__xludf.DUMMYFUNCTION("""COMPUTED_VALUE"""),0)</f>
        <v>0</v>
      </c>
      <c r="V196" s="23">
        <f ca="1">IFERROR(__xludf.DUMMYFUNCTION("""COMPUTED_VALUE"""),0)</f>
        <v>0</v>
      </c>
      <c r="W196" s="23">
        <f ca="1">IFERROR(__xludf.DUMMYFUNCTION("""COMPUTED_VALUE"""),0)</f>
        <v>0</v>
      </c>
      <c r="X196" s="23">
        <f ca="1">IFERROR(__xludf.DUMMYFUNCTION("""COMPUTED_VALUE"""),0)</f>
        <v>0</v>
      </c>
      <c r="Y196" s="25">
        <f ca="1">IFERROR(__xludf.DUMMYFUNCTION("""COMPUTED_VALUE"""),0)</f>
        <v>0</v>
      </c>
      <c r="Z196" s="25">
        <f ca="1">IFERROR(__xludf.DUMMYFUNCTION("""COMPUTED_VALUE"""),0)</f>
        <v>0</v>
      </c>
      <c r="AA196" s="25">
        <f ca="1">IFERROR(__xludf.DUMMYFUNCTION("""COMPUTED_VALUE"""),0)</f>
        <v>0</v>
      </c>
      <c r="AB196" s="25">
        <f ca="1">IFERROR(__xludf.DUMMYFUNCTION("""COMPUTED_VALUE"""),0)</f>
        <v>0</v>
      </c>
      <c r="AC196" s="23">
        <f ca="1">IFERROR(__xludf.DUMMYFUNCTION("""COMPUTED_VALUE"""),0)</f>
        <v>0</v>
      </c>
      <c r="AD196" s="26"/>
      <c r="AE196" s="27"/>
    </row>
    <row r="197" spans="1:31" ht="14.3">
      <c r="A197" s="6" t="str">
        <f ca="1">IFERROR(__xludf.DUMMYFUNCTION("""COMPUTED_VALUE"""),"23SDSCE01228")</f>
        <v>23SDSCE01228</v>
      </c>
      <c r="B197" s="37" t="str">
        <f ca="1">IFERROR(__xludf.DUMMYFUNCTION("""COMPUTED_VALUE"""),"SIDPARA VIVEK RASIKBHAI")</f>
        <v>SIDPARA VIVEK RASIKBHAI</v>
      </c>
      <c r="C197" s="18" t="str">
        <f ca="1">IFERROR(__xludf.DUMMYFUNCTION("""COMPUTED_VALUE"""),"SDS")</f>
        <v>SDS</v>
      </c>
      <c r="D197" s="18" t="str">
        <f ca="1">IFERROR(__xludf.DUMMYFUNCTION("""COMPUTED_VALUE"""),"DCE")</f>
        <v>DCE</v>
      </c>
      <c r="E197" s="18">
        <f ca="1">IFERROR(__xludf.DUMMYFUNCTION("""COMPUTED_VALUE"""),2)</f>
        <v>2</v>
      </c>
      <c r="F197" s="18" t="str">
        <f ca="1">IFERROR(__xludf.DUMMYFUNCTION("""COMPUTED_VALUE"""),"7600091942 8160089994")</f>
        <v>7600091942 8160089994</v>
      </c>
      <c r="G197" s="18" t="str">
        <f ca="1">IFERROR(__xludf.DUMMYFUNCTION("""COMPUTED_VALUE"""),"7600091942 8160089994")</f>
        <v>7600091942 8160089994</v>
      </c>
      <c r="H197" s="6" t="str">
        <f ca="1">IFERROR(__xludf.DUMMYFUNCTION("""COMPUTED_VALUE"""),"DCE_2023-26")</f>
        <v>DCE_2023-26</v>
      </c>
      <c r="I197" s="20" t="str">
        <f ca="1">IFERROR(__xludf.DUMMYFUNCTION("""COMPUTED_VALUE"""),"MYSY")</f>
        <v>MYSY</v>
      </c>
      <c r="J197" s="21">
        <f ca="1">IFERROR(__xludf.DUMMYFUNCTION("""COMPUTED_VALUE"""),27500)</f>
        <v>27500</v>
      </c>
      <c r="K197" s="21">
        <f ca="1">IFERROR(__xludf.DUMMYFUNCTION("""COMPUTED_VALUE"""),27500)</f>
        <v>27500</v>
      </c>
      <c r="L197" s="21">
        <f ca="1">IFERROR(__xludf.DUMMYFUNCTION("""COMPUTED_VALUE"""),0)</f>
        <v>0</v>
      </c>
      <c r="M197" s="23">
        <f ca="1">IFERROR(__xludf.DUMMYFUNCTION("""COMPUTED_VALUE"""),0)</f>
        <v>0</v>
      </c>
      <c r="N197" s="21">
        <f ca="1">IFERROR(__xludf.DUMMYFUNCTION("""COMPUTED_VALUE"""),0)</f>
        <v>0</v>
      </c>
      <c r="O197" s="21">
        <f ca="1">IFERROR(__xludf.DUMMYFUNCTION("""COMPUTED_VALUE"""),3000)</f>
        <v>3000</v>
      </c>
      <c r="P197" s="21">
        <f ca="1">IFERROR(__xludf.DUMMYFUNCTION("""COMPUTED_VALUE"""),3000)</f>
        <v>3000</v>
      </c>
      <c r="Q197" s="23">
        <f ca="1">IFERROR(__xludf.DUMMYFUNCTION("""COMPUTED_VALUE"""),0)</f>
        <v>0</v>
      </c>
      <c r="R197" s="24">
        <f ca="1">IFERROR(__xludf.DUMMYFUNCTION("""COMPUTED_VALUE"""),0)</f>
        <v>0</v>
      </c>
      <c r="S197" s="23">
        <f ca="1">IFERROR(__xludf.DUMMYFUNCTION("""COMPUTED_VALUE"""),0)</f>
        <v>0</v>
      </c>
      <c r="T197" s="24">
        <f ca="1">IFERROR(__xludf.DUMMYFUNCTION("""COMPUTED_VALUE"""),0)</f>
        <v>0</v>
      </c>
      <c r="U197" s="23">
        <f ca="1">IFERROR(__xludf.DUMMYFUNCTION("""COMPUTED_VALUE"""),0)</f>
        <v>0</v>
      </c>
      <c r="V197" s="23">
        <f ca="1">IFERROR(__xludf.DUMMYFUNCTION("""COMPUTED_VALUE"""),0)</f>
        <v>0</v>
      </c>
      <c r="W197" s="23">
        <f ca="1">IFERROR(__xludf.DUMMYFUNCTION("""COMPUTED_VALUE"""),0)</f>
        <v>0</v>
      </c>
      <c r="X197" s="23">
        <f ca="1">IFERROR(__xludf.DUMMYFUNCTION("""COMPUTED_VALUE"""),0)</f>
        <v>0</v>
      </c>
      <c r="Y197" s="25">
        <f ca="1">IFERROR(__xludf.DUMMYFUNCTION("""COMPUTED_VALUE"""),0)</f>
        <v>0</v>
      </c>
      <c r="Z197" s="25">
        <f ca="1">IFERROR(__xludf.DUMMYFUNCTION("""COMPUTED_VALUE"""),0)</f>
        <v>0</v>
      </c>
      <c r="AA197" s="25">
        <f ca="1">IFERROR(__xludf.DUMMYFUNCTION("""COMPUTED_VALUE"""),0)</f>
        <v>0</v>
      </c>
      <c r="AB197" s="25">
        <f ca="1">IFERROR(__xludf.DUMMYFUNCTION("""COMPUTED_VALUE"""),0)</f>
        <v>0</v>
      </c>
      <c r="AC197" s="23">
        <f ca="1">IFERROR(__xludf.DUMMYFUNCTION("""COMPUTED_VALUE"""),0)</f>
        <v>0</v>
      </c>
      <c r="AD197" s="26" t="str">
        <f ca="1">IFERROR(__xludf.DUMMYFUNCTION("""COMPUTED_VALUE"""),"MYSY (25000/-)")</f>
        <v>MYSY (25000/-)</v>
      </c>
      <c r="AE197" s="27"/>
    </row>
    <row r="198" spans="1:31" ht="28.55">
      <c r="A198" s="6" t="str">
        <f ca="1">IFERROR(__xludf.DUMMYFUNCTION("""COMPUTED_VALUE"""),"23SDSCE01229")</f>
        <v>23SDSCE01229</v>
      </c>
      <c r="B198" s="37" t="str">
        <f ca="1">IFERROR(__xludf.DUMMYFUNCTION("""COMPUTED_VALUE"""),"SOLANKI NIKHILBHAI DINESHBHAI")</f>
        <v>SOLANKI NIKHILBHAI DINESHBHAI</v>
      </c>
      <c r="C198" s="18" t="str">
        <f ca="1">IFERROR(__xludf.DUMMYFUNCTION("""COMPUTED_VALUE"""),"SDS")</f>
        <v>SDS</v>
      </c>
      <c r="D198" s="18" t="str">
        <f ca="1">IFERROR(__xludf.DUMMYFUNCTION("""COMPUTED_VALUE"""),"DCE")</f>
        <v>DCE</v>
      </c>
      <c r="E198" s="18">
        <f ca="1">IFERROR(__xludf.DUMMYFUNCTION("""COMPUTED_VALUE"""),2)</f>
        <v>2</v>
      </c>
      <c r="F198" s="18" t="str">
        <f ca="1">IFERROR(__xludf.DUMMYFUNCTION("""COMPUTED_VALUE"""),"8320331245 6355830372")</f>
        <v>8320331245 6355830372</v>
      </c>
      <c r="G198" s="18" t="str">
        <f ca="1">IFERROR(__xludf.DUMMYFUNCTION("""COMPUTED_VALUE"""),"8320331245 6355830372")</f>
        <v>8320331245 6355830372</v>
      </c>
      <c r="H198" s="6" t="str">
        <f ca="1">IFERROR(__xludf.DUMMYFUNCTION("""COMPUTED_VALUE"""),"DCE_2023-26")</f>
        <v>DCE_2023-26</v>
      </c>
      <c r="I198" s="20" t="str">
        <f ca="1">IFERROR(__xludf.DUMMYFUNCTION("""COMPUTED_VALUE"""),"FREESHIP CARD")</f>
        <v>FREESHIP CARD</v>
      </c>
      <c r="J198" s="21">
        <f ca="1">IFERROR(__xludf.DUMMYFUNCTION("""COMPUTED_VALUE"""),27500)</f>
        <v>27500</v>
      </c>
      <c r="K198" s="21">
        <f ca="1">IFERROR(__xludf.DUMMYFUNCTION("""COMPUTED_VALUE"""),0)</f>
        <v>0</v>
      </c>
      <c r="L198" s="21">
        <f ca="1">IFERROR(__xludf.DUMMYFUNCTION("""COMPUTED_VALUE"""),0)</f>
        <v>0</v>
      </c>
      <c r="M198" s="23">
        <f ca="1">IFERROR(__xludf.DUMMYFUNCTION("""COMPUTED_VALUE"""),0)</f>
        <v>0</v>
      </c>
      <c r="N198" s="21">
        <f ca="1">IFERROR(__xludf.DUMMYFUNCTION("""COMPUTED_VALUE"""),27500)</f>
        <v>27500</v>
      </c>
      <c r="O198" s="21">
        <f ca="1">IFERROR(__xludf.DUMMYFUNCTION("""COMPUTED_VALUE"""),3000)</f>
        <v>3000</v>
      </c>
      <c r="P198" s="21">
        <f ca="1">IFERROR(__xludf.DUMMYFUNCTION("""COMPUTED_VALUE"""),0)</f>
        <v>0</v>
      </c>
      <c r="Q198" s="23">
        <f ca="1">IFERROR(__xludf.DUMMYFUNCTION("""COMPUTED_VALUE"""),0)</f>
        <v>0</v>
      </c>
      <c r="R198" s="24">
        <f ca="1">IFERROR(__xludf.DUMMYFUNCTION("""COMPUTED_VALUE"""),0)</f>
        <v>0</v>
      </c>
      <c r="S198" s="23">
        <f ca="1">IFERROR(__xludf.DUMMYFUNCTION("""COMPUTED_VALUE"""),3000)</f>
        <v>3000</v>
      </c>
      <c r="T198" s="24">
        <f ca="1">IFERROR(__xludf.DUMMYFUNCTION("""COMPUTED_VALUE"""),0)</f>
        <v>0</v>
      </c>
      <c r="U198" s="23">
        <f ca="1">IFERROR(__xludf.DUMMYFUNCTION("""COMPUTED_VALUE"""),0)</f>
        <v>0</v>
      </c>
      <c r="V198" s="23">
        <f ca="1">IFERROR(__xludf.DUMMYFUNCTION("""COMPUTED_VALUE"""),0)</f>
        <v>0</v>
      </c>
      <c r="W198" s="23">
        <f ca="1">IFERROR(__xludf.DUMMYFUNCTION("""COMPUTED_VALUE"""),0)</f>
        <v>0</v>
      </c>
      <c r="X198" s="23">
        <f ca="1">IFERROR(__xludf.DUMMYFUNCTION("""COMPUTED_VALUE"""),0)</f>
        <v>0</v>
      </c>
      <c r="Y198" s="25">
        <f ca="1">IFERROR(__xludf.DUMMYFUNCTION("""COMPUTED_VALUE"""),0)</f>
        <v>0</v>
      </c>
      <c r="Z198" s="25">
        <f ca="1">IFERROR(__xludf.DUMMYFUNCTION("""COMPUTED_VALUE"""),0)</f>
        <v>0</v>
      </c>
      <c r="AA198" s="25">
        <f ca="1">IFERROR(__xludf.DUMMYFUNCTION("""COMPUTED_VALUE"""),0)</f>
        <v>0</v>
      </c>
      <c r="AB198" s="25">
        <f ca="1">IFERROR(__xludf.DUMMYFUNCTION("""COMPUTED_VALUE"""),0)</f>
        <v>0</v>
      </c>
      <c r="AC198" s="23">
        <f ca="1">IFERROR(__xludf.DUMMYFUNCTION("""COMPUTED_VALUE"""),0)</f>
        <v>0</v>
      </c>
      <c r="AD198" s="26" t="str">
        <f ca="1">IFERROR(__xludf.DUMMYFUNCTION("""COMPUTED_VALUE"""),"FREESHIP CARD")</f>
        <v>FREESHIP CARD</v>
      </c>
      <c r="AE198" s="27"/>
    </row>
    <row r="199" spans="1:31" ht="14.3">
      <c r="A199" s="6" t="str">
        <f ca="1">IFERROR(__xludf.DUMMYFUNCTION("""COMPUTED_VALUE"""),"23SDSCE01124")</f>
        <v>23SDSCE01124</v>
      </c>
      <c r="B199" s="37" t="str">
        <f ca="1">IFERROR(__xludf.DUMMYFUNCTION("""COMPUTED_VALUE"""),"AJANI PARIMAL ANVARALI")</f>
        <v>AJANI PARIMAL ANVARALI</v>
      </c>
      <c r="C199" s="18" t="str">
        <f ca="1">IFERROR(__xludf.DUMMYFUNCTION("""COMPUTED_VALUE"""),"SDS")</f>
        <v>SDS</v>
      </c>
      <c r="D199" s="18" t="str">
        <f ca="1">IFERROR(__xludf.DUMMYFUNCTION("""COMPUTED_VALUE"""),"DCE")</f>
        <v>DCE</v>
      </c>
      <c r="E199" s="18">
        <f ca="1">IFERROR(__xludf.DUMMYFUNCTION("""COMPUTED_VALUE"""),2)</f>
        <v>2</v>
      </c>
      <c r="F199" s="18" t="str">
        <f ca="1">IFERROR(__xludf.DUMMYFUNCTION("""COMPUTED_VALUE"""),"9664812238 8320640273 9327528527")</f>
        <v>9664812238 8320640273 9327528527</v>
      </c>
      <c r="G199" s="18" t="str">
        <f ca="1">IFERROR(__xludf.DUMMYFUNCTION("""COMPUTED_VALUE"""),"9664812238 8320640273 9327528527")</f>
        <v>9664812238 8320640273 9327528527</v>
      </c>
      <c r="H199" s="6" t="str">
        <f ca="1">IFERROR(__xludf.DUMMYFUNCTION("""COMPUTED_VALUE"""),"DCE_2023-26")</f>
        <v>DCE_2023-26</v>
      </c>
      <c r="I199" s="20" t="str">
        <f ca="1">IFERROR(__xludf.DUMMYFUNCTION("""COMPUTED_VALUE"""),"MYSY")</f>
        <v>MYSY</v>
      </c>
      <c r="J199" s="21">
        <f ca="1">IFERROR(__xludf.DUMMYFUNCTION("""COMPUTED_VALUE"""),27500)</f>
        <v>27500</v>
      </c>
      <c r="K199" s="21">
        <f ca="1">IFERROR(__xludf.DUMMYFUNCTION("""COMPUTED_VALUE"""),27500)</f>
        <v>27500</v>
      </c>
      <c r="L199" s="21">
        <f ca="1">IFERROR(__xludf.DUMMYFUNCTION("""COMPUTED_VALUE"""),0)</f>
        <v>0</v>
      </c>
      <c r="M199" s="23">
        <f ca="1">IFERROR(__xludf.DUMMYFUNCTION("""COMPUTED_VALUE"""),0)</f>
        <v>0</v>
      </c>
      <c r="N199" s="21">
        <f ca="1">IFERROR(__xludf.DUMMYFUNCTION("""COMPUTED_VALUE"""),0)</f>
        <v>0</v>
      </c>
      <c r="O199" s="21">
        <f ca="1">IFERROR(__xludf.DUMMYFUNCTION("""COMPUTED_VALUE"""),3000)</f>
        <v>3000</v>
      </c>
      <c r="P199" s="21">
        <f ca="1">IFERROR(__xludf.DUMMYFUNCTION("""COMPUTED_VALUE"""),3000)</f>
        <v>3000</v>
      </c>
      <c r="Q199" s="23">
        <f ca="1">IFERROR(__xludf.DUMMYFUNCTION("""COMPUTED_VALUE"""),0)</f>
        <v>0</v>
      </c>
      <c r="R199" s="24">
        <f ca="1">IFERROR(__xludf.DUMMYFUNCTION("""COMPUTED_VALUE"""),0)</f>
        <v>0</v>
      </c>
      <c r="S199" s="23">
        <f ca="1">IFERROR(__xludf.DUMMYFUNCTION("""COMPUTED_VALUE"""),0)</f>
        <v>0</v>
      </c>
      <c r="T199" s="24">
        <f ca="1">IFERROR(__xludf.DUMMYFUNCTION("""COMPUTED_VALUE"""),0)</f>
        <v>0</v>
      </c>
      <c r="U199" s="23">
        <f ca="1">IFERROR(__xludf.DUMMYFUNCTION("""COMPUTED_VALUE"""),0)</f>
        <v>0</v>
      </c>
      <c r="V199" s="23">
        <f ca="1">IFERROR(__xludf.DUMMYFUNCTION("""COMPUTED_VALUE"""),0)</f>
        <v>0</v>
      </c>
      <c r="W199" s="23">
        <f ca="1">IFERROR(__xludf.DUMMYFUNCTION("""COMPUTED_VALUE"""),0)</f>
        <v>0</v>
      </c>
      <c r="X199" s="23">
        <f ca="1">IFERROR(__xludf.DUMMYFUNCTION("""COMPUTED_VALUE"""),0)</f>
        <v>0</v>
      </c>
      <c r="Y199" s="25">
        <f ca="1">IFERROR(__xludf.DUMMYFUNCTION("""COMPUTED_VALUE"""),0)</f>
        <v>0</v>
      </c>
      <c r="Z199" s="25">
        <f ca="1">IFERROR(__xludf.DUMMYFUNCTION("""COMPUTED_VALUE"""),0)</f>
        <v>0</v>
      </c>
      <c r="AA199" s="25">
        <f ca="1">IFERROR(__xludf.DUMMYFUNCTION("""COMPUTED_VALUE"""),0)</f>
        <v>0</v>
      </c>
      <c r="AB199" s="25">
        <f ca="1">IFERROR(__xludf.DUMMYFUNCTION("""COMPUTED_VALUE"""),0)</f>
        <v>0</v>
      </c>
      <c r="AC199" s="23">
        <f ca="1">IFERROR(__xludf.DUMMYFUNCTION("""COMPUTED_VALUE"""),0)</f>
        <v>0</v>
      </c>
      <c r="AD199" s="26" t="str">
        <f ca="1">IFERROR(__xludf.DUMMYFUNCTION("""COMPUTED_VALUE"""),"MYSY (25000/-)")</f>
        <v>MYSY (25000/-)</v>
      </c>
      <c r="AE199" s="27"/>
    </row>
    <row r="200" spans="1:31" ht="14.3">
      <c r="A200" s="6" t="str">
        <f ca="1">IFERROR(__xludf.DUMMYFUNCTION("""COMPUTED_VALUE"""),"23SDSCE01125")</f>
        <v>23SDSCE01125</v>
      </c>
      <c r="B200" s="37" t="str">
        <f ca="1">IFERROR(__xludf.DUMMYFUNCTION("""COMPUTED_VALUE"""),"BALDANIYA YAGNESH KISHORBHAI")</f>
        <v>BALDANIYA YAGNESH KISHORBHAI</v>
      </c>
      <c r="C200" s="18" t="str">
        <f ca="1">IFERROR(__xludf.DUMMYFUNCTION("""COMPUTED_VALUE"""),"SDS")</f>
        <v>SDS</v>
      </c>
      <c r="D200" s="18" t="str">
        <f ca="1">IFERROR(__xludf.DUMMYFUNCTION("""COMPUTED_VALUE"""),"DCE")</f>
        <v>DCE</v>
      </c>
      <c r="E200" s="18">
        <f ca="1">IFERROR(__xludf.DUMMYFUNCTION("""COMPUTED_VALUE"""),2)</f>
        <v>2</v>
      </c>
      <c r="F200" s="18" t="str">
        <f ca="1">IFERROR(__xludf.DUMMYFUNCTION("""COMPUTED_VALUE"""),"8780900366 9925739419")</f>
        <v>8780900366 9925739419</v>
      </c>
      <c r="G200" s="18" t="str">
        <f ca="1">IFERROR(__xludf.DUMMYFUNCTION("""COMPUTED_VALUE"""),"8780900366 9925739419")</f>
        <v>8780900366 9925739419</v>
      </c>
      <c r="H200" s="6" t="str">
        <f ca="1">IFERROR(__xludf.DUMMYFUNCTION("""COMPUTED_VALUE"""),"DCE_2023-26")</f>
        <v>DCE_2023-26</v>
      </c>
      <c r="I200" s="20"/>
      <c r="J200" s="21">
        <f ca="1">IFERROR(__xludf.DUMMYFUNCTION("""COMPUTED_VALUE"""),27500)</f>
        <v>27500</v>
      </c>
      <c r="K200" s="21">
        <f ca="1">IFERROR(__xludf.DUMMYFUNCTION("""COMPUTED_VALUE"""),27500)</f>
        <v>27500</v>
      </c>
      <c r="L200" s="21">
        <f ca="1">IFERROR(__xludf.DUMMYFUNCTION("""COMPUTED_VALUE"""),0)</f>
        <v>0</v>
      </c>
      <c r="M200" s="23">
        <f ca="1">IFERROR(__xludf.DUMMYFUNCTION("""COMPUTED_VALUE"""),0)</f>
        <v>0</v>
      </c>
      <c r="N200" s="21">
        <f ca="1">IFERROR(__xludf.DUMMYFUNCTION("""COMPUTED_VALUE"""),0)</f>
        <v>0</v>
      </c>
      <c r="O200" s="21">
        <f ca="1">IFERROR(__xludf.DUMMYFUNCTION("""COMPUTED_VALUE"""),3000)</f>
        <v>3000</v>
      </c>
      <c r="P200" s="21">
        <f ca="1">IFERROR(__xludf.DUMMYFUNCTION("""COMPUTED_VALUE"""),3000)</f>
        <v>3000</v>
      </c>
      <c r="Q200" s="23">
        <f ca="1">IFERROR(__xludf.DUMMYFUNCTION("""COMPUTED_VALUE"""),0)</f>
        <v>0</v>
      </c>
      <c r="R200" s="24">
        <f ca="1">IFERROR(__xludf.DUMMYFUNCTION("""COMPUTED_VALUE"""),0)</f>
        <v>0</v>
      </c>
      <c r="S200" s="23">
        <f ca="1">IFERROR(__xludf.DUMMYFUNCTION("""COMPUTED_VALUE"""),0)</f>
        <v>0</v>
      </c>
      <c r="T200" s="24">
        <f ca="1">IFERROR(__xludf.DUMMYFUNCTION("""COMPUTED_VALUE"""),0)</f>
        <v>0</v>
      </c>
      <c r="U200" s="23">
        <f ca="1">IFERROR(__xludf.DUMMYFUNCTION("""COMPUTED_VALUE"""),0)</f>
        <v>0</v>
      </c>
      <c r="V200" s="23">
        <f ca="1">IFERROR(__xludf.DUMMYFUNCTION("""COMPUTED_VALUE"""),0)</f>
        <v>0</v>
      </c>
      <c r="W200" s="23">
        <f ca="1">IFERROR(__xludf.DUMMYFUNCTION("""COMPUTED_VALUE"""),0)</f>
        <v>0</v>
      </c>
      <c r="X200" s="23">
        <f ca="1">IFERROR(__xludf.DUMMYFUNCTION("""COMPUTED_VALUE"""),0)</f>
        <v>0</v>
      </c>
      <c r="Y200" s="25">
        <f ca="1">IFERROR(__xludf.DUMMYFUNCTION("""COMPUTED_VALUE"""),0)</f>
        <v>0</v>
      </c>
      <c r="Z200" s="25">
        <f ca="1">IFERROR(__xludf.DUMMYFUNCTION("""COMPUTED_VALUE"""),0)</f>
        <v>0</v>
      </c>
      <c r="AA200" s="25">
        <f ca="1">IFERROR(__xludf.DUMMYFUNCTION("""COMPUTED_VALUE"""),0)</f>
        <v>0</v>
      </c>
      <c r="AB200" s="25">
        <f ca="1">IFERROR(__xludf.DUMMYFUNCTION("""COMPUTED_VALUE"""),0)</f>
        <v>0</v>
      </c>
      <c r="AC200" s="23">
        <f ca="1">IFERROR(__xludf.DUMMYFUNCTION("""COMPUTED_VALUE"""),0)</f>
        <v>0</v>
      </c>
      <c r="AD200" s="26"/>
      <c r="AE200" s="27"/>
    </row>
    <row r="201" spans="1:31" ht="14.3">
      <c r="A201" s="6" t="str">
        <f ca="1">IFERROR(__xludf.DUMMYFUNCTION("""COMPUTED_VALUE"""),"23SDSCE01126")</f>
        <v>23SDSCE01126</v>
      </c>
      <c r="B201" s="37" t="str">
        <f ca="1">IFERROR(__xludf.DUMMYFUNCTION("""COMPUTED_VALUE"""),"CHAVDA HARSH UMESHBHAI")</f>
        <v>CHAVDA HARSH UMESHBHAI</v>
      </c>
      <c r="C201" s="18" t="str">
        <f ca="1">IFERROR(__xludf.DUMMYFUNCTION("""COMPUTED_VALUE"""),"SDS")</f>
        <v>SDS</v>
      </c>
      <c r="D201" s="18" t="str">
        <f ca="1">IFERROR(__xludf.DUMMYFUNCTION("""COMPUTED_VALUE"""),"DCE")</f>
        <v>DCE</v>
      </c>
      <c r="E201" s="18">
        <f ca="1">IFERROR(__xludf.DUMMYFUNCTION("""COMPUTED_VALUE"""),2)</f>
        <v>2</v>
      </c>
      <c r="F201" s="18" t="str">
        <f ca="1">IFERROR(__xludf.DUMMYFUNCTION("""COMPUTED_VALUE"""),"9016407474 9824172075")</f>
        <v>9016407474 9824172075</v>
      </c>
      <c r="G201" s="18" t="str">
        <f ca="1">IFERROR(__xludf.DUMMYFUNCTION("""COMPUTED_VALUE"""),"9016407474 9824172075")</f>
        <v>9016407474 9824172075</v>
      </c>
      <c r="H201" s="6" t="str">
        <f ca="1">IFERROR(__xludf.DUMMYFUNCTION("""COMPUTED_VALUE"""),"DCE_2023-26")</f>
        <v>DCE_2023-26</v>
      </c>
      <c r="I201" s="20"/>
      <c r="J201" s="21">
        <f ca="1">IFERROR(__xludf.DUMMYFUNCTION("""COMPUTED_VALUE"""),27500)</f>
        <v>27500</v>
      </c>
      <c r="K201" s="21">
        <f ca="1">IFERROR(__xludf.DUMMYFUNCTION("""COMPUTED_VALUE"""),27500)</f>
        <v>27500</v>
      </c>
      <c r="L201" s="21">
        <f ca="1">IFERROR(__xludf.DUMMYFUNCTION("""COMPUTED_VALUE"""),0)</f>
        <v>0</v>
      </c>
      <c r="M201" s="23">
        <f ca="1">IFERROR(__xludf.DUMMYFUNCTION("""COMPUTED_VALUE"""),0)</f>
        <v>0</v>
      </c>
      <c r="N201" s="21">
        <f ca="1">IFERROR(__xludf.DUMMYFUNCTION("""COMPUTED_VALUE"""),0)</f>
        <v>0</v>
      </c>
      <c r="O201" s="21">
        <f ca="1">IFERROR(__xludf.DUMMYFUNCTION("""COMPUTED_VALUE"""),3000)</f>
        <v>3000</v>
      </c>
      <c r="P201" s="21">
        <f ca="1">IFERROR(__xludf.DUMMYFUNCTION("""COMPUTED_VALUE"""),3000)</f>
        <v>3000</v>
      </c>
      <c r="Q201" s="23">
        <f ca="1">IFERROR(__xludf.DUMMYFUNCTION("""COMPUTED_VALUE"""),0)</f>
        <v>0</v>
      </c>
      <c r="R201" s="24">
        <f ca="1">IFERROR(__xludf.DUMMYFUNCTION("""COMPUTED_VALUE"""),0)</f>
        <v>0</v>
      </c>
      <c r="S201" s="23">
        <f ca="1">IFERROR(__xludf.DUMMYFUNCTION("""COMPUTED_VALUE"""),0)</f>
        <v>0</v>
      </c>
      <c r="T201" s="24">
        <f ca="1">IFERROR(__xludf.DUMMYFUNCTION("""COMPUTED_VALUE"""),0)</f>
        <v>0</v>
      </c>
      <c r="U201" s="23">
        <f ca="1">IFERROR(__xludf.DUMMYFUNCTION("""COMPUTED_VALUE"""),0)</f>
        <v>0</v>
      </c>
      <c r="V201" s="23">
        <f ca="1">IFERROR(__xludf.DUMMYFUNCTION("""COMPUTED_VALUE"""),0)</f>
        <v>0</v>
      </c>
      <c r="W201" s="23">
        <f ca="1">IFERROR(__xludf.DUMMYFUNCTION("""COMPUTED_VALUE"""),0)</f>
        <v>0</v>
      </c>
      <c r="X201" s="23">
        <f ca="1">IFERROR(__xludf.DUMMYFUNCTION("""COMPUTED_VALUE"""),0)</f>
        <v>0</v>
      </c>
      <c r="Y201" s="25">
        <f ca="1">IFERROR(__xludf.DUMMYFUNCTION("""COMPUTED_VALUE"""),0)</f>
        <v>0</v>
      </c>
      <c r="Z201" s="25">
        <f ca="1">IFERROR(__xludf.DUMMYFUNCTION("""COMPUTED_VALUE"""),0)</f>
        <v>0</v>
      </c>
      <c r="AA201" s="25">
        <f ca="1">IFERROR(__xludf.DUMMYFUNCTION("""COMPUTED_VALUE"""),0)</f>
        <v>0</v>
      </c>
      <c r="AB201" s="25">
        <f ca="1">IFERROR(__xludf.DUMMYFUNCTION("""COMPUTED_VALUE"""),0)</f>
        <v>0</v>
      </c>
      <c r="AC201" s="23">
        <f ca="1">IFERROR(__xludf.DUMMYFUNCTION("""COMPUTED_VALUE"""),0)</f>
        <v>0</v>
      </c>
      <c r="AD201" s="26"/>
      <c r="AE201" s="27"/>
    </row>
    <row r="202" spans="1:31" ht="14.3">
      <c r="A202" s="6" t="str">
        <f ca="1">IFERROR(__xludf.DUMMYFUNCTION("""COMPUTED_VALUE"""),"23SDSCE01127")</f>
        <v>23SDSCE01127</v>
      </c>
      <c r="B202" s="37" t="str">
        <f ca="1">IFERROR(__xludf.DUMMYFUNCTION("""COMPUTED_VALUE"""),"CHOTHANI AYUSH ASHVINBHAI")</f>
        <v>CHOTHANI AYUSH ASHVINBHAI</v>
      </c>
      <c r="C202" s="18" t="str">
        <f ca="1">IFERROR(__xludf.DUMMYFUNCTION("""COMPUTED_VALUE"""),"SDS")</f>
        <v>SDS</v>
      </c>
      <c r="D202" s="18" t="str">
        <f ca="1">IFERROR(__xludf.DUMMYFUNCTION("""COMPUTED_VALUE"""),"DCE")</f>
        <v>DCE</v>
      </c>
      <c r="E202" s="18">
        <f ca="1">IFERROR(__xludf.DUMMYFUNCTION("""COMPUTED_VALUE"""),2)</f>
        <v>2</v>
      </c>
      <c r="F202" s="18" t="str">
        <f ca="1">IFERROR(__xludf.DUMMYFUNCTION("""COMPUTED_VALUE"""),"9205527648 8866722774 9033463287")</f>
        <v>9205527648 8866722774 9033463287</v>
      </c>
      <c r="G202" s="18" t="str">
        <f ca="1">IFERROR(__xludf.DUMMYFUNCTION("""COMPUTED_VALUE"""),"9205527648 8866722774 9033463287")</f>
        <v>9205527648 8866722774 9033463287</v>
      </c>
      <c r="H202" s="6" t="str">
        <f ca="1">IFERROR(__xludf.DUMMYFUNCTION("""COMPUTED_VALUE"""),"DCE_2023-26")</f>
        <v>DCE_2023-26</v>
      </c>
      <c r="I202" s="20"/>
      <c r="J202" s="21">
        <f ca="1">IFERROR(__xludf.DUMMYFUNCTION("""COMPUTED_VALUE"""),27500)</f>
        <v>27500</v>
      </c>
      <c r="K202" s="21">
        <f ca="1">IFERROR(__xludf.DUMMYFUNCTION("""COMPUTED_VALUE"""),27500)</f>
        <v>27500</v>
      </c>
      <c r="L202" s="21">
        <f ca="1">IFERROR(__xludf.DUMMYFUNCTION("""COMPUTED_VALUE"""),0)</f>
        <v>0</v>
      </c>
      <c r="M202" s="23">
        <f ca="1">IFERROR(__xludf.DUMMYFUNCTION("""COMPUTED_VALUE"""),0)</f>
        <v>0</v>
      </c>
      <c r="N202" s="21">
        <f ca="1">IFERROR(__xludf.DUMMYFUNCTION("""COMPUTED_VALUE"""),0)</f>
        <v>0</v>
      </c>
      <c r="O202" s="21">
        <f ca="1">IFERROR(__xludf.DUMMYFUNCTION("""COMPUTED_VALUE"""),3000)</f>
        <v>3000</v>
      </c>
      <c r="P202" s="21">
        <f ca="1">IFERROR(__xludf.DUMMYFUNCTION("""COMPUTED_VALUE"""),3000)</f>
        <v>3000</v>
      </c>
      <c r="Q202" s="23">
        <f ca="1">IFERROR(__xludf.DUMMYFUNCTION("""COMPUTED_VALUE"""),0)</f>
        <v>0</v>
      </c>
      <c r="R202" s="24">
        <f ca="1">IFERROR(__xludf.DUMMYFUNCTION("""COMPUTED_VALUE"""),0)</f>
        <v>0</v>
      </c>
      <c r="S202" s="23">
        <f ca="1">IFERROR(__xludf.DUMMYFUNCTION("""COMPUTED_VALUE"""),0)</f>
        <v>0</v>
      </c>
      <c r="T202" s="24">
        <f ca="1">IFERROR(__xludf.DUMMYFUNCTION("""COMPUTED_VALUE"""),0)</f>
        <v>0</v>
      </c>
      <c r="U202" s="23">
        <f ca="1">IFERROR(__xludf.DUMMYFUNCTION("""COMPUTED_VALUE"""),0)</f>
        <v>0</v>
      </c>
      <c r="V202" s="23">
        <f ca="1">IFERROR(__xludf.DUMMYFUNCTION("""COMPUTED_VALUE"""),0)</f>
        <v>0</v>
      </c>
      <c r="W202" s="23">
        <f ca="1">IFERROR(__xludf.DUMMYFUNCTION("""COMPUTED_VALUE"""),0)</f>
        <v>0</v>
      </c>
      <c r="X202" s="23">
        <f ca="1">IFERROR(__xludf.DUMMYFUNCTION("""COMPUTED_VALUE"""),0)</f>
        <v>0</v>
      </c>
      <c r="Y202" s="25">
        <f ca="1">IFERROR(__xludf.DUMMYFUNCTION("""COMPUTED_VALUE"""),0)</f>
        <v>0</v>
      </c>
      <c r="Z202" s="25">
        <f ca="1">IFERROR(__xludf.DUMMYFUNCTION("""COMPUTED_VALUE"""),0)</f>
        <v>0</v>
      </c>
      <c r="AA202" s="25">
        <f ca="1">IFERROR(__xludf.DUMMYFUNCTION("""COMPUTED_VALUE"""),0)</f>
        <v>0</v>
      </c>
      <c r="AB202" s="25">
        <f ca="1">IFERROR(__xludf.DUMMYFUNCTION("""COMPUTED_VALUE"""),0)</f>
        <v>0</v>
      </c>
      <c r="AC202" s="23">
        <f ca="1">IFERROR(__xludf.DUMMYFUNCTION("""COMPUTED_VALUE"""),0)</f>
        <v>0</v>
      </c>
      <c r="AD202" s="26"/>
      <c r="AE202" s="27"/>
    </row>
    <row r="203" spans="1:31" ht="14.3">
      <c r="A203" s="6" t="str">
        <f ca="1">IFERROR(__xludf.DUMMYFUNCTION("""COMPUTED_VALUE"""),"23SDSCE01128")</f>
        <v>23SDSCE01128</v>
      </c>
      <c r="B203" s="37" t="str">
        <f ca="1">IFERROR(__xludf.DUMMYFUNCTION("""COMPUTED_VALUE"""),"CHOVATIYA TIRTH VIMALBHAI")</f>
        <v>CHOVATIYA TIRTH VIMALBHAI</v>
      </c>
      <c r="C203" s="18" t="str">
        <f ca="1">IFERROR(__xludf.DUMMYFUNCTION("""COMPUTED_VALUE"""),"SDS")</f>
        <v>SDS</v>
      </c>
      <c r="D203" s="18" t="str">
        <f ca="1">IFERROR(__xludf.DUMMYFUNCTION("""COMPUTED_VALUE"""),"DCE")</f>
        <v>DCE</v>
      </c>
      <c r="E203" s="18">
        <f ca="1">IFERROR(__xludf.DUMMYFUNCTION("""COMPUTED_VALUE"""),2)</f>
        <v>2</v>
      </c>
      <c r="F203" s="18" t="str">
        <f ca="1">IFERROR(__xludf.DUMMYFUNCTION("""COMPUTED_VALUE"""),"8140900952 8160729219")</f>
        <v>8140900952 8160729219</v>
      </c>
      <c r="G203" s="18" t="str">
        <f ca="1">IFERROR(__xludf.DUMMYFUNCTION("""COMPUTED_VALUE"""),"8140900952 8160729219")</f>
        <v>8140900952 8160729219</v>
      </c>
      <c r="H203" s="6" t="str">
        <f ca="1">IFERROR(__xludf.DUMMYFUNCTION("""COMPUTED_VALUE"""),"DCE_2023-26")</f>
        <v>DCE_2023-26</v>
      </c>
      <c r="I203" s="20" t="str">
        <f ca="1">IFERROR(__xludf.DUMMYFUNCTION("""COMPUTED_VALUE"""),"KSP")</f>
        <v>KSP</v>
      </c>
      <c r="J203" s="21">
        <f ca="1">IFERROR(__xludf.DUMMYFUNCTION("""COMPUTED_VALUE"""),27500)</f>
        <v>27500</v>
      </c>
      <c r="K203" s="21">
        <f ca="1">IFERROR(__xludf.DUMMYFUNCTION("""COMPUTED_VALUE"""),21250)</f>
        <v>21250</v>
      </c>
      <c r="L203" s="21">
        <f ca="1">IFERROR(__xludf.DUMMYFUNCTION("""COMPUTED_VALUE"""),0)</f>
        <v>0</v>
      </c>
      <c r="M203" s="23">
        <f ca="1">IFERROR(__xludf.DUMMYFUNCTION("""COMPUTED_VALUE"""),6250)</f>
        <v>6250</v>
      </c>
      <c r="N203" s="21">
        <f ca="1">IFERROR(__xludf.DUMMYFUNCTION("""COMPUTED_VALUE"""),0)</f>
        <v>0</v>
      </c>
      <c r="O203" s="21">
        <f ca="1">IFERROR(__xludf.DUMMYFUNCTION("""COMPUTED_VALUE"""),3000)</f>
        <v>3000</v>
      </c>
      <c r="P203" s="21">
        <f ca="1">IFERROR(__xludf.DUMMYFUNCTION("""COMPUTED_VALUE"""),3000)</f>
        <v>3000</v>
      </c>
      <c r="Q203" s="23">
        <f ca="1">IFERROR(__xludf.DUMMYFUNCTION("""COMPUTED_VALUE"""),0)</f>
        <v>0</v>
      </c>
      <c r="R203" s="24">
        <f ca="1">IFERROR(__xludf.DUMMYFUNCTION("""COMPUTED_VALUE"""),0)</f>
        <v>0</v>
      </c>
      <c r="S203" s="23">
        <f ca="1">IFERROR(__xludf.DUMMYFUNCTION("""COMPUTED_VALUE"""),0)</f>
        <v>0</v>
      </c>
      <c r="T203" s="24">
        <f ca="1">IFERROR(__xludf.DUMMYFUNCTION("""COMPUTED_VALUE"""),0)</f>
        <v>0</v>
      </c>
      <c r="U203" s="23">
        <f ca="1">IFERROR(__xludf.DUMMYFUNCTION("""COMPUTED_VALUE"""),0)</f>
        <v>0</v>
      </c>
      <c r="V203" s="23">
        <f ca="1">IFERROR(__xludf.DUMMYFUNCTION("""COMPUTED_VALUE"""),0)</f>
        <v>0</v>
      </c>
      <c r="W203" s="23">
        <f ca="1">IFERROR(__xludf.DUMMYFUNCTION("""COMPUTED_VALUE"""),0)</f>
        <v>0</v>
      </c>
      <c r="X203" s="23">
        <f ca="1">IFERROR(__xludf.DUMMYFUNCTION("""COMPUTED_VALUE"""),0)</f>
        <v>0</v>
      </c>
      <c r="Y203" s="25">
        <f ca="1">IFERROR(__xludf.DUMMYFUNCTION("""COMPUTED_VALUE"""),0)</f>
        <v>0</v>
      </c>
      <c r="Z203" s="25">
        <f ca="1">IFERROR(__xludf.DUMMYFUNCTION("""COMPUTED_VALUE"""),0)</f>
        <v>0</v>
      </c>
      <c r="AA203" s="25">
        <f ca="1">IFERROR(__xludf.DUMMYFUNCTION("""COMPUTED_VALUE"""),0)</f>
        <v>0</v>
      </c>
      <c r="AB203" s="25">
        <f ca="1">IFERROR(__xludf.DUMMYFUNCTION("""COMPUTED_VALUE"""),0)</f>
        <v>0</v>
      </c>
      <c r="AC203" s="23">
        <f ca="1">IFERROR(__xludf.DUMMYFUNCTION("""COMPUTED_VALUE"""),0)</f>
        <v>0</v>
      </c>
      <c r="AD203" s="26" t="str">
        <f ca="1">IFERROR(__xludf.DUMMYFUNCTION("""COMPUTED_VALUE"""),"KSPS ( 6250/- )")</f>
        <v>KSPS ( 6250/- )</v>
      </c>
      <c r="AE203" s="27"/>
    </row>
    <row r="204" spans="1:31" ht="14.3">
      <c r="A204" s="6" t="str">
        <f ca="1">IFERROR(__xludf.DUMMYFUNCTION("""COMPUTED_VALUE"""),"23SDSCE01129")</f>
        <v>23SDSCE01129</v>
      </c>
      <c r="B204" s="37" t="str">
        <f ca="1">IFERROR(__xludf.DUMMYFUNCTION("""COMPUTED_VALUE"""),"DAYATAR MAHMAD AHAD FARUKBHAI")</f>
        <v>DAYATAR MAHMAD AHAD FARUKBHAI</v>
      </c>
      <c r="C204" s="18" t="str">
        <f ca="1">IFERROR(__xludf.DUMMYFUNCTION("""COMPUTED_VALUE"""),"SDS")</f>
        <v>SDS</v>
      </c>
      <c r="D204" s="18" t="str">
        <f ca="1">IFERROR(__xludf.DUMMYFUNCTION("""COMPUTED_VALUE"""),"DCE")</f>
        <v>DCE</v>
      </c>
      <c r="E204" s="18">
        <f ca="1">IFERROR(__xludf.DUMMYFUNCTION("""COMPUTED_VALUE"""),2)</f>
        <v>2</v>
      </c>
      <c r="F204" s="18" t="str">
        <f ca="1">IFERROR(__xludf.DUMMYFUNCTION("""COMPUTED_VALUE"""),"9104036022 9106186022")</f>
        <v>9104036022 9106186022</v>
      </c>
      <c r="G204" s="18" t="str">
        <f ca="1">IFERROR(__xludf.DUMMYFUNCTION("""COMPUTED_VALUE"""),"9104036022 9106186022")</f>
        <v>9104036022 9106186022</v>
      </c>
      <c r="H204" s="6" t="str">
        <f ca="1">IFERROR(__xludf.DUMMYFUNCTION("""COMPUTED_VALUE"""),"DCE_2023-26")</f>
        <v>DCE_2023-26</v>
      </c>
      <c r="I204" s="20" t="str">
        <f ca="1">IFERROR(__xludf.DUMMYFUNCTION("""COMPUTED_VALUE"""),"MYSY")</f>
        <v>MYSY</v>
      </c>
      <c r="J204" s="21">
        <f ca="1">IFERROR(__xludf.DUMMYFUNCTION("""COMPUTED_VALUE"""),27500)</f>
        <v>27500</v>
      </c>
      <c r="K204" s="21">
        <f ca="1">IFERROR(__xludf.DUMMYFUNCTION("""COMPUTED_VALUE"""),27500)</f>
        <v>27500</v>
      </c>
      <c r="L204" s="21">
        <f ca="1">IFERROR(__xludf.DUMMYFUNCTION("""COMPUTED_VALUE"""),0)</f>
        <v>0</v>
      </c>
      <c r="M204" s="23">
        <f ca="1">IFERROR(__xludf.DUMMYFUNCTION("""COMPUTED_VALUE"""),0)</f>
        <v>0</v>
      </c>
      <c r="N204" s="21">
        <f ca="1">IFERROR(__xludf.DUMMYFUNCTION("""COMPUTED_VALUE"""),0)</f>
        <v>0</v>
      </c>
      <c r="O204" s="21">
        <f ca="1">IFERROR(__xludf.DUMMYFUNCTION("""COMPUTED_VALUE"""),3000)</f>
        <v>3000</v>
      </c>
      <c r="P204" s="21">
        <f ca="1">IFERROR(__xludf.DUMMYFUNCTION("""COMPUTED_VALUE"""),3000)</f>
        <v>3000</v>
      </c>
      <c r="Q204" s="23">
        <f ca="1">IFERROR(__xludf.DUMMYFUNCTION("""COMPUTED_VALUE"""),0)</f>
        <v>0</v>
      </c>
      <c r="R204" s="24">
        <f ca="1">IFERROR(__xludf.DUMMYFUNCTION("""COMPUTED_VALUE"""),0)</f>
        <v>0</v>
      </c>
      <c r="S204" s="23">
        <f ca="1">IFERROR(__xludf.DUMMYFUNCTION("""COMPUTED_VALUE"""),0)</f>
        <v>0</v>
      </c>
      <c r="T204" s="24">
        <f ca="1">IFERROR(__xludf.DUMMYFUNCTION("""COMPUTED_VALUE"""),0)</f>
        <v>0</v>
      </c>
      <c r="U204" s="23">
        <f ca="1">IFERROR(__xludf.DUMMYFUNCTION("""COMPUTED_VALUE"""),0)</f>
        <v>0</v>
      </c>
      <c r="V204" s="23">
        <f ca="1">IFERROR(__xludf.DUMMYFUNCTION("""COMPUTED_VALUE"""),0)</f>
        <v>0</v>
      </c>
      <c r="W204" s="23">
        <f ca="1">IFERROR(__xludf.DUMMYFUNCTION("""COMPUTED_VALUE"""),0)</f>
        <v>0</v>
      </c>
      <c r="X204" s="23">
        <f ca="1">IFERROR(__xludf.DUMMYFUNCTION("""COMPUTED_VALUE"""),0)</f>
        <v>0</v>
      </c>
      <c r="Y204" s="25">
        <f ca="1">IFERROR(__xludf.DUMMYFUNCTION("""COMPUTED_VALUE"""),0)</f>
        <v>0</v>
      </c>
      <c r="Z204" s="25">
        <f ca="1">IFERROR(__xludf.DUMMYFUNCTION("""COMPUTED_VALUE"""),0)</f>
        <v>0</v>
      </c>
      <c r="AA204" s="25">
        <f ca="1">IFERROR(__xludf.DUMMYFUNCTION("""COMPUTED_VALUE"""),0)</f>
        <v>0</v>
      </c>
      <c r="AB204" s="25">
        <f ca="1">IFERROR(__xludf.DUMMYFUNCTION("""COMPUTED_VALUE"""),0)</f>
        <v>0</v>
      </c>
      <c r="AC204" s="23">
        <f ca="1">IFERROR(__xludf.DUMMYFUNCTION("""COMPUTED_VALUE"""),0)</f>
        <v>0</v>
      </c>
      <c r="AD204" s="26" t="str">
        <f ca="1">IFERROR(__xludf.DUMMYFUNCTION("""COMPUTED_VALUE"""),"MYSY (25000/-)")</f>
        <v>MYSY (25000/-)</v>
      </c>
      <c r="AE204" s="27"/>
    </row>
    <row r="205" spans="1:31" ht="14.3">
      <c r="A205" s="6" t="str">
        <f ca="1">IFERROR(__xludf.DUMMYFUNCTION("""COMPUTED_VALUE"""),"23SDSCE01130")</f>
        <v>23SDSCE01130</v>
      </c>
      <c r="B205" s="37" t="str">
        <f ca="1">IFERROR(__xludf.DUMMYFUNCTION("""COMPUTED_VALUE"""),"DOBARIYA SATV KANUBHAI")</f>
        <v>DOBARIYA SATV KANUBHAI</v>
      </c>
      <c r="C205" s="18" t="str">
        <f ca="1">IFERROR(__xludf.DUMMYFUNCTION("""COMPUTED_VALUE"""),"SDS")</f>
        <v>SDS</v>
      </c>
      <c r="D205" s="18" t="str">
        <f ca="1">IFERROR(__xludf.DUMMYFUNCTION("""COMPUTED_VALUE"""),"DCE")</f>
        <v>DCE</v>
      </c>
      <c r="E205" s="18">
        <f ca="1">IFERROR(__xludf.DUMMYFUNCTION("""COMPUTED_VALUE"""),2)</f>
        <v>2</v>
      </c>
      <c r="F205" s="18" t="str">
        <f ca="1">IFERROR(__xludf.DUMMYFUNCTION("""COMPUTED_VALUE"""),"9316214147 8200783451")</f>
        <v>9316214147 8200783451</v>
      </c>
      <c r="G205" s="18" t="str">
        <f ca="1">IFERROR(__xludf.DUMMYFUNCTION("""COMPUTED_VALUE"""),"9316214147 8200783451")</f>
        <v>9316214147 8200783451</v>
      </c>
      <c r="H205" s="6" t="str">
        <f ca="1">IFERROR(__xludf.DUMMYFUNCTION("""COMPUTED_VALUE"""),"DCE_2023-26")</f>
        <v>DCE_2023-26</v>
      </c>
      <c r="I205" s="20"/>
      <c r="J205" s="21">
        <f ca="1">IFERROR(__xludf.DUMMYFUNCTION("""COMPUTED_VALUE"""),27500)</f>
        <v>27500</v>
      </c>
      <c r="K205" s="21">
        <f ca="1">IFERROR(__xludf.DUMMYFUNCTION("""COMPUTED_VALUE"""),12600)</f>
        <v>12600</v>
      </c>
      <c r="L205" s="21">
        <f ca="1">IFERROR(__xludf.DUMMYFUNCTION("""COMPUTED_VALUE"""),0)</f>
        <v>0</v>
      </c>
      <c r="M205" s="23">
        <f ca="1">IFERROR(__xludf.DUMMYFUNCTION("""COMPUTED_VALUE"""),0)</f>
        <v>0</v>
      </c>
      <c r="N205" s="21">
        <f ca="1">IFERROR(__xludf.DUMMYFUNCTION("""COMPUTED_VALUE"""),14900)</f>
        <v>14900</v>
      </c>
      <c r="O205" s="21">
        <f ca="1">IFERROR(__xludf.DUMMYFUNCTION("""COMPUTED_VALUE"""),3000)</f>
        <v>3000</v>
      </c>
      <c r="P205" s="21">
        <f ca="1">IFERROR(__xludf.DUMMYFUNCTION("""COMPUTED_VALUE"""),3000)</f>
        <v>3000</v>
      </c>
      <c r="Q205" s="23">
        <f ca="1">IFERROR(__xludf.DUMMYFUNCTION("""COMPUTED_VALUE"""),0)</f>
        <v>0</v>
      </c>
      <c r="R205" s="24">
        <f ca="1">IFERROR(__xludf.DUMMYFUNCTION("""COMPUTED_VALUE"""),0)</f>
        <v>0</v>
      </c>
      <c r="S205" s="23">
        <f ca="1">IFERROR(__xludf.DUMMYFUNCTION("""COMPUTED_VALUE"""),0)</f>
        <v>0</v>
      </c>
      <c r="T205" s="24">
        <f ca="1">IFERROR(__xludf.DUMMYFUNCTION("""COMPUTED_VALUE"""),0)</f>
        <v>0</v>
      </c>
      <c r="U205" s="23">
        <f ca="1">IFERROR(__xludf.DUMMYFUNCTION("""COMPUTED_VALUE"""),0)</f>
        <v>0</v>
      </c>
      <c r="V205" s="23">
        <f ca="1">IFERROR(__xludf.DUMMYFUNCTION("""COMPUTED_VALUE"""),0)</f>
        <v>0</v>
      </c>
      <c r="W205" s="23">
        <f ca="1">IFERROR(__xludf.DUMMYFUNCTION("""COMPUTED_VALUE"""),0)</f>
        <v>0</v>
      </c>
      <c r="X205" s="23">
        <f ca="1">IFERROR(__xludf.DUMMYFUNCTION("""COMPUTED_VALUE"""),0)</f>
        <v>0</v>
      </c>
      <c r="Y205" s="25">
        <f ca="1">IFERROR(__xludf.DUMMYFUNCTION("""COMPUTED_VALUE"""),0)</f>
        <v>0</v>
      </c>
      <c r="Z205" s="25">
        <f ca="1">IFERROR(__xludf.DUMMYFUNCTION("""COMPUTED_VALUE"""),0)</f>
        <v>0</v>
      </c>
      <c r="AA205" s="25">
        <f ca="1">IFERROR(__xludf.DUMMYFUNCTION("""COMPUTED_VALUE"""),0)</f>
        <v>0</v>
      </c>
      <c r="AB205" s="25">
        <f ca="1">IFERROR(__xludf.DUMMYFUNCTION("""COMPUTED_VALUE"""),0)</f>
        <v>0</v>
      </c>
      <c r="AC205" s="23">
        <f ca="1">IFERROR(__xludf.DUMMYFUNCTION("""COMPUTED_VALUE"""),0)</f>
        <v>0</v>
      </c>
      <c r="AD205" s="26"/>
      <c r="AE205" s="27"/>
    </row>
    <row r="206" spans="1:31" ht="14.3">
      <c r="A206" s="6" t="str">
        <f ca="1">IFERROR(__xludf.DUMMYFUNCTION("""COMPUTED_VALUE"""),"23SDSCE01131")</f>
        <v>23SDSCE01131</v>
      </c>
      <c r="B206" s="37" t="str">
        <f ca="1">IFERROR(__xludf.DUMMYFUNCTION("""COMPUTED_VALUE"""),"DUSARA JEEL DILIPBHAI")</f>
        <v>DUSARA JEEL DILIPBHAI</v>
      </c>
      <c r="C206" s="18" t="str">
        <f ca="1">IFERROR(__xludf.DUMMYFUNCTION("""COMPUTED_VALUE"""),"SDS")</f>
        <v>SDS</v>
      </c>
      <c r="D206" s="18" t="str">
        <f ca="1">IFERROR(__xludf.DUMMYFUNCTION("""COMPUTED_VALUE"""),"DCE")</f>
        <v>DCE</v>
      </c>
      <c r="E206" s="18">
        <f ca="1">IFERROR(__xludf.DUMMYFUNCTION("""COMPUTED_VALUE"""),2)</f>
        <v>2</v>
      </c>
      <c r="F206" s="18" t="str">
        <f ca="1">IFERROR(__xludf.DUMMYFUNCTION("""COMPUTED_VALUE"""),"8160026255 9714302418")</f>
        <v>8160026255 9714302418</v>
      </c>
      <c r="G206" s="18" t="str">
        <f ca="1">IFERROR(__xludf.DUMMYFUNCTION("""COMPUTED_VALUE"""),"8160026255 9714302418")</f>
        <v>8160026255 9714302418</v>
      </c>
      <c r="H206" s="6" t="str">
        <f ca="1">IFERROR(__xludf.DUMMYFUNCTION("""COMPUTED_VALUE"""),"DCv_2023-26")</f>
        <v>DCv_2023-26</v>
      </c>
      <c r="I206" s="20"/>
      <c r="J206" s="21">
        <f ca="1">IFERROR(__xludf.DUMMYFUNCTION("""COMPUTED_VALUE"""),27500)</f>
        <v>27500</v>
      </c>
      <c r="K206" s="21">
        <f ca="1">IFERROR(__xludf.DUMMYFUNCTION("""COMPUTED_VALUE"""),27500)</f>
        <v>27500</v>
      </c>
      <c r="L206" s="21">
        <f ca="1">IFERROR(__xludf.DUMMYFUNCTION("""COMPUTED_VALUE"""),0)</f>
        <v>0</v>
      </c>
      <c r="M206" s="23">
        <f ca="1">IFERROR(__xludf.DUMMYFUNCTION("""COMPUTED_VALUE"""),0)</f>
        <v>0</v>
      </c>
      <c r="N206" s="21">
        <f ca="1">IFERROR(__xludf.DUMMYFUNCTION("""COMPUTED_VALUE"""),0)</f>
        <v>0</v>
      </c>
      <c r="O206" s="21">
        <f ca="1">IFERROR(__xludf.DUMMYFUNCTION("""COMPUTED_VALUE"""),3000)</f>
        <v>3000</v>
      </c>
      <c r="P206" s="21">
        <f ca="1">IFERROR(__xludf.DUMMYFUNCTION("""COMPUTED_VALUE"""),3000)</f>
        <v>3000</v>
      </c>
      <c r="Q206" s="23">
        <f ca="1">IFERROR(__xludf.DUMMYFUNCTION("""COMPUTED_VALUE"""),0)</f>
        <v>0</v>
      </c>
      <c r="R206" s="24">
        <f ca="1">IFERROR(__xludf.DUMMYFUNCTION("""COMPUTED_VALUE"""),0)</f>
        <v>0</v>
      </c>
      <c r="S206" s="23">
        <f ca="1">IFERROR(__xludf.DUMMYFUNCTION("""COMPUTED_VALUE"""),0)</f>
        <v>0</v>
      </c>
      <c r="T206" s="24">
        <f ca="1">IFERROR(__xludf.DUMMYFUNCTION("""COMPUTED_VALUE"""),0)</f>
        <v>0</v>
      </c>
      <c r="U206" s="23">
        <f ca="1">IFERROR(__xludf.DUMMYFUNCTION("""COMPUTED_VALUE"""),0)</f>
        <v>0</v>
      </c>
      <c r="V206" s="23">
        <f ca="1">IFERROR(__xludf.DUMMYFUNCTION("""COMPUTED_VALUE"""),0)</f>
        <v>0</v>
      </c>
      <c r="W206" s="23">
        <f ca="1">IFERROR(__xludf.DUMMYFUNCTION("""COMPUTED_VALUE"""),0)</f>
        <v>0</v>
      </c>
      <c r="X206" s="23">
        <f ca="1">IFERROR(__xludf.DUMMYFUNCTION("""COMPUTED_VALUE"""),0)</f>
        <v>0</v>
      </c>
      <c r="Y206" s="25">
        <f ca="1">IFERROR(__xludf.DUMMYFUNCTION("""COMPUTED_VALUE"""),0)</f>
        <v>0</v>
      </c>
      <c r="Z206" s="25">
        <f ca="1">IFERROR(__xludf.DUMMYFUNCTION("""COMPUTED_VALUE"""),0)</f>
        <v>0</v>
      </c>
      <c r="AA206" s="25">
        <f ca="1">IFERROR(__xludf.DUMMYFUNCTION("""COMPUTED_VALUE"""),0)</f>
        <v>0</v>
      </c>
      <c r="AB206" s="25">
        <f ca="1">IFERROR(__xludf.DUMMYFUNCTION("""COMPUTED_VALUE"""),0)</f>
        <v>0</v>
      </c>
      <c r="AC206" s="23">
        <f ca="1">IFERROR(__xludf.DUMMYFUNCTION("""COMPUTED_VALUE"""),0)</f>
        <v>0</v>
      </c>
      <c r="AD206" s="26"/>
      <c r="AE206" s="27"/>
    </row>
    <row r="207" spans="1:31" ht="14.3">
      <c r="A207" s="6" t="str">
        <f ca="1">IFERROR(__xludf.DUMMYFUNCTION("""COMPUTED_VALUE"""),"23SDSCE01132")</f>
        <v>23SDSCE01132</v>
      </c>
      <c r="B207" s="37" t="str">
        <f ca="1">IFERROR(__xludf.DUMMYFUNCTION("""COMPUTED_VALUE"""),"GAJERA PARTH CHHAGANBHAI")</f>
        <v>GAJERA PARTH CHHAGANBHAI</v>
      </c>
      <c r="C207" s="18" t="str">
        <f ca="1">IFERROR(__xludf.DUMMYFUNCTION("""COMPUTED_VALUE"""),"SDS")</f>
        <v>SDS</v>
      </c>
      <c r="D207" s="18" t="str">
        <f ca="1">IFERROR(__xludf.DUMMYFUNCTION("""COMPUTED_VALUE"""),"DCE")</f>
        <v>DCE</v>
      </c>
      <c r="E207" s="18">
        <f ca="1">IFERROR(__xludf.DUMMYFUNCTION("""COMPUTED_VALUE"""),2)</f>
        <v>2</v>
      </c>
      <c r="F207" s="18" t="str">
        <f ca="1">IFERROR(__xludf.DUMMYFUNCTION("""COMPUTED_VALUE"""),"9106990597 9427722948")</f>
        <v>9106990597 9427722948</v>
      </c>
      <c r="G207" s="18" t="str">
        <f ca="1">IFERROR(__xludf.DUMMYFUNCTION("""COMPUTED_VALUE"""),"9106990597 9427722948")</f>
        <v>9106990597 9427722948</v>
      </c>
      <c r="H207" s="6" t="str">
        <f ca="1">IFERROR(__xludf.DUMMYFUNCTION("""COMPUTED_VALUE"""),"DCE_2023-26")</f>
        <v>DCE_2023-26</v>
      </c>
      <c r="I207" s="20"/>
      <c r="J207" s="21">
        <f ca="1">IFERROR(__xludf.DUMMYFUNCTION("""COMPUTED_VALUE"""),27500)</f>
        <v>27500</v>
      </c>
      <c r="K207" s="21">
        <f ca="1">IFERROR(__xludf.DUMMYFUNCTION("""COMPUTED_VALUE"""),27500)</f>
        <v>27500</v>
      </c>
      <c r="L207" s="21">
        <f ca="1">IFERROR(__xludf.DUMMYFUNCTION("""COMPUTED_VALUE"""),0)</f>
        <v>0</v>
      </c>
      <c r="M207" s="23">
        <f ca="1">IFERROR(__xludf.DUMMYFUNCTION("""COMPUTED_VALUE"""),0)</f>
        <v>0</v>
      </c>
      <c r="N207" s="21">
        <f ca="1">IFERROR(__xludf.DUMMYFUNCTION("""COMPUTED_VALUE"""),0)</f>
        <v>0</v>
      </c>
      <c r="O207" s="21">
        <f ca="1">IFERROR(__xludf.DUMMYFUNCTION("""COMPUTED_VALUE"""),3000)</f>
        <v>3000</v>
      </c>
      <c r="P207" s="21">
        <f ca="1">IFERROR(__xludf.DUMMYFUNCTION("""COMPUTED_VALUE"""),3000)</f>
        <v>3000</v>
      </c>
      <c r="Q207" s="23">
        <f ca="1">IFERROR(__xludf.DUMMYFUNCTION("""COMPUTED_VALUE"""),0)</f>
        <v>0</v>
      </c>
      <c r="R207" s="24">
        <f ca="1">IFERROR(__xludf.DUMMYFUNCTION("""COMPUTED_VALUE"""),0)</f>
        <v>0</v>
      </c>
      <c r="S207" s="23">
        <f ca="1">IFERROR(__xludf.DUMMYFUNCTION("""COMPUTED_VALUE"""),0)</f>
        <v>0</v>
      </c>
      <c r="T207" s="24">
        <f ca="1">IFERROR(__xludf.DUMMYFUNCTION("""COMPUTED_VALUE"""),0)</f>
        <v>0</v>
      </c>
      <c r="U207" s="23">
        <f ca="1">IFERROR(__xludf.DUMMYFUNCTION("""COMPUTED_VALUE"""),0)</f>
        <v>0</v>
      </c>
      <c r="V207" s="23">
        <f ca="1">IFERROR(__xludf.DUMMYFUNCTION("""COMPUTED_VALUE"""),0)</f>
        <v>0</v>
      </c>
      <c r="W207" s="23">
        <f ca="1">IFERROR(__xludf.DUMMYFUNCTION("""COMPUTED_VALUE"""),0)</f>
        <v>0</v>
      </c>
      <c r="X207" s="23">
        <f ca="1">IFERROR(__xludf.DUMMYFUNCTION("""COMPUTED_VALUE"""),0)</f>
        <v>0</v>
      </c>
      <c r="Y207" s="25">
        <f ca="1">IFERROR(__xludf.DUMMYFUNCTION("""COMPUTED_VALUE"""),0)</f>
        <v>0</v>
      </c>
      <c r="Z207" s="25">
        <f ca="1">IFERROR(__xludf.DUMMYFUNCTION("""COMPUTED_VALUE"""),0)</f>
        <v>0</v>
      </c>
      <c r="AA207" s="25">
        <f ca="1">IFERROR(__xludf.DUMMYFUNCTION("""COMPUTED_VALUE"""),0)</f>
        <v>0</v>
      </c>
      <c r="AB207" s="25">
        <f ca="1">IFERROR(__xludf.DUMMYFUNCTION("""COMPUTED_VALUE"""),0)</f>
        <v>0</v>
      </c>
      <c r="AC207" s="23">
        <f ca="1">IFERROR(__xludf.DUMMYFUNCTION("""COMPUTED_VALUE"""),0)</f>
        <v>0</v>
      </c>
      <c r="AD207" s="26"/>
      <c r="AE207" s="27"/>
    </row>
    <row r="208" spans="1:31" ht="14.3">
      <c r="A208" s="6" t="str">
        <f ca="1">IFERROR(__xludf.DUMMYFUNCTION("""COMPUTED_VALUE"""),"23SDSCE01133")</f>
        <v>23SDSCE01133</v>
      </c>
      <c r="B208" s="37" t="str">
        <f ca="1">IFERROR(__xludf.DUMMYFUNCTION("""COMPUTED_VALUE"""),"GHELANI HET SHAILESHBHAI")</f>
        <v>GHELANI HET SHAILESHBHAI</v>
      </c>
      <c r="C208" s="18" t="str">
        <f ca="1">IFERROR(__xludf.DUMMYFUNCTION("""COMPUTED_VALUE"""),"SDS")</f>
        <v>SDS</v>
      </c>
      <c r="D208" s="18" t="str">
        <f ca="1">IFERROR(__xludf.DUMMYFUNCTION("""COMPUTED_VALUE"""),"DCE")</f>
        <v>DCE</v>
      </c>
      <c r="E208" s="18">
        <f ca="1">IFERROR(__xludf.DUMMYFUNCTION("""COMPUTED_VALUE"""),2)</f>
        <v>2</v>
      </c>
      <c r="F208" s="18" t="str">
        <f ca="1">IFERROR(__xludf.DUMMYFUNCTION("""COMPUTED_VALUE"""),"9510555151 9974425543")</f>
        <v>9510555151 9974425543</v>
      </c>
      <c r="G208" s="18" t="str">
        <f ca="1">IFERROR(__xludf.DUMMYFUNCTION("""COMPUTED_VALUE"""),"9510555151 9974425543")</f>
        <v>9510555151 9974425543</v>
      </c>
      <c r="H208" s="6" t="str">
        <f ca="1">IFERROR(__xludf.DUMMYFUNCTION("""COMPUTED_VALUE"""),"DCE_2023-26")</f>
        <v>DCE_2023-26</v>
      </c>
      <c r="I208" s="20"/>
      <c r="J208" s="21">
        <f ca="1">IFERROR(__xludf.DUMMYFUNCTION("""COMPUTED_VALUE"""),27500)</f>
        <v>27500</v>
      </c>
      <c r="K208" s="21">
        <f ca="1">IFERROR(__xludf.DUMMYFUNCTION("""COMPUTED_VALUE"""),27500)</f>
        <v>27500</v>
      </c>
      <c r="L208" s="21">
        <f ca="1">IFERROR(__xludf.DUMMYFUNCTION("""COMPUTED_VALUE"""),0)</f>
        <v>0</v>
      </c>
      <c r="M208" s="23">
        <f ca="1">IFERROR(__xludf.DUMMYFUNCTION("""COMPUTED_VALUE"""),0)</f>
        <v>0</v>
      </c>
      <c r="N208" s="21">
        <f ca="1">IFERROR(__xludf.DUMMYFUNCTION("""COMPUTED_VALUE"""),0)</f>
        <v>0</v>
      </c>
      <c r="O208" s="21">
        <f ca="1">IFERROR(__xludf.DUMMYFUNCTION("""COMPUTED_VALUE"""),3000)</f>
        <v>3000</v>
      </c>
      <c r="P208" s="21">
        <f ca="1">IFERROR(__xludf.DUMMYFUNCTION("""COMPUTED_VALUE"""),3000)</f>
        <v>3000</v>
      </c>
      <c r="Q208" s="23">
        <f ca="1">IFERROR(__xludf.DUMMYFUNCTION("""COMPUTED_VALUE"""),0)</f>
        <v>0</v>
      </c>
      <c r="R208" s="24">
        <f ca="1">IFERROR(__xludf.DUMMYFUNCTION("""COMPUTED_VALUE"""),0)</f>
        <v>0</v>
      </c>
      <c r="S208" s="23">
        <f ca="1">IFERROR(__xludf.DUMMYFUNCTION("""COMPUTED_VALUE"""),0)</f>
        <v>0</v>
      </c>
      <c r="T208" s="24">
        <f ca="1">IFERROR(__xludf.DUMMYFUNCTION("""COMPUTED_VALUE"""),0)</f>
        <v>0</v>
      </c>
      <c r="U208" s="23">
        <f ca="1">IFERROR(__xludf.DUMMYFUNCTION("""COMPUTED_VALUE"""),0)</f>
        <v>0</v>
      </c>
      <c r="V208" s="23">
        <f ca="1">IFERROR(__xludf.DUMMYFUNCTION("""COMPUTED_VALUE"""),0)</f>
        <v>0</v>
      </c>
      <c r="W208" s="23">
        <f ca="1">IFERROR(__xludf.DUMMYFUNCTION("""COMPUTED_VALUE"""),0)</f>
        <v>0</v>
      </c>
      <c r="X208" s="23">
        <f ca="1">IFERROR(__xludf.DUMMYFUNCTION("""COMPUTED_VALUE"""),0)</f>
        <v>0</v>
      </c>
      <c r="Y208" s="25">
        <f ca="1">IFERROR(__xludf.DUMMYFUNCTION("""COMPUTED_VALUE"""),0)</f>
        <v>0</v>
      </c>
      <c r="Z208" s="25">
        <f ca="1">IFERROR(__xludf.DUMMYFUNCTION("""COMPUTED_VALUE"""),0)</f>
        <v>0</v>
      </c>
      <c r="AA208" s="25">
        <f ca="1">IFERROR(__xludf.DUMMYFUNCTION("""COMPUTED_VALUE"""),0)</f>
        <v>0</v>
      </c>
      <c r="AB208" s="25">
        <f ca="1">IFERROR(__xludf.DUMMYFUNCTION("""COMPUTED_VALUE"""),0)</f>
        <v>0</v>
      </c>
      <c r="AC208" s="23">
        <f ca="1">IFERROR(__xludf.DUMMYFUNCTION("""COMPUTED_VALUE"""),0)</f>
        <v>0</v>
      </c>
      <c r="AD208" s="26"/>
      <c r="AE208" s="27"/>
    </row>
    <row r="209" spans="1:31" ht="14.3">
      <c r="A209" s="6" t="str">
        <f ca="1">IFERROR(__xludf.DUMMYFUNCTION("""COMPUTED_VALUE"""),"23SDSCE01134")</f>
        <v>23SDSCE01134</v>
      </c>
      <c r="B209" s="37" t="str">
        <f ca="1">IFERROR(__xludf.DUMMYFUNCTION("""COMPUTED_VALUE"""),"GONDALIYA MEET VIPULBHAI")</f>
        <v>GONDALIYA MEET VIPULBHAI</v>
      </c>
      <c r="C209" s="18" t="str">
        <f ca="1">IFERROR(__xludf.DUMMYFUNCTION("""COMPUTED_VALUE"""),"SDS")</f>
        <v>SDS</v>
      </c>
      <c r="D209" s="18" t="str">
        <f ca="1">IFERROR(__xludf.DUMMYFUNCTION("""COMPUTED_VALUE"""),"DCE")</f>
        <v>DCE</v>
      </c>
      <c r="E209" s="18">
        <f ca="1">IFERROR(__xludf.DUMMYFUNCTION("""COMPUTED_VALUE"""),2)</f>
        <v>2</v>
      </c>
      <c r="F209" s="18" t="str">
        <f ca="1">IFERROR(__xludf.DUMMYFUNCTION("""COMPUTED_VALUE"""),"9824290381")</f>
        <v>9824290381</v>
      </c>
      <c r="G209" s="18" t="str">
        <f ca="1">IFERROR(__xludf.DUMMYFUNCTION("""COMPUTED_VALUE"""),"9824290381")</f>
        <v>9824290381</v>
      </c>
      <c r="H209" s="6" t="str">
        <f ca="1">IFERROR(__xludf.DUMMYFUNCTION("""COMPUTED_VALUE"""),"DCE_2023-26")</f>
        <v>DCE_2023-26</v>
      </c>
      <c r="I209" s="20"/>
      <c r="J209" s="21">
        <f ca="1">IFERROR(__xludf.DUMMYFUNCTION("""COMPUTED_VALUE"""),27500)</f>
        <v>27500</v>
      </c>
      <c r="K209" s="21">
        <f ca="1">IFERROR(__xludf.DUMMYFUNCTION("""COMPUTED_VALUE"""),27500)</f>
        <v>27500</v>
      </c>
      <c r="L209" s="21">
        <f ca="1">IFERROR(__xludf.DUMMYFUNCTION("""COMPUTED_VALUE"""),0)</f>
        <v>0</v>
      </c>
      <c r="M209" s="23">
        <f ca="1">IFERROR(__xludf.DUMMYFUNCTION("""COMPUTED_VALUE"""),0)</f>
        <v>0</v>
      </c>
      <c r="N209" s="21">
        <f ca="1">IFERROR(__xludf.DUMMYFUNCTION("""COMPUTED_VALUE"""),0)</f>
        <v>0</v>
      </c>
      <c r="O209" s="21">
        <f ca="1">IFERROR(__xludf.DUMMYFUNCTION("""COMPUTED_VALUE"""),3000)</f>
        <v>3000</v>
      </c>
      <c r="P209" s="21">
        <f ca="1">IFERROR(__xludf.DUMMYFUNCTION("""COMPUTED_VALUE"""),3000)</f>
        <v>3000</v>
      </c>
      <c r="Q209" s="23">
        <f ca="1">IFERROR(__xludf.DUMMYFUNCTION("""COMPUTED_VALUE"""),0)</f>
        <v>0</v>
      </c>
      <c r="R209" s="24">
        <f ca="1">IFERROR(__xludf.DUMMYFUNCTION("""COMPUTED_VALUE"""),0)</f>
        <v>0</v>
      </c>
      <c r="S209" s="23">
        <f ca="1">IFERROR(__xludf.DUMMYFUNCTION("""COMPUTED_VALUE"""),0)</f>
        <v>0</v>
      </c>
      <c r="T209" s="24">
        <f ca="1">IFERROR(__xludf.DUMMYFUNCTION("""COMPUTED_VALUE"""),0)</f>
        <v>0</v>
      </c>
      <c r="U209" s="23">
        <f ca="1">IFERROR(__xludf.DUMMYFUNCTION("""COMPUTED_VALUE"""),0)</f>
        <v>0</v>
      </c>
      <c r="V209" s="23">
        <f ca="1">IFERROR(__xludf.DUMMYFUNCTION("""COMPUTED_VALUE"""),0)</f>
        <v>0</v>
      </c>
      <c r="W209" s="23">
        <f ca="1">IFERROR(__xludf.DUMMYFUNCTION("""COMPUTED_VALUE"""),0)</f>
        <v>0</v>
      </c>
      <c r="X209" s="23">
        <f ca="1">IFERROR(__xludf.DUMMYFUNCTION("""COMPUTED_VALUE"""),0)</f>
        <v>0</v>
      </c>
      <c r="Y209" s="25">
        <f ca="1">IFERROR(__xludf.DUMMYFUNCTION("""COMPUTED_VALUE"""),0)</f>
        <v>0</v>
      </c>
      <c r="Z209" s="25">
        <f ca="1">IFERROR(__xludf.DUMMYFUNCTION("""COMPUTED_VALUE"""),0)</f>
        <v>0</v>
      </c>
      <c r="AA209" s="25">
        <f ca="1">IFERROR(__xludf.DUMMYFUNCTION("""COMPUTED_VALUE"""),0)</f>
        <v>0</v>
      </c>
      <c r="AB209" s="25">
        <f ca="1">IFERROR(__xludf.DUMMYFUNCTION("""COMPUTED_VALUE"""),0)</f>
        <v>0</v>
      </c>
      <c r="AC209" s="23">
        <f ca="1">IFERROR(__xludf.DUMMYFUNCTION("""COMPUTED_VALUE"""),0)</f>
        <v>0</v>
      </c>
      <c r="AD209" s="26"/>
      <c r="AE209" s="27"/>
    </row>
    <row r="210" spans="1:31" ht="14.3">
      <c r="A210" s="6" t="str">
        <f ca="1">IFERROR(__xludf.DUMMYFUNCTION("""COMPUTED_VALUE"""),"23SDSCE01135")</f>
        <v>23SDSCE01135</v>
      </c>
      <c r="B210" s="37" t="str">
        <f ca="1">IFERROR(__xludf.DUMMYFUNCTION("""COMPUTED_VALUE"""),"JADAV HIREN MUKESHBHAI")</f>
        <v>JADAV HIREN MUKESHBHAI</v>
      </c>
      <c r="C210" s="18" t="str">
        <f ca="1">IFERROR(__xludf.DUMMYFUNCTION("""COMPUTED_VALUE"""),"SDS")</f>
        <v>SDS</v>
      </c>
      <c r="D210" s="18" t="str">
        <f ca="1">IFERROR(__xludf.DUMMYFUNCTION("""COMPUTED_VALUE"""),"DCE")</f>
        <v>DCE</v>
      </c>
      <c r="E210" s="18">
        <f ca="1">IFERROR(__xludf.DUMMYFUNCTION("""COMPUTED_VALUE"""),2)</f>
        <v>2</v>
      </c>
      <c r="F210" s="18" t="str">
        <f ca="1">IFERROR(__xludf.DUMMYFUNCTION("""COMPUTED_VALUE"""),"9664590392 9909708323")</f>
        <v>9664590392 9909708323</v>
      </c>
      <c r="G210" s="18" t="str">
        <f ca="1">IFERROR(__xludf.DUMMYFUNCTION("""COMPUTED_VALUE"""),"9664590392 9909708323")</f>
        <v>9664590392 9909708323</v>
      </c>
      <c r="H210" s="6" t="str">
        <f ca="1">IFERROR(__xludf.DUMMYFUNCTION("""COMPUTED_VALUE"""),"DCE_2023-26")</f>
        <v>DCE_2023-26</v>
      </c>
      <c r="I210" s="20"/>
      <c r="J210" s="21">
        <f ca="1">IFERROR(__xludf.DUMMYFUNCTION("""COMPUTED_VALUE"""),27500)</f>
        <v>27500</v>
      </c>
      <c r="K210" s="21">
        <f ca="1">IFERROR(__xludf.DUMMYFUNCTION("""COMPUTED_VALUE"""),27500)</f>
        <v>27500</v>
      </c>
      <c r="L210" s="21">
        <f ca="1">IFERROR(__xludf.DUMMYFUNCTION("""COMPUTED_VALUE"""),0)</f>
        <v>0</v>
      </c>
      <c r="M210" s="23">
        <f ca="1">IFERROR(__xludf.DUMMYFUNCTION("""COMPUTED_VALUE"""),0)</f>
        <v>0</v>
      </c>
      <c r="N210" s="21">
        <f ca="1">IFERROR(__xludf.DUMMYFUNCTION("""COMPUTED_VALUE"""),0)</f>
        <v>0</v>
      </c>
      <c r="O210" s="21">
        <f ca="1">IFERROR(__xludf.DUMMYFUNCTION("""COMPUTED_VALUE"""),3000)</f>
        <v>3000</v>
      </c>
      <c r="P210" s="21">
        <f ca="1">IFERROR(__xludf.DUMMYFUNCTION("""COMPUTED_VALUE"""),3000)</f>
        <v>3000</v>
      </c>
      <c r="Q210" s="23">
        <f ca="1">IFERROR(__xludf.DUMMYFUNCTION("""COMPUTED_VALUE"""),0)</f>
        <v>0</v>
      </c>
      <c r="R210" s="24">
        <f ca="1">IFERROR(__xludf.DUMMYFUNCTION("""COMPUTED_VALUE"""),0)</f>
        <v>0</v>
      </c>
      <c r="S210" s="23">
        <f ca="1">IFERROR(__xludf.DUMMYFUNCTION("""COMPUTED_VALUE"""),0)</f>
        <v>0</v>
      </c>
      <c r="T210" s="24">
        <f ca="1">IFERROR(__xludf.DUMMYFUNCTION("""COMPUTED_VALUE"""),0)</f>
        <v>0</v>
      </c>
      <c r="U210" s="23">
        <f ca="1">IFERROR(__xludf.DUMMYFUNCTION("""COMPUTED_VALUE"""),0)</f>
        <v>0</v>
      </c>
      <c r="V210" s="23">
        <f ca="1">IFERROR(__xludf.DUMMYFUNCTION("""COMPUTED_VALUE"""),0)</f>
        <v>0</v>
      </c>
      <c r="W210" s="23">
        <f ca="1">IFERROR(__xludf.DUMMYFUNCTION("""COMPUTED_VALUE"""),0)</f>
        <v>0</v>
      </c>
      <c r="X210" s="23">
        <f ca="1">IFERROR(__xludf.DUMMYFUNCTION("""COMPUTED_VALUE"""),0)</f>
        <v>0</v>
      </c>
      <c r="Y210" s="25">
        <f ca="1">IFERROR(__xludf.DUMMYFUNCTION("""COMPUTED_VALUE"""),0)</f>
        <v>0</v>
      </c>
      <c r="Z210" s="25">
        <f ca="1">IFERROR(__xludf.DUMMYFUNCTION("""COMPUTED_VALUE"""),0)</f>
        <v>0</v>
      </c>
      <c r="AA210" s="25">
        <f ca="1">IFERROR(__xludf.DUMMYFUNCTION("""COMPUTED_VALUE"""),0)</f>
        <v>0</v>
      </c>
      <c r="AB210" s="25">
        <f ca="1">IFERROR(__xludf.DUMMYFUNCTION("""COMPUTED_VALUE"""),0)</f>
        <v>0</v>
      </c>
      <c r="AC210" s="23">
        <f ca="1">IFERROR(__xludf.DUMMYFUNCTION("""COMPUTED_VALUE"""),0)</f>
        <v>0</v>
      </c>
      <c r="AD210" s="26"/>
      <c r="AE210" s="27"/>
    </row>
    <row r="211" spans="1:31" ht="14.3">
      <c r="A211" s="6" t="str">
        <f ca="1">IFERROR(__xludf.DUMMYFUNCTION("""COMPUTED_VALUE"""),"23SDSCE01136")</f>
        <v>23SDSCE01136</v>
      </c>
      <c r="B211" s="37" t="str">
        <f ca="1">IFERROR(__xludf.DUMMYFUNCTION("""COMPUTED_VALUE"""),"JADAV NIRAJ KALPESHBHAI")</f>
        <v>JADAV NIRAJ KALPESHBHAI</v>
      </c>
      <c r="C211" s="18" t="str">
        <f ca="1">IFERROR(__xludf.DUMMYFUNCTION("""COMPUTED_VALUE"""),"SDS")</f>
        <v>SDS</v>
      </c>
      <c r="D211" s="18" t="str">
        <f ca="1">IFERROR(__xludf.DUMMYFUNCTION("""COMPUTED_VALUE"""),"DCE")</f>
        <v>DCE</v>
      </c>
      <c r="E211" s="18">
        <f ca="1">IFERROR(__xludf.DUMMYFUNCTION("""COMPUTED_VALUE"""),2)</f>
        <v>2</v>
      </c>
      <c r="F211" s="18" t="str">
        <f ca="1">IFERROR(__xludf.DUMMYFUNCTION("""COMPUTED_VALUE"""),"8849121143 9723038412")</f>
        <v>8849121143 9723038412</v>
      </c>
      <c r="G211" s="18" t="str">
        <f ca="1">IFERROR(__xludf.DUMMYFUNCTION("""COMPUTED_VALUE"""),"8849121143 9723038412")</f>
        <v>8849121143 9723038412</v>
      </c>
      <c r="H211" s="6" t="str">
        <f ca="1">IFERROR(__xludf.DUMMYFUNCTION("""COMPUTED_VALUE"""),"DCE_2023-26")</f>
        <v>DCE_2023-26</v>
      </c>
      <c r="I211" s="20" t="str">
        <f ca="1">IFERROR(__xludf.DUMMYFUNCTION("""COMPUTED_VALUE"""),"KSP")</f>
        <v>KSP</v>
      </c>
      <c r="J211" s="21">
        <f ca="1">IFERROR(__xludf.DUMMYFUNCTION("""COMPUTED_VALUE"""),27500)</f>
        <v>27500</v>
      </c>
      <c r="K211" s="21">
        <f ca="1">IFERROR(__xludf.DUMMYFUNCTION("""COMPUTED_VALUE"""),21250)</f>
        <v>21250</v>
      </c>
      <c r="L211" s="21">
        <f ca="1">IFERROR(__xludf.DUMMYFUNCTION("""COMPUTED_VALUE"""),0)</f>
        <v>0</v>
      </c>
      <c r="M211" s="23">
        <f ca="1">IFERROR(__xludf.DUMMYFUNCTION("""COMPUTED_VALUE"""),6250)</f>
        <v>6250</v>
      </c>
      <c r="N211" s="21">
        <f ca="1">IFERROR(__xludf.DUMMYFUNCTION("""COMPUTED_VALUE"""),0)</f>
        <v>0</v>
      </c>
      <c r="O211" s="21">
        <f ca="1">IFERROR(__xludf.DUMMYFUNCTION("""COMPUTED_VALUE"""),3000)</f>
        <v>3000</v>
      </c>
      <c r="P211" s="21">
        <f ca="1">IFERROR(__xludf.DUMMYFUNCTION("""COMPUTED_VALUE"""),3000)</f>
        <v>3000</v>
      </c>
      <c r="Q211" s="23">
        <f ca="1">IFERROR(__xludf.DUMMYFUNCTION("""COMPUTED_VALUE"""),0)</f>
        <v>0</v>
      </c>
      <c r="R211" s="24">
        <f ca="1">IFERROR(__xludf.DUMMYFUNCTION("""COMPUTED_VALUE"""),0)</f>
        <v>0</v>
      </c>
      <c r="S211" s="23">
        <f ca="1">IFERROR(__xludf.DUMMYFUNCTION("""COMPUTED_VALUE"""),0)</f>
        <v>0</v>
      </c>
      <c r="T211" s="24">
        <f ca="1">IFERROR(__xludf.DUMMYFUNCTION("""COMPUTED_VALUE"""),0)</f>
        <v>0</v>
      </c>
      <c r="U211" s="23">
        <f ca="1">IFERROR(__xludf.DUMMYFUNCTION("""COMPUTED_VALUE"""),0)</f>
        <v>0</v>
      </c>
      <c r="V211" s="23">
        <f ca="1">IFERROR(__xludf.DUMMYFUNCTION("""COMPUTED_VALUE"""),0)</f>
        <v>0</v>
      </c>
      <c r="W211" s="23">
        <f ca="1">IFERROR(__xludf.DUMMYFUNCTION("""COMPUTED_VALUE"""),0)</f>
        <v>0</v>
      </c>
      <c r="X211" s="23">
        <f ca="1">IFERROR(__xludf.DUMMYFUNCTION("""COMPUTED_VALUE"""),0)</f>
        <v>0</v>
      </c>
      <c r="Y211" s="25">
        <f ca="1">IFERROR(__xludf.DUMMYFUNCTION("""COMPUTED_VALUE"""),0)</f>
        <v>0</v>
      </c>
      <c r="Z211" s="25">
        <f ca="1">IFERROR(__xludf.DUMMYFUNCTION("""COMPUTED_VALUE"""),0)</f>
        <v>0</v>
      </c>
      <c r="AA211" s="25">
        <f ca="1">IFERROR(__xludf.DUMMYFUNCTION("""COMPUTED_VALUE"""),0)</f>
        <v>0</v>
      </c>
      <c r="AB211" s="25">
        <f ca="1">IFERROR(__xludf.DUMMYFUNCTION("""COMPUTED_VALUE"""),0)</f>
        <v>0</v>
      </c>
      <c r="AC211" s="23">
        <f ca="1">IFERROR(__xludf.DUMMYFUNCTION("""COMPUTED_VALUE"""),0)</f>
        <v>0</v>
      </c>
      <c r="AD211" s="26" t="str">
        <f ca="1">IFERROR(__xludf.DUMMYFUNCTION("""COMPUTED_VALUE"""),"KSPS ( 6250/- )")</f>
        <v>KSPS ( 6250/- )</v>
      </c>
      <c r="AE211" s="27"/>
    </row>
    <row r="212" spans="1:31" ht="14.3">
      <c r="A212" s="6" t="str">
        <f ca="1">IFERROR(__xludf.DUMMYFUNCTION("""COMPUTED_VALUE"""),"23SDSCE01137")</f>
        <v>23SDSCE01137</v>
      </c>
      <c r="B212" s="37" t="str">
        <f ca="1">IFERROR(__xludf.DUMMYFUNCTION("""COMPUTED_VALUE"""),"KAILA ANAND DHARMENDRABHAI")</f>
        <v>KAILA ANAND DHARMENDRABHAI</v>
      </c>
      <c r="C212" s="18" t="str">
        <f ca="1">IFERROR(__xludf.DUMMYFUNCTION("""COMPUTED_VALUE"""),"SDS")</f>
        <v>SDS</v>
      </c>
      <c r="D212" s="18" t="str">
        <f ca="1">IFERROR(__xludf.DUMMYFUNCTION("""COMPUTED_VALUE"""),"DCE")</f>
        <v>DCE</v>
      </c>
      <c r="E212" s="18">
        <f ca="1">IFERROR(__xludf.DUMMYFUNCTION("""COMPUTED_VALUE"""),2)</f>
        <v>2</v>
      </c>
      <c r="F212" s="18" t="str">
        <f ca="1">IFERROR(__xludf.DUMMYFUNCTION("""COMPUTED_VALUE"""),"9173205130 9316120053")</f>
        <v>9173205130 9316120053</v>
      </c>
      <c r="G212" s="18" t="str">
        <f ca="1">IFERROR(__xludf.DUMMYFUNCTION("""COMPUTED_VALUE"""),"9173205130 9316120053")</f>
        <v>9173205130 9316120053</v>
      </c>
      <c r="H212" s="6" t="str">
        <f ca="1">IFERROR(__xludf.DUMMYFUNCTION("""COMPUTED_VALUE"""),"DCE_2023-26")</f>
        <v>DCE_2023-26</v>
      </c>
      <c r="I212" s="20"/>
      <c r="J212" s="21">
        <f ca="1">IFERROR(__xludf.DUMMYFUNCTION("""COMPUTED_VALUE"""),27500)</f>
        <v>27500</v>
      </c>
      <c r="K212" s="21">
        <f ca="1">IFERROR(__xludf.DUMMYFUNCTION("""COMPUTED_VALUE"""),0)</f>
        <v>0</v>
      </c>
      <c r="L212" s="21">
        <f ca="1">IFERROR(__xludf.DUMMYFUNCTION("""COMPUTED_VALUE"""),0)</f>
        <v>0</v>
      </c>
      <c r="M212" s="23">
        <f ca="1">IFERROR(__xludf.DUMMYFUNCTION("""COMPUTED_VALUE"""),0)</f>
        <v>0</v>
      </c>
      <c r="N212" s="21">
        <f ca="1">IFERROR(__xludf.DUMMYFUNCTION("""COMPUTED_VALUE"""),27500)</f>
        <v>27500</v>
      </c>
      <c r="O212" s="21">
        <f ca="1">IFERROR(__xludf.DUMMYFUNCTION("""COMPUTED_VALUE"""),3000)</f>
        <v>3000</v>
      </c>
      <c r="P212" s="21">
        <f ca="1">IFERROR(__xludf.DUMMYFUNCTION("""COMPUTED_VALUE"""),0)</f>
        <v>0</v>
      </c>
      <c r="Q212" s="23">
        <f ca="1">IFERROR(__xludf.DUMMYFUNCTION("""COMPUTED_VALUE"""),0)</f>
        <v>0</v>
      </c>
      <c r="R212" s="24">
        <f ca="1">IFERROR(__xludf.DUMMYFUNCTION("""COMPUTED_VALUE"""),0)</f>
        <v>0</v>
      </c>
      <c r="S212" s="23">
        <f ca="1">IFERROR(__xludf.DUMMYFUNCTION("""COMPUTED_VALUE"""),3000)</f>
        <v>3000</v>
      </c>
      <c r="T212" s="24">
        <f ca="1">IFERROR(__xludf.DUMMYFUNCTION("""COMPUTED_VALUE"""),0)</f>
        <v>0</v>
      </c>
      <c r="U212" s="23">
        <f ca="1">IFERROR(__xludf.DUMMYFUNCTION("""COMPUTED_VALUE"""),0)</f>
        <v>0</v>
      </c>
      <c r="V212" s="23">
        <f ca="1">IFERROR(__xludf.DUMMYFUNCTION("""COMPUTED_VALUE"""),0)</f>
        <v>0</v>
      </c>
      <c r="W212" s="23">
        <f ca="1">IFERROR(__xludf.DUMMYFUNCTION("""COMPUTED_VALUE"""),0)</f>
        <v>0</v>
      </c>
      <c r="X212" s="23">
        <f ca="1">IFERROR(__xludf.DUMMYFUNCTION("""COMPUTED_VALUE"""),0)</f>
        <v>0</v>
      </c>
      <c r="Y212" s="25">
        <f ca="1">IFERROR(__xludf.DUMMYFUNCTION("""COMPUTED_VALUE"""),0)</f>
        <v>0</v>
      </c>
      <c r="Z212" s="25">
        <f ca="1">IFERROR(__xludf.DUMMYFUNCTION("""COMPUTED_VALUE"""),0)</f>
        <v>0</v>
      </c>
      <c r="AA212" s="25">
        <f ca="1">IFERROR(__xludf.DUMMYFUNCTION("""COMPUTED_VALUE"""),0)</f>
        <v>0</v>
      </c>
      <c r="AB212" s="25">
        <f ca="1">IFERROR(__xludf.DUMMYFUNCTION("""COMPUTED_VALUE"""),0)</f>
        <v>0</v>
      </c>
      <c r="AC212" s="23">
        <f ca="1">IFERROR(__xludf.DUMMYFUNCTION("""COMPUTED_VALUE"""),0)</f>
        <v>0</v>
      </c>
      <c r="AD212" s="26"/>
      <c r="AE212" s="27"/>
    </row>
    <row r="213" spans="1:31" ht="14.3">
      <c r="A213" s="6" t="str">
        <f ca="1">IFERROR(__xludf.DUMMYFUNCTION("""COMPUTED_VALUE"""),"23SDSCE01138")</f>
        <v>23SDSCE01138</v>
      </c>
      <c r="B213" s="37" t="str">
        <f ca="1">IFERROR(__xludf.DUMMYFUNCTION("""COMPUTED_VALUE"""),"MEGHPARA HIT KAUSHIK")</f>
        <v>MEGHPARA HIT KAUSHIK</v>
      </c>
      <c r="C213" s="18" t="str">
        <f ca="1">IFERROR(__xludf.DUMMYFUNCTION("""COMPUTED_VALUE"""),"SDS")</f>
        <v>SDS</v>
      </c>
      <c r="D213" s="18" t="str">
        <f ca="1">IFERROR(__xludf.DUMMYFUNCTION("""COMPUTED_VALUE"""),"DCE")</f>
        <v>DCE</v>
      </c>
      <c r="E213" s="18">
        <f ca="1">IFERROR(__xludf.DUMMYFUNCTION("""COMPUTED_VALUE"""),2)</f>
        <v>2</v>
      </c>
      <c r="F213" s="18" t="str">
        <f ca="1">IFERROR(__xludf.DUMMYFUNCTION("""COMPUTED_VALUE"""),"8849225672 9712964301")</f>
        <v>8849225672 9712964301</v>
      </c>
      <c r="G213" s="18" t="str">
        <f ca="1">IFERROR(__xludf.DUMMYFUNCTION("""COMPUTED_VALUE"""),"8849225672 9712964301")</f>
        <v>8849225672 9712964301</v>
      </c>
      <c r="H213" s="6" t="str">
        <f ca="1">IFERROR(__xludf.DUMMYFUNCTION("""COMPUTED_VALUE"""),"DCE_2023-26")</f>
        <v>DCE_2023-26</v>
      </c>
      <c r="I213" s="20"/>
      <c r="J213" s="21">
        <f ca="1">IFERROR(__xludf.DUMMYFUNCTION("""COMPUTED_VALUE"""),27500)</f>
        <v>27500</v>
      </c>
      <c r="K213" s="21">
        <f ca="1">IFERROR(__xludf.DUMMYFUNCTION("""COMPUTED_VALUE"""),27500)</f>
        <v>27500</v>
      </c>
      <c r="L213" s="21">
        <f ca="1">IFERROR(__xludf.DUMMYFUNCTION("""COMPUTED_VALUE"""),0)</f>
        <v>0</v>
      </c>
      <c r="M213" s="23">
        <f ca="1">IFERROR(__xludf.DUMMYFUNCTION("""COMPUTED_VALUE"""),0)</f>
        <v>0</v>
      </c>
      <c r="N213" s="21">
        <f ca="1">IFERROR(__xludf.DUMMYFUNCTION("""COMPUTED_VALUE"""),0)</f>
        <v>0</v>
      </c>
      <c r="O213" s="21">
        <f ca="1">IFERROR(__xludf.DUMMYFUNCTION("""COMPUTED_VALUE"""),3000)</f>
        <v>3000</v>
      </c>
      <c r="P213" s="21">
        <f ca="1">IFERROR(__xludf.DUMMYFUNCTION("""COMPUTED_VALUE"""),3000)</f>
        <v>3000</v>
      </c>
      <c r="Q213" s="23">
        <f ca="1">IFERROR(__xludf.DUMMYFUNCTION("""COMPUTED_VALUE"""),0)</f>
        <v>0</v>
      </c>
      <c r="R213" s="24">
        <f ca="1">IFERROR(__xludf.DUMMYFUNCTION("""COMPUTED_VALUE"""),0)</f>
        <v>0</v>
      </c>
      <c r="S213" s="23">
        <f ca="1">IFERROR(__xludf.DUMMYFUNCTION("""COMPUTED_VALUE"""),0)</f>
        <v>0</v>
      </c>
      <c r="T213" s="24">
        <f ca="1">IFERROR(__xludf.DUMMYFUNCTION("""COMPUTED_VALUE"""),0)</f>
        <v>0</v>
      </c>
      <c r="U213" s="23">
        <f ca="1">IFERROR(__xludf.DUMMYFUNCTION("""COMPUTED_VALUE"""),0)</f>
        <v>0</v>
      </c>
      <c r="V213" s="23">
        <f ca="1">IFERROR(__xludf.DUMMYFUNCTION("""COMPUTED_VALUE"""),0)</f>
        <v>0</v>
      </c>
      <c r="W213" s="23">
        <f ca="1">IFERROR(__xludf.DUMMYFUNCTION("""COMPUTED_VALUE"""),0)</f>
        <v>0</v>
      </c>
      <c r="X213" s="23">
        <f ca="1">IFERROR(__xludf.DUMMYFUNCTION("""COMPUTED_VALUE"""),0)</f>
        <v>0</v>
      </c>
      <c r="Y213" s="25">
        <f ca="1">IFERROR(__xludf.DUMMYFUNCTION("""COMPUTED_VALUE"""),0)</f>
        <v>0</v>
      </c>
      <c r="Z213" s="25">
        <f ca="1">IFERROR(__xludf.DUMMYFUNCTION("""COMPUTED_VALUE"""),0)</f>
        <v>0</v>
      </c>
      <c r="AA213" s="25">
        <f ca="1">IFERROR(__xludf.DUMMYFUNCTION("""COMPUTED_VALUE"""),0)</f>
        <v>0</v>
      </c>
      <c r="AB213" s="25">
        <f ca="1">IFERROR(__xludf.DUMMYFUNCTION("""COMPUTED_VALUE"""),0)</f>
        <v>0</v>
      </c>
      <c r="AC213" s="23">
        <f ca="1">IFERROR(__xludf.DUMMYFUNCTION("""COMPUTED_VALUE"""),0)</f>
        <v>0</v>
      </c>
      <c r="AD213" s="26"/>
      <c r="AE213" s="27"/>
    </row>
    <row r="214" spans="1:31" ht="14.3">
      <c r="A214" s="6" t="str">
        <f ca="1">IFERROR(__xludf.DUMMYFUNCTION("""COMPUTED_VALUE"""),"23SDSCE01139")</f>
        <v>23SDSCE01139</v>
      </c>
      <c r="B214" s="37" t="str">
        <f ca="1">IFERROR(__xludf.DUMMYFUNCTION("""COMPUTED_VALUE"""),"METAR MAHMADSADAB ARIFBHAI")</f>
        <v>METAR MAHMADSADAB ARIFBHAI</v>
      </c>
      <c r="C214" s="18" t="str">
        <f ca="1">IFERROR(__xludf.DUMMYFUNCTION("""COMPUTED_VALUE"""),"SDS")</f>
        <v>SDS</v>
      </c>
      <c r="D214" s="18" t="str">
        <f ca="1">IFERROR(__xludf.DUMMYFUNCTION("""COMPUTED_VALUE"""),"DCE")</f>
        <v>DCE</v>
      </c>
      <c r="E214" s="18">
        <f ca="1">IFERROR(__xludf.DUMMYFUNCTION("""COMPUTED_VALUE"""),2)</f>
        <v>2</v>
      </c>
      <c r="F214" s="18" t="str">
        <f ca="1">IFERROR(__xludf.DUMMYFUNCTION("""COMPUTED_VALUE"""),"9426054489 9426834489")</f>
        <v>9426054489 9426834489</v>
      </c>
      <c r="G214" s="18" t="str">
        <f ca="1">IFERROR(__xludf.DUMMYFUNCTION("""COMPUTED_VALUE"""),"9426054489 9426834489")</f>
        <v>9426054489 9426834489</v>
      </c>
      <c r="H214" s="6" t="str">
        <f ca="1">IFERROR(__xludf.DUMMYFUNCTION("""COMPUTED_VALUE"""),"DCE_2023-26")</f>
        <v>DCE_2023-26</v>
      </c>
      <c r="I214" s="20"/>
      <c r="J214" s="21">
        <f ca="1">IFERROR(__xludf.DUMMYFUNCTION("""COMPUTED_VALUE"""),27500)</f>
        <v>27500</v>
      </c>
      <c r="K214" s="21">
        <f ca="1">IFERROR(__xludf.DUMMYFUNCTION("""COMPUTED_VALUE"""),27500)</f>
        <v>27500</v>
      </c>
      <c r="L214" s="21">
        <f ca="1">IFERROR(__xludf.DUMMYFUNCTION("""COMPUTED_VALUE"""),0)</f>
        <v>0</v>
      </c>
      <c r="M214" s="23">
        <f ca="1">IFERROR(__xludf.DUMMYFUNCTION("""COMPUTED_VALUE"""),0)</f>
        <v>0</v>
      </c>
      <c r="N214" s="21">
        <f ca="1">IFERROR(__xludf.DUMMYFUNCTION("""COMPUTED_VALUE"""),0)</f>
        <v>0</v>
      </c>
      <c r="O214" s="21">
        <f ca="1">IFERROR(__xludf.DUMMYFUNCTION("""COMPUTED_VALUE"""),3000)</f>
        <v>3000</v>
      </c>
      <c r="P214" s="21">
        <f ca="1">IFERROR(__xludf.DUMMYFUNCTION("""COMPUTED_VALUE"""),3000)</f>
        <v>3000</v>
      </c>
      <c r="Q214" s="23">
        <f ca="1">IFERROR(__xludf.DUMMYFUNCTION("""COMPUTED_VALUE"""),0)</f>
        <v>0</v>
      </c>
      <c r="R214" s="24">
        <f ca="1">IFERROR(__xludf.DUMMYFUNCTION("""COMPUTED_VALUE"""),0)</f>
        <v>0</v>
      </c>
      <c r="S214" s="23">
        <f ca="1">IFERROR(__xludf.DUMMYFUNCTION("""COMPUTED_VALUE"""),0)</f>
        <v>0</v>
      </c>
      <c r="T214" s="24">
        <f ca="1">IFERROR(__xludf.DUMMYFUNCTION("""COMPUTED_VALUE"""),0)</f>
        <v>0</v>
      </c>
      <c r="U214" s="23">
        <f ca="1">IFERROR(__xludf.DUMMYFUNCTION("""COMPUTED_VALUE"""),0)</f>
        <v>0</v>
      </c>
      <c r="V214" s="23">
        <f ca="1">IFERROR(__xludf.DUMMYFUNCTION("""COMPUTED_VALUE"""),0)</f>
        <v>0</v>
      </c>
      <c r="W214" s="23">
        <f ca="1">IFERROR(__xludf.DUMMYFUNCTION("""COMPUTED_VALUE"""),0)</f>
        <v>0</v>
      </c>
      <c r="X214" s="23">
        <f ca="1">IFERROR(__xludf.DUMMYFUNCTION("""COMPUTED_VALUE"""),0)</f>
        <v>0</v>
      </c>
      <c r="Y214" s="25">
        <f ca="1">IFERROR(__xludf.DUMMYFUNCTION("""COMPUTED_VALUE"""),0)</f>
        <v>0</v>
      </c>
      <c r="Z214" s="25">
        <f ca="1">IFERROR(__xludf.DUMMYFUNCTION("""COMPUTED_VALUE"""),0)</f>
        <v>0</v>
      </c>
      <c r="AA214" s="25">
        <f ca="1">IFERROR(__xludf.DUMMYFUNCTION("""COMPUTED_VALUE"""),0)</f>
        <v>0</v>
      </c>
      <c r="AB214" s="25">
        <f ca="1">IFERROR(__xludf.DUMMYFUNCTION("""COMPUTED_VALUE"""),0)</f>
        <v>0</v>
      </c>
      <c r="AC214" s="23">
        <f ca="1">IFERROR(__xludf.DUMMYFUNCTION("""COMPUTED_VALUE"""),0)</f>
        <v>0</v>
      </c>
      <c r="AD214" s="26"/>
      <c r="AE214" s="27"/>
    </row>
    <row r="215" spans="1:31" ht="14.3">
      <c r="A215" s="6" t="str">
        <f ca="1">IFERROR(__xludf.DUMMYFUNCTION("""COMPUTED_VALUE"""),"23SDSCE01140")</f>
        <v>23SDSCE01140</v>
      </c>
      <c r="B215" s="37" t="str">
        <f ca="1">IFERROR(__xludf.DUMMYFUNCTION("""COMPUTED_VALUE"""),"MONPARA SUJIT SAMIRBHAI")</f>
        <v>MONPARA SUJIT SAMIRBHAI</v>
      </c>
      <c r="C215" s="18" t="str">
        <f ca="1">IFERROR(__xludf.DUMMYFUNCTION("""COMPUTED_VALUE"""),"SDS")</f>
        <v>SDS</v>
      </c>
      <c r="D215" s="18" t="str">
        <f ca="1">IFERROR(__xludf.DUMMYFUNCTION("""COMPUTED_VALUE"""),"DCE")</f>
        <v>DCE</v>
      </c>
      <c r="E215" s="18">
        <f ca="1">IFERROR(__xludf.DUMMYFUNCTION("""COMPUTED_VALUE"""),2)</f>
        <v>2</v>
      </c>
      <c r="F215" s="18" t="str">
        <f ca="1">IFERROR(__xludf.DUMMYFUNCTION("""COMPUTED_VALUE"""),"7383510570 9879949988")</f>
        <v>7383510570 9879949988</v>
      </c>
      <c r="G215" s="18" t="str">
        <f ca="1">IFERROR(__xludf.DUMMYFUNCTION("""COMPUTED_VALUE"""),"7383510570 9879949988")</f>
        <v>7383510570 9879949988</v>
      </c>
      <c r="H215" s="6" t="str">
        <f ca="1">IFERROR(__xludf.DUMMYFUNCTION("""COMPUTED_VALUE"""),"DCE_2023-26")</f>
        <v>DCE_2023-26</v>
      </c>
      <c r="I215" s="20"/>
      <c r="J215" s="21">
        <f ca="1">IFERROR(__xludf.DUMMYFUNCTION("""COMPUTED_VALUE"""),27500)</f>
        <v>27500</v>
      </c>
      <c r="K215" s="21">
        <f ca="1">IFERROR(__xludf.DUMMYFUNCTION("""COMPUTED_VALUE"""),27500)</f>
        <v>27500</v>
      </c>
      <c r="L215" s="21">
        <f ca="1">IFERROR(__xludf.DUMMYFUNCTION("""COMPUTED_VALUE"""),0)</f>
        <v>0</v>
      </c>
      <c r="M215" s="23">
        <f ca="1">IFERROR(__xludf.DUMMYFUNCTION("""COMPUTED_VALUE"""),0)</f>
        <v>0</v>
      </c>
      <c r="N215" s="21">
        <f ca="1">IFERROR(__xludf.DUMMYFUNCTION("""COMPUTED_VALUE"""),0)</f>
        <v>0</v>
      </c>
      <c r="O215" s="21">
        <f ca="1">IFERROR(__xludf.DUMMYFUNCTION("""COMPUTED_VALUE"""),3000)</f>
        <v>3000</v>
      </c>
      <c r="P215" s="21">
        <f ca="1">IFERROR(__xludf.DUMMYFUNCTION("""COMPUTED_VALUE"""),3000)</f>
        <v>3000</v>
      </c>
      <c r="Q215" s="23">
        <f ca="1">IFERROR(__xludf.DUMMYFUNCTION("""COMPUTED_VALUE"""),0)</f>
        <v>0</v>
      </c>
      <c r="R215" s="24">
        <f ca="1">IFERROR(__xludf.DUMMYFUNCTION("""COMPUTED_VALUE"""),0)</f>
        <v>0</v>
      </c>
      <c r="S215" s="23">
        <f ca="1">IFERROR(__xludf.DUMMYFUNCTION("""COMPUTED_VALUE"""),0)</f>
        <v>0</v>
      </c>
      <c r="T215" s="24">
        <f ca="1">IFERROR(__xludf.DUMMYFUNCTION("""COMPUTED_VALUE"""),0)</f>
        <v>0</v>
      </c>
      <c r="U215" s="23">
        <f ca="1">IFERROR(__xludf.DUMMYFUNCTION("""COMPUTED_VALUE"""),0)</f>
        <v>0</v>
      </c>
      <c r="V215" s="23">
        <f ca="1">IFERROR(__xludf.DUMMYFUNCTION("""COMPUTED_VALUE"""),0)</f>
        <v>0</v>
      </c>
      <c r="W215" s="23">
        <f ca="1">IFERROR(__xludf.DUMMYFUNCTION("""COMPUTED_VALUE"""),0)</f>
        <v>0</v>
      </c>
      <c r="X215" s="23">
        <f ca="1">IFERROR(__xludf.DUMMYFUNCTION("""COMPUTED_VALUE"""),0)</f>
        <v>0</v>
      </c>
      <c r="Y215" s="25">
        <f ca="1">IFERROR(__xludf.DUMMYFUNCTION("""COMPUTED_VALUE"""),0)</f>
        <v>0</v>
      </c>
      <c r="Z215" s="25">
        <f ca="1">IFERROR(__xludf.DUMMYFUNCTION("""COMPUTED_VALUE"""),0)</f>
        <v>0</v>
      </c>
      <c r="AA215" s="25">
        <f ca="1">IFERROR(__xludf.DUMMYFUNCTION("""COMPUTED_VALUE"""),0)</f>
        <v>0</v>
      </c>
      <c r="AB215" s="25">
        <f ca="1">IFERROR(__xludf.DUMMYFUNCTION("""COMPUTED_VALUE"""),0)</f>
        <v>0</v>
      </c>
      <c r="AC215" s="23">
        <f ca="1">IFERROR(__xludf.DUMMYFUNCTION("""COMPUTED_VALUE"""),0)</f>
        <v>0</v>
      </c>
      <c r="AD215" s="26"/>
      <c r="AE215" s="27"/>
    </row>
    <row r="216" spans="1:31" ht="14.3">
      <c r="A216" s="6" t="str">
        <f ca="1">IFERROR(__xludf.DUMMYFUNCTION("""COMPUTED_VALUE"""),"23SDSCE01141")</f>
        <v>23SDSCE01141</v>
      </c>
      <c r="B216" s="37" t="str">
        <f ca="1">IFERROR(__xludf.DUMMYFUNCTION("""COMPUTED_VALUE"""),"NAGAR HET MANISHBHAI")</f>
        <v>NAGAR HET MANISHBHAI</v>
      </c>
      <c r="C216" s="18" t="str">
        <f ca="1">IFERROR(__xludf.DUMMYFUNCTION("""COMPUTED_VALUE"""),"SDS")</f>
        <v>SDS</v>
      </c>
      <c r="D216" s="18" t="str">
        <f ca="1">IFERROR(__xludf.DUMMYFUNCTION("""COMPUTED_VALUE"""),"DCE")</f>
        <v>DCE</v>
      </c>
      <c r="E216" s="18">
        <f ca="1">IFERROR(__xludf.DUMMYFUNCTION("""COMPUTED_VALUE"""),2)</f>
        <v>2</v>
      </c>
      <c r="F216" s="18" t="str">
        <f ca="1">IFERROR(__xludf.DUMMYFUNCTION("""COMPUTED_VALUE"""),"9904761233 9825699741")</f>
        <v>9904761233 9825699741</v>
      </c>
      <c r="G216" s="18" t="str">
        <f ca="1">IFERROR(__xludf.DUMMYFUNCTION("""COMPUTED_VALUE"""),"9904761233 9825699741")</f>
        <v>9904761233 9825699741</v>
      </c>
      <c r="H216" s="6" t="str">
        <f ca="1">IFERROR(__xludf.DUMMYFUNCTION("""COMPUTED_VALUE"""),"DCE_2023-26")</f>
        <v>DCE_2023-26</v>
      </c>
      <c r="I216" s="20"/>
      <c r="J216" s="21">
        <f ca="1">IFERROR(__xludf.DUMMYFUNCTION("""COMPUTED_VALUE"""),27500)</f>
        <v>27500</v>
      </c>
      <c r="K216" s="21">
        <f ca="1">IFERROR(__xludf.DUMMYFUNCTION("""COMPUTED_VALUE"""),27500)</f>
        <v>27500</v>
      </c>
      <c r="L216" s="21">
        <f ca="1">IFERROR(__xludf.DUMMYFUNCTION("""COMPUTED_VALUE"""),0)</f>
        <v>0</v>
      </c>
      <c r="M216" s="23">
        <f ca="1">IFERROR(__xludf.DUMMYFUNCTION("""COMPUTED_VALUE"""),0)</f>
        <v>0</v>
      </c>
      <c r="N216" s="21">
        <f ca="1">IFERROR(__xludf.DUMMYFUNCTION("""COMPUTED_VALUE"""),0)</f>
        <v>0</v>
      </c>
      <c r="O216" s="21">
        <f ca="1">IFERROR(__xludf.DUMMYFUNCTION("""COMPUTED_VALUE"""),3000)</f>
        <v>3000</v>
      </c>
      <c r="P216" s="21">
        <f ca="1">IFERROR(__xludf.DUMMYFUNCTION("""COMPUTED_VALUE"""),3000)</f>
        <v>3000</v>
      </c>
      <c r="Q216" s="23">
        <f ca="1">IFERROR(__xludf.DUMMYFUNCTION("""COMPUTED_VALUE"""),0)</f>
        <v>0</v>
      </c>
      <c r="R216" s="24">
        <f ca="1">IFERROR(__xludf.DUMMYFUNCTION("""COMPUTED_VALUE"""),0)</f>
        <v>0</v>
      </c>
      <c r="S216" s="23">
        <f ca="1">IFERROR(__xludf.DUMMYFUNCTION("""COMPUTED_VALUE"""),0)</f>
        <v>0</v>
      </c>
      <c r="T216" s="24">
        <f ca="1">IFERROR(__xludf.DUMMYFUNCTION("""COMPUTED_VALUE"""),0)</f>
        <v>0</v>
      </c>
      <c r="U216" s="23">
        <f ca="1">IFERROR(__xludf.DUMMYFUNCTION("""COMPUTED_VALUE"""),0)</f>
        <v>0</v>
      </c>
      <c r="V216" s="23">
        <f ca="1">IFERROR(__xludf.DUMMYFUNCTION("""COMPUTED_VALUE"""),0)</f>
        <v>0</v>
      </c>
      <c r="W216" s="23">
        <f ca="1">IFERROR(__xludf.DUMMYFUNCTION("""COMPUTED_VALUE"""),0)</f>
        <v>0</v>
      </c>
      <c r="X216" s="23">
        <f ca="1">IFERROR(__xludf.DUMMYFUNCTION("""COMPUTED_VALUE"""),0)</f>
        <v>0</v>
      </c>
      <c r="Y216" s="25">
        <f ca="1">IFERROR(__xludf.DUMMYFUNCTION("""COMPUTED_VALUE"""),0)</f>
        <v>0</v>
      </c>
      <c r="Z216" s="25">
        <f ca="1">IFERROR(__xludf.DUMMYFUNCTION("""COMPUTED_VALUE"""),0)</f>
        <v>0</v>
      </c>
      <c r="AA216" s="25">
        <f ca="1">IFERROR(__xludf.DUMMYFUNCTION("""COMPUTED_VALUE"""),0)</f>
        <v>0</v>
      </c>
      <c r="AB216" s="25">
        <f ca="1">IFERROR(__xludf.DUMMYFUNCTION("""COMPUTED_VALUE"""),0)</f>
        <v>0</v>
      </c>
      <c r="AC216" s="23">
        <f ca="1">IFERROR(__xludf.DUMMYFUNCTION("""COMPUTED_VALUE"""),0)</f>
        <v>0</v>
      </c>
      <c r="AD216" s="26"/>
      <c r="AE216" s="27"/>
    </row>
    <row r="217" spans="1:31" ht="14.3">
      <c r="A217" s="6" t="str">
        <f ca="1">IFERROR(__xludf.DUMMYFUNCTION("""COMPUTED_VALUE"""),"23SDSCE01142")</f>
        <v>23SDSCE01142</v>
      </c>
      <c r="B217" s="37" t="str">
        <f ca="1">IFERROR(__xludf.DUMMYFUNCTION("""COMPUTED_VALUE"""),"NAKUM SAGAR CHETANBHAI")</f>
        <v>NAKUM SAGAR CHETANBHAI</v>
      </c>
      <c r="C217" s="18" t="str">
        <f ca="1">IFERROR(__xludf.DUMMYFUNCTION("""COMPUTED_VALUE"""),"SDS")</f>
        <v>SDS</v>
      </c>
      <c r="D217" s="18" t="str">
        <f ca="1">IFERROR(__xludf.DUMMYFUNCTION("""COMPUTED_VALUE"""),"DCE")</f>
        <v>DCE</v>
      </c>
      <c r="E217" s="18">
        <f ca="1">IFERROR(__xludf.DUMMYFUNCTION("""COMPUTED_VALUE"""),2)</f>
        <v>2</v>
      </c>
      <c r="F217" s="6" t="str">
        <f ca="1">IFERROR(__xludf.DUMMYFUNCTION("""COMPUTED_VALUE"""),"6354305942 9558769999")</f>
        <v>6354305942 9558769999</v>
      </c>
      <c r="G217" s="6" t="str">
        <f ca="1">IFERROR(__xludf.DUMMYFUNCTION("""COMPUTED_VALUE"""),"6354305942 9558769999")</f>
        <v>6354305942 9558769999</v>
      </c>
      <c r="H217" s="6" t="str">
        <f ca="1">IFERROR(__xludf.DUMMYFUNCTION("""COMPUTED_VALUE"""),"DCE_2023-26")</f>
        <v>DCE_2023-26</v>
      </c>
      <c r="I217" s="20"/>
      <c r="J217" s="21">
        <f ca="1">IFERROR(__xludf.DUMMYFUNCTION("""COMPUTED_VALUE"""),27500)</f>
        <v>27500</v>
      </c>
      <c r="K217" s="21">
        <f ca="1">IFERROR(__xludf.DUMMYFUNCTION("""COMPUTED_VALUE"""),27500)</f>
        <v>27500</v>
      </c>
      <c r="L217" s="21">
        <f ca="1">IFERROR(__xludf.DUMMYFUNCTION("""COMPUTED_VALUE"""),0)</f>
        <v>0</v>
      </c>
      <c r="M217" s="23">
        <f ca="1">IFERROR(__xludf.DUMMYFUNCTION("""COMPUTED_VALUE"""),0)</f>
        <v>0</v>
      </c>
      <c r="N217" s="21">
        <f ca="1">IFERROR(__xludf.DUMMYFUNCTION("""COMPUTED_VALUE"""),0)</f>
        <v>0</v>
      </c>
      <c r="O217" s="21">
        <f ca="1">IFERROR(__xludf.DUMMYFUNCTION("""COMPUTED_VALUE"""),3000)</f>
        <v>3000</v>
      </c>
      <c r="P217" s="21">
        <f ca="1">IFERROR(__xludf.DUMMYFUNCTION("""COMPUTED_VALUE"""),3000)</f>
        <v>3000</v>
      </c>
      <c r="Q217" s="23">
        <f ca="1">IFERROR(__xludf.DUMMYFUNCTION("""COMPUTED_VALUE"""),0)</f>
        <v>0</v>
      </c>
      <c r="R217" s="24">
        <f ca="1">IFERROR(__xludf.DUMMYFUNCTION("""COMPUTED_VALUE"""),0)</f>
        <v>0</v>
      </c>
      <c r="S217" s="23">
        <f ca="1">IFERROR(__xludf.DUMMYFUNCTION("""COMPUTED_VALUE"""),0)</f>
        <v>0</v>
      </c>
      <c r="T217" s="24">
        <f ca="1">IFERROR(__xludf.DUMMYFUNCTION("""COMPUTED_VALUE"""),0)</f>
        <v>0</v>
      </c>
      <c r="U217" s="23">
        <f ca="1">IFERROR(__xludf.DUMMYFUNCTION("""COMPUTED_VALUE"""),0)</f>
        <v>0</v>
      </c>
      <c r="V217" s="23">
        <f ca="1">IFERROR(__xludf.DUMMYFUNCTION("""COMPUTED_VALUE"""),0)</f>
        <v>0</v>
      </c>
      <c r="W217" s="23">
        <f ca="1">IFERROR(__xludf.DUMMYFUNCTION("""COMPUTED_VALUE"""),0)</f>
        <v>0</v>
      </c>
      <c r="X217" s="23">
        <f ca="1">IFERROR(__xludf.DUMMYFUNCTION("""COMPUTED_VALUE"""),0)</f>
        <v>0</v>
      </c>
      <c r="Y217" s="25">
        <f ca="1">IFERROR(__xludf.DUMMYFUNCTION("""COMPUTED_VALUE"""),0)</f>
        <v>0</v>
      </c>
      <c r="Z217" s="25">
        <f ca="1">IFERROR(__xludf.DUMMYFUNCTION("""COMPUTED_VALUE"""),0)</f>
        <v>0</v>
      </c>
      <c r="AA217" s="25">
        <f ca="1">IFERROR(__xludf.DUMMYFUNCTION("""COMPUTED_VALUE"""),0)</f>
        <v>0</v>
      </c>
      <c r="AB217" s="25">
        <f ca="1">IFERROR(__xludf.DUMMYFUNCTION("""COMPUTED_VALUE"""),0)</f>
        <v>0</v>
      </c>
      <c r="AC217" s="23">
        <f ca="1">IFERROR(__xludf.DUMMYFUNCTION("""COMPUTED_VALUE"""),0)</f>
        <v>0</v>
      </c>
      <c r="AD217" s="26"/>
      <c r="AE217" s="27"/>
    </row>
    <row r="218" spans="1:31" ht="14.3">
      <c r="A218" s="6" t="str">
        <f ca="1">IFERROR(__xludf.DUMMYFUNCTION("""COMPUTED_VALUE"""),"23SDSCE01143")</f>
        <v>23SDSCE01143</v>
      </c>
      <c r="B218" s="37" t="str">
        <f ca="1">IFERROR(__xludf.DUMMYFUNCTION("""COMPUTED_VALUE"""),"NANERA PUNITKUMAR SAMATBHAI")</f>
        <v>NANERA PUNITKUMAR SAMATBHAI</v>
      </c>
      <c r="C218" s="18" t="str">
        <f ca="1">IFERROR(__xludf.DUMMYFUNCTION("""COMPUTED_VALUE"""),"SDS")</f>
        <v>SDS</v>
      </c>
      <c r="D218" s="18" t="str">
        <f ca="1">IFERROR(__xludf.DUMMYFUNCTION("""COMPUTED_VALUE"""),"DCE")</f>
        <v>DCE</v>
      </c>
      <c r="E218" s="18">
        <f ca="1">IFERROR(__xludf.DUMMYFUNCTION("""COMPUTED_VALUE"""),2)</f>
        <v>2</v>
      </c>
      <c r="F218" s="6" t="str">
        <f ca="1">IFERROR(__xludf.DUMMYFUNCTION("""COMPUTED_VALUE"""),"9510518442 9624552902")</f>
        <v>9510518442 9624552902</v>
      </c>
      <c r="G218" s="6" t="str">
        <f ca="1">IFERROR(__xludf.DUMMYFUNCTION("""COMPUTED_VALUE"""),"9510518442 9624552902")</f>
        <v>9510518442 9624552902</v>
      </c>
      <c r="H218" s="6" t="str">
        <f ca="1">IFERROR(__xludf.DUMMYFUNCTION("""COMPUTED_VALUE"""),"DCE_2023-26")</f>
        <v>DCE_2023-26</v>
      </c>
      <c r="I218" s="20"/>
      <c r="J218" s="21">
        <f ca="1">IFERROR(__xludf.DUMMYFUNCTION("""COMPUTED_VALUE"""),27500)</f>
        <v>27500</v>
      </c>
      <c r="K218" s="21">
        <f ca="1">IFERROR(__xludf.DUMMYFUNCTION("""COMPUTED_VALUE"""),27500)</f>
        <v>27500</v>
      </c>
      <c r="L218" s="21">
        <f ca="1">IFERROR(__xludf.DUMMYFUNCTION("""COMPUTED_VALUE"""),0)</f>
        <v>0</v>
      </c>
      <c r="M218" s="23">
        <f ca="1">IFERROR(__xludf.DUMMYFUNCTION("""COMPUTED_VALUE"""),0)</f>
        <v>0</v>
      </c>
      <c r="N218" s="21">
        <f ca="1">IFERROR(__xludf.DUMMYFUNCTION("""COMPUTED_VALUE"""),0)</f>
        <v>0</v>
      </c>
      <c r="O218" s="21">
        <f ca="1">IFERROR(__xludf.DUMMYFUNCTION("""COMPUTED_VALUE"""),3000)</f>
        <v>3000</v>
      </c>
      <c r="P218" s="21">
        <f ca="1">IFERROR(__xludf.DUMMYFUNCTION("""COMPUTED_VALUE"""),3000)</f>
        <v>3000</v>
      </c>
      <c r="Q218" s="23">
        <f ca="1">IFERROR(__xludf.DUMMYFUNCTION("""COMPUTED_VALUE"""),0)</f>
        <v>0</v>
      </c>
      <c r="R218" s="24">
        <f ca="1">IFERROR(__xludf.DUMMYFUNCTION("""COMPUTED_VALUE"""),0)</f>
        <v>0</v>
      </c>
      <c r="S218" s="23">
        <f ca="1">IFERROR(__xludf.DUMMYFUNCTION("""COMPUTED_VALUE"""),0)</f>
        <v>0</v>
      </c>
      <c r="T218" s="24">
        <f ca="1">IFERROR(__xludf.DUMMYFUNCTION("""COMPUTED_VALUE"""),0)</f>
        <v>0</v>
      </c>
      <c r="U218" s="23">
        <f ca="1">IFERROR(__xludf.DUMMYFUNCTION("""COMPUTED_VALUE"""),0)</f>
        <v>0</v>
      </c>
      <c r="V218" s="23">
        <f ca="1">IFERROR(__xludf.DUMMYFUNCTION("""COMPUTED_VALUE"""),0)</f>
        <v>0</v>
      </c>
      <c r="W218" s="23">
        <f ca="1">IFERROR(__xludf.DUMMYFUNCTION("""COMPUTED_VALUE"""),0)</f>
        <v>0</v>
      </c>
      <c r="X218" s="23">
        <f ca="1">IFERROR(__xludf.DUMMYFUNCTION("""COMPUTED_VALUE"""),0)</f>
        <v>0</v>
      </c>
      <c r="Y218" s="25">
        <f ca="1">IFERROR(__xludf.DUMMYFUNCTION("""COMPUTED_VALUE"""),0)</f>
        <v>0</v>
      </c>
      <c r="Z218" s="25">
        <f ca="1">IFERROR(__xludf.DUMMYFUNCTION("""COMPUTED_VALUE"""),0)</f>
        <v>0</v>
      </c>
      <c r="AA218" s="25">
        <f ca="1">IFERROR(__xludf.DUMMYFUNCTION("""COMPUTED_VALUE"""),0)</f>
        <v>0</v>
      </c>
      <c r="AB218" s="25">
        <f ca="1">IFERROR(__xludf.DUMMYFUNCTION("""COMPUTED_VALUE"""),0)</f>
        <v>0</v>
      </c>
      <c r="AC218" s="23">
        <f ca="1">IFERROR(__xludf.DUMMYFUNCTION("""COMPUTED_VALUE"""),0)</f>
        <v>0</v>
      </c>
      <c r="AD218" s="26"/>
      <c r="AE218" s="27"/>
    </row>
    <row r="219" spans="1:31" ht="14.3">
      <c r="A219" s="6" t="str">
        <f ca="1">IFERROR(__xludf.DUMMYFUNCTION("""COMPUTED_VALUE"""),"23SDSCE01144")</f>
        <v>23SDSCE01144</v>
      </c>
      <c r="B219" s="37" t="str">
        <f ca="1">IFERROR(__xludf.DUMMYFUNCTION("""COMPUTED_VALUE"""),"VEDANT PANDYA")</f>
        <v>VEDANT PANDYA</v>
      </c>
      <c r="C219" s="18" t="str">
        <f ca="1">IFERROR(__xludf.DUMMYFUNCTION("""COMPUTED_VALUE"""),"SDS")</f>
        <v>SDS</v>
      </c>
      <c r="D219" s="18" t="str">
        <f ca="1">IFERROR(__xludf.DUMMYFUNCTION("""COMPUTED_VALUE"""),"DCE")</f>
        <v>DCE</v>
      </c>
      <c r="E219" s="18">
        <f ca="1">IFERROR(__xludf.DUMMYFUNCTION("""COMPUTED_VALUE"""),2)</f>
        <v>2</v>
      </c>
      <c r="F219" s="6" t="str">
        <f ca="1">IFERROR(__xludf.DUMMYFUNCTION("""COMPUTED_VALUE"""),"8866209920 6354343945")</f>
        <v>8866209920 6354343945</v>
      </c>
      <c r="G219" s="6" t="str">
        <f ca="1">IFERROR(__xludf.DUMMYFUNCTION("""COMPUTED_VALUE"""),"8866209920 6354343945")</f>
        <v>8866209920 6354343945</v>
      </c>
      <c r="H219" s="6" t="str">
        <f ca="1">IFERROR(__xludf.DUMMYFUNCTION("""COMPUTED_VALUE"""),"DCE_2023-26")</f>
        <v>DCE_2023-26</v>
      </c>
      <c r="I219" s="20"/>
      <c r="J219" s="21">
        <f ca="1">IFERROR(__xludf.DUMMYFUNCTION("""COMPUTED_VALUE"""),27500)</f>
        <v>27500</v>
      </c>
      <c r="K219" s="21">
        <f ca="1">IFERROR(__xludf.DUMMYFUNCTION("""COMPUTED_VALUE"""),27500)</f>
        <v>27500</v>
      </c>
      <c r="L219" s="21">
        <f ca="1">IFERROR(__xludf.DUMMYFUNCTION("""COMPUTED_VALUE"""),0)</f>
        <v>0</v>
      </c>
      <c r="M219" s="23">
        <f ca="1">IFERROR(__xludf.DUMMYFUNCTION("""COMPUTED_VALUE"""),0)</f>
        <v>0</v>
      </c>
      <c r="N219" s="21">
        <f ca="1">IFERROR(__xludf.DUMMYFUNCTION("""COMPUTED_VALUE"""),0)</f>
        <v>0</v>
      </c>
      <c r="O219" s="21">
        <f ca="1">IFERROR(__xludf.DUMMYFUNCTION("""COMPUTED_VALUE"""),3000)</f>
        <v>3000</v>
      </c>
      <c r="P219" s="21">
        <f ca="1">IFERROR(__xludf.DUMMYFUNCTION("""COMPUTED_VALUE"""),3000)</f>
        <v>3000</v>
      </c>
      <c r="Q219" s="23">
        <f ca="1">IFERROR(__xludf.DUMMYFUNCTION("""COMPUTED_VALUE"""),0)</f>
        <v>0</v>
      </c>
      <c r="R219" s="24">
        <f ca="1">IFERROR(__xludf.DUMMYFUNCTION("""COMPUTED_VALUE"""),0)</f>
        <v>0</v>
      </c>
      <c r="S219" s="23">
        <f ca="1">IFERROR(__xludf.DUMMYFUNCTION("""COMPUTED_VALUE"""),0)</f>
        <v>0</v>
      </c>
      <c r="T219" s="24">
        <f ca="1">IFERROR(__xludf.DUMMYFUNCTION("""COMPUTED_VALUE"""),0)</f>
        <v>0</v>
      </c>
      <c r="U219" s="23">
        <f ca="1">IFERROR(__xludf.DUMMYFUNCTION("""COMPUTED_VALUE"""),0)</f>
        <v>0</v>
      </c>
      <c r="V219" s="23">
        <f ca="1">IFERROR(__xludf.DUMMYFUNCTION("""COMPUTED_VALUE"""),0)</f>
        <v>0</v>
      </c>
      <c r="W219" s="23">
        <f ca="1">IFERROR(__xludf.DUMMYFUNCTION("""COMPUTED_VALUE"""),0)</f>
        <v>0</v>
      </c>
      <c r="X219" s="23">
        <f ca="1">IFERROR(__xludf.DUMMYFUNCTION("""COMPUTED_VALUE"""),0)</f>
        <v>0</v>
      </c>
      <c r="Y219" s="25">
        <f ca="1">IFERROR(__xludf.DUMMYFUNCTION("""COMPUTED_VALUE"""),0)</f>
        <v>0</v>
      </c>
      <c r="Z219" s="25">
        <f ca="1">IFERROR(__xludf.DUMMYFUNCTION("""COMPUTED_VALUE"""),0)</f>
        <v>0</v>
      </c>
      <c r="AA219" s="25">
        <f ca="1">IFERROR(__xludf.DUMMYFUNCTION("""COMPUTED_VALUE"""),0)</f>
        <v>0</v>
      </c>
      <c r="AB219" s="25">
        <f ca="1">IFERROR(__xludf.DUMMYFUNCTION("""COMPUTED_VALUE"""),0)</f>
        <v>0</v>
      </c>
      <c r="AC219" s="23">
        <f ca="1">IFERROR(__xludf.DUMMYFUNCTION("""COMPUTED_VALUE"""),0)</f>
        <v>0</v>
      </c>
      <c r="AD219" s="26"/>
      <c r="AE219" s="27"/>
    </row>
    <row r="220" spans="1:31" ht="14.3">
      <c r="A220" s="6" t="str">
        <f ca="1">IFERROR(__xludf.DUMMYFUNCTION("""COMPUTED_VALUE"""),"23SDSCE01145")</f>
        <v>23SDSCE01145</v>
      </c>
      <c r="B220" s="37" t="str">
        <f ca="1">IFERROR(__xludf.DUMMYFUNCTION("""COMPUTED_VALUE"""),"PANKHANIYA TUSHAR MUKESHBHAI")</f>
        <v>PANKHANIYA TUSHAR MUKESHBHAI</v>
      </c>
      <c r="C220" s="18" t="str">
        <f ca="1">IFERROR(__xludf.DUMMYFUNCTION("""COMPUTED_VALUE"""),"SDS")</f>
        <v>SDS</v>
      </c>
      <c r="D220" s="18" t="str">
        <f ca="1">IFERROR(__xludf.DUMMYFUNCTION("""COMPUTED_VALUE"""),"DCE")</f>
        <v>DCE</v>
      </c>
      <c r="E220" s="18">
        <f ca="1">IFERROR(__xludf.DUMMYFUNCTION("""COMPUTED_VALUE"""),2)</f>
        <v>2</v>
      </c>
      <c r="F220" s="6" t="str">
        <f ca="1">IFERROR(__xludf.DUMMYFUNCTION("""COMPUTED_VALUE"""),"8347598994")</f>
        <v>8347598994</v>
      </c>
      <c r="G220" s="6" t="str">
        <f ca="1">IFERROR(__xludf.DUMMYFUNCTION("""COMPUTED_VALUE"""),"8347598994")</f>
        <v>8347598994</v>
      </c>
      <c r="H220" s="6" t="str">
        <f ca="1">IFERROR(__xludf.DUMMYFUNCTION("""COMPUTED_VALUE"""),"DCE_2023-26")</f>
        <v>DCE_2023-26</v>
      </c>
      <c r="I220" s="20"/>
      <c r="J220" s="21">
        <f ca="1">IFERROR(__xludf.DUMMYFUNCTION("""COMPUTED_VALUE"""),27500)</f>
        <v>27500</v>
      </c>
      <c r="K220" s="21">
        <f ca="1">IFERROR(__xludf.DUMMYFUNCTION("""COMPUTED_VALUE"""),27500)</f>
        <v>27500</v>
      </c>
      <c r="L220" s="21">
        <f ca="1">IFERROR(__xludf.DUMMYFUNCTION("""COMPUTED_VALUE"""),0)</f>
        <v>0</v>
      </c>
      <c r="M220" s="23">
        <f ca="1">IFERROR(__xludf.DUMMYFUNCTION("""COMPUTED_VALUE"""),0)</f>
        <v>0</v>
      </c>
      <c r="N220" s="21">
        <f ca="1">IFERROR(__xludf.DUMMYFUNCTION("""COMPUTED_VALUE"""),0)</f>
        <v>0</v>
      </c>
      <c r="O220" s="21">
        <f ca="1">IFERROR(__xludf.DUMMYFUNCTION("""COMPUTED_VALUE"""),3000)</f>
        <v>3000</v>
      </c>
      <c r="P220" s="21">
        <f ca="1">IFERROR(__xludf.DUMMYFUNCTION("""COMPUTED_VALUE"""),3000)</f>
        <v>3000</v>
      </c>
      <c r="Q220" s="23">
        <f ca="1">IFERROR(__xludf.DUMMYFUNCTION("""COMPUTED_VALUE"""),0)</f>
        <v>0</v>
      </c>
      <c r="R220" s="24">
        <f ca="1">IFERROR(__xludf.DUMMYFUNCTION("""COMPUTED_VALUE"""),0)</f>
        <v>0</v>
      </c>
      <c r="S220" s="23">
        <f ca="1">IFERROR(__xludf.DUMMYFUNCTION("""COMPUTED_VALUE"""),0)</f>
        <v>0</v>
      </c>
      <c r="T220" s="24">
        <f ca="1">IFERROR(__xludf.DUMMYFUNCTION("""COMPUTED_VALUE"""),0)</f>
        <v>0</v>
      </c>
      <c r="U220" s="23">
        <f ca="1">IFERROR(__xludf.DUMMYFUNCTION("""COMPUTED_VALUE"""),0)</f>
        <v>0</v>
      </c>
      <c r="V220" s="23">
        <f ca="1">IFERROR(__xludf.DUMMYFUNCTION("""COMPUTED_VALUE"""),0)</f>
        <v>0</v>
      </c>
      <c r="W220" s="23">
        <f ca="1">IFERROR(__xludf.DUMMYFUNCTION("""COMPUTED_VALUE"""),0)</f>
        <v>0</v>
      </c>
      <c r="X220" s="23">
        <f ca="1">IFERROR(__xludf.DUMMYFUNCTION("""COMPUTED_VALUE"""),0)</f>
        <v>0</v>
      </c>
      <c r="Y220" s="25">
        <f ca="1">IFERROR(__xludf.DUMMYFUNCTION("""COMPUTED_VALUE"""),0)</f>
        <v>0</v>
      </c>
      <c r="Z220" s="25">
        <f ca="1">IFERROR(__xludf.DUMMYFUNCTION("""COMPUTED_VALUE"""),0)</f>
        <v>0</v>
      </c>
      <c r="AA220" s="25">
        <f ca="1">IFERROR(__xludf.DUMMYFUNCTION("""COMPUTED_VALUE"""),0)</f>
        <v>0</v>
      </c>
      <c r="AB220" s="25">
        <f ca="1">IFERROR(__xludf.DUMMYFUNCTION("""COMPUTED_VALUE"""),0)</f>
        <v>0</v>
      </c>
      <c r="AC220" s="23">
        <f ca="1">IFERROR(__xludf.DUMMYFUNCTION("""COMPUTED_VALUE"""),0)</f>
        <v>0</v>
      </c>
      <c r="AD220" s="26"/>
      <c r="AE220" s="27"/>
    </row>
    <row r="221" spans="1:31" ht="14.3">
      <c r="A221" s="6" t="str">
        <f ca="1">IFERROR(__xludf.DUMMYFUNCTION("""COMPUTED_VALUE"""),"23SDSCE01146")</f>
        <v>23SDSCE01146</v>
      </c>
      <c r="B221" s="37" t="str">
        <f ca="1">IFERROR(__xludf.DUMMYFUNCTION("""COMPUTED_VALUE"""),"SANEPARA TAKSH RAJESHBHAI")</f>
        <v>SANEPARA TAKSH RAJESHBHAI</v>
      </c>
      <c r="C221" s="18" t="str">
        <f ca="1">IFERROR(__xludf.DUMMYFUNCTION("""COMPUTED_VALUE"""),"SDS")</f>
        <v>SDS</v>
      </c>
      <c r="D221" s="18" t="str">
        <f ca="1">IFERROR(__xludf.DUMMYFUNCTION("""COMPUTED_VALUE"""),"DCE")</f>
        <v>DCE</v>
      </c>
      <c r="E221" s="18">
        <f ca="1">IFERROR(__xludf.DUMMYFUNCTION("""COMPUTED_VALUE"""),2)</f>
        <v>2</v>
      </c>
      <c r="F221" s="6" t="str">
        <f ca="1">IFERROR(__xludf.DUMMYFUNCTION("""COMPUTED_VALUE"""),"6351343892 9879270500")</f>
        <v>6351343892 9879270500</v>
      </c>
      <c r="G221" s="6" t="str">
        <f ca="1">IFERROR(__xludf.DUMMYFUNCTION("""COMPUTED_VALUE"""),"6351343892 9879270500")</f>
        <v>6351343892 9879270500</v>
      </c>
      <c r="H221" s="6" t="str">
        <f ca="1">IFERROR(__xludf.DUMMYFUNCTION("""COMPUTED_VALUE"""),"DCE_2023-26")</f>
        <v>DCE_2023-26</v>
      </c>
      <c r="I221" s="20"/>
      <c r="J221" s="21">
        <f ca="1">IFERROR(__xludf.DUMMYFUNCTION("""COMPUTED_VALUE"""),27500)</f>
        <v>27500</v>
      </c>
      <c r="K221" s="21">
        <f ca="1">IFERROR(__xludf.DUMMYFUNCTION("""COMPUTED_VALUE"""),27500)</f>
        <v>27500</v>
      </c>
      <c r="L221" s="21">
        <f ca="1">IFERROR(__xludf.DUMMYFUNCTION("""COMPUTED_VALUE"""),0)</f>
        <v>0</v>
      </c>
      <c r="M221" s="23">
        <f ca="1">IFERROR(__xludf.DUMMYFUNCTION("""COMPUTED_VALUE"""),0)</f>
        <v>0</v>
      </c>
      <c r="N221" s="21">
        <f ca="1">IFERROR(__xludf.DUMMYFUNCTION("""COMPUTED_VALUE"""),0)</f>
        <v>0</v>
      </c>
      <c r="O221" s="21">
        <f ca="1">IFERROR(__xludf.DUMMYFUNCTION("""COMPUTED_VALUE"""),3000)</f>
        <v>3000</v>
      </c>
      <c r="P221" s="21">
        <f ca="1">IFERROR(__xludf.DUMMYFUNCTION("""COMPUTED_VALUE"""),3000)</f>
        <v>3000</v>
      </c>
      <c r="Q221" s="23">
        <f ca="1">IFERROR(__xludf.DUMMYFUNCTION("""COMPUTED_VALUE"""),0)</f>
        <v>0</v>
      </c>
      <c r="R221" s="11">
        <f ca="1">IFERROR(__xludf.DUMMYFUNCTION("""COMPUTED_VALUE"""),0)</f>
        <v>0</v>
      </c>
      <c r="S221" s="23">
        <f ca="1">IFERROR(__xludf.DUMMYFUNCTION("""COMPUTED_VALUE"""),0)</f>
        <v>0</v>
      </c>
      <c r="T221" s="24">
        <f ca="1">IFERROR(__xludf.DUMMYFUNCTION("""COMPUTED_VALUE"""),0)</f>
        <v>0</v>
      </c>
      <c r="U221" s="23">
        <f ca="1">IFERROR(__xludf.DUMMYFUNCTION("""COMPUTED_VALUE"""),0)</f>
        <v>0</v>
      </c>
      <c r="V221" s="23">
        <f ca="1">IFERROR(__xludf.DUMMYFUNCTION("""COMPUTED_VALUE"""),0)</f>
        <v>0</v>
      </c>
      <c r="W221" s="23">
        <f ca="1">IFERROR(__xludf.DUMMYFUNCTION("""COMPUTED_VALUE"""),0)</f>
        <v>0</v>
      </c>
      <c r="X221" s="23">
        <f ca="1">IFERROR(__xludf.DUMMYFUNCTION("""COMPUTED_VALUE"""),0)</f>
        <v>0</v>
      </c>
      <c r="Y221" s="25">
        <f ca="1">IFERROR(__xludf.DUMMYFUNCTION("""COMPUTED_VALUE"""),0)</f>
        <v>0</v>
      </c>
      <c r="Z221" s="25">
        <f ca="1">IFERROR(__xludf.DUMMYFUNCTION("""COMPUTED_VALUE"""),0)</f>
        <v>0</v>
      </c>
      <c r="AA221" s="25">
        <f ca="1">IFERROR(__xludf.DUMMYFUNCTION("""COMPUTED_VALUE"""),0)</f>
        <v>0</v>
      </c>
      <c r="AB221" s="25">
        <f ca="1">IFERROR(__xludf.DUMMYFUNCTION("""COMPUTED_VALUE"""),0)</f>
        <v>0</v>
      </c>
      <c r="AC221" s="23">
        <f ca="1">IFERROR(__xludf.DUMMYFUNCTION("""COMPUTED_VALUE"""),0)</f>
        <v>0</v>
      </c>
      <c r="AD221" s="26"/>
      <c r="AE221" s="27"/>
    </row>
    <row r="222" spans="1:31" ht="14.3">
      <c r="A222" s="6" t="str">
        <f ca="1">IFERROR(__xludf.DUMMYFUNCTION("""COMPUTED_VALUE"""),"23SDSCE01147")</f>
        <v>23SDSCE01147</v>
      </c>
      <c r="B222" s="19" t="str">
        <f ca="1">IFERROR(__xludf.DUMMYFUNCTION("""COMPUTED_VALUE"""),"SANKHAVARA DHRUV MAGANBHAI")</f>
        <v>SANKHAVARA DHRUV MAGANBHAI</v>
      </c>
      <c r="C222" s="18" t="str">
        <f ca="1">IFERROR(__xludf.DUMMYFUNCTION("""COMPUTED_VALUE"""),"SDS")</f>
        <v>SDS</v>
      </c>
      <c r="D222" s="18" t="str">
        <f ca="1">IFERROR(__xludf.DUMMYFUNCTION("""COMPUTED_VALUE"""),"DCE")</f>
        <v>DCE</v>
      </c>
      <c r="E222" s="18">
        <f ca="1">IFERROR(__xludf.DUMMYFUNCTION("""COMPUTED_VALUE"""),2)</f>
        <v>2</v>
      </c>
      <c r="F222" s="6" t="str">
        <f ca="1">IFERROR(__xludf.DUMMYFUNCTION("""COMPUTED_VALUE"""),"7041784670 9998441115")</f>
        <v>7041784670 9998441115</v>
      </c>
      <c r="G222" s="6" t="str">
        <f ca="1">IFERROR(__xludf.DUMMYFUNCTION("""COMPUTED_VALUE"""),"7041784670 9998441115")</f>
        <v>7041784670 9998441115</v>
      </c>
      <c r="H222" s="6" t="str">
        <f ca="1">IFERROR(__xludf.DUMMYFUNCTION("""COMPUTED_VALUE"""),"DCE_2023-26")</f>
        <v>DCE_2023-26</v>
      </c>
      <c r="I222" s="20"/>
      <c r="J222" s="21">
        <f ca="1">IFERROR(__xludf.DUMMYFUNCTION("""COMPUTED_VALUE"""),27500)</f>
        <v>27500</v>
      </c>
      <c r="K222" s="21">
        <f ca="1">IFERROR(__xludf.DUMMYFUNCTION("""COMPUTED_VALUE"""),27500)</f>
        <v>27500</v>
      </c>
      <c r="L222" s="21">
        <f ca="1">IFERROR(__xludf.DUMMYFUNCTION("""COMPUTED_VALUE"""),0)</f>
        <v>0</v>
      </c>
      <c r="M222" s="23">
        <f ca="1">IFERROR(__xludf.DUMMYFUNCTION("""COMPUTED_VALUE"""),0)</f>
        <v>0</v>
      </c>
      <c r="N222" s="21">
        <f ca="1">IFERROR(__xludf.DUMMYFUNCTION("""COMPUTED_VALUE"""),0)</f>
        <v>0</v>
      </c>
      <c r="O222" s="21">
        <f ca="1">IFERROR(__xludf.DUMMYFUNCTION("""COMPUTED_VALUE"""),3000)</f>
        <v>3000</v>
      </c>
      <c r="P222" s="21">
        <f ca="1">IFERROR(__xludf.DUMMYFUNCTION("""COMPUTED_VALUE"""),3000)</f>
        <v>3000</v>
      </c>
      <c r="Q222" s="23">
        <f ca="1">IFERROR(__xludf.DUMMYFUNCTION("""COMPUTED_VALUE"""),0)</f>
        <v>0</v>
      </c>
      <c r="R222" s="24">
        <f ca="1">IFERROR(__xludf.DUMMYFUNCTION("""COMPUTED_VALUE"""),0)</f>
        <v>0</v>
      </c>
      <c r="S222" s="23">
        <f ca="1">IFERROR(__xludf.DUMMYFUNCTION("""COMPUTED_VALUE"""),0)</f>
        <v>0</v>
      </c>
      <c r="T222" s="24">
        <f ca="1">IFERROR(__xludf.DUMMYFUNCTION("""COMPUTED_VALUE"""),0)</f>
        <v>0</v>
      </c>
      <c r="U222" s="23">
        <f ca="1">IFERROR(__xludf.DUMMYFUNCTION("""COMPUTED_VALUE"""),0)</f>
        <v>0</v>
      </c>
      <c r="V222" s="23">
        <f ca="1">IFERROR(__xludf.DUMMYFUNCTION("""COMPUTED_VALUE"""),0)</f>
        <v>0</v>
      </c>
      <c r="W222" s="23">
        <f ca="1">IFERROR(__xludf.DUMMYFUNCTION("""COMPUTED_VALUE"""),0)</f>
        <v>0</v>
      </c>
      <c r="X222" s="23">
        <f ca="1">IFERROR(__xludf.DUMMYFUNCTION("""COMPUTED_VALUE"""),0)</f>
        <v>0</v>
      </c>
      <c r="Y222" s="25">
        <f ca="1">IFERROR(__xludf.DUMMYFUNCTION("""COMPUTED_VALUE"""),0)</f>
        <v>0</v>
      </c>
      <c r="Z222" s="25">
        <f ca="1">IFERROR(__xludf.DUMMYFUNCTION("""COMPUTED_VALUE"""),0)</f>
        <v>0</v>
      </c>
      <c r="AA222" s="25">
        <f ca="1">IFERROR(__xludf.DUMMYFUNCTION("""COMPUTED_VALUE"""),0)</f>
        <v>0</v>
      </c>
      <c r="AB222" s="25">
        <f ca="1">IFERROR(__xludf.DUMMYFUNCTION("""COMPUTED_VALUE"""),0)</f>
        <v>0</v>
      </c>
      <c r="AC222" s="23">
        <f ca="1">IFERROR(__xludf.DUMMYFUNCTION("""COMPUTED_VALUE"""),0)</f>
        <v>0</v>
      </c>
      <c r="AD222" s="26"/>
      <c r="AE222" s="27"/>
    </row>
    <row r="223" spans="1:31" ht="14.3">
      <c r="A223" s="18" t="str">
        <f ca="1">IFERROR(__xludf.DUMMYFUNCTION("""COMPUTED_VALUE"""),"23SDSCE01148")</f>
        <v>23SDSCE01148</v>
      </c>
      <c r="B223" s="19" t="str">
        <f ca="1">IFERROR(__xludf.DUMMYFUNCTION("""COMPUTED_VALUE"""),"TANK NIRAVKUMAR JATINBHAI")</f>
        <v>TANK NIRAVKUMAR JATINBHAI</v>
      </c>
      <c r="C223" s="18" t="str">
        <f ca="1">IFERROR(__xludf.DUMMYFUNCTION("""COMPUTED_VALUE"""),"SDS")</f>
        <v>SDS</v>
      </c>
      <c r="D223" s="18" t="str">
        <f ca="1">IFERROR(__xludf.DUMMYFUNCTION("""COMPUTED_VALUE"""),"DCE")</f>
        <v>DCE</v>
      </c>
      <c r="E223" s="25">
        <f ca="1">IFERROR(__xludf.DUMMYFUNCTION("""COMPUTED_VALUE"""),2)</f>
        <v>2</v>
      </c>
      <c r="F223" s="18" t="str">
        <f ca="1">IFERROR(__xludf.DUMMYFUNCTION("""COMPUTED_VALUE"""),"9974648121
8780003681")</f>
        <v>9974648121
8780003681</v>
      </c>
      <c r="G223" s="18" t="str">
        <f ca="1">IFERROR(__xludf.DUMMYFUNCTION("""COMPUTED_VALUE"""),"9974648121
8780003681")</f>
        <v>9974648121
8780003681</v>
      </c>
      <c r="H223" s="6" t="str">
        <f ca="1">IFERROR(__xludf.DUMMYFUNCTION("""COMPUTED_VALUE"""),"DCE_2023-26")</f>
        <v>DCE_2023-26</v>
      </c>
      <c r="I223" s="20" t="str">
        <f ca="1">IFERROR(__xludf.DUMMYFUNCTION("""COMPUTED_VALUE"""),"MYSY")</f>
        <v>MYSY</v>
      </c>
      <c r="J223" s="21">
        <f ca="1">IFERROR(__xludf.DUMMYFUNCTION("""COMPUTED_VALUE"""),27500)</f>
        <v>27500</v>
      </c>
      <c r="K223" s="21">
        <f ca="1">IFERROR(__xludf.DUMMYFUNCTION("""COMPUTED_VALUE"""),0)</f>
        <v>0</v>
      </c>
      <c r="L223" s="21">
        <f ca="1">IFERROR(__xludf.DUMMYFUNCTION("""COMPUTED_VALUE"""),0)</f>
        <v>0</v>
      </c>
      <c r="M223" s="23">
        <f ca="1">IFERROR(__xludf.DUMMYFUNCTION("""COMPUTED_VALUE"""),0)</f>
        <v>0</v>
      </c>
      <c r="N223" s="21">
        <f ca="1">IFERROR(__xludf.DUMMYFUNCTION("""COMPUTED_VALUE"""),27500)</f>
        <v>27500</v>
      </c>
      <c r="O223" s="21">
        <f ca="1">IFERROR(__xludf.DUMMYFUNCTION("""COMPUTED_VALUE"""),3000)</f>
        <v>3000</v>
      </c>
      <c r="P223" s="21">
        <f ca="1">IFERROR(__xludf.DUMMYFUNCTION("""COMPUTED_VALUE"""),0)</f>
        <v>0</v>
      </c>
      <c r="Q223" s="23">
        <f ca="1">IFERROR(__xludf.DUMMYFUNCTION("""COMPUTED_VALUE"""),0)</f>
        <v>0</v>
      </c>
      <c r="R223" s="24">
        <f ca="1">IFERROR(__xludf.DUMMYFUNCTION("""COMPUTED_VALUE"""),0)</f>
        <v>0</v>
      </c>
      <c r="S223" s="23">
        <f ca="1">IFERROR(__xludf.DUMMYFUNCTION("""COMPUTED_VALUE"""),3000)</f>
        <v>3000</v>
      </c>
      <c r="T223" s="24">
        <f ca="1">IFERROR(__xludf.DUMMYFUNCTION("""COMPUTED_VALUE"""),0)</f>
        <v>0</v>
      </c>
      <c r="U223" s="23">
        <f ca="1">IFERROR(__xludf.DUMMYFUNCTION("""COMPUTED_VALUE"""),0)</f>
        <v>0</v>
      </c>
      <c r="V223" s="23">
        <f ca="1">IFERROR(__xludf.DUMMYFUNCTION("""COMPUTED_VALUE"""),0)</f>
        <v>0</v>
      </c>
      <c r="W223" s="23">
        <f ca="1">IFERROR(__xludf.DUMMYFUNCTION("""COMPUTED_VALUE"""),0)</f>
        <v>0</v>
      </c>
      <c r="X223" s="23">
        <f ca="1">IFERROR(__xludf.DUMMYFUNCTION("""COMPUTED_VALUE"""),0)</f>
        <v>0</v>
      </c>
      <c r="Y223" s="25">
        <f ca="1">IFERROR(__xludf.DUMMYFUNCTION("""COMPUTED_VALUE"""),0)</f>
        <v>0</v>
      </c>
      <c r="Z223" s="25">
        <f ca="1">IFERROR(__xludf.DUMMYFUNCTION("""COMPUTED_VALUE"""),0)</f>
        <v>0</v>
      </c>
      <c r="AA223" s="25">
        <f ca="1">IFERROR(__xludf.DUMMYFUNCTION("""COMPUTED_VALUE"""),0)</f>
        <v>0</v>
      </c>
      <c r="AB223" s="25">
        <f ca="1">IFERROR(__xludf.DUMMYFUNCTION("""COMPUTED_VALUE"""),0)</f>
        <v>0</v>
      </c>
      <c r="AC223" s="23">
        <f ca="1">IFERROR(__xludf.DUMMYFUNCTION("""COMPUTED_VALUE"""),0)</f>
        <v>0</v>
      </c>
      <c r="AD223" s="26" t="str">
        <f ca="1">IFERROR(__xludf.DUMMYFUNCTION("""COMPUTED_VALUE"""),"MYSY (25000/-)")</f>
        <v>MYSY (25000/-)</v>
      </c>
      <c r="AE223" s="27"/>
    </row>
    <row r="224" spans="1:31" ht="14.3">
      <c r="A224" s="18" t="str">
        <f ca="1">IFERROR(__xludf.DUMMYFUNCTION("""COMPUTED_VALUE"""),"23SDSCE01149")</f>
        <v>23SDSCE01149</v>
      </c>
      <c r="B224" s="19" t="str">
        <f ca="1">IFERROR(__xludf.DUMMYFUNCTION("""COMPUTED_VALUE"""),"VAMAJA RAJ ISHVARBHAI")</f>
        <v>VAMAJA RAJ ISHVARBHAI</v>
      </c>
      <c r="C224" s="18" t="str">
        <f ca="1">IFERROR(__xludf.DUMMYFUNCTION("""COMPUTED_VALUE"""),"SDS")</f>
        <v>SDS</v>
      </c>
      <c r="D224" s="18" t="str">
        <f ca="1">IFERROR(__xludf.DUMMYFUNCTION("""COMPUTED_VALUE"""),"DCE")</f>
        <v>DCE</v>
      </c>
      <c r="E224" s="25">
        <f ca="1">IFERROR(__xludf.DUMMYFUNCTION("""COMPUTED_VALUE"""),2)</f>
        <v>2</v>
      </c>
      <c r="F224" s="18" t="str">
        <f ca="1">IFERROR(__xludf.DUMMYFUNCTION("""COMPUTED_VALUE"""),"9924310871 7046386826")</f>
        <v>9924310871 7046386826</v>
      </c>
      <c r="G224" s="18" t="str">
        <f ca="1">IFERROR(__xludf.DUMMYFUNCTION("""COMPUTED_VALUE"""),"9924310871 7046386826")</f>
        <v>9924310871 7046386826</v>
      </c>
      <c r="H224" s="6" t="str">
        <f ca="1">IFERROR(__xludf.DUMMYFUNCTION("""COMPUTED_VALUE"""),"DCE_2023-26")</f>
        <v>DCE_2023-26</v>
      </c>
      <c r="I224" s="20"/>
      <c r="J224" s="21">
        <f ca="1">IFERROR(__xludf.DUMMYFUNCTION("""COMPUTED_VALUE"""),27500)</f>
        <v>27500</v>
      </c>
      <c r="K224" s="21">
        <f ca="1">IFERROR(__xludf.DUMMYFUNCTION("""COMPUTED_VALUE"""),27500)</f>
        <v>27500</v>
      </c>
      <c r="L224" s="21">
        <f ca="1">IFERROR(__xludf.DUMMYFUNCTION("""COMPUTED_VALUE"""),0)</f>
        <v>0</v>
      </c>
      <c r="M224" s="23">
        <f ca="1">IFERROR(__xludf.DUMMYFUNCTION("""COMPUTED_VALUE"""),0)</f>
        <v>0</v>
      </c>
      <c r="N224" s="21">
        <f ca="1">IFERROR(__xludf.DUMMYFUNCTION("""COMPUTED_VALUE"""),0)</f>
        <v>0</v>
      </c>
      <c r="O224" s="21">
        <f ca="1">IFERROR(__xludf.DUMMYFUNCTION("""COMPUTED_VALUE"""),3000)</f>
        <v>3000</v>
      </c>
      <c r="P224" s="21">
        <f ca="1">IFERROR(__xludf.DUMMYFUNCTION("""COMPUTED_VALUE"""),3000)</f>
        <v>3000</v>
      </c>
      <c r="Q224" s="23">
        <f ca="1">IFERROR(__xludf.DUMMYFUNCTION("""COMPUTED_VALUE"""),0)</f>
        <v>0</v>
      </c>
      <c r="R224" s="24">
        <f ca="1">IFERROR(__xludf.DUMMYFUNCTION("""COMPUTED_VALUE"""),0)</f>
        <v>0</v>
      </c>
      <c r="S224" s="23">
        <f ca="1">IFERROR(__xludf.DUMMYFUNCTION("""COMPUTED_VALUE"""),0)</f>
        <v>0</v>
      </c>
      <c r="T224" s="24">
        <f ca="1">IFERROR(__xludf.DUMMYFUNCTION("""COMPUTED_VALUE"""),0)</f>
        <v>0</v>
      </c>
      <c r="U224" s="23">
        <f ca="1">IFERROR(__xludf.DUMMYFUNCTION("""COMPUTED_VALUE"""),0)</f>
        <v>0</v>
      </c>
      <c r="V224" s="23">
        <f ca="1">IFERROR(__xludf.DUMMYFUNCTION("""COMPUTED_VALUE"""),0)</f>
        <v>0</v>
      </c>
      <c r="W224" s="23">
        <f ca="1">IFERROR(__xludf.DUMMYFUNCTION("""COMPUTED_VALUE"""),0)</f>
        <v>0</v>
      </c>
      <c r="X224" s="23">
        <f ca="1">IFERROR(__xludf.DUMMYFUNCTION("""COMPUTED_VALUE"""),0)</f>
        <v>0</v>
      </c>
      <c r="Y224" s="25">
        <f ca="1">IFERROR(__xludf.DUMMYFUNCTION("""COMPUTED_VALUE"""),0)</f>
        <v>0</v>
      </c>
      <c r="Z224" s="25">
        <f ca="1">IFERROR(__xludf.DUMMYFUNCTION("""COMPUTED_VALUE"""),0)</f>
        <v>0</v>
      </c>
      <c r="AA224" s="25">
        <f ca="1">IFERROR(__xludf.DUMMYFUNCTION("""COMPUTED_VALUE"""),0)</f>
        <v>0</v>
      </c>
      <c r="AB224" s="25">
        <f ca="1">IFERROR(__xludf.DUMMYFUNCTION("""COMPUTED_VALUE"""),0)</f>
        <v>0</v>
      </c>
      <c r="AC224" s="23">
        <f ca="1">IFERROR(__xludf.DUMMYFUNCTION("""COMPUTED_VALUE"""),0)</f>
        <v>0</v>
      </c>
      <c r="AD224" s="26"/>
      <c r="AE224" s="27"/>
    </row>
    <row r="225" spans="1:31" ht="14.3">
      <c r="A225" s="18" t="str">
        <f ca="1">IFERROR(__xludf.DUMMYFUNCTION("""COMPUTED_VALUE"""),"23SDSCE01150")</f>
        <v>23SDSCE01150</v>
      </c>
      <c r="B225" s="19" t="str">
        <f ca="1">IFERROR(__xludf.DUMMYFUNCTION("""COMPUTED_VALUE"""),"ZALAVADIYA JAYKUMAR KALUBHAI")</f>
        <v>ZALAVADIYA JAYKUMAR KALUBHAI</v>
      </c>
      <c r="C225" s="18" t="str">
        <f ca="1">IFERROR(__xludf.DUMMYFUNCTION("""COMPUTED_VALUE"""),"SDS")</f>
        <v>SDS</v>
      </c>
      <c r="D225" s="18" t="str">
        <f ca="1">IFERROR(__xludf.DUMMYFUNCTION("""COMPUTED_VALUE"""),"DCE")</f>
        <v>DCE</v>
      </c>
      <c r="E225" s="25">
        <f ca="1">IFERROR(__xludf.DUMMYFUNCTION("""COMPUTED_VALUE"""),2)</f>
        <v>2</v>
      </c>
      <c r="F225" s="18" t="str">
        <f ca="1">IFERROR(__xludf.DUMMYFUNCTION("""COMPUTED_VALUE"""),"8156079201 9979466507")</f>
        <v>8156079201 9979466507</v>
      </c>
      <c r="G225" s="18" t="str">
        <f ca="1">IFERROR(__xludf.DUMMYFUNCTION("""COMPUTED_VALUE"""),"8156079201 9979466507")</f>
        <v>8156079201 9979466507</v>
      </c>
      <c r="H225" s="6" t="str">
        <f ca="1">IFERROR(__xludf.DUMMYFUNCTION("""COMPUTED_VALUE"""),"DCE_2023-26")</f>
        <v>DCE_2023-26</v>
      </c>
      <c r="I225" s="20"/>
      <c r="J225" s="21">
        <f ca="1">IFERROR(__xludf.DUMMYFUNCTION("""COMPUTED_VALUE"""),27500)</f>
        <v>27500</v>
      </c>
      <c r="K225" s="21">
        <f ca="1">IFERROR(__xludf.DUMMYFUNCTION("""COMPUTED_VALUE"""),0)</f>
        <v>0</v>
      </c>
      <c r="L225" s="21">
        <f ca="1">IFERROR(__xludf.DUMMYFUNCTION("""COMPUTED_VALUE"""),0)</f>
        <v>0</v>
      </c>
      <c r="M225" s="23">
        <f ca="1">IFERROR(__xludf.DUMMYFUNCTION("""COMPUTED_VALUE"""),0)</f>
        <v>0</v>
      </c>
      <c r="N225" s="21">
        <f ca="1">IFERROR(__xludf.DUMMYFUNCTION("""COMPUTED_VALUE"""),27500)</f>
        <v>27500</v>
      </c>
      <c r="O225" s="21">
        <f ca="1">IFERROR(__xludf.DUMMYFUNCTION("""COMPUTED_VALUE"""),3000)</f>
        <v>3000</v>
      </c>
      <c r="P225" s="21">
        <f ca="1">IFERROR(__xludf.DUMMYFUNCTION("""COMPUTED_VALUE"""),0)</f>
        <v>0</v>
      </c>
      <c r="Q225" s="23">
        <f ca="1">IFERROR(__xludf.DUMMYFUNCTION("""COMPUTED_VALUE"""),0)</f>
        <v>0</v>
      </c>
      <c r="R225" s="24">
        <f ca="1">IFERROR(__xludf.DUMMYFUNCTION("""COMPUTED_VALUE"""),0)</f>
        <v>0</v>
      </c>
      <c r="S225" s="23">
        <f ca="1">IFERROR(__xludf.DUMMYFUNCTION("""COMPUTED_VALUE"""),3000)</f>
        <v>3000</v>
      </c>
      <c r="T225" s="24">
        <f ca="1">IFERROR(__xludf.DUMMYFUNCTION("""COMPUTED_VALUE"""),0)</f>
        <v>0</v>
      </c>
      <c r="U225" s="23">
        <f ca="1">IFERROR(__xludf.DUMMYFUNCTION("""COMPUTED_VALUE"""),0)</f>
        <v>0</v>
      </c>
      <c r="V225" s="23">
        <f ca="1">IFERROR(__xludf.DUMMYFUNCTION("""COMPUTED_VALUE"""),0)</f>
        <v>0</v>
      </c>
      <c r="W225" s="23">
        <f ca="1">IFERROR(__xludf.DUMMYFUNCTION("""COMPUTED_VALUE"""),0)</f>
        <v>0</v>
      </c>
      <c r="X225" s="23">
        <f ca="1">IFERROR(__xludf.DUMMYFUNCTION("""COMPUTED_VALUE"""),0)</f>
        <v>0</v>
      </c>
      <c r="Y225" s="25">
        <f ca="1">IFERROR(__xludf.DUMMYFUNCTION("""COMPUTED_VALUE"""),0)</f>
        <v>0</v>
      </c>
      <c r="Z225" s="25">
        <f ca="1">IFERROR(__xludf.DUMMYFUNCTION("""COMPUTED_VALUE"""),0)</f>
        <v>0</v>
      </c>
      <c r="AA225" s="25">
        <f ca="1">IFERROR(__xludf.DUMMYFUNCTION("""COMPUTED_VALUE"""),0)</f>
        <v>0</v>
      </c>
      <c r="AB225" s="25">
        <f ca="1">IFERROR(__xludf.DUMMYFUNCTION("""COMPUTED_VALUE"""),0)</f>
        <v>0</v>
      </c>
      <c r="AC225" s="23">
        <f ca="1">IFERROR(__xludf.DUMMYFUNCTION("""COMPUTED_VALUE"""),0)</f>
        <v>0</v>
      </c>
      <c r="AD225" s="26"/>
      <c r="AE225" s="27"/>
    </row>
    <row r="226" spans="1:31" ht="14.3">
      <c r="A226" s="18" t="str">
        <f ca="1">IFERROR(__xludf.DUMMYFUNCTION("""COMPUTED_VALUE"""),"23SDSCE01151")</f>
        <v>23SDSCE01151</v>
      </c>
      <c r="B226" s="39" t="str">
        <f ca="1">IFERROR(__xludf.DUMMYFUNCTION("""COMPUTED_VALUE"""),"ZINZUVADIYA DIRGH PARESH")</f>
        <v>ZINZUVADIYA DIRGH PARESH</v>
      </c>
      <c r="C226" s="18" t="str">
        <f ca="1">IFERROR(__xludf.DUMMYFUNCTION("""COMPUTED_VALUE"""),"SDS")</f>
        <v>SDS</v>
      </c>
      <c r="D226" s="18" t="str">
        <f ca="1">IFERROR(__xludf.DUMMYFUNCTION("""COMPUTED_VALUE"""),"DCE")</f>
        <v>DCE</v>
      </c>
      <c r="E226" s="25">
        <f ca="1">IFERROR(__xludf.DUMMYFUNCTION("""COMPUTED_VALUE"""),2)</f>
        <v>2</v>
      </c>
      <c r="F226" s="18" t="str">
        <f ca="1">IFERROR(__xludf.DUMMYFUNCTION("""COMPUTED_VALUE"""),"8160356973 9638051721")</f>
        <v>8160356973 9638051721</v>
      </c>
      <c r="G226" s="18" t="str">
        <f ca="1">IFERROR(__xludf.DUMMYFUNCTION("""COMPUTED_VALUE"""),"8160356973 9638051721")</f>
        <v>8160356973 9638051721</v>
      </c>
      <c r="H226" s="6" t="str">
        <f ca="1">IFERROR(__xludf.DUMMYFUNCTION("""COMPUTED_VALUE"""),"DCE_2023-26")</f>
        <v>DCE_2023-26</v>
      </c>
      <c r="I226" s="20"/>
      <c r="J226" s="21">
        <f ca="1">IFERROR(__xludf.DUMMYFUNCTION("""COMPUTED_VALUE"""),27500)</f>
        <v>27500</v>
      </c>
      <c r="K226" s="21">
        <f ca="1">IFERROR(__xludf.DUMMYFUNCTION("""COMPUTED_VALUE"""),27500)</f>
        <v>27500</v>
      </c>
      <c r="L226" s="21">
        <f ca="1">IFERROR(__xludf.DUMMYFUNCTION("""COMPUTED_VALUE"""),0)</f>
        <v>0</v>
      </c>
      <c r="M226" s="23">
        <f ca="1">IFERROR(__xludf.DUMMYFUNCTION("""COMPUTED_VALUE"""),0)</f>
        <v>0</v>
      </c>
      <c r="N226" s="21">
        <f ca="1">IFERROR(__xludf.DUMMYFUNCTION("""COMPUTED_VALUE"""),0)</f>
        <v>0</v>
      </c>
      <c r="O226" s="21">
        <f ca="1">IFERROR(__xludf.DUMMYFUNCTION("""COMPUTED_VALUE"""),3000)</f>
        <v>3000</v>
      </c>
      <c r="P226" s="21">
        <f ca="1">IFERROR(__xludf.DUMMYFUNCTION("""COMPUTED_VALUE"""),3000)</f>
        <v>3000</v>
      </c>
      <c r="Q226" s="23">
        <f ca="1">IFERROR(__xludf.DUMMYFUNCTION("""COMPUTED_VALUE"""),0)</f>
        <v>0</v>
      </c>
      <c r="R226" s="24">
        <f ca="1">IFERROR(__xludf.DUMMYFUNCTION("""COMPUTED_VALUE"""),0)</f>
        <v>0</v>
      </c>
      <c r="S226" s="23">
        <f ca="1">IFERROR(__xludf.DUMMYFUNCTION("""COMPUTED_VALUE"""),0)</f>
        <v>0</v>
      </c>
      <c r="T226" s="24">
        <f ca="1">IFERROR(__xludf.DUMMYFUNCTION("""COMPUTED_VALUE"""),0)</f>
        <v>0</v>
      </c>
      <c r="U226" s="23">
        <f ca="1">IFERROR(__xludf.DUMMYFUNCTION("""COMPUTED_VALUE"""),0)</f>
        <v>0</v>
      </c>
      <c r="V226" s="23">
        <f ca="1">IFERROR(__xludf.DUMMYFUNCTION("""COMPUTED_VALUE"""),0)</f>
        <v>0</v>
      </c>
      <c r="W226" s="23">
        <f ca="1">IFERROR(__xludf.DUMMYFUNCTION("""COMPUTED_VALUE"""),0)</f>
        <v>0</v>
      </c>
      <c r="X226" s="23">
        <f ca="1">IFERROR(__xludf.DUMMYFUNCTION("""COMPUTED_VALUE"""),0)</f>
        <v>0</v>
      </c>
      <c r="Y226" s="25">
        <f ca="1">IFERROR(__xludf.DUMMYFUNCTION("""COMPUTED_VALUE"""),0)</f>
        <v>0</v>
      </c>
      <c r="Z226" s="25">
        <f ca="1">IFERROR(__xludf.DUMMYFUNCTION("""COMPUTED_VALUE"""),0)</f>
        <v>0</v>
      </c>
      <c r="AA226" s="25">
        <f ca="1">IFERROR(__xludf.DUMMYFUNCTION("""COMPUTED_VALUE"""),0)</f>
        <v>0</v>
      </c>
      <c r="AB226" s="25">
        <f ca="1">IFERROR(__xludf.DUMMYFUNCTION("""COMPUTED_VALUE"""),0)</f>
        <v>0</v>
      </c>
      <c r="AC226" s="23">
        <f ca="1">IFERROR(__xludf.DUMMYFUNCTION("""COMPUTED_VALUE"""),0)</f>
        <v>0</v>
      </c>
      <c r="AD226" s="26"/>
      <c r="AE226" s="27"/>
    </row>
    <row r="227" spans="1:31" ht="14.3">
      <c r="A227" s="18" t="str">
        <f ca="1">IFERROR(__xludf.DUMMYFUNCTION("""COMPUTED_VALUE"""),"23SDSCE01152")</f>
        <v>23SDSCE01152</v>
      </c>
      <c r="B227" s="19" t="str">
        <f ca="1">IFERROR(__xludf.DUMMYFUNCTION("""COMPUTED_VALUE"""),"FANGALIYA BHAGIRATH KARSHANBHAI")</f>
        <v>FANGALIYA BHAGIRATH KARSHANBHAI</v>
      </c>
      <c r="C227" s="18" t="str">
        <f ca="1">IFERROR(__xludf.DUMMYFUNCTION("""COMPUTED_VALUE"""),"SDS")</f>
        <v>SDS</v>
      </c>
      <c r="D227" s="18" t="str">
        <f ca="1">IFERROR(__xludf.DUMMYFUNCTION("""COMPUTED_VALUE"""),"DCE")</f>
        <v>DCE</v>
      </c>
      <c r="E227" s="25">
        <f ca="1">IFERROR(__xludf.DUMMYFUNCTION("""COMPUTED_VALUE"""),2)</f>
        <v>2</v>
      </c>
      <c r="F227" s="18" t="str">
        <f ca="1">IFERROR(__xludf.DUMMYFUNCTION("""COMPUTED_VALUE"""),"9327911112 9824452549")</f>
        <v>9327911112 9824452549</v>
      </c>
      <c r="G227" s="18" t="str">
        <f ca="1">IFERROR(__xludf.DUMMYFUNCTION("""COMPUTED_VALUE"""),"9327911112 9824452549")</f>
        <v>9327911112 9824452549</v>
      </c>
      <c r="H227" s="6" t="str">
        <f ca="1">IFERROR(__xludf.DUMMYFUNCTION("""COMPUTED_VALUE"""),"DCE_2023-26")</f>
        <v>DCE_2023-26</v>
      </c>
      <c r="I227" s="20"/>
      <c r="J227" s="21">
        <f ca="1">IFERROR(__xludf.DUMMYFUNCTION("""COMPUTED_VALUE"""),27500)</f>
        <v>27500</v>
      </c>
      <c r="K227" s="21">
        <f ca="1">IFERROR(__xludf.DUMMYFUNCTION("""COMPUTED_VALUE"""),2500)</f>
        <v>2500</v>
      </c>
      <c r="L227" s="21">
        <f ca="1">IFERROR(__xludf.DUMMYFUNCTION("""COMPUTED_VALUE"""),0)</f>
        <v>0</v>
      </c>
      <c r="M227" s="23">
        <f ca="1">IFERROR(__xludf.DUMMYFUNCTION("""COMPUTED_VALUE"""),0)</f>
        <v>0</v>
      </c>
      <c r="N227" s="21">
        <f ca="1">IFERROR(__xludf.DUMMYFUNCTION("""COMPUTED_VALUE"""),25000)</f>
        <v>25000</v>
      </c>
      <c r="O227" s="21">
        <f ca="1">IFERROR(__xludf.DUMMYFUNCTION("""COMPUTED_VALUE"""),3000)</f>
        <v>3000</v>
      </c>
      <c r="P227" s="21">
        <f ca="1">IFERROR(__xludf.DUMMYFUNCTION("""COMPUTED_VALUE"""),0)</f>
        <v>0</v>
      </c>
      <c r="Q227" s="23">
        <f ca="1">IFERROR(__xludf.DUMMYFUNCTION("""COMPUTED_VALUE"""),0)</f>
        <v>0</v>
      </c>
      <c r="R227" s="24">
        <f ca="1">IFERROR(__xludf.DUMMYFUNCTION("""COMPUTED_VALUE"""),0)</f>
        <v>0</v>
      </c>
      <c r="S227" s="23">
        <f ca="1">IFERROR(__xludf.DUMMYFUNCTION("""COMPUTED_VALUE"""),3000)</f>
        <v>3000</v>
      </c>
      <c r="T227" s="24">
        <f ca="1">IFERROR(__xludf.DUMMYFUNCTION("""COMPUTED_VALUE"""),0)</f>
        <v>0</v>
      </c>
      <c r="U227" s="23">
        <f ca="1">IFERROR(__xludf.DUMMYFUNCTION("""COMPUTED_VALUE"""),0)</f>
        <v>0</v>
      </c>
      <c r="V227" s="23">
        <f ca="1">IFERROR(__xludf.DUMMYFUNCTION("""COMPUTED_VALUE"""),0)</f>
        <v>0</v>
      </c>
      <c r="W227" s="23">
        <f ca="1">IFERROR(__xludf.DUMMYFUNCTION("""COMPUTED_VALUE"""),0)</f>
        <v>0</v>
      </c>
      <c r="X227" s="23">
        <f ca="1">IFERROR(__xludf.DUMMYFUNCTION("""COMPUTED_VALUE"""),0)</f>
        <v>0</v>
      </c>
      <c r="Y227" s="25">
        <f ca="1">IFERROR(__xludf.DUMMYFUNCTION("""COMPUTED_VALUE"""),0)</f>
        <v>0</v>
      </c>
      <c r="Z227" s="25">
        <f ca="1">IFERROR(__xludf.DUMMYFUNCTION("""COMPUTED_VALUE"""),0)</f>
        <v>0</v>
      </c>
      <c r="AA227" s="25">
        <f ca="1">IFERROR(__xludf.DUMMYFUNCTION("""COMPUTED_VALUE"""),0)</f>
        <v>0</v>
      </c>
      <c r="AB227" s="25">
        <f ca="1">IFERROR(__xludf.DUMMYFUNCTION("""COMPUTED_VALUE"""),0)</f>
        <v>0</v>
      </c>
      <c r="AC227" s="23">
        <f ca="1">IFERROR(__xludf.DUMMYFUNCTION("""COMPUTED_VALUE"""),0)</f>
        <v>0</v>
      </c>
      <c r="AD227" s="26"/>
      <c r="AE227" s="27"/>
    </row>
    <row r="228" spans="1:31" ht="14.3">
      <c r="A228" s="18" t="str">
        <f ca="1">IFERROR(__xludf.DUMMYFUNCTION("""COMPUTED_VALUE"""),"23SDSCE01230")</f>
        <v>23SDSCE01230</v>
      </c>
      <c r="B228" s="19" t="str">
        <f ca="1">IFERROR(__xludf.DUMMYFUNCTION("""COMPUTED_VALUE"""),"BABARIYA PRANSHU VIMALBHAI")</f>
        <v>BABARIYA PRANSHU VIMALBHAI</v>
      </c>
      <c r="C228" s="18" t="str">
        <f ca="1">IFERROR(__xludf.DUMMYFUNCTION("""COMPUTED_VALUE"""),"SDS")</f>
        <v>SDS</v>
      </c>
      <c r="D228" s="18" t="str">
        <f ca="1">IFERROR(__xludf.DUMMYFUNCTION("""COMPUTED_VALUE"""),"DCE")</f>
        <v>DCE</v>
      </c>
      <c r="E228" s="25">
        <f ca="1">IFERROR(__xludf.DUMMYFUNCTION("""COMPUTED_VALUE"""),2)</f>
        <v>2</v>
      </c>
      <c r="F228" s="18" t="str">
        <f ca="1">IFERROR(__xludf.DUMMYFUNCTION("""COMPUTED_VALUE"""),"8153031594 9925742792")</f>
        <v>8153031594 9925742792</v>
      </c>
      <c r="G228" s="18" t="str">
        <f ca="1">IFERROR(__xludf.DUMMYFUNCTION("""COMPUTED_VALUE"""),"8153031594 9925742792")</f>
        <v>8153031594 9925742792</v>
      </c>
      <c r="H228" s="6" t="str">
        <f ca="1">IFERROR(__xludf.DUMMYFUNCTION("""COMPUTED_VALUE"""),"DCE_2023-26")</f>
        <v>DCE_2023-26</v>
      </c>
      <c r="I228" s="20"/>
      <c r="J228" s="21">
        <f ca="1">IFERROR(__xludf.DUMMYFUNCTION("""COMPUTED_VALUE"""),27500)</f>
        <v>27500</v>
      </c>
      <c r="K228" s="21">
        <f ca="1">IFERROR(__xludf.DUMMYFUNCTION("""COMPUTED_VALUE"""),27500)</f>
        <v>27500</v>
      </c>
      <c r="L228" s="21">
        <f ca="1">IFERROR(__xludf.DUMMYFUNCTION("""COMPUTED_VALUE"""),0)</f>
        <v>0</v>
      </c>
      <c r="M228" s="23">
        <f ca="1">IFERROR(__xludf.DUMMYFUNCTION("""COMPUTED_VALUE"""),0)</f>
        <v>0</v>
      </c>
      <c r="N228" s="21">
        <f ca="1">IFERROR(__xludf.DUMMYFUNCTION("""COMPUTED_VALUE"""),0)</f>
        <v>0</v>
      </c>
      <c r="O228" s="21">
        <f ca="1">IFERROR(__xludf.DUMMYFUNCTION("""COMPUTED_VALUE"""),3000)</f>
        <v>3000</v>
      </c>
      <c r="P228" s="21">
        <f ca="1">IFERROR(__xludf.DUMMYFUNCTION("""COMPUTED_VALUE"""),3000)</f>
        <v>3000</v>
      </c>
      <c r="Q228" s="23">
        <f ca="1">IFERROR(__xludf.DUMMYFUNCTION("""COMPUTED_VALUE"""),0)</f>
        <v>0</v>
      </c>
      <c r="R228" s="24">
        <f ca="1">IFERROR(__xludf.DUMMYFUNCTION("""COMPUTED_VALUE"""),0)</f>
        <v>0</v>
      </c>
      <c r="S228" s="23">
        <f ca="1">IFERROR(__xludf.DUMMYFUNCTION("""COMPUTED_VALUE"""),0)</f>
        <v>0</v>
      </c>
      <c r="T228" s="24">
        <f ca="1">IFERROR(__xludf.DUMMYFUNCTION("""COMPUTED_VALUE"""),0)</f>
        <v>0</v>
      </c>
      <c r="U228" s="23">
        <f ca="1">IFERROR(__xludf.DUMMYFUNCTION("""COMPUTED_VALUE"""),0)</f>
        <v>0</v>
      </c>
      <c r="V228" s="23">
        <f ca="1">IFERROR(__xludf.DUMMYFUNCTION("""COMPUTED_VALUE"""),0)</f>
        <v>0</v>
      </c>
      <c r="W228" s="23">
        <f ca="1">IFERROR(__xludf.DUMMYFUNCTION("""COMPUTED_VALUE"""),0)</f>
        <v>0</v>
      </c>
      <c r="X228" s="23">
        <f ca="1">IFERROR(__xludf.DUMMYFUNCTION("""COMPUTED_VALUE"""),0)</f>
        <v>0</v>
      </c>
      <c r="Y228" s="25">
        <f ca="1">IFERROR(__xludf.DUMMYFUNCTION("""COMPUTED_VALUE"""),0)</f>
        <v>0</v>
      </c>
      <c r="Z228" s="25">
        <f ca="1">IFERROR(__xludf.DUMMYFUNCTION("""COMPUTED_VALUE"""),0)</f>
        <v>0</v>
      </c>
      <c r="AA228" s="25">
        <f ca="1">IFERROR(__xludf.DUMMYFUNCTION("""COMPUTED_VALUE"""),0)</f>
        <v>0</v>
      </c>
      <c r="AB228" s="25">
        <f ca="1">IFERROR(__xludf.DUMMYFUNCTION("""COMPUTED_VALUE"""),0)</f>
        <v>0</v>
      </c>
      <c r="AC228" s="23">
        <f ca="1">IFERROR(__xludf.DUMMYFUNCTION("""COMPUTED_VALUE"""),0)</f>
        <v>0</v>
      </c>
      <c r="AD228" s="26"/>
      <c r="AE228" s="27"/>
    </row>
    <row r="229" spans="1:31" ht="14.3">
      <c r="A229" s="18" t="str">
        <f ca="1">IFERROR(__xludf.DUMMYFUNCTION("""COMPUTED_VALUE"""),"23SDSCE01231")</f>
        <v>23SDSCE01231</v>
      </c>
      <c r="B229" s="19" t="str">
        <f ca="1">IFERROR(__xludf.DUMMYFUNCTION("""COMPUTED_VALUE"""),"BHUVA NIJ MUKESHBHAI")</f>
        <v>BHUVA NIJ MUKESHBHAI</v>
      </c>
      <c r="C229" s="18" t="str">
        <f ca="1">IFERROR(__xludf.DUMMYFUNCTION("""COMPUTED_VALUE"""),"SDS")</f>
        <v>SDS</v>
      </c>
      <c r="D229" s="18" t="str">
        <f ca="1">IFERROR(__xludf.DUMMYFUNCTION("""COMPUTED_VALUE"""),"DCE")</f>
        <v>DCE</v>
      </c>
      <c r="E229" s="25">
        <f ca="1">IFERROR(__xludf.DUMMYFUNCTION("""COMPUTED_VALUE"""),2)</f>
        <v>2</v>
      </c>
      <c r="F229" s="18" t="str">
        <f ca="1">IFERROR(__xludf.DUMMYFUNCTION("""COMPUTED_VALUE"""),"7984350551 6351078267")</f>
        <v>7984350551 6351078267</v>
      </c>
      <c r="G229" s="18" t="str">
        <f ca="1">IFERROR(__xludf.DUMMYFUNCTION("""COMPUTED_VALUE"""),"7984350551 6351078267")</f>
        <v>7984350551 6351078267</v>
      </c>
      <c r="H229" s="6" t="str">
        <f ca="1">IFERROR(__xludf.DUMMYFUNCTION("""COMPUTED_VALUE"""),"DCE_2023-26")</f>
        <v>DCE_2023-26</v>
      </c>
      <c r="I229" s="20"/>
      <c r="J229" s="21">
        <f ca="1">IFERROR(__xludf.DUMMYFUNCTION("""COMPUTED_VALUE"""),27500)</f>
        <v>27500</v>
      </c>
      <c r="K229" s="21">
        <f ca="1">IFERROR(__xludf.DUMMYFUNCTION("""COMPUTED_VALUE"""),0)</f>
        <v>0</v>
      </c>
      <c r="L229" s="21">
        <f ca="1">IFERROR(__xludf.DUMMYFUNCTION("""COMPUTED_VALUE"""),0)</f>
        <v>0</v>
      </c>
      <c r="M229" s="23">
        <f ca="1">IFERROR(__xludf.DUMMYFUNCTION("""COMPUTED_VALUE"""),0)</f>
        <v>0</v>
      </c>
      <c r="N229" s="21">
        <f ca="1">IFERROR(__xludf.DUMMYFUNCTION("""COMPUTED_VALUE"""),27500)</f>
        <v>27500</v>
      </c>
      <c r="O229" s="21">
        <f ca="1">IFERROR(__xludf.DUMMYFUNCTION("""COMPUTED_VALUE"""),3000)</f>
        <v>3000</v>
      </c>
      <c r="P229" s="21">
        <f ca="1">IFERROR(__xludf.DUMMYFUNCTION("""COMPUTED_VALUE"""),0)</f>
        <v>0</v>
      </c>
      <c r="Q229" s="23">
        <f ca="1">IFERROR(__xludf.DUMMYFUNCTION("""COMPUTED_VALUE"""),0)</f>
        <v>0</v>
      </c>
      <c r="R229" s="24">
        <f ca="1">IFERROR(__xludf.DUMMYFUNCTION("""COMPUTED_VALUE"""),0)</f>
        <v>0</v>
      </c>
      <c r="S229" s="23">
        <f ca="1">IFERROR(__xludf.DUMMYFUNCTION("""COMPUTED_VALUE"""),3000)</f>
        <v>3000</v>
      </c>
      <c r="T229" s="24">
        <f ca="1">IFERROR(__xludf.DUMMYFUNCTION("""COMPUTED_VALUE"""),0)</f>
        <v>0</v>
      </c>
      <c r="U229" s="23">
        <f ca="1">IFERROR(__xludf.DUMMYFUNCTION("""COMPUTED_VALUE"""),0)</f>
        <v>0</v>
      </c>
      <c r="V229" s="23">
        <f ca="1">IFERROR(__xludf.DUMMYFUNCTION("""COMPUTED_VALUE"""),0)</f>
        <v>0</v>
      </c>
      <c r="W229" s="23">
        <f ca="1">IFERROR(__xludf.DUMMYFUNCTION("""COMPUTED_VALUE"""),0)</f>
        <v>0</v>
      </c>
      <c r="X229" s="23">
        <f ca="1">IFERROR(__xludf.DUMMYFUNCTION("""COMPUTED_VALUE"""),0)</f>
        <v>0</v>
      </c>
      <c r="Y229" s="25">
        <f ca="1">IFERROR(__xludf.DUMMYFUNCTION("""COMPUTED_VALUE"""),0)</f>
        <v>0</v>
      </c>
      <c r="Z229" s="25">
        <f ca="1">IFERROR(__xludf.DUMMYFUNCTION("""COMPUTED_VALUE"""),0)</f>
        <v>0</v>
      </c>
      <c r="AA229" s="25">
        <f ca="1">IFERROR(__xludf.DUMMYFUNCTION("""COMPUTED_VALUE"""),0)</f>
        <v>0</v>
      </c>
      <c r="AB229" s="25">
        <f ca="1">IFERROR(__xludf.DUMMYFUNCTION("""COMPUTED_VALUE"""),0)</f>
        <v>0</v>
      </c>
      <c r="AC229" s="23">
        <f ca="1">IFERROR(__xludf.DUMMYFUNCTION("""COMPUTED_VALUE"""),0)</f>
        <v>0</v>
      </c>
      <c r="AD229" s="26"/>
      <c r="AE229" s="27"/>
    </row>
    <row r="230" spans="1:31" ht="14.3">
      <c r="A230" s="18" t="str">
        <f ca="1">IFERROR(__xludf.DUMMYFUNCTION("""COMPUTED_VALUE"""),"23SDSCE01232")</f>
        <v>23SDSCE01232</v>
      </c>
      <c r="B230" s="19" t="str">
        <f ca="1">IFERROR(__xludf.DUMMYFUNCTION("""COMPUTED_VALUE"""),"CHAUDHARI HARSH KAUSHIKKUMAR")</f>
        <v>CHAUDHARI HARSH KAUSHIKKUMAR</v>
      </c>
      <c r="C230" s="18" t="str">
        <f ca="1">IFERROR(__xludf.DUMMYFUNCTION("""COMPUTED_VALUE"""),"SDS")</f>
        <v>SDS</v>
      </c>
      <c r="D230" s="18" t="str">
        <f ca="1">IFERROR(__xludf.DUMMYFUNCTION("""COMPUTED_VALUE"""),"DCE")</f>
        <v>DCE</v>
      </c>
      <c r="E230" s="25">
        <f ca="1">IFERROR(__xludf.DUMMYFUNCTION("""COMPUTED_VALUE"""),2)</f>
        <v>2</v>
      </c>
      <c r="F230" s="18" t="str">
        <f ca="1">IFERROR(__xludf.DUMMYFUNCTION("""COMPUTED_VALUE"""),"7575001475 9714915511")</f>
        <v>7575001475 9714915511</v>
      </c>
      <c r="G230" s="18" t="str">
        <f ca="1">IFERROR(__xludf.DUMMYFUNCTION("""COMPUTED_VALUE"""),"7575001475 9714915511")</f>
        <v>7575001475 9714915511</v>
      </c>
      <c r="H230" s="6" t="str">
        <f ca="1">IFERROR(__xludf.DUMMYFUNCTION("""COMPUTED_VALUE"""),"DCE_2023-26")</f>
        <v>DCE_2023-26</v>
      </c>
      <c r="I230" s="20"/>
      <c r="J230" s="21">
        <f ca="1">IFERROR(__xludf.DUMMYFUNCTION("""COMPUTED_VALUE"""),27500)</f>
        <v>27500</v>
      </c>
      <c r="K230" s="21">
        <f ca="1">IFERROR(__xludf.DUMMYFUNCTION("""COMPUTED_VALUE"""),27500)</f>
        <v>27500</v>
      </c>
      <c r="L230" s="21">
        <f ca="1">IFERROR(__xludf.DUMMYFUNCTION("""COMPUTED_VALUE"""),0)</f>
        <v>0</v>
      </c>
      <c r="M230" s="23">
        <f ca="1">IFERROR(__xludf.DUMMYFUNCTION("""COMPUTED_VALUE"""),0)</f>
        <v>0</v>
      </c>
      <c r="N230" s="21">
        <f ca="1">IFERROR(__xludf.DUMMYFUNCTION("""COMPUTED_VALUE"""),0)</f>
        <v>0</v>
      </c>
      <c r="O230" s="21">
        <f ca="1">IFERROR(__xludf.DUMMYFUNCTION("""COMPUTED_VALUE"""),3000)</f>
        <v>3000</v>
      </c>
      <c r="P230" s="21">
        <f ca="1">IFERROR(__xludf.DUMMYFUNCTION("""COMPUTED_VALUE"""),3000)</f>
        <v>3000</v>
      </c>
      <c r="Q230" s="23">
        <f ca="1">IFERROR(__xludf.DUMMYFUNCTION("""COMPUTED_VALUE"""),0)</f>
        <v>0</v>
      </c>
      <c r="R230" s="24">
        <f ca="1">IFERROR(__xludf.DUMMYFUNCTION("""COMPUTED_VALUE"""),0)</f>
        <v>0</v>
      </c>
      <c r="S230" s="23">
        <f ca="1">IFERROR(__xludf.DUMMYFUNCTION("""COMPUTED_VALUE"""),0)</f>
        <v>0</v>
      </c>
      <c r="T230" s="24">
        <f ca="1">IFERROR(__xludf.DUMMYFUNCTION("""COMPUTED_VALUE"""),0)</f>
        <v>0</v>
      </c>
      <c r="U230" s="23">
        <f ca="1">IFERROR(__xludf.DUMMYFUNCTION("""COMPUTED_VALUE"""),0)</f>
        <v>0</v>
      </c>
      <c r="V230" s="23">
        <f ca="1">IFERROR(__xludf.DUMMYFUNCTION("""COMPUTED_VALUE"""),0)</f>
        <v>0</v>
      </c>
      <c r="W230" s="23">
        <f ca="1">IFERROR(__xludf.DUMMYFUNCTION("""COMPUTED_VALUE"""),0)</f>
        <v>0</v>
      </c>
      <c r="X230" s="23">
        <f ca="1">IFERROR(__xludf.DUMMYFUNCTION("""COMPUTED_VALUE"""),0)</f>
        <v>0</v>
      </c>
      <c r="Y230" s="25">
        <f ca="1">IFERROR(__xludf.DUMMYFUNCTION("""COMPUTED_VALUE"""),0)</f>
        <v>0</v>
      </c>
      <c r="Z230" s="25">
        <f ca="1">IFERROR(__xludf.DUMMYFUNCTION("""COMPUTED_VALUE"""),0)</f>
        <v>0</v>
      </c>
      <c r="AA230" s="25">
        <f ca="1">IFERROR(__xludf.DUMMYFUNCTION("""COMPUTED_VALUE"""),0)</f>
        <v>0</v>
      </c>
      <c r="AB230" s="25">
        <f ca="1">IFERROR(__xludf.DUMMYFUNCTION("""COMPUTED_VALUE"""),0)</f>
        <v>0</v>
      </c>
      <c r="AC230" s="23">
        <f ca="1">IFERROR(__xludf.DUMMYFUNCTION("""COMPUTED_VALUE"""),0)</f>
        <v>0</v>
      </c>
      <c r="AD230" s="26"/>
      <c r="AE230" s="27"/>
    </row>
    <row r="231" spans="1:31" ht="14.3">
      <c r="A231" s="18" t="str">
        <f ca="1">IFERROR(__xludf.DUMMYFUNCTION("""COMPUTED_VALUE"""),"23SDSCE01233")</f>
        <v>23SDSCE01233</v>
      </c>
      <c r="B231" s="19" t="str">
        <f ca="1">IFERROR(__xludf.DUMMYFUNCTION("""COMPUTED_VALUE"""),"CHAVDA DIPAK ANILBHAI")</f>
        <v>CHAVDA DIPAK ANILBHAI</v>
      </c>
      <c r="C231" s="18" t="str">
        <f ca="1">IFERROR(__xludf.DUMMYFUNCTION("""COMPUTED_VALUE"""),"SDS")</f>
        <v>SDS</v>
      </c>
      <c r="D231" s="18" t="str">
        <f ca="1">IFERROR(__xludf.DUMMYFUNCTION("""COMPUTED_VALUE"""),"DCE")</f>
        <v>DCE</v>
      </c>
      <c r="E231" s="25">
        <f ca="1">IFERROR(__xludf.DUMMYFUNCTION("""COMPUTED_VALUE"""),2)</f>
        <v>2</v>
      </c>
      <c r="F231" s="18" t="str">
        <f ca="1">IFERROR(__xludf.DUMMYFUNCTION("""COMPUTED_VALUE"""),"6355885022 9624258211")</f>
        <v>6355885022 9624258211</v>
      </c>
      <c r="G231" s="18" t="str">
        <f ca="1">IFERROR(__xludf.DUMMYFUNCTION("""COMPUTED_VALUE"""),"6355885022 9624258211")</f>
        <v>6355885022 9624258211</v>
      </c>
      <c r="H231" s="6" t="str">
        <f ca="1">IFERROR(__xludf.DUMMYFUNCTION("""COMPUTED_VALUE"""),"DCE_2023-26")</f>
        <v>DCE_2023-26</v>
      </c>
      <c r="I231" s="20"/>
      <c r="J231" s="21">
        <f ca="1">IFERROR(__xludf.DUMMYFUNCTION("""COMPUTED_VALUE"""),27500)</f>
        <v>27500</v>
      </c>
      <c r="K231" s="21">
        <f ca="1">IFERROR(__xludf.DUMMYFUNCTION("""COMPUTED_VALUE"""),27500)</f>
        <v>27500</v>
      </c>
      <c r="L231" s="21">
        <f ca="1">IFERROR(__xludf.DUMMYFUNCTION("""COMPUTED_VALUE"""),0)</f>
        <v>0</v>
      </c>
      <c r="M231" s="23">
        <f ca="1">IFERROR(__xludf.DUMMYFUNCTION("""COMPUTED_VALUE"""),0)</f>
        <v>0</v>
      </c>
      <c r="N231" s="21">
        <f ca="1">IFERROR(__xludf.DUMMYFUNCTION("""COMPUTED_VALUE"""),0)</f>
        <v>0</v>
      </c>
      <c r="O231" s="21">
        <f ca="1">IFERROR(__xludf.DUMMYFUNCTION("""COMPUTED_VALUE"""),3000)</f>
        <v>3000</v>
      </c>
      <c r="P231" s="21">
        <f ca="1">IFERROR(__xludf.DUMMYFUNCTION("""COMPUTED_VALUE"""),3000)</f>
        <v>3000</v>
      </c>
      <c r="Q231" s="23">
        <f ca="1">IFERROR(__xludf.DUMMYFUNCTION("""COMPUTED_VALUE"""),0)</f>
        <v>0</v>
      </c>
      <c r="R231" s="24">
        <f ca="1">IFERROR(__xludf.DUMMYFUNCTION("""COMPUTED_VALUE"""),0)</f>
        <v>0</v>
      </c>
      <c r="S231" s="23">
        <f ca="1">IFERROR(__xludf.DUMMYFUNCTION("""COMPUTED_VALUE"""),0)</f>
        <v>0</v>
      </c>
      <c r="T231" s="24">
        <f ca="1">IFERROR(__xludf.DUMMYFUNCTION("""COMPUTED_VALUE"""),0)</f>
        <v>0</v>
      </c>
      <c r="U231" s="23">
        <f ca="1">IFERROR(__xludf.DUMMYFUNCTION("""COMPUTED_VALUE"""),0)</f>
        <v>0</v>
      </c>
      <c r="V231" s="23">
        <f ca="1">IFERROR(__xludf.DUMMYFUNCTION("""COMPUTED_VALUE"""),0)</f>
        <v>0</v>
      </c>
      <c r="W231" s="23">
        <f ca="1">IFERROR(__xludf.DUMMYFUNCTION("""COMPUTED_VALUE"""),0)</f>
        <v>0</v>
      </c>
      <c r="X231" s="23">
        <f ca="1">IFERROR(__xludf.DUMMYFUNCTION("""COMPUTED_VALUE"""),0)</f>
        <v>0</v>
      </c>
      <c r="Y231" s="25">
        <f ca="1">IFERROR(__xludf.DUMMYFUNCTION("""COMPUTED_VALUE"""),0)</f>
        <v>0</v>
      </c>
      <c r="Z231" s="25">
        <f ca="1">IFERROR(__xludf.DUMMYFUNCTION("""COMPUTED_VALUE"""),0)</f>
        <v>0</v>
      </c>
      <c r="AA231" s="25">
        <f ca="1">IFERROR(__xludf.DUMMYFUNCTION("""COMPUTED_VALUE"""),0)</f>
        <v>0</v>
      </c>
      <c r="AB231" s="25">
        <f ca="1">IFERROR(__xludf.DUMMYFUNCTION("""COMPUTED_VALUE"""),0)</f>
        <v>0</v>
      </c>
      <c r="AC231" s="23">
        <f ca="1">IFERROR(__xludf.DUMMYFUNCTION("""COMPUTED_VALUE"""),0)</f>
        <v>0</v>
      </c>
      <c r="AD231" s="26"/>
      <c r="AE231" s="27"/>
    </row>
    <row r="232" spans="1:31" ht="14.3">
      <c r="A232" s="18" t="str">
        <f ca="1">IFERROR(__xludf.DUMMYFUNCTION("""COMPUTED_VALUE"""),"23SDSCE01234")</f>
        <v>23SDSCE01234</v>
      </c>
      <c r="B232" s="19" t="str">
        <f ca="1">IFERROR(__xludf.DUMMYFUNCTION("""COMPUTED_VALUE"""),"CHAVDA SAHIL KAMLESHBHAI")</f>
        <v>CHAVDA SAHIL KAMLESHBHAI</v>
      </c>
      <c r="C232" s="18" t="str">
        <f ca="1">IFERROR(__xludf.DUMMYFUNCTION("""COMPUTED_VALUE"""),"SDS")</f>
        <v>SDS</v>
      </c>
      <c r="D232" s="18" t="str">
        <f ca="1">IFERROR(__xludf.DUMMYFUNCTION("""COMPUTED_VALUE"""),"DCE")</f>
        <v>DCE</v>
      </c>
      <c r="E232" s="25">
        <f ca="1">IFERROR(__xludf.DUMMYFUNCTION("""COMPUTED_VALUE"""),2)</f>
        <v>2</v>
      </c>
      <c r="F232" s="18" t="str">
        <f ca="1">IFERROR(__xludf.DUMMYFUNCTION("""COMPUTED_VALUE"""),"7874289598 9099275092")</f>
        <v>7874289598 9099275092</v>
      </c>
      <c r="G232" s="18" t="str">
        <f ca="1">IFERROR(__xludf.DUMMYFUNCTION("""COMPUTED_VALUE"""),"7874289598 9099275092")</f>
        <v>7874289598 9099275092</v>
      </c>
      <c r="H232" s="6" t="str">
        <f ca="1">IFERROR(__xludf.DUMMYFUNCTION("""COMPUTED_VALUE"""),"DCE_2023-26")</f>
        <v>DCE_2023-26</v>
      </c>
      <c r="I232" s="20"/>
      <c r="J232" s="21">
        <f ca="1">IFERROR(__xludf.DUMMYFUNCTION("""COMPUTED_VALUE"""),27500)</f>
        <v>27500</v>
      </c>
      <c r="K232" s="21">
        <f ca="1">IFERROR(__xludf.DUMMYFUNCTION("""COMPUTED_VALUE"""),27500)</f>
        <v>27500</v>
      </c>
      <c r="L232" s="21">
        <f ca="1">IFERROR(__xludf.DUMMYFUNCTION("""COMPUTED_VALUE"""),0)</f>
        <v>0</v>
      </c>
      <c r="M232" s="23">
        <f ca="1">IFERROR(__xludf.DUMMYFUNCTION("""COMPUTED_VALUE"""),0)</f>
        <v>0</v>
      </c>
      <c r="N232" s="21">
        <f ca="1">IFERROR(__xludf.DUMMYFUNCTION("""COMPUTED_VALUE"""),0)</f>
        <v>0</v>
      </c>
      <c r="O232" s="21">
        <f ca="1">IFERROR(__xludf.DUMMYFUNCTION("""COMPUTED_VALUE"""),3000)</f>
        <v>3000</v>
      </c>
      <c r="P232" s="21">
        <f ca="1">IFERROR(__xludf.DUMMYFUNCTION("""COMPUTED_VALUE"""),3000)</f>
        <v>3000</v>
      </c>
      <c r="Q232" s="23">
        <f ca="1">IFERROR(__xludf.DUMMYFUNCTION("""COMPUTED_VALUE"""),0)</f>
        <v>0</v>
      </c>
      <c r="R232" s="24">
        <f ca="1">IFERROR(__xludf.DUMMYFUNCTION("""COMPUTED_VALUE"""),0)</f>
        <v>0</v>
      </c>
      <c r="S232" s="23">
        <f ca="1">IFERROR(__xludf.DUMMYFUNCTION("""COMPUTED_VALUE"""),0)</f>
        <v>0</v>
      </c>
      <c r="T232" s="24">
        <f ca="1">IFERROR(__xludf.DUMMYFUNCTION("""COMPUTED_VALUE"""),0)</f>
        <v>0</v>
      </c>
      <c r="U232" s="23">
        <f ca="1">IFERROR(__xludf.DUMMYFUNCTION("""COMPUTED_VALUE"""),0)</f>
        <v>0</v>
      </c>
      <c r="V232" s="23">
        <f ca="1">IFERROR(__xludf.DUMMYFUNCTION("""COMPUTED_VALUE"""),0)</f>
        <v>0</v>
      </c>
      <c r="W232" s="23">
        <f ca="1">IFERROR(__xludf.DUMMYFUNCTION("""COMPUTED_VALUE"""),0)</f>
        <v>0</v>
      </c>
      <c r="X232" s="23">
        <f ca="1">IFERROR(__xludf.DUMMYFUNCTION("""COMPUTED_VALUE"""),0)</f>
        <v>0</v>
      </c>
      <c r="Y232" s="25">
        <f ca="1">IFERROR(__xludf.DUMMYFUNCTION("""COMPUTED_VALUE"""),0)</f>
        <v>0</v>
      </c>
      <c r="Z232" s="25">
        <f ca="1">IFERROR(__xludf.DUMMYFUNCTION("""COMPUTED_VALUE"""),0)</f>
        <v>0</v>
      </c>
      <c r="AA232" s="25">
        <f ca="1">IFERROR(__xludf.DUMMYFUNCTION("""COMPUTED_VALUE"""),0)</f>
        <v>0</v>
      </c>
      <c r="AB232" s="25">
        <f ca="1">IFERROR(__xludf.DUMMYFUNCTION("""COMPUTED_VALUE"""),0)</f>
        <v>0</v>
      </c>
      <c r="AC232" s="23">
        <f ca="1">IFERROR(__xludf.DUMMYFUNCTION("""COMPUTED_VALUE"""),0)</f>
        <v>0</v>
      </c>
      <c r="AD232" s="26"/>
      <c r="AE232" s="27"/>
    </row>
    <row r="233" spans="1:31" ht="28.55">
      <c r="A233" s="18" t="str">
        <f ca="1">IFERROR(__xludf.DUMMYFUNCTION("""COMPUTED_VALUE"""),"23SDSCE01235")</f>
        <v>23SDSCE01235</v>
      </c>
      <c r="B233" s="19" t="str">
        <f ca="1">IFERROR(__xludf.DUMMYFUNCTION("""COMPUTED_VALUE"""),"JOBANPUTRA PRANSHAV BAKULBHAI")</f>
        <v>JOBANPUTRA PRANSHAV BAKULBHAI</v>
      </c>
      <c r="C233" s="18" t="str">
        <f ca="1">IFERROR(__xludf.DUMMYFUNCTION("""COMPUTED_VALUE"""),"SDS")</f>
        <v>SDS</v>
      </c>
      <c r="D233" s="18" t="str">
        <f ca="1">IFERROR(__xludf.DUMMYFUNCTION("""COMPUTED_VALUE"""),"DCE")</f>
        <v>DCE</v>
      </c>
      <c r="E233" s="25">
        <f ca="1">IFERROR(__xludf.DUMMYFUNCTION("""COMPUTED_VALUE"""),2)</f>
        <v>2</v>
      </c>
      <c r="F233" s="20" t="str">
        <f ca="1">IFERROR(__xludf.DUMMYFUNCTION("""COMPUTED_VALUE"""),"7016835372 9924171916")</f>
        <v>7016835372 9924171916</v>
      </c>
      <c r="G233" s="20" t="str">
        <f ca="1">IFERROR(__xludf.DUMMYFUNCTION("""COMPUTED_VALUE"""),"7016835372 9924171916")</f>
        <v>7016835372 9924171916</v>
      </c>
      <c r="H233" s="6" t="str">
        <f ca="1">IFERROR(__xludf.DUMMYFUNCTION("""COMPUTED_VALUE"""),"DCE_2023-26")</f>
        <v>DCE_2023-26</v>
      </c>
      <c r="I233" s="20"/>
      <c r="J233" s="21">
        <f ca="1">IFERROR(__xludf.DUMMYFUNCTION("""COMPUTED_VALUE"""),27500)</f>
        <v>27500</v>
      </c>
      <c r="K233" s="21">
        <f ca="1">IFERROR(__xludf.DUMMYFUNCTION("""COMPUTED_VALUE"""),27500)</f>
        <v>27500</v>
      </c>
      <c r="L233" s="21">
        <f ca="1">IFERROR(__xludf.DUMMYFUNCTION("""COMPUTED_VALUE"""),0)</f>
        <v>0</v>
      </c>
      <c r="M233" s="23">
        <f ca="1">IFERROR(__xludf.DUMMYFUNCTION("""COMPUTED_VALUE"""),0)</f>
        <v>0</v>
      </c>
      <c r="N233" s="21">
        <f ca="1">IFERROR(__xludf.DUMMYFUNCTION("""COMPUTED_VALUE"""),0)</f>
        <v>0</v>
      </c>
      <c r="O233" s="21">
        <f ca="1">IFERROR(__xludf.DUMMYFUNCTION("""COMPUTED_VALUE"""),3000)</f>
        <v>3000</v>
      </c>
      <c r="P233" s="21">
        <f ca="1">IFERROR(__xludf.DUMMYFUNCTION("""COMPUTED_VALUE"""),3000)</f>
        <v>3000</v>
      </c>
      <c r="Q233" s="23">
        <f ca="1">IFERROR(__xludf.DUMMYFUNCTION("""COMPUTED_VALUE"""),0)</f>
        <v>0</v>
      </c>
      <c r="R233" s="24">
        <f ca="1">IFERROR(__xludf.DUMMYFUNCTION("""COMPUTED_VALUE"""),0)</f>
        <v>0</v>
      </c>
      <c r="S233" s="23">
        <f ca="1">IFERROR(__xludf.DUMMYFUNCTION("""COMPUTED_VALUE"""),0)</f>
        <v>0</v>
      </c>
      <c r="T233" s="24">
        <f ca="1">IFERROR(__xludf.DUMMYFUNCTION("""COMPUTED_VALUE"""),0)</f>
        <v>0</v>
      </c>
      <c r="U233" s="23">
        <f ca="1">IFERROR(__xludf.DUMMYFUNCTION("""COMPUTED_VALUE"""),0)</f>
        <v>0</v>
      </c>
      <c r="V233" s="23">
        <f ca="1">IFERROR(__xludf.DUMMYFUNCTION("""COMPUTED_VALUE"""),0)</f>
        <v>0</v>
      </c>
      <c r="W233" s="23">
        <f ca="1">IFERROR(__xludf.DUMMYFUNCTION("""COMPUTED_VALUE"""),0)</f>
        <v>0</v>
      </c>
      <c r="X233" s="23">
        <f ca="1">IFERROR(__xludf.DUMMYFUNCTION("""COMPUTED_VALUE"""),0)</f>
        <v>0</v>
      </c>
      <c r="Y233" s="25">
        <f ca="1">IFERROR(__xludf.DUMMYFUNCTION("""COMPUTED_VALUE"""),0)</f>
        <v>0</v>
      </c>
      <c r="Z233" s="25">
        <f ca="1">IFERROR(__xludf.DUMMYFUNCTION("""COMPUTED_VALUE"""),0)</f>
        <v>0</v>
      </c>
      <c r="AA233" s="25">
        <f ca="1">IFERROR(__xludf.DUMMYFUNCTION("""COMPUTED_VALUE"""),0)</f>
        <v>0</v>
      </c>
      <c r="AB233" s="25">
        <f ca="1">IFERROR(__xludf.DUMMYFUNCTION("""COMPUTED_VALUE"""),0)</f>
        <v>0</v>
      </c>
      <c r="AC233" s="23">
        <f ca="1">IFERROR(__xludf.DUMMYFUNCTION("""COMPUTED_VALUE"""),0)</f>
        <v>0</v>
      </c>
      <c r="AD233" s="26"/>
      <c r="AE233" s="27"/>
    </row>
    <row r="234" spans="1:31" ht="14.3">
      <c r="A234" s="18" t="str">
        <f ca="1">IFERROR(__xludf.DUMMYFUNCTION("""COMPUTED_VALUE"""),"23SDSCE01236")</f>
        <v>23SDSCE01236</v>
      </c>
      <c r="B234" s="37" t="str">
        <f ca="1">IFERROR(__xludf.DUMMYFUNCTION("""COMPUTED_VALUE"""),"JOSHI SARTHAK HITESHBHAI")</f>
        <v>JOSHI SARTHAK HITESHBHAI</v>
      </c>
      <c r="C234" s="18" t="str">
        <f ca="1">IFERROR(__xludf.DUMMYFUNCTION("""COMPUTED_VALUE"""),"SDS")</f>
        <v>SDS</v>
      </c>
      <c r="D234" s="18" t="str">
        <f ca="1">IFERROR(__xludf.DUMMYFUNCTION("""COMPUTED_VALUE"""),"DCE")</f>
        <v>DCE</v>
      </c>
      <c r="E234" s="25">
        <f ca="1">IFERROR(__xludf.DUMMYFUNCTION("""COMPUTED_VALUE"""),2)</f>
        <v>2</v>
      </c>
      <c r="F234" s="18" t="str">
        <f ca="1">IFERROR(__xludf.DUMMYFUNCTION("""COMPUTED_VALUE"""),"9426379996 9824167996")</f>
        <v>9426379996 9824167996</v>
      </c>
      <c r="G234" s="18" t="str">
        <f ca="1">IFERROR(__xludf.DUMMYFUNCTION("""COMPUTED_VALUE"""),"9426379996 9824167996")</f>
        <v>9426379996 9824167996</v>
      </c>
      <c r="H234" s="6" t="str">
        <f ca="1">IFERROR(__xludf.DUMMYFUNCTION("""COMPUTED_VALUE"""),"DCE_2023-26")</f>
        <v>DCE_2023-26</v>
      </c>
      <c r="I234" s="20"/>
      <c r="J234" s="21">
        <f ca="1">IFERROR(__xludf.DUMMYFUNCTION("""COMPUTED_VALUE"""),27500)</f>
        <v>27500</v>
      </c>
      <c r="K234" s="21">
        <f ca="1">IFERROR(__xludf.DUMMYFUNCTION("""COMPUTED_VALUE"""),27500)</f>
        <v>27500</v>
      </c>
      <c r="L234" s="21">
        <f ca="1">IFERROR(__xludf.DUMMYFUNCTION("""COMPUTED_VALUE"""),0)</f>
        <v>0</v>
      </c>
      <c r="M234" s="23">
        <f ca="1">IFERROR(__xludf.DUMMYFUNCTION("""COMPUTED_VALUE"""),0)</f>
        <v>0</v>
      </c>
      <c r="N234" s="21">
        <f ca="1">IFERROR(__xludf.DUMMYFUNCTION("""COMPUTED_VALUE"""),0)</f>
        <v>0</v>
      </c>
      <c r="O234" s="21">
        <f ca="1">IFERROR(__xludf.DUMMYFUNCTION("""COMPUTED_VALUE"""),3000)</f>
        <v>3000</v>
      </c>
      <c r="P234" s="21">
        <f ca="1">IFERROR(__xludf.DUMMYFUNCTION("""COMPUTED_VALUE"""),3000)</f>
        <v>3000</v>
      </c>
      <c r="Q234" s="23">
        <f ca="1">IFERROR(__xludf.DUMMYFUNCTION("""COMPUTED_VALUE"""),0)</f>
        <v>0</v>
      </c>
      <c r="R234" s="24">
        <f ca="1">IFERROR(__xludf.DUMMYFUNCTION("""COMPUTED_VALUE"""),0)</f>
        <v>0</v>
      </c>
      <c r="S234" s="23">
        <f ca="1">IFERROR(__xludf.DUMMYFUNCTION("""COMPUTED_VALUE"""),0)</f>
        <v>0</v>
      </c>
      <c r="T234" s="24">
        <f ca="1">IFERROR(__xludf.DUMMYFUNCTION("""COMPUTED_VALUE"""),0)</f>
        <v>0</v>
      </c>
      <c r="U234" s="23">
        <f ca="1">IFERROR(__xludf.DUMMYFUNCTION("""COMPUTED_VALUE"""),0)</f>
        <v>0</v>
      </c>
      <c r="V234" s="23">
        <f ca="1">IFERROR(__xludf.DUMMYFUNCTION("""COMPUTED_VALUE"""),0)</f>
        <v>0</v>
      </c>
      <c r="W234" s="23">
        <f ca="1">IFERROR(__xludf.DUMMYFUNCTION("""COMPUTED_VALUE"""),0)</f>
        <v>0</v>
      </c>
      <c r="X234" s="23">
        <f ca="1">IFERROR(__xludf.DUMMYFUNCTION("""COMPUTED_VALUE"""),0)</f>
        <v>0</v>
      </c>
      <c r="Y234" s="25">
        <f ca="1">IFERROR(__xludf.DUMMYFUNCTION("""COMPUTED_VALUE"""),0)</f>
        <v>0</v>
      </c>
      <c r="Z234" s="25">
        <f ca="1">IFERROR(__xludf.DUMMYFUNCTION("""COMPUTED_VALUE"""),0)</f>
        <v>0</v>
      </c>
      <c r="AA234" s="25">
        <f ca="1">IFERROR(__xludf.DUMMYFUNCTION("""COMPUTED_VALUE"""),0)</f>
        <v>0</v>
      </c>
      <c r="AB234" s="25">
        <f ca="1">IFERROR(__xludf.DUMMYFUNCTION("""COMPUTED_VALUE"""),0)</f>
        <v>0</v>
      </c>
      <c r="AC234" s="23">
        <f ca="1">IFERROR(__xludf.DUMMYFUNCTION("""COMPUTED_VALUE"""),0)</f>
        <v>0</v>
      </c>
      <c r="AD234" s="26"/>
      <c r="AE234" s="27"/>
    </row>
    <row r="235" spans="1:31" ht="14.3">
      <c r="A235" s="18" t="str">
        <f ca="1">IFERROR(__xludf.DUMMYFUNCTION("""COMPUTED_VALUE"""),"23SDSCE01237")</f>
        <v>23SDSCE01237</v>
      </c>
      <c r="B235" s="19" t="str">
        <f ca="1">IFERROR(__xludf.DUMMYFUNCTION("""COMPUTED_VALUE"""),"KHUNT AKSHAR PANKAJBHAI")</f>
        <v>KHUNT AKSHAR PANKAJBHAI</v>
      </c>
      <c r="C235" s="18" t="str">
        <f ca="1">IFERROR(__xludf.DUMMYFUNCTION("""COMPUTED_VALUE"""),"SDS")</f>
        <v>SDS</v>
      </c>
      <c r="D235" s="18" t="str">
        <f ca="1">IFERROR(__xludf.DUMMYFUNCTION("""COMPUTED_VALUE"""),"DCE")</f>
        <v>DCE</v>
      </c>
      <c r="E235" s="25">
        <f ca="1">IFERROR(__xludf.DUMMYFUNCTION("""COMPUTED_VALUE"""),2)</f>
        <v>2</v>
      </c>
      <c r="F235" s="18" t="str">
        <f ca="1">IFERROR(__xludf.DUMMYFUNCTION("""COMPUTED_VALUE"""),"9428462541 9824854886")</f>
        <v>9428462541 9824854886</v>
      </c>
      <c r="G235" s="18" t="str">
        <f ca="1">IFERROR(__xludf.DUMMYFUNCTION("""COMPUTED_VALUE"""),"9428462541 9824854886")</f>
        <v>9428462541 9824854886</v>
      </c>
      <c r="H235" s="6" t="str">
        <f ca="1">IFERROR(__xludf.DUMMYFUNCTION("""COMPUTED_VALUE"""),"DCE_2023-26")</f>
        <v>DCE_2023-26</v>
      </c>
      <c r="I235" s="20"/>
      <c r="J235" s="21">
        <f ca="1">IFERROR(__xludf.DUMMYFUNCTION("""COMPUTED_VALUE"""),27500)</f>
        <v>27500</v>
      </c>
      <c r="K235" s="21">
        <f ca="1">IFERROR(__xludf.DUMMYFUNCTION("""COMPUTED_VALUE"""),27500)</f>
        <v>27500</v>
      </c>
      <c r="L235" s="21">
        <f ca="1">IFERROR(__xludf.DUMMYFUNCTION("""COMPUTED_VALUE"""),0)</f>
        <v>0</v>
      </c>
      <c r="M235" s="23">
        <f ca="1">IFERROR(__xludf.DUMMYFUNCTION("""COMPUTED_VALUE"""),0)</f>
        <v>0</v>
      </c>
      <c r="N235" s="21">
        <f ca="1">IFERROR(__xludf.DUMMYFUNCTION("""COMPUTED_VALUE"""),0)</f>
        <v>0</v>
      </c>
      <c r="O235" s="21">
        <f ca="1">IFERROR(__xludf.DUMMYFUNCTION("""COMPUTED_VALUE"""),3000)</f>
        <v>3000</v>
      </c>
      <c r="P235" s="21">
        <f ca="1">IFERROR(__xludf.DUMMYFUNCTION("""COMPUTED_VALUE"""),3000)</f>
        <v>3000</v>
      </c>
      <c r="Q235" s="23">
        <f ca="1">IFERROR(__xludf.DUMMYFUNCTION("""COMPUTED_VALUE"""),0)</f>
        <v>0</v>
      </c>
      <c r="R235" s="24">
        <f ca="1">IFERROR(__xludf.DUMMYFUNCTION("""COMPUTED_VALUE"""),0)</f>
        <v>0</v>
      </c>
      <c r="S235" s="23">
        <f ca="1">IFERROR(__xludf.DUMMYFUNCTION("""COMPUTED_VALUE"""),0)</f>
        <v>0</v>
      </c>
      <c r="T235" s="24">
        <f ca="1">IFERROR(__xludf.DUMMYFUNCTION("""COMPUTED_VALUE"""),0)</f>
        <v>0</v>
      </c>
      <c r="U235" s="23">
        <f ca="1">IFERROR(__xludf.DUMMYFUNCTION("""COMPUTED_VALUE"""),0)</f>
        <v>0</v>
      </c>
      <c r="V235" s="23">
        <f ca="1">IFERROR(__xludf.DUMMYFUNCTION("""COMPUTED_VALUE"""),0)</f>
        <v>0</v>
      </c>
      <c r="W235" s="23">
        <f ca="1">IFERROR(__xludf.DUMMYFUNCTION("""COMPUTED_VALUE"""),0)</f>
        <v>0</v>
      </c>
      <c r="X235" s="23">
        <f ca="1">IFERROR(__xludf.DUMMYFUNCTION("""COMPUTED_VALUE"""),0)</f>
        <v>0</v>
      </c>
      <c r="Y235" s="25">
        <f ca="1">IFERROR(__xludf.DUMMYFUNCTION("""COMPUTED_VALUE"""),0)</f>
        <v>0</v>
      </c>
      <c r="Z235" s="25">
        <f ca="1">IFERROR(__xludf.DUMMYFUNCTION("""COMPUTED_VALUE"""),0)</f>
        <v>0</v>
      </c>
      <c r="AA235" s="25">
        <f ca="1">IFERROR(__xludf.DUMMYFUNCTION("""COMPUTED_VALUE"""),0)</f>
        <v>0</v>
      </c>
      <c r="AB235" s="25">
        <f ca="1">IFERROR(__xludf.DUMMYFUNCTION("""COMPUTED_VALUE"""),0)</f>
        <v>0</v>
      </c>
      <c r="AC235" s="23">
        <f ca="1">IFERROR(__xludf.DUMMYFUNCTION("""COMPUTED_VALUE"""),0)</f>
        <v>0</v>
      </c>
      <c r="AD235" s="26"/>
      <c r="AE235" s="27"/>
    </row>
    <row r="236" spans="1:31" ht="14.3">
      <c r="A236" s="18" t="str">
        <f ca="1">IFERROR(__xludf.DUMMYFUNCTION("""COMPUTED_VALUE"""),"23SDSCE01238")</f>
        <v>23SDSCE01238</v>
      </c>
      <c r="B236" s="19" t="str">
        <f ca="1">IFERROR(__xludf.DUMMYFUNCTION("""COMPUTED_VALUE"""),"KIHALA KISHANBHAI ARVINDBHAI")</f>
        <v>KIHALA KISHANBHAI ARVINDBHAI</v>
      </c>
      <c r="C236" s="18" t="str">
        <f ca="1">IFERROR(__xludf.DUMMYFUNCTION("""COMPUTED_VALUE"""),"SDS")</f>
        <v>SDS</v>
      </c>
      <c r="D236" s="18" t="str">
        <f ca="1">IFERROR(__xludf.DUMMYFUNCTION("""COMPUTED_VALUE"""),"DCE")</f>
        <v>DCE</v>
      </c>
      <c r="E236" s="25">
        <f ca="1">IFERROR(__xludf.DUMMYFUNCTION("""COMPUTED_VALUE"""),2)</f>
        <v>2</v>
      </c>
      <c r="F236" s="18" t="str">
        <f ca="1">IFERROR(__xludf.DUMMYFUNCTION("""COMPUTED_VALUE"""),"9737219017 6356270072")</f>
        <v>9737219017 6356270072</v>
      </c>
      <c r="G236" s="18" t="str">
        <f ca="1">IFERROR(__xludf.DUMMYFUNCTION("""COMPUTED_VALUE"""),"9737219017 6356270072")</f>
        <v>9737219017 6356270072</v>
      </c>
      <c r="H236" s="6" t="str">
        <f ca="1">IFERROR(__xludf.DUMMYFUNCTION("""COMPUTED_VALUE"""),"DCV_2023-26")</f>
        <v>DCV_2023-26</v>
      </c>
      <c r="I236" s="20"/>
      <c r="J236" s="21">
        <f ca="1">IFERROR(__xludf.DUMMYFUNCTION("""COMPUTED_VALUE"""),27500)</f>
        <v>27500</v>
      </c>
      <c r="K236" s="21">
        <f ca="1">IFERROR(__xludf.DUMMYFUNCTION("""COMPUTED_VALUE"""),27500)</f>
        <v>27500</v>
      </c>
      <c r="L236" s="21">
        <f ca="1">IFERROR(__xludf.DUMMYFUNCTION("""COMPUTED_VALUE"""),0)</f>
        <v>0</v>
      </c>
      <c r="M236" s="23">
        <f ca="1">IFERROR(__xludf.DUMMYFUNCTION("""COMPUTED_VALUE"""),0)</f>
        <v>0</v>
      </c>
      <c r="N236" s="21">
        <f ca="1">IFERROR(__xludf.DUMMYFUNCTION("""COMPUTED_VALUE"""),0)</f>
        <v>0</v>
      </c>
      <c r="O236" s="21">
        <f ca="1">IFERROR(__xludf.DUMMYFUNCTION("""COMPUTED_VALUE"""),3000)</f>
        <v>3000</v>
      </c>
      <c r="P236" s="21">
        <f ca="1">IFERROR(__xludf.DUMMYFUNCTION("""COMPUTED_VALUE"""),3000)</f>
        <v>3000</v>
      </c>
      <c r="Q236" s="23">
        <f ca="1">IFERROR(__xludf.DUMMYFUNCTION("""COMPUTED_VALUE"""),0)</f>
        <v>0</v>
      </c>
      <c r="R236" s="24">
        <f ca="1">IFERROR(__xludf.DUMMYFUNCTION("""COMPUTED_VALUE"""),0)</f>
        <v>0</v>
      </c>
      <c r="S236" s="23">
        <f ca="1">IFERROR(__xludf.DUMMYFUNCTION("""COMPUTED_VALUE"""),0)</f>
        <v>0</v>
      </c>
      <c r="T236" s="24">
        <f ca="1">IFERROR(__xludf.DUMMYFUNCTION("""COMPUTED_VALUE"""),0)</f>
        <v>0</v>
      </c>
      <c r="U236" s="23">
        <f ca="1">IFERROR(__xludf.DUMMYFUNCTION("""COMPUTED_VALUE"""),0)</f>
        <v>0</v>
      </c>
      <c r="V236" s="23">
        <f ca="1">IFERROR(__xludf.DUMMYFUNCTION("""COMPUTED_VALUE"""),0)</f>
        <v>0</v>
      </c>
      <c r="W236" s="23">
        <f ca="1">IFERROR(__xludf.DUMMYFUNCTION("""COMPUTED_VALUE"""),0)</f>
        <v>0</v>
      </c>
      <c r="X236" s="23">
        <f ca="1">IFERROR(__xludf.DUMMYFUNCTION("""COMPUTED_VALUE"""),0)</f>
        <v>0</v>
      </c>
      <c r="Y236" s="25">
        <f ca="1">IFERROR(__xludf.DUMMYFUNCTION("""COMPUTED_VALUE"""),0)</f>
        <v>0</v>
      </c>
      <c r="Z236" s="25">
        <f ca="1">IFERROR(__xludf.DUMMYFUNCTION("""COMPUTED_VALUE"""),0)</f>
        <v>0</v>
      </c>
      <c r="AA236" s="25">
        <f ca="1">IFERROR(__xludf.DUMMYFUNCTION("""COMPUTED_VALUE"""),0)</f>
        <v>0</v>
      </c>
      <c r="AB236" s="25">
        <f ca="1">IFERROR(__xludf.DUMMYFUNCTION("""COMPUTED_VALUE"""),0)</f>
        <v>0</v>
      </c>
      <c r="AC236" s="23">
        <f ca="1">IFERROR(__xludf.DUMMYFUNCTION("""COMPUTED_VALUE"""),0)</f>
        <v>0</v>
      </c>
      <c r="AD236" s="26"/>
      <c r="AE236" s="27"/>
    </row>
    <row r="237" spans="1:31" ht="14.3">
      <c r="A237" s="18" t="str">
        <f ca="1">IFERROR(__xludf.DUMMYFUNCTION("""COMPUTED_VALUE"""),"23SDSCE01239")</f>
        <v>23SDSCE01239</v>
      </c>
      <c r="B237" s="19" t="str">
        <f ca="1">IFERROR(__xludf.DUMMYFUNCTION("""COMPUTED_VALUE"""),"PADIYA SHUBHAM VIMALKUMAR")</f>
        <v>PADIYA SHUBHAM VIMALKUMAR</v>
      </c>
      <c r="C237" s="18" t="str">
        <f ca="1">IFERROR(__xludf.DUMMYFUNCTION("""COMPUTED_VALUE"""),"SDS")</f>
        <v>SDS</v>
      </c>
      <c r="D237" s="18" t="str">
        <f ca="1">IFERROR(__xludf.DUMMYFUNCTION("""COMPUTED_VALUE"""),"DCE")</f>
        <v>DCE</v>
      </c>
      <c r="E237" s="25">
        <f ca="1">IFERROR(__xludf.DUMMYFUNCTION("""COMPUTED_VALUE"""),2)</f>
        <v>2</v>
      </c>
      <c r="F237" s="18" t="str">
        <f ca="1">IFERROR(__xludf.DUMMYFUNCTION("""COMPUTED_VALUE"""),"7096680648 9265333376")</f>
        <v>7096680648 9265333376</v>
      </c>
      <c r="G237" s="18" t="str">
        <f ca="1">IFERROR(__xludf.DUMMYFUNCTION("""COMPUTED_VALUE"""),"7096680648 9265333376")</f>
        <v>7096680648 9265333376</v>
      </c>
      <c r="H237" s="6" t="str">
        <f ca="1">IFERROR(__xludf.DUMMYFUNCTION("""COMPUTED_VALUE"""),"DCE_2023-26")</f>
        <v>DCE_2023-26</v>
      </c>
      <c r="I237" s="20"/>
      <c r="J237" s="21">
        <f ca="1">IFERROR(__xludf.DUMMYFUNCTION("""COMPUTED_VALUE"""),27500)</f>
        <v>27500</v>
      </c>
      <c r="K237" s="21">
        <f ca="1">IFERROR(__xludf.DUMMYFUNCTION("""COMPUTED_VALUE"""),27500)</f>
        <v>27500</v>
      </c>
      <c r="L237" s="21">
        <f ca="1">IFERROR(__xludf.DUMMYFUNCTION("""COMPUTED_VALUE"""),0)</f>
        <v>0</v>
      </c>
      <c r="M237" s="23">
        <f ca="1">IFERROR(__xludf.DUMMYFUNCTION("""COMPUTED_VALUE"""),0)</f>
        <v>0</v>
      </c>
      <c r="N237" s="21">
        <f ca="1">IFERROR(__xludf.DUMMYFUNCTION("""COMPUTED_VALUE"""),0)</f>
        <v>0</v>
      </c>
      <c r="O237" s="21">
        <f ca="1">IFERROR(__xludf.DUMMYFUNCTION("""COMPUTED_VALUE"""),3000)</f>
        <v>3000</v>
      </c>
      <c r="P237" s="21">
        <f ca="1">IFERROR(__xludf.DUMMYFUNCTION("""COMPUTED_VALUE"""),3000)</f>
        <v>3000</v>
      </c>
      <c r="Q237" s="23">
        <f ca="1">IFERROR(__xludf.DUMMYFUNCTION("""COMPUTED_VALUE"""),0)</f>
        <v>0</v>
      </c>
      <c r="R237" s="24">
        <f ca="1">IFERROR(__xludf.DUMMYFUNCTION("""COMPUTED_VALUE"""),0)</f>
        <v>0</v>
      </c>
      <c r="S237" s="23">
        <f ca="1">IFERROR(__xludf.DUMMYFUNCTION("""COMPUTED_VALUE"""),0)</f>
        <v>0</v>
      </c>
      <c r="T237" s="24">
        <f ca="1">IFERROR(__xludf.DUMMYFUNCTION("""COMPUTED_VALUE"""),0)</f>
        <v>0</v>
      </c>
      <c r="U237" s="23">
        <f ca="1">IFERROR(__xludf.DUMMYFUNCTION("""COMPUTED_VALUE"""),0)</f>
        <v>0</v>
      </c>
      <c r="V237" s="23">
        <f ca="1">IFERROR(__xludf.DUMMYFUNCTION("""COMPUTED_VALUE"""),0)</f>
        <v>0</v>
      </c>
      <c r="W237" s="23">
        <f ca="1">IFERROR(__xludf.DUMMYFUNCTION("""COMPUTED_VALUE"""),0)</f>
        <v>0</v>
      </c>
      <c r="X237" s="23">
        <f ca="1">IFERROR(__xludf.DUMMYFUNCTION("""COMPUTED_VALUE"""),0)</f>
        <v>0</v>
      </c>
      <c r="Y237" s="25">
        <f ca="1">IFERROR(__xludf.DUMMYFUNCTION("""COMPUTED_VALUE"""),0)</f>
        <v>0</v>
      </c>
      <c r="Z237" s="25">
        <f ca="1">IFERROR(__xludf.DUMMYFUNCTION("""COMPUTED_VALUE"""),0)</f>
        <v>0</v>
      </c>
      <c r="AA237" s="25">
        <f ca="1">IFERROR(__xludf.DUMMYFUNCTION("""COMPUTED_VALUE"""),0)</f>
        <v>0</v>
      </c>
      <c r="AB237" s="25">
        <f ca="1">IFERROR(__xludf.DUMMYFUNCTION("""COMPUTED_VALUE"""),0)</f>
        <v>0</v>
      </c>
      <c r="AC237" s="23">
        <f ca="1">IFERROR(__xludf.DUMMYFUNCTION("""COMPUTED_VALUE"""),0)</f>
        <v>0</v>
      </c>
      <c r="AD237" s="26"/>
      <c r="AE237" s="27"/>
    </row>
    <row r="238" spans="1:31" ht="28.55">
      <c r="A238" s="18" t="str">
        <f ca="1">IFERROR(__xludf.DUMMYFUNCTION("""COMPUTED_VALUE"""),"23SDSCE01240")</f>
        <v>23SDSCE01240</v>
      </c>
      <c r="B238" s="19" t="str">
        <f ca="1">IFERROR(__xludf.DUMMYFUNCTION("""COMPUTED_VALUE"""),"TANMAY JAYWANT PAWAR")</f>
        <v>TANMAY JAYWANT PAWAR</v>
      </c>
      <c r="C238" s="18" t="str">
        <f ca="1">IFERROR(__xludf.DUMMYFUNCTION("""COMPUTED_VALUE"""),"SDS")</f>
        <v>SDS</v>
      </c>
      <c r="D238" s="18" t="str">
        <f ca="1">IFERROR(__xludf.DUMMYFUNCTION("""COMPUTED_VALUE"""),"DCE")</f>
        <v>DCE</v>
      </c>
      <c r="E238" s="25">
        <f ca="1">IFERROR(__xludf.DUMMYFUNCTION("""COMPUTED_VALUE"""),2)</f>
        <v>2</v>
      </c>
      <c r="F238" s="20" t="str">
        <f ca="1">IFERROR(__xludf.DUMMYFUNCTION("""COMPUTED_VALUE"""),"9322634913
9767129785")</f>
        <v>9322634913
9767129785</v>
      </c>
      <c r="G238" s="20" t="str">
        <f ca="1">IFERROR(__xludf.DUMMYFUNCTION("""COMPUTED_VALUE"""),"9322634913
9767129785")</f>
        <v>9322634913
9767129785</v>
      </c>
      <c r="H238" s="6" t="str">
        <f ca="1">IFERROR(__xludf.DUMMYFUNCTION("""COMPUTED_VALUE"""),"DCE_2023-26")</f>
        <v>DCE_2023-26</v>
      </c>
      <c r="I238" s="20"/>
      <c r="J238" s="21">
        <f ca="1">IFERROR(__xludf.DUMMYFUNCTION("""COMPUTED_VALUE"""),27500)</f>
        <v>27500</v>
      </c>
      <c r="K238" s="21">
        <f ca="1">IFERROR(__xludf.DUMMYFUNCTION("""COMPUTED_VALUE"""),27500)</f>
        <v>27500</v>
      </c>
      <c r="L238" s="21">
        <f ca="1">IFERROR(__xludf.DUMMYFUNCTION("""COMPUTED_VALUE"""),0)</f>
        <v>0</v>
      </c>
      <c r="M238" s="23">
        <f ca="1">IFERROR(__xludf.DUMMYFUNCTION("""COMPUTED_VALUE"""),0)</f>
        <v>0</v>
      </c>
      <c r="N238" s="21">
        <f ca="1">IFERROR(__xludf.DUMMYFUNCTION("""COMPUTED_VALUE"""),0)</f>
        <v>0</v>
      </c>
      <c r="O238" s="21">
        <f ca="1">IFERROR(__xludf.DUMMYFUNCTION("""COMPUTED_VALUE"""),3000)</f>
        <v>3000</v>
      </c>
      <c r="P238" s="21">
        <f ca="1">IFERROR(__xludf.DUMMYFUNCTION("""COMPUTED_VALUE"""),3000)</f>
        <v>3000</v>
      </c>
      <c r="Q238" s="23">
        <f ca="1">IFERROR(__xludf.DUMMYFUNCTION("""COMPUTED_VALUE"""),0)</f>
        <v>0</v>
      </c>
      <c r="R238" s="24">
        <f ca="1">IFERROR(__xludf.DUMMYFUNCTION("""COMPUTED_VALUE"""),0)</f>
        <v>0</v>
      </c>
      <c r="S238" s="23">
        <f ca="1">IFERROR(__xludf.DUMMYFUNCTION("""COMPUTED_VALUE"""),0)</f>
        <v>0</v>
      </c>
      <c r="T238" s="24">
        <f ca="1">IFERROR(__xludf.DUMMYFUNCTION("""COMPUTED_VALUE"""),0)</f>
        <v>0</v>
      </c>
      <c r="U238" s="23">
        <f ca="1">IFERROR(__xludf.DUMMYFUNCTION("""COMPUTED_VALUE"""),0)</f>
        <v>0</v>
      </c>
      <c r="V238" s="23">
        <f ca="1">IFERROR(__xludf.DUMMYFUNCTION("""COMPUTED_VALUE"""),0)</f>
        <v>0</v>
      </c>
      <c r="W238" s="23">
        <f ca="1">IFERROR(__xludf.DUMMYFUNCTION("""COMPUTED_VALUE"""),0)</f>
        <v>0</v>
      </c>
      <c r="X238" s="23">
        <f ca="1">IFERROR(__xludf.DUMMYFUNCTION("""COMPUTED_VALUE"""),0)</f>
        <v>0</v>
      </c>
      <c r="Y238" s="25">
        <f ca="1">IFERROR(__xludf.DUMMYFUNCTION("""COMPUTED_VALUE"""),0)</f>
        <v>0</v>
      </c>
      <c r="Z238" s="25">
        <f ca="1">IFERROR(__xludf.DUMMYFUNCTION("""COMPUTED_VALUE"""),0)</f>
        <v>0</v>
      </c>
      <c r="AA238" s="25">
        <f ca="1">IFERROR(__xludf.DUMMYFUNCTION("""COMPUTED_VALUE"""),0)</f>
        <v>0</v>
      </c>
      <c r="AB238" s="25">
        <f ca="1">IFERROR(__xludf.DUMMYFUNCTION("""COMPUTED_VALUE"""),0)</f>
        <v>0</v>
      </c>
      <c r="AC238" s="23">
        <f ca="1">IFERROR(__xludf.DUMMYFUNCTION("""COMPUTED_VALUE"""),0)</f>
        <v>0</v>
      </c>
      <c r="AD238" s="26"/>
      <c r="AE238" s="27"/>
    </row>
    <row r="239" spans="1:31" ht="14.3">
      <c r="A239" s="18" t="str">
        <f ca="1">IFERROR(__xludf.DUMMYFUNCTION("""COMPUTED_VALUE"""),"23SDSCE01241")</f>
        <v>23SDSCE01241</v>
      </c>
      <c r="B239" s="19" t="str">
        <f ca="1">IFERROR(__xludf.DUMMYFUNCTION("""COMPUTED_VALUE"""),"SAKARIYA SIDDHARTH ASHVINBHAI")</f>
        <v>SAKARIYA SIDDHARTH ASHVINBHAI</v>
      </c>
      <c r="C239" s="18" t="str">
        <f ca="1">IFERROR(__xludf.DUMMYFUNCTION("""COMPUTED_VALUE"""),"SDS")</f>
        <v>SDS</v>
      </c>
      <c r="D239" s="18" t="str">
        <f ca="1">IFERROR(__xludf.DUMMYFUNCTION("""COMPUTED_VALUE"""),"DCE")</f>
        <v>DCE</v>
      </c>
      <c r="E239" s="25">
        <f ca="1">IFERROR(__xludf.DUMMYFUNCTION("""COMPUTED_VALUE"""),2)</f>
        <v>2</v>
      </c>
      <c r="F239" s="18" t="str">
        <f ca="1">IFERROR(__xludf.DUMMYFUNCTION("""COMPUTED_VALUE"""),"9978026140 7990718391 ")</f>
        <v xml:space="preserve">9978026140 7990718391 </v>
      </c>
      <c r="G239" s="18" t="str">
        <f ca="1">IFERROR(__xludf.DUMMYFUNCTION("""COMPUTED_VALUE"""),"9978026140 7990718391 ")</f>
        <v xml:space="preserve">9978026140 7990718391 </v>
      </c>
      <c r="H239" s="6" t="str">
        <f ca="1">IFERROR(__xludf.DUMMYFUNCTION("""COMPUTED_VALUE"""),"DCE_2023-26")</f>
        <v>DCE_2023-26</v>
      </c>
      <c r="I239" s="20"/>
      <c r="J239" s="21">
        <f ca="1">IFERROR(__xludf.DUMMYFUNCTION("""COMPUTED_VALUE"""),27500)</f>
        <v>27500</v>
      </c>
      <c r="K239" s="21">
        <f ca="1">IFERROR(__xludf.DUMMYFUNCTION("""COMPUTED_VALUE"""),27500)</f>
        <v>27500</v>
      </c>
      <c r="L239" s="21">
        <f ca="1">IFERROR(__xludf.DUMMYFUNCTION("""COMPUTED_VALUE"""),0)</f>
        <v>0</v>
      </c>
      <c r="M239" s="23">
        <f ca="1">IFERROR(__xludf.DUMMYFUNCTION("""COMPUTED_VALUE"""),0)</f>
        <v>0</v>
      </c>
      <c r="N239" s="21">
        <f ca="1">IFERROR(__xludf.DUMMYFUNCTION("""COMPUTED_VALUE"""),0)</f>
        <v>0</v>
      </c>
      <c r="O239" s="21">
        <f ca="1">IFERROR(__xludf.DUMMYFUNCTION("""COMPUTED_VALUE"""),3000)</f>
        <v>3000</v>
      </c>
      <c r="P239" s="21">
        <f ca="1">IFERROR(__xludf.DUMMYFUNCTION("""COMPUTED_VALUE"""),3000)</f>
        <v>3000</v>
      </c>
      <c r="Q239" s="23">
        <f ca="1">IFERROR(__xludf.DUMMYFUNCTION("""COMPUTED_VALUE"""),0)</f>
        <v>0</v>
      </c>
      <c r="R239" s="24">
        <f ca="1">IFERROR(__xludf.DUMMYFUNCTION("""COMPUTED_VALUE"""),0)</f>
        <v>0</v>
      </c>
      <c r="S239" s="23">
        <f ca="1">IFERROR(__xludf.DUMMYFUNCTION("""COMPUTED_VALUE"""),0)</f>
        <v>0</v>
      </c>
      <c r="T239" s="24">
        <f ca="1">IFERROR(__xludf.DUMMYFUNCTION("""COMPUTED_VALUE"""),0)</f>
        <v>0</v>
      </c>
      <c r="U239" s="23">
        <f ca="1">IFERROR(__xludf.DUMMYFUNCTION("""COMPUTED_VALUE"""),0)</f>
        <v>0</v>
      </c>
      <c r="V239" s="23">
        <f ca="1">IFERROR(__xludf.DUMMYFUNCTION("""COMPUTED_VALUE"""),0)</f>
        <v>0</v>
      </c>
      <c r="W239" s="23">
        <f ca="1">IFERROR(__xludf.DUMMYFUNCTION("""COMPUTED_VALUE"""),0)</f>
        <v>0</v>
      </c>
      <c r="X239" s="23">
        <f ca="1">IFERROR(__xludf.DUMMYFUNCTION("""COMPUTED_VALUE"""),0)</f>
        <v>0</v>
      </c>
      <c r="Y239" s="25">
        <f ca="1">IFERROR(__xludf.DUMMYFUNCTION("""COMPUTED_VALUE"""),0)</f>
        <v>0</v>
      </c>
      <c r="Z239" s="25">
        <f ca="1">IFERROR(__xludf.DUMMYFUNCTION("""COMPUTED_VALUE"""),0)</f>
        <v>0</v>
      </c>
      <c r="AA239" s="25">
        <f ca="1">IFERROR(__xludf.DUMMYFUNCTION("""COMPUTED_VALUE"""),0)</f>
        <v>0</v>
      </c>
      <c r="AB239" s="25">
        <f ca="1">IFERROR(__xludf.DUMMYFUNCTION("""COMPUTED_VALUE"""),0)</f>
        <v>0</v>
      </c>
      <c r="AC239" s="23">
        <f ca="1">IFERROR(__xludf.DUMMYFUNCTION("""COMPUTED_VALUE"""),0)</f>
        <v>0</v>
      </c>
      <c r="AD239" s="26"/>
      <c r="AE239" s="27"/>
    </row>
    <row r="240" spans="1:31" ht="14.3">
      <c r="A240" s="18" t="str">
        <f ca="1">IFERROR(__xludf.DUMMYFUNCTION("""COMPUTED_VALUE"""),"23SDSCE01242")</f>
        <v>23SDSCE01242</v>
      </c>
      <c r="B240" s="19" t="str">
        <f ca="1">IFERROR(__xludf.DUMMYFUNCTION("""COMPUTED_VALUE"""),"TRIVEDI RUDRAKUMAR KALPESHBHAI")</f>
        <v>TRIVEDI RUDRAKUMAR KALPESHBHAI</v>
      </c>
      <c r="C240" s="18" t="str">
        <f ca="1">IFERROR(__xludf.DUMMYFUNCTION("""COMPUTED_VALUE"""),"SDS")</f>
        <v>SDS</v>
      </c>
      <c r="D240" s="18" t="str">
        <f ca="1">IFERROR(__xludf.DUMMYFUNCTION("""COMPUTED_VALUE"""),"DCE")</f>
        <v>DCE</v>
      </c>
      <c r="E240" s="25">
        <f ca="1">IFERROR(__xludf.DUMMYFUNCTION("""COMPUTED_VALUE"""),2)</f>
        <v>2</v>
      </c>
      <c r="F240" s="18" t="str">
        <f ca="1">IFERROR(__xludf.DUMMYFUNCTION("""COMPUTED_VALUE"""),"9316540465 9265032933")</f>
        <v>9316540465 9265032933</v>
      </c>
      <c r="G240" s="18" t="str">
        <f ca="1">IFERROR(__xludf.DUMMYFUNCTION("""COMPUTED_VALUE"""),"9316540465 9265032933")</f>
        <v>9316540465 9265032933</v>
      </c>
      <c r="H240" s="6" t="str">
        <f ca="1">IFERROR(__xludf.DUMMYFUNCTION("""COMPUTED_VALUE"""),"DCE_2023-26")</f>
        <v>DCE_2023-26</v>
      </c>
      <c r="I240" s="20"/>
      <c r="J240" s="21">
        <f ca="1">IFERROR(__xludf.DUMMYFUNCTION("""COMPUTED_VALUE"""),27500)</f>
        <v>27500</v>
      </c>
      <c r="K240" s="21">
        <f ca="1">IFERROR(__xludf.DUMMYFUNCTION("""COMPUTED_VALUE"""),0)</f>
        <v>0</v>
      </c>
      <c r="L240" s="21">
        <f ca="1">IFERROR(__xludf.DUMMYFUNCTION("""COMPUTED_VALUE"""),0)</f>
        <v>0</v>
      </c>
      <c r="M240" s="23">
        <f ca="1">IFERROR(__xludf.DUMMYFUNCTION("""COMPUTED_VALUE"""),0)</f>
        <v>0</v>
      </c>
      <c r="N240" s="21">
        <f ca="1">IFERROR(__xludf.DUMMYFUNCTION("""COMPUTED_VALUE"""),27500)</f>
        <v>27500</v>
      </c>
      <c r="O240" s="21">
        <f ca="1">IFERROR(__xludf.DUMMYFUNCTION("""COMPUTED_VALUE"""),3000)</f>
        <v>3000</v>
      </c>
      <c r="P240" s="21">
        <f ca="1">IFERROR(__xludf.DUMMYFUNCTION("""COMPUTED_VALUE"""),0)</f>
        <v>0</v>
      </c>
      <c r="Q240" s="23">
        <f ca="1">IFERROR(__xludf.DUMMYFUNCTION("""COMPUTED_VALUE"""),0)</f>
        <v>0</v>
      </c>
      <c r="R240" s="24">
        <f ca="1">IFERROR(__xludf.DUMMYFUNCTION("""COMPUTED_VALUE"""),0)</f>
        <v>0</v>
      </c>
      <c r="S240" s="23">
        <f ca="1">IFERROR(__xludf.DUMMYFUNCTION("""COMPUTED_VALUE"""),3000)</f>
        <v>3000</v>
      </c>
      <c r="T240" s="24">
        <f ca="1">IFERROR(__xludf.DUMMYFUNCTION("""COMPUTED_VALUE"""),0)</f>
        <v>0</v>
      </c>
      <c r="U240" s="23">
        <f ca="1">IFERROR(__xludf.DUMMYFUNCTION("""COMPUTED_VALUE"""),0)</f>
        <v>0</v>
      </c>
      <c r="V240" s="23">
        <f ca="1">IFERROR(__xludf.DUMMYFUNCTION("""COMPUTED_VALUE"""),0)</f>
        <v>0</v>
      </c>
      <c r="W240" s="23">
        <f ca="1">IFERROR(__xludf.DUMMYFUNCTION("""COMPUTED_VALUE"""),0)</f>
        <v>0</v>
      </c>
      <c r="X240" s="23">
        <f ca="1">IFERROR(__xludf.DUMMYFUNCTION("""COMPUTED_VALUE"""),0)</f>
        <v>0</v>
      </c>
      <c r="Y240" s="25">
        <f ca="1">IFERROR(__xludf.DUMMYFUNCTION("""COMPUTED_VALUE"""),0)</f>
        <v>0</v>
      </c>
      <c r="Z240" s="25">
        <f ca="1">IFERROR(__xludf.DUMMYFUNCTION("""COMPUTED_VALUE"""),0)</f>
        <v>0</v>
      </c>
      <c r="AA240" s="25">
        <f ca="1">IFERROR(__xludf.DUMMYFUNCTION("""COMPUTED_VALUE"""),0)</f>
        <v>0</v>
      </c>
      <c r="AB240" s="25">
        <f ca="1">IFERROR(__xludf.DUMMYFUNCTION("""COMPUTED_VALUE"""),0)</f>
        <v>0</v>
      </c>
      <c r="AC240" s="23">
        <f ca="1">IFERROR(__xludf.DUMMYFUNCTION("""COMPUTED_VALUE"""),0)</f>
        <v>0</v>
      </c>
      <c r="AD240" s="26"/>
      <c r="AE240" s="27"/>
    </row>
    <row r="241" spans="1:31" ht="14.3">
      <c r="A241" s="18" t="str">
        <f ca="1">IFERROR(__xludf.DUMMYFUNCTION("""COMPUTED_VALUE"""),"23SDSCE01243")</f>
        <v>23SDSCE01243</v>
      </c>
      <c r="B241" s="37" t="str">
        <f ca="1">IFERROR(__xludf.DUMMYFUNCTION("""COMPUTED_VALUE"""),"ZALAVADIYA KEVIN SANJAYBHAI")</f>
        <v>ZALAVADIYA KEVIN SANJAYBHAI</v>
      </c>
      <c r="C241" s="18" t="str">
        <f ca="1">IFERROR(__xludf.DUMMYFUNCTION("""COMPUTED_VALUE"""),"SDS")</f>
        <v>SDS</v>
      </c>
      <c r="D241" s="18" t="str">
        <f ca="1">IFERROR(__xludf.DUMMYFUNCTION("""COMPUTED_VALUE"""),"DCE")</f>
        <v>DCE</v>
      </c>
      <c r="E241" s="25">
        <f ca="1">IFERROR(__xludf.DUMMYFUNCTION("""COMPUTED_VALUE"""),2)</f>
        <v>2</v>
      </c>
      <c r="F241" s="18" t="str">
        <f ca="1">IFERROR(__xludf.DUMMYFUNCTION("""COMPUTED_VALUE"""),"9913107663")</f>
        <v>9913107663</v>
      </c>
      <c r="G241" s="18" t="str">
        <f ca="1">IFERROR(__xludf.DUMMYFUNCTION("""COMPUTED_VALUE"""),"9913107663")</f>
        <v>9913107663</v>
      </c>
      <c r="H241" s="6" t="str">
        <f ca="1">IFERROR(__xludf.DUMMYFUNCTION("""COMPUTED_VALUE"""),"DCE_2023-26")</f>
        <v>DCE_2023-26</v>
      </c>
      <c r="I241" s="20"/>
      <c r="J241" s="21">
        <f ca="1">IFERROR(__xludf.DUMMYFUNCTION("""COMPUTED_VALUE"""),27500)</f>
        <v>27500</v>
      </c>
      <c r="K241" s="21">
        <f ca="1">IFERROR(__xludf.DUMMYFUNCTION("""COMPUTED_VALUE"""),0)</f>
        <v>0</v>
      </c>
      <c r="L241" s="21">
        <f ca="1">IFERROR(__xludf.DUMMYFUNCTION("""COMPUTED_VALUE"""),0)</f>
        <v>0</v>
      </c>
      <c r="M241" s="23">
        <f ca="1">IFERROR(__xludf.DUMMYFUNCTION("""COMPUTED_VALUE"""),0)</f>
        <v>0</v>
      </c>
      <c r="N241" s="21">
        <f ca="1">IFERROR(__xludf.DUMMYFUNCTION("""COMPUTED_VALUE"""),27500)</f>
        <v>27500</v>
      </c>
      <c r="O241" s="21">
        <f ca="1">IFERROR(__xludf.DUMMYFUNCTION("""COMPUTED_VALUE"""),3000)</f>
        <v>3000</v>
      </c>
      <c r="P241" s="21">
        <f ca="1">IFERROR(__xludf.DUMMYFUNCTION("""COMPUTED_VALUE"""),0)</f>
        <v>0</v>
      </c>
      <c r="Q241" s="23">
        <f ca="1">IFERROR(__xludf.DUMMYFUNCTION("""COMPUTED_VALUE"""),0)</f>
        <v>0</v>
      </c>
      <c r="R241" s="24">
        <f ca="1">IFERROR(__xludf.DUMMYFUNCTION("""COMPUTED_VALUE"""),0)</f>
        <v>0</v>
      </c>
      <c r="S241" s="23">
        <f ca="1">IFERROR(__xludf.DUMMYFUNCTION("""COMPUTED_VALUE"""),3000)</f>
        <v>3000</v>
      </c>
      <c r="T241" s="24">
        <f ca="1">IFERROR(__xludf.DUMMYFUNCTION("""COMPUTED_VALUE"""),0)</f>
        <v>0</v>
      </c>
      <c r="U241" s="23">
        <f ca="1">IFERROR(__xludf.DUMMYFUNCTION("""COMPUTED_VALUE"""),0)</f>
        <v>0</v>
      </c>
      <c r="V241" s="23">
        <f ca="1">IFERROR(__xludf.DUMMYFUNCTION("""COMPUTED_VALUE"""),0)</f>
        <v>0</v>
      </c>
      <c r="W241" s="23">
        <f ca="1">IFERROR(__xludf.DUMMYFUNCTION("""COMPUTED_VALUE"""),0)</f>
        <v>0</v>
      </c>
      <c r="X241" s="23">
        <f ca="1">IFERROR(__xludf.DUMMYFUNCTION("""COMPUTED_VALUE"""),0)</f>
        <v>0</v>
      </c>
      <c r="Y241" s="25">
        <f ca="1">IFERROR(__xludf.DUMMYFUNCTION("""COMPUTED_VALUE"""),0)</f>
        <v>0</v>
      </c>
      <c r="Z241" s="25">
        <f ca="1">IFERROR(__xludf.DUMMYFUNCTION("""COMPUTED_VALUE"""),0)</f>
        <v>0</v>
      </c>
      <c r="AA241" s="25">
        <f ca="1">IFERROR(__xludf.DUMMYFUNCTION("""COMPUTED_VALUE"""),0)</f>
        <v>0</v>
      </c>
      <c r="AB241" s="25">
        <f ca="1">IFERROR(__xludf.DUMMYFUNCTION("""COMPUTED_VALUE"""),0)</f>
        <v>0</v>
      </c>
      <c r="AC241" s="23">
        <f ca="1">IFERROR(__xludf.DUMMYFUNCTION("""COMPUTED_VALUE"""),0)</f>
        <v>0</v>
      </c>
      <c r="AD241" s="26"/>
      <c r="AE241" s="27"/>
    </row>
    <row r="242" spans="1:31" ht="14.3">
      <c r="A242" s="18" t="str">
        <f ca="1">IFERROR(__xludf.DUMMYFUNCTION("""COMPUTED_VALUE"""),"23SDSCE01245")</f>
        <v>23SDSCE01245</v>
      </c>
      <c r="B242" s="19" t="str">
        <f ca="1">IFERROR(__xludf.DUMMYFUNCTION("""COMPUTED_VALUE"""),"ZALAVADIYA KEVAL SANJAYBHAI")</f>
        <v>ZALAVADIYA KEVAL SANJAYBHAI</v>
      </c>
      <c r="C242" s="18" t="str">
        <f ca="1">IFERROR(__xludf.DUMMYFUNCTION("""COMPUTED_VALUE"""),"SDS")</f>
        <v>SDS</v>
      </c>
      <c r="D242" s="18" t="str">
        <f ca="1">IFERROR(__xludf.DUMMYFUNCTION("""COMPUTED_VALUE"""),"DCE")</f>
        <v>DCE</v>
      </c>
      <c r="E242" s="25">
        <f ca="1">IFERROR(__xludf.DUMMYFUNCTION("""COMPUTED_VALUE"""),2)</f>
        <v>2</v>
      </c>
      <c r="F242" s="6" t="str">
        <f ca="1">IFERROR(__xludf.DUMMYFUNCTION("""COMPUTED_VALUE"""),"9913107663")</f>
        <v>9913107663</v>
      </c>
      <c r="G242" s="6" t="str">
        <f ca="1">IFERROR(__xludf.DUMMYFUNCTION("""COMPUTED_VALUE"""),"9913107663")</f>
        <v>9913107663</v>
      </c>
      <c r="H242" s="6" t="str">
        <f ca="1">IFERROR(__xludf.DUMMYFUNCTION("""COMPUTED_VALUE"""),"DCE_2023-26")</f>
        <v>DCE_2023-26</v>
      </c>
      <c r="I242" s="20" t="str">
        <f ca="1">IFERROR(__xludf.DUMMYFUNCTION("""COMPUTED_VALUE"""),"KSP")</f>
        <v>KSP</v>
      </c>
      <c r="J242" s="21">
        <f ca="1">IFERROR(__xludf.DUMMYFUNCTION("""COMPUTED_VALUE"""),27500)</f>
        <v>27500</v>
      </c>
      <c r="K242" s="21">
        <f ca="1">IFERROR(__xludf.DUMMYFUNCTION("""COMPUTED_VALUE"""),0)</f>
        <v>0</v>
      </c>
      <c r="L242" s="21">
        <f ca="1">IFERROR(__xludf.DUMMYFUNCTION("""COMPUTED_VALUE"""),0)</f>
        <v>0</v>
      </c>
      <c r="M242" s="23">
        <f ca="1">IFERROR(__xludf.DUMMYFUNCTION("""COMPUTED_VALUE"""),6250)</f>
        <v>6250</v>
      </c>
      <c r="N242" s="21">
        <f ca="1">IFERROR(__xludf.DUMMYFUNCTION("""COMPUTED_VALUE"""),21250)</f>
        <v>21250</v>
      </c>
      <c r="O242" s="21">
        <f ca="1">IFERROR(__xludf.DUMMYFUNCTION("""COMPUTED_VALUE"""),3000)</f>
        <v>3000</v>
      </c>
      <c r="P242" s="21">
        <f ca="1">IFERROR(__xludf.DUMMYFUNCTION("""COMPUTED_VALUE"""),0)</f>
        <v>0</v>
      </c>
      <c r="Q242" s="23">
        <f ca="1">IFERROR(__xludf.DUMMYFUNCTION("""COMPUTED_VALUE"""),0)</f>
        <v>0</v>
      </c>
      <c r="R242" s="24">
        <f ca="1">IFERROR(__xludf.DUMMYFUNCTION("""COMPUTED_VALUE"""),0)</f>
        <v>0</v>
      </c>
      <c r="S242" s="23">
        <f ca="1">IFERROR(__xludf.DUMMYFUNCTION("""COMPUTED_VALUE"""),3000)</f>
        <v>3000</v>
      </c>
      <c r="T242" s="24">
        <f ca="1">IFERROR(__xludf.DUMMYFUNCTION("""COMPUTED_VALUE"""),0)</f>
        <v>0</v>
      </c>
      <c r="U242" s="23">
        <f ca="1">IFERROR(__xludf.DUMMYFUNCTION("""COMPUTED_VALUE"""),0)</f>
        <v>0</v>
      </c>
      <c r="V242" s="23">
        <f ca="1">IFERROR(__xludf.DUMMYFUNCTION("""COMPUTED_VALUE"""),0)</f>
        <v>0</v>
      </c>
      <c r="W242" s="23">
        <f ca="1">IFERROR(__xludf.DUMMYFUNCTION("""COMPUTED_VALUE"""),0)</f>
        <v>0</v>
      </c>
      <c r="X242" s="23">
        <f ca="1">IFERROR(__xludf.DUMMYFUNCTION("""COMPUTED_VALUE"""),0)</f>
        <v>0</v>
      </c>
      <c r="Y242" s="25">
        <f ca="1">IFERROR(__xludf.DUMMYFUNCTION("""COMPUTED_VALUE"""),0)</f>
        <v>0</v>
      </c>
      <c r="Z242" s="25">
        <f ca="1">IFERROR(__xludf.DUMMYFUNCTION("""COMPUTED_VALUE"""),0)</f>
        <v>0</v>
      </c>
      <c r="AA242" s="25">
        <f ca="1">IFERROR(__xludf.DUMMYFUNCTION("""COMPUTED_VALUE"""),0)</f>
        <v>0</v>
      </c>
      <c r="AB242" s="25">
        <f ca="1">IFERROR(__xludf.DUMMYFUNCTION("""COMPUTED_VALUE"""),0)</f>
        <v>0</v>
      </c>
      <c r="AC242" s="23">
        <f ca="1">IFERROR(__xludf.DUMMYFUNCTION("""COMPUTED_VALUE"""),0)</f>
        <v>0</v>
      </c>
      <c r="AD242" s="26" t="str">
        <f ca="1">IFERROR(__xludf.DUMMYFUNCTION("""COMPUTED_VALUE"""),"KSPS ( 6250/- )")</f>
        <v>KSPS ( 6250/- )</v>
      </c>
      <c r="AE242" s="27"/>
    </row>
    <row r="243" spans="1:31" ht="28.55">
      <c r="A243" s="18" t="str">
        <f ca="1">IFERROR(__xludf.DUMMYFUNCTION("""COMPUTED_VALUE"""),"23SDSCE01602")</f>
        <v>23SDSCE01602</v>
      </c>
      <c r="B243" s="19" t="str">
        <f ca="1">IFERROR(__xludf.DUMMYFUNCTION("""COMPUTED_VALUE"""),"ROHIT MEHTA")</f>
        <v>ROHIT MEHTA</v>
      </c>
      <c r="C243" s="18" t="str">
        <f ca="1">IFERROR(__xludf.DUMMYFUNCTION("""COMPUTED_VALUE"""),"SDS")</f>
        <v>SDS</v>
      </c>
      <c r="D243" s="18" t="str">
        <f ca="1">IFERROR(__xludf.DUMMYFUNCTION("""COMPUTED_VALUE"""),"DCE")</f>
        <v>DCE</v>
      </c>
      <c r="E243" s="25">
        <f ca="1">IFERROR(__xludf.DUMMYFUNCTION("""COMPUTED_VALUE"""),2)</f>
        <v>2</v>
      </c>
      <c r="F243" s="20" t="str">
        <f ca="1">IFERROR(__xludf.DUMMYFUNCTION("""COMPUTED_VALUE"""),"INTERNATIONAL")</f>
        <v>INTERNATIONAL</v>
      </c>
      <c r="G243" s="20" t="str">
        <f ca="1">IFERROR(__xludf.DUMMYFUNCTION("""COMPUTED_VALUE"""),"USD FEE STUDENT")</f>
        <v>USD FEE STUDENT</v>
      </c>
      <c r="H243" s="6" t="str">
        <f ca="1">IFERROR(__xludf.DUMMYFUNCTION("""COMPUTED_VALUE"""),"DCE_2023-26")</f>
        <v>DCE_2023-26</v>
      </c>
      <c r="I243" s="20"/>
      <c r="J243" s="21">
        <f ca="1">IFERROR(__xludf.DUMMYFUNCTION("""COMPUTED_VALUE"""),0)</f>
        <v>0</v>
      </c>
      <c r="K243" s="21">
        <f ca="1">IFERROR(__xludf.DUMMYFUNCTION("""COMPUTED_VALUE"""),0)</f>
        <v>0</v>
      </c>
      <c r="L243" s="21">
        <f ca="1">IFERROR(__xludf.DUMMYFUNCTION("""COMPUTED_VALUE"""),0)</f>
        <v>0</v>
      </c>
      <c r="M243" s="23">
        <f ca="1">IFERROR(__xludf.DUMMYFUNCTION("""COMPUTED_VALUE"""),0)</f>
        <v>0</v>
      </c>
      <c r="N243" s="21">
        <f ca="1">IFERROR(__xludf.DUMMYFUNCTION("""COMPUTED_VALUE"""),0)</f>
        <v>0</v>
      </c>
      <c r="O243" s="21">
        <f ca="1">IFERROR(__xludf.DUMMYFUNCTION("""COMPUTED_VALUE"""),0)</f>
        <v>0</v>
      </c>
      <c r="P243" s="21">
        <f ca="1">IFERROR(__xludf.DUMMYFUNCTION("""COMPUTED_VALUE"""),0)</f>
        <v>0</v>
      </c>
      <c r="Q243" s="23">
        <f ca="1">IFERROR(__xludf.DUMMYFUNCTION("""COMPUTED_VALUE"""),0)</f>
        <v>0</v>
      </c>
      <c r="R243" s="24">
        <f ca="1">IFERROR(__xludf.DUMMYFUNCTION("""COMPUTED_VALUE"""),0)</f>
        <v>0</v>
      </c>
      <c r="S243" s="23">
        <f ca="1">IFERROR(__xludf.DUMMYFUNCTION("""COMPUTED_VALUE"""),0)</f>
        <v>0</v>
      </c>
      <c r="T243" s="24">
        <f ca="1">IFERROR(__xludf.DUMMYFUNCTION("""COMPUTED_VALUE"""),0)</f>
        <v>0</v>
      </c>
      <c r="U243" s="23">
        <f ca="1">IFERROR(__xludf.DUMMYFUNCTION("""COMPUTED_VALUE"""),0)</f>
        <v>0</v>
      </c>
      <c r="V243" s="23">
        <f ca="1">IFERROR(__xludf.DUMMYFUNCTION("""COMPUTED_VALUE"""),0)</f>
        <v>0</v>
      </c>
      <c r="W243" s="23">
        <f ca="1">IFERROR(__xludf.DUMMYFUNCTION("""COMPUTED_VALUE"""),0)</f>
        <v>0</v>
      </c>
      <c r="X243" s="23">
        <f ca="1">IFERROR(__xludf.DUMMYFUNCTION("""COMPUTED_VALUE"""),0)</f>
        <v>0</v>
      </c>
      <c r="Y243" s="25">
        <f ca="1">IFERROR(__xludf.DUMMYFUNCTION("""COMPUTED_VALUE"""),0)</f>
        <v>0</v>
      </c>
      <c r="Z243" s="25">
        <f ca="1">IFERROR(__xludf.DUMMYFUNCTION("""COMPUTED_VALUE"""),0)</f>
        <v>0</v>
      </c>
      <c r="AA243" s="25">
        <f ca="1">IFERROR(__xludf.DUMMYFUNCTION("""COMPUTED_VALUE"""),0)</f>
        <v>0</v>
      </c>
      <c r="AB243" s="25">
        <f ca="1">IFERROR(__xludf.DUMMYFUNCTION("""COMPUTED_VALUE"""),0)</f>
        <v>0</v>
      </c>
      <c r="AC243" s="23">
        <f ca="1">IFERROR(__xludf.DUMMYFUNCTION("""COMPUTED_VALUE"""),0)</f>
        <v>0</v>
      </c>
      <c r="AD243" s="26"/>
      <c r="AE243" s="27"/>
    </row>
    <row r="244" spans="1:31" ht="14.3">
      <c r="A244" s="18" t="str">
        <f ca="1">IFERROR(__xludf.DUMMYFUNCTION("""COMPUTED_VALUE"""),"23SDSCE01603")</f>
        <v>23SDSCE01603</v>
      </c>
      <c r="B244" s="19" t="str">
        <f ca="1">IFERROR(__xludf.DUMMYFUNCTION("""COMPUTED_VALUE"""),"SANTOSH KUMAR YADAV")</f>
        <v>SANTOSH KUMAR YADAV</v>
      </c>
      <c r="C244" s="18" t="str">
        <f ca="1">IFERROR(__xludf.DUMMYFUNCTION("""COMPUTED_VALUE"""),"SDS")</f>
        <v>SDS</v>
      </c>
      <c r="D244" s="18" t="str">
        <f ca="1">IFERROR(__xludf.DUMMYFUNCTION("""COMPUTED_VALUE"""),"DCE")</f>
        <v>DCE</v>
      </c>
      <c r="E244" s="25">
        <f ca="1">IFERROR(__xludf.DUMMYFUNCTION("""COMPUTED_VALUE"""),2)</f>
        <v>2</v>
      </c>
      <c r="F244" s="18" t="str">
        <f ca="1">IFERROR(__xludf.DUMMYFUNCTION("""COMPUTED_VALUE"""),"INTERNATIONAL")</f>
        <v>INTERNATIONAL</v>
      </c>
      <c r="G244" s="18" t="str">
        <f ca="1">IFERROR(__xludf.DUMMYFUNCTION("""COMPUTED_VALUE"""),"USD FEE STUDENT")</f>
        <v>USD FEE STUDENT</v>
      </c>
      <c r="H244" s="6" t="str">
        <f ca="1">IFERROR(__xludf.DUMMYFUNCTION("""COMPUTED_VALUE"""),"DCE_2023-26")</f>
        <v>DCE_2023-26</v>
      </c>
      <c r="I244" s="20"/>
      <c r="J244" s="21">
        <f ca="1">IFERROR(__xludf.DUMMYFUNCTION("""COMPUTED_VALUE"""),0)</f>
        <v>0</v>
      </c>
      <c r="K244" s="21">
        <f ca="1">IFERROR(__xludf.DUMMYFUNCTION("""COMPUTED_VALUE"""),0)</f>
        <v>0</v>
      </c>
      <c r="L244" s="21">
        <f ca="1">IFERROR(__xludf.DUMMYFUNCTION("""COMPUTED_VALUE"""),0)</f>
        <v>0</v>
      </c>
      <c r="M244" s="23">
        <f ca="1">IFERROR(__xludf.DUMMYFUNCTION("""COMPUTED_VALUE"""),0)</f>
        <v>0</v>
      </c>
      <c r="N244" s="21">
        <f ca="1">IFERROR(__xludf.DUMMYFUNCTION("""COMPUTED_VALUE"""),0)</f>
        <v>0</v>
      </c>
      <c r="O244" s="21">
        <f ca="1">IFERROR(__xludf.DUMMYFUNCTION("""COMPUTED_VALUE"""),0)</f>
        <v>0</v>
      </c>
      <c r="P244" s="21">
        <f ca="1">IFERROR(__xludf.DUMMYFUNCTION("""COMPUTED_VALUE"""),0)</f>
        <v>0</v>
      </c>
      <c r="Q244" s="23">
        <f ca="1">IFERROR(__xludf.DUMMYFUNCTION("""COMPUTED_VALUE"""),0)</f>
        <v>0</v>
      </c>
      <c r="R244" s="24">
        <f ca="1">IFERROR(__xludf.DUMMYFUNCTION("""COMPUTED_VALUE"""),0)</f>
        <v>0</v>
      </c>
      <c r="S244" s="23">
        <f ca="1">IFERROR(__xludf.DUMMYFUNCTION("""COMPUTED_VALUE"""),0)</f>
        <v>0</v>
      </c>
      <c r="T244" s="24">
        <f ca="1">IFERROR(__xludf.DUMMYFUNCTION("""COMPUTED_VALUE"""),0)</f>
        <v>0</v>
      </c>
      <c r="U244" s="23">
        <f ca="1">IFERROR(__xludf.DUMMYFUNCTION("""COMPUTED_VALUE"""),0)</f>
        <v>0</v>
      </c>
      <c r="V244" s="23">
        <f ca="1">IFERROR(__xludf.DUMMYFUNCTION("""COMPUTED_VALUE"""),0)</f>
        <v>0</v>
      </c>
      <c r="W244" s="23">
        <f ca="1">IFERROR(__xludf.DUMMYFUNCTION("""COMPUTED_VALUE"""),0)</f>
        <v>0</v>
      </c>
      <c r="X244" s="23">
        <f ca="1">IFERROR(__xludf.DUMMYFUNCTION("""COMPUTED_VALUE"""),0)</f>
        <v>0</v>
      </c>
      <c r="Y244" s="25">
        <f ca="1">IFERROR(__xludf.DUMMYFUNCTION("""COMPUTED_VALUE"""),0)</f>
        <v>0</v>
      </c>
      <c r="Z244" s="25">
        <f ca="1">IFERROR(__xludf.DUMMYFUNCTION("""COMPUTED_VALUE"""),0)</f>
        <v>0</v>
      </c>
      <c r="AA244" s="25">
        <f ca="1">IFERROR(__xludf.DUMMYFUNCTION("""COMPUTED_VALUE"""),0)</f>
        <v>0</v>
      </c>
      <c r="AB244" s="25">
        <f ca="1">IFERROR(__xludf.DUMMYFUNCTION("""COMPUTED_VALUE"""),0)</f>
        <v>0</v>
      </c>
      <c r="AC244" s="23">
        <f ca="1">IFERROR(__xludf.DUMMYFUNCTION("""COMPUTED_VALUE"""),0)</f>
        <v>0</v>
      </c>
      <c r="AD244" s="26"/>
      <c r="AE244" s="27"/>
    </row>
    <row r="245" spans="1:31" ht="14.3">
      <c r="A245" s="18" t="str">
        <f ca="1">IFERROR(__xludf.DUMMYFUNCTION("""COMPUTED_VALUE"""),"23SDSCE01604")</f>
        <v>23SDSCE01604</v>
      </c>
      <c r="B245" s="19" t="str">
        <f ca="1">IFERROR(__xludf.DUMMYFUNCTION("""COMPUTED_VALUE"""),"AKLESH BHUJ")</f>
        <v>AKLESH BHUJ</v>
      </c>
      <c r="C245" s="18" t="str">
        <f ca="1">IFERROR(__xludf.DUMMYFUNCTION("""COMPUTED_VALUE"""),"SDS")</f>
        <v>SDS</v>
      </c>
      <c r="D245" s="18" t="str">
        <f ca="1">IFERROR(__xludf.DUMMYFUNCTION("""COMPUTED_VALUE"""),"DCE")</f>
        <v>DCE</v>
      </c>
      <c r="E245" s="25">
        <f ca="1">IFERROR(__xludf.DUMMYFUNCTION("""COMPUTED_VALUE"""),2)</f>
        <v>2</v>
      </c>
      <c r="F245" s="18" t="str">
        <f ca="1">IFERROR(__xludf.DUMMYFUNCTION("""COMPUTED_VALUE"""),"INTERNATIONAL")</f>
        <v>INTERNATIONAL</v>
      </c>
      <c r="G245" s="18" t="str">
        <f ca="1">IFERROR(__xludf.DUMMYFUNCTION("""COMPUTED_VALUE"""),"INR FEE STUDENT")</f>
        <v>INR FEE STUDENT</v>
      </c>
      <c r="H245" s="6" t="str">
        <f ca="1">IFERROR(__xludf.DUMMYFUNCTION("""COMPUTED_VALUE"""),"DCE_2023-26")</f>
        <v>DCE_2023-26</v>
      </c>
      <c r="I245" s="20"/>
      <c r="J245" s="21">
        <f ca="1">IFERROR(__xludf.DUMMYFUNCTION("""COMPUTED_VALUE"""),0)</f>
        <v>0</v>
      </c>
      <c r="K245" s="21">
        <f ca="1">IFERROR(__xludf.DUMMYFUNCTION("""COMPUTED_VALUE"""),0)</f>
        <v>0</v>
      </c>
      <c r="L245" s="21">
        <f ca="1">IFERROR(__xludf.DUMMYFUNCTION("""COMPUTED_VALUE"""),0)</f>
        <v>0</v>
      </c>
      <c r="M245" s="23">
        <f ca="1">IFERROR(__xludf.DUMMYFUNCTION("""COMPUTED_VALUE"""),0)</f>
        <v>0</v>
      </c>
      <c r="N245" s="21">
        <f ca="1">IFERROR(__xludf.DUMMYFUNCTION("""COMPUTED_VALUE"""),0)</f>
        <v>0</v>
      </c>
      <c r="O245" s="21">
        <f ca="1">IFERROR(__xludf.DUMMYFUNCTION("""COMPUTED_VALUE"""),0)</f>
        <v>0</v>
      </c>
      <c r="P245" s="21">
        <f ca="1">IFERROR(__xludf.DUMMYFUNCTION("""COMPUTED_VALUE"""),0)</f>
        <v>0</v>
      </c>
      <c r="Q245" s="23">
        <f ca="1">IFERROR(__xludf.DUMMYFUNCTION("""COMPUTED_VALUE"""),0)</f>
        <v>0</v>
      </c>
      <c r="R245" s="24">
        <f ca="1">IFERROR(__xludf.DUMMYFUNCTION("""COMPUTED_VALUE"""),0)</f>
        <v>0</v>
      </c>
      <c r="S245" s="23">
        <f ca="1">IFERROR(__xludf.DUMMYFUNCTION("""COMPUTED_VALUE"""),0)</f>
        <v>0</v>
      </c>
      <c r="T245" s="24">
        <f ca="1">IFERROR(__xludf.DUMMYFUNCTION("""COMPUTED_VALUE"""),0)</f>
        <v>0</v>
      </c>
      <c r="U245" s="23">
        <f ca="1">IFERROR(__xludf.DUMMYFUNCTION("""COMPUTED_VALUE"""),0)</f>
        <v>0</v>
      </c>
      <c r="V245" s="23">
        <f ca="1">IFERROR(__xludf.DUMMYFUNCTION("""COMPUTED_VALUE"""),0)</f>
        <v>0</v>
      </c>
      <c r="W245" s="23">
        <f ca="1">IFERROR(__xludf.DUMMYFUNCTION("""COMPUTED_VALUE"""),0)</f>
        <v>0</v>
      </c>
      <c r="X245" s="23">
        <f ca="1">IFERROR(__xludf.DUMMYFUNCTION("""COMPUTED_VALUE"""),0)</f>
        <v>0</v>
      </c>
      <c r="Y245" s="25">
        <f ca="1">IFERROR(__xludf.DUMMYFUNCTION("""COMPUTED_VALUE"""),0)</f>
        <v>0</v>
      </c>
      <c r="Z245" s="25">
        <f ca="1">IFERROR(__xludf.DUMMYFUNCTION("""COMPUTED_VALUE"""),0)</f>
        <v>0</v>
      </c>
      <c r="AA245" s="25">
        <f ca="1">IFERROR(__xludf.DUMMYFUNCTION("""COMPUTED_VALUE"""),0)</f>
        <v>0</v>
      </c>
      <c r="AB245" s="25">
        <f ca="1">IFERROR(__xludf.DUMMYFUNCTION("""COMPUTED_VALUE"""),0)</f>
        <v>0</v>
      </c>
      <c r="AC245" s="23">
        <f ca="1">IFERROR(__xludf.DUMMYFUNCTION("""COMPUTED_VALUE"""),0)</f>
        <v>0</v>
      </c>
      <c r="AD245" s="26"/>
      <c r="AE245" s="27"/>
    </row>
    <row r="246" spans="1:31" ht="14.3">
      <c r="A246" s="18" t="str">
        <f ca="1">IFERROR(__xludf.DUMMYFUNCTION("""COMPUTED_VALUE"""),"23SDSCE01605")</f>
        <v>23SDSCE01605</v>
      </c>
      <c r="B246" s="19" t="str">
        <f ca="1">IFERROR(__xludf.DUMMYFUNCTION("""COMPUTED_VALUE"""),"DIPENDRA MAHATO")</f>
        <v>DIPENDRA MAHATO</v>
      </c>
      <c r="C246" s="18" t="str">
        <f ca="1">IFERROR(__xludf.DUMMYFUNCTION("""COMPUTED_VALUE"""),"SDS")</f>
        <v>SDS</v>
      </c>
      <c r="D246" s="18" t="str">
        <f ca="1">IFERROR(__xludf.DUMMYFUNCTION("""COMPUTED_VALUE"""),"DCE")</f>
        <v>DCE</v>
      </c>
      <c r="E246" s="25">
        <f ca="1">IFERROR(__xludf.DUMMYFUNCTION("""COMPUTED_VALUE"""),2)</f>
        <v>2</v>
      </c>
      <c r="F246" s="18" t="str">
        <f ca="1">IFERROR(__xludf.DUMMYFUNCTION("""COMPUTED_VALUE"""),"INTERNATIONAL")</f>
        <v>INTERNATIONAL</v>
      </c>
      <c r="G246" s="18" t="str">
        <f ca="1">IFERROR(__xludf.DUMMYFUNCTION("""COMPUTED_VALUE"""),"INR FEE STUDENT")</f>
        <v>INR FEE STUDENT</v>
      </c>
      <c r="H246" s="6" t="str">
        <f ca="1">IFERROR(__xludf.DUMMYFUNCTION("""COMPUTED_VALUE"""),"DCE_2023-26")</f>
        <v>DCE_2023-26</v>
      </c>
      <c r="I246" s="20"/>
      <c r="J246" s="21">
        <f ca="1">IFERROR(__xludf.DUMMYFUNCTION("""COMPUTED_VALUE"""),0)</f>
        <v>0</v>
      </c>
      <c r="K246" s="21">
        <f ca="1">IFERROR(__xludf.DUMMYFUNCTION("""COMPUTED_VALUE"""),0)</f>
        <v>0</v>
      </c>
      <c r="L246" s="21">
        <f ca="1">IFERROR(__xludf.DUMMYFUNCTION("""COMPUTED_VALUE"""),0)</f>
        <v>0</v>
      </c>
      <c r="M246" s="23">
        <f ca="1">IFERROR(__xludf.DUMMYFUNCTION("""COMPUTED_VALUE"""),0)</f>
        <v>0</v>
      </c>
      <c r="N246" s="21">
        <f ca="1">IFERROR(__xludf.DUMMYFUNCTION("""COMPUTED_VALUE"""),0)</f>
        <v>0</v>
      </c>
      <c r="O246" s="21">
        <f ca="1">IFERROR(__xludf.DUMMYFUNCTION("""COMPUTED_VALUE"""),0)</f>
        <v>0</v>
      </c>
      <c r="P246" s="21">
        <f ca="1">IFERROR(__xludf.DUMMYFUNCTION("""COMPUTED_VALUE"""),0)</f>
        <v>0</v>
      </c>
      <c r="Q246" s="23">
        <f ca="1">IFERROR(__xludf.DUMMYFUNCTION("""COMPUTED_VALUE"""),0)</f>
        <v>0</v>
      </c>
      <c r="R246" s="24">
        <f ca="1">IFERROR(__xludf.DUMMYFUNCTION("""COMPUTED_VALUE"""),0)</f>
        <v>0</v>
      </c>
      <c r="S246" s="23">
        <f ca="1">IFERROR(__xludf.DUMMYFUNCTION("""COMPUTED_VALUE"""),0)</f>
        <v>0</v>
      </c>
      <c r="T246" s="24">
        <f ca="1">IFERROR(__xludf.DUMMYFUNCTION("""COMPUTED_VALUE"""),0)</f>
        <v>0</v>
      </c>
      <c r="U246" s="23">
        <f ca="1">IFERROR(__xludf.DUMMYFUNCTION("""COMPUTED_VALUE"""),0)</f>
        <v>0</v>
      </c>
      <c r="V246" s="23">
        <f ca="1">IFERROR(__xludf.DUMMYFUNCTION("""COMPUTED_VALUE"""),0)</f>
        <v>0</v>
      </c>
      <c r="W246" s="23">
        <f ca="1">IFERROR(__xludf.DUMMYFUNCTION("""COMPUTED_VALUE"""),0)</f>
        <v>0</v>
      </c>
      <c r="X246" s="23">
        <f ca="1">IFERROR(__xludf.DUMMYFUNCTION("""COMPUTED_VALUE"""),0)</f>
        <v>0</v>
      </c>
      <c r="Y246" s="25">
        <f ca="1">IFERROR(__xludf.DUMMYFUNCTION("""COMPUTED_VALUE"""),0)</f>
        <v>0</v>
      </c>
      <c r="Z246" s="25">
        <f ca="1">IFERROR(__xludf.DUMMYFUNCTION("""COMPUTED_VALUE"""),0)</f>
        <v>0</v>
      </c>
      <c r="AA246" s="25">
        <f ca="1">IFERROR(__xludf.DUMMYFUNCTION("""COMPUTED_VALUE"""),0)</f>
        <v>0</v>
      </c>
      <c r="AB246" s="25">
        <f ca="1">IFERROR(__xludf.DUMMYFUNCTION("""COMPUTED_VALUE"""),0)</f>
        <v>0</v>
      </c>
      <c r="AC246" s="23">
        <f ca="1">IFERROR(__xludf.DUMMYFUNCTION("""COMPUTED_VALUE"""),0)</f>
        <v>0</v>
      </c>
      <c r="AD246" s="26"/>
      <c r="AE246" s="27"/>
    </row>
    <row r="247" spans="1:31" ht="14.3">
      <c r="A247" s="18" t="str">
        <f ca="1">IFERROR(__xludf.DUMMYFUNCTION("""COMPUTED_VALUE"""),"23SDSCE01606")</f>
        <v>23SDSCE01606</v>
      </c>
      <c r="B247" s="19" t="str">
        <f ca="1">IFERROR(__xludf.DUMMYFUNCTION("""COMPUTED_VALUE"""),"AUNISH RAJ KUMAR TIWARI")</f>
        <v>AUNISH RAJ KUMAR TIWARI</v>
      </c>
      <c r="C247" s="18" t="str">
        <f ca="1">IFERROR(__xludf.DUMMYFUNCTION("""COMPUTED_VALUE"""),"SDS")</f>
        <v>SDS</v>
      </c>
      <c r="D247" s="18" t="str">
        <f ca="1">IFERROR(__xludf.DUMMYFUNCTION("""COMPUTED_VALUE"""),"DCE")</f>
        <v>DCE</v>
      </c>
      <c r="E247" s="25">
        <f ca="1">IFERROR(__xludf.DUMMYFUNCTION("""COMPUTED_VALUE"""),2)</f>
        <v>2</v>
      </c>
      <c r="F247" s="18" t="str">
        <f ca="1">IFERROR(__xludf.DUMMYFUNCTION("""COMPUTED_VALUE"""),"INTERNATIONAL")</f>
        <v>INTERNATIONAL</v>
      </c>
      <c r="G247" s="18" t="str">
        <f ca="1">IFERROR(__xludf.DUMMYFUNCTION("""COMPUTED_VALUE"""),"INR FEE STUDENT")</f>
        <v>INR FEE STUDENT</v>
      </c>
      <c r="H247" s="6" t="str">
        <f ca="1">IFERROR(__xludf.DUMMYFUNCTION("""COMPUTED_VALUE"""),"DCE_2023-26")</f>
        <v>DCE_2023-26</v>
      </c>
      <c r="I247" s="20"/>
      <c r="J247" s="21">
        <f ca="1">IFERROR(__xludf.DUMMYFUNCTION("""COMPUTED_VALUE"""),0)</f>
        <v>0</v>
      </c>
      <c r="K247" s="21">
        <f ca="1">IFERROR(__xludf.DUMMYFUNCTION("""COMPUTED_VALUE"""),0)</f>
        <v>0</v>
      </c>
      <c r="L247" s="21">
        <f ca="1">IFERROR(__xludf.DUMMYFUNCTION("""COMPUTED_VALUE"""),0)</f>
        <v>0</v>
      </c>
      <c r="M247" s="23">
        <f ca="1">IFERROR(__xludf.DUMMYFUNCTION("""COMPUTED_VALUE"""),0)</f>
        <v>0</v>
      </c>
      <c r="N247" s="21">
        <f ca="1">IFERROR(__xludf.DUMMYFUNCTION("""COMPUTED_VALUE"""),0)</f>
        <v>0</v>
      </c>
      <c r="O247" s="21">
        <f ca="1">IFERROR(__xludf.DUMMYFUNCTION("""COMPUTED_VALUE"""),0)</f>
        <v>0</v>
      </c>
      <c r="P247" s="21">
        <f ca="1">IFERROR(__xludf.DUMMYFUNCTION("""COMPUTED_VALUE"""),0)</f>
        <v>0</v>
      </c>
      <c r="Q247" s="23">
        <f ca="1">IFERROR(__xludf.DUMMYFUNCTION("""COMPUTED_VALUE"""),0)</f>
        <v>0</v>
      </c>
      <c r="R247" s="24">
        <f ca="1">IFERROR(__xludf.DUMMYFUNCTION("""COMPUTED_VALUE"""),0)</f>
        <v>0</v>
      </c>
      <c r="S247" s="23">
        <f ca="1">IFERROR(__xludf.DUMMYFUNCTION("""COMPUTED_VALUE"""),0)</f>
        <v>0</v>
      </c>
      <c r="T247" s="24">
        <f ca="1">IFERROR(__xludf.DUMMYFUNCTION("""COMPUTED_VALUE"""),0)</f>
        <v>0</v>
      </c>
      <c r="U247" s="23">
        <f ca="1">IFERROR(__xludf.DUMMYFUNCTION("""COMPUTED_VALUE"""),0)</f>
        <v>0</v>
      </c>
      <c r="V247" s="23">
        <f ca="1">IFERROR(__xludf.DUMMYFUNCTION("""COMPUTED_VALUE"""),0)</f>
        <v>0</v>
      </c>
      <c r="W247" s="23">
        <f ca="1">IFERROR(__xludf.DUMMYFUNCTION("""COMPUTED_VALUE"""),0)</f>
        <v>0</v>
      </c>
      <c r="X247" s="23">
        <f ca="1">IFERROR(__xludf.DUMMYFUNCTION("""COMPUTED_VALUE"""),0)</f>
        <v>0</v>
      </c>
      <c r="Y247" s="25">
        <f ca="1">IFERROR(__xludf.DUMMYFUNCTION("""COMPUTED_VALUE"""),0)</f>
        <v>0</v>
      </c>
      <c r="Z247" s="25">
        <f ca="1">IFERROR(__xludf.DUMMYFUNCTION("""COMPUTED_VALUE"""),0)</f>
        <v>0</v>
      </c>
      <c r="AA247" s="25">
        <f ca="1">IFERROR(__xludf.DUMMYFUNCTION("""COMPUTED_VALUE"""),0)</f>
        <v>0</v>
      </c>
      <c r="AB247" s="25">
        <f ca="1">IFERROR(__xludf.DUMMYFUNCTION("""COMPUTED_VALUE"""),0)</f>
        <v>0</v>
      </c>
      <c r="AC247" s="23">
        <f ca="1">IFERROR(__xludf.DUMMYFUNCTION("""COMPUTED_VALUE"""),0)</f>
        <v>0</v>
      </c>
      <c r="AD247" s="26"/>
      <c r="AE247" s="27"/>
    </row>
    <row r="248" spans="1:31" ht="14.3">
      <c r="A248" s="18" t="str">
        <f ca="1">IFERROR(__xludf.DUMMYFUNCTION("""COMPUTED_VALUE"""),"23SDSCE02901")</f>
        <v>23SDSCE02901</v>
      </c>
      <c r="B248" s="19" t="str">
        <f ca="1">IFERROR(__xludf.DUMMYFUNCTION("""COMPUTED_VALUE"""),"DEVMURARI RISHI RAJNIKANT")</f>
        <v>DEVMURARI RISHI RAJNIKANT</v>
      </c>
      <c r="C248" s="18" t="str">
        <f ca="1">IFERROR(__xludf.DUMMYFUNCTION("""COMPUTED_VALUE"""),"SDS")</f>
        <v>SDS</v>
      </c>
      <c r="D248" s="18" t="str">
        <f ca="1">IFERROR(__xludf.DUMMYFUNCTION("""COMPUTED_VALUE"""),"DCE")</f>
        <v>DCE</v>
      </c>
      <c r="E248" s="25">
        <f ca="1">IFERROR(__xludf.DUMMYFUNCTION("""COMPUTED_VALUE"""),2)</f>
        <v>2</v>
      </c>
      <c r="F248" s="20" t="str">
        <f ca="1">IFERROR(__xludf.DUMMYFUNCTION("""COMPUTED_VALUE"""),"9824288445")</f>
        <v>9824288445</v>
      </c>
      <c r="G248" s="20" t="str">
        <f ca="1">IFERROR(__xludf.DUMMYFUNCTION("""COMPUTED_VALUE"""),"9824288445")</f>
        <v>9824288445</v>
      </c>
      <c r="H248" s="6" t="str">
        <f ca="1">IFERROR(__xludf.DUMMYFUNCTION("""COMPUTED_VALUE"""),"DCE_2023-26")</f>
        <v>DCE_2023-26</v>
      </c>
      <c r="I248" s="20"/>
      <c r="J248" s="21">
        <f ca="1">IFERROR(__xludf.DUMMYFUNCTION("""COMPUTED_VALUE"""),27500)</f>
        <v>27500</v>
      </c>
      <c r="K248" s="21">
        <f ca="1">IFERROR(__xludf.DUMMYFUNCTION("""COMPUTED_VALUE"""),0)</f>
        <v>0</v>
      </c>
      <c r="L248" s="21">
        <f ca="1">IFERROR(__xludf.DUMMYFUNCTION("""COMPUTED_VALUE"""),0)</f>
        <v>0</v>
      </c>
      <c r="M248" s="23">
        <f ca="1">IFERROR(__xludf.DUMMYFUNCTION("""COMPUTED_VALUE"""),0)</f>
        <v>0</v>
      </c>
      <c r="N248" s="21">
        <f ca="1">IFERROR(__xludf.DUMMYFUNCTION("""COMPUTED_VALUE"""),27500)</f>
        <v>27500</v>
      </c>
      <c r="O248" s="21">
        <f ca="1">IFERROR(__xludf.DUMMYFUNCTION("""COMPUTED_VALUE"""),19500)</f>
        <v>19500</v>
      </c>
      <c r="P248" s="21">
        <f ca="1">IFERROR(__xludf.DUMMYFUNCTION("""COMPUTED_VALUE"""),0)</f>
        <v>0</v>
      </c>
      <c r="Q248" s="23">
        <f ca="1">IFERROR(__xludf.DUMMYFUNCTION("""COMPUTED_VALUE"""),0)</f>
        <v>0</v>
      </c>
      <c r="R248" s="24">
        <f ca="1">IFERROR(__xludf.DUMMYFUNCTION("""COMPUTED_VALUE"""),0)</f>
        <v>0</v>
      </c>
      <c r="S248" s="23">
        <f ca="1">IFERROR(__xludf.DUMMYFUNCTION("""COMPUTED_VALUE"""),19500)</f>
        <v>19500</v>
      </c>
      <c r="T248" s="40"/>
      <c r="U248" s="25"/>
      <c r="V248" s="25"/>
      <c r="W248" s="25"/>
      <c r="X248" s="25"/>
      <c r="Y248" s="25"/>
      <c r="Z248" s="25"/>
      <c r="AA248" s="25"/>
      <c r="AB248" s="25"/>
      <c r="AC248" s="25"/>
      <c r="AD248" s="26"/>
      <c r="AE248" s="27"/>
    </row>
    <row r="249" spans="1:31" ht="34.65">
      <c r="A249" s="18" t="str">
        <f ca="1">IFERROR(__xludf.DUMMYFUNCTION("""COMPUTED_VALUE"""),"21SDSCE01162")</f>
        <v>21SDSCE01162</v>
      </c>
      <c r="B249" s="19" t="str">
        <f ca="1">IFERROR(__xludf.DUMMYFUNCTION("""COMPUTED_VALUE"""),"VEKARIYA SALONIBEN VIPULBHAI")</f>
        <v>VEKARIYA SALONIBEN VIPULBHAI</v>
      </c>
      <c r="C249" s="18" t="str">
        <f ca="1">IFERROR(__xludf.DUMMYFUNCTION("""COMPUTED_VALUE"""),"SDS")</f>
        <v>SDS</v>
      </c>
      <c r="D249" s="18" t="str">
        <f ca="1">IFERROR(__xludf.DUMMYFUNCTION("""COMPUTED_VALUE"""),"DCE")</f>
        <v>DCE</v>
      </c>
      <c r="E249" s="25">
        <f ca="1">IFERROR(__xludf.DUMMYFUNCTION("""COMPUTED_VALUE"""),4)</f>
        <v>4</v>
      </c>
      <c r="F249" s="18" t="str">
        <f ca="1">IFERROR(__xludf.DUMMYFUNCTION("""COMPUTED_VALUE"""),"7096684460 8141317352")</f>
        <v>7096684460 8141317352</v>
      </c>
      <c r="G249" s="18" t="str">
        <f ca="1">IFERROR(__xludf.DUMMYFUNCTION("""COMPUTED_VALUE"""),"7096684460 8141317352")</f>
        <v>7096684460 8141317352</v>
      </c>
      <c r="H249" s="6" t="str">
        <f ca="1">IFERROR(__xludf.DUMMYFUNCTION("""COMPUTED_VALUE"""),"DCE_2021-24")</f>
        <v>DCE_2021-24</v>
      </c>
      <c r="I249" s="20" t="str">
        <f ca="1">IFERROR(__xludf.DUMMYFUNCTION("""COMPUTED_VALUE"""),"KSP")</f>
        <v>KSP</v>
      </c>
      <c r="J249" s="21">
        <f ca="1">IFERROR(__xludf.DUMMYFUNCTION("""COMPUTED_VALUE"""),25000)</f>
        <v>25000</v>
      </c>
      <c r="K249" s="21">
        <f ca="1">IFERROR(__xludf.DUMMYFUNCTION("""COMPUTED_VALUE"""),0)</f>
        <v>0</v>
      </c>
      <c r="L249" s="21">
        <f ca="1">IFERROR(__xludf.DUMMYFUNCTION("""COMPUTED_VALUE"""),0)</f>
        <v>0</v>
      </c>
      <c r="M249" s="23">
        <f ca="1">IFERROR(__xludf.DUMMYFUNCTION("""COMPUTED_VALUE"""),12500)</f>
        <v>12500</v>
      </c>
      <c r="N249" s="21">
        <f ca="1">IFERROR(__xludf.DUMMYFUNCTION("""COMPUTED_VALUE"""),12500)</f>
        <v>12500</v>
      </c>
      <c r="O249" s="21">
        <f ca="1">IFERROR(__xludf.DUMMYFUNCTION("""COMPUTED_VALUE"""),3000)</f>
        <v>3000</v>
      </c>
      <c r="P249" s="21">
        <f ca="1">IFERROR(__xludf.DUMMYFUNCTION("""COMPUTED_VALUE"""),0)</f>
        <v>0</v>
      </c>
      <c r="Q249" s="23">
        <f ca="1">IFERROR(__xludf.DUMMYFUNCTION("""COMPUTED_VALUE"""),0)</f>
        <v>0</v>
      </c>
      <c r="R249" s="24">
        <f ca="1">IFERROR(__xludf.DUMMYFUNCTION("""COMPUTED_VALUE"""),0)</f>
        <v>0</v>
      </c>
      <c r="S249" s="23">
        <f ca="1">IFERROR(__xludf.DUMMYFUNCTION("""COMPUTED_VALUE"""),3000)</f>
        <v>3000</v>
      </c>
      <c r="T249" s="24">
        <f ca="1">IFERROR(__xludf.DUMMYFUNCTION("""COMPUTED_VALUE"""),0)</f>
        <v>0</v>
      </c>
      <c r="U249" s="23">
        <f ca="1">IFERROR(__xludf.DUMMYFUNCTION("""COMPUTED_VALUE"""),0)</f>
        <v>0</v>
      </c>
      <c r="V249" s="23">
        <f ca="1">IFERROR(__xludf.DUMMYFUNCTION("""COMPUTED_VALUE"""),0)</f>
        <v>0</v>
      </c>
      <c r="W249" s="23">
        <f ca="1">IFERROR(__xludf.DUMMYFUNCTION("""COMPUTED_VALUE"""),0)</f>
        <v>0</v>
      </c>
      <c r="X249" s="23">
        <f ca="1">IFERROR(__xludf.DUMMYFUNCTION("""COMPUTED_VALUE"""),0)</f>
        <v>0</v>
      </c>
      <c r="Y249" s="25">
        <f ca="1">IFERROR(__xludf.DUMMYFUNCTION("""COMPUTED_VALUE"""),0)</f>
        <v>0</v>
      </c>
      <c r="Z249" s="25">
        <f ca="1">IFERROR(__xludf.DUMMYFUNCTION("""COMPUTED_VALUE"""),0)</f>
        <v>0</v>
      </c>
      <c r="AA249" s="25">
        <f ca="1">IFERROR(__xludf.DUMMYFUNCTION("""COMPUTED_VALUE"""),0)</f>
        <v>0</v>
      </c>
      <c r="AB249" s="25">
        <f ca="1">IFERROR(__xludf.DUMMYFUNCTION("""COMPUTED_VALUE"""),0)</f>
        <v>0</v>
      </c>
      <c r="AC249" s="23">
        <f ca="1">IFERROR(__xludf.DUMMYFUNCTION("""COMPUTED_VALUE"""),0)</f>
        <v>0</v>
      </c>
      <c r="AD249" s="26" t="str">
        <f ca="1">IFERROR(__xludf.DUMMYFUNCTION("""COMPUTED_VALUE"""),"KSPS (50%)
RS 12500 PER SEM SCHOLARSHIP")</f>
        <v>KSPS (50%)
RS 12500 PER SEM SCHOLARSHIP</v>
      </c>
      <c r="AE249" s="27"/>
    </row>
    <row r="250" spans="1:31" ht="28.55">
      <c r="A250" s="18" t="str">
        <f ca="1">IFERROR(__xludf.DUMMYFUNCTION("""COMPUTED_VALUE"""),"22SDSCE01001")</f>
        <v>22SDSCE01001</v>
      </c>
      <c r="B250" s="19" t="str">
        <f ca="1">IFERROR(__xludf.DUMMYFUNCTION("""COMPUTED_VALUE"""),"AGHERA HARSH NITINBHAI")</f>
        <v>AGHERA HARSH NITINBHAI</v>
      </c>
      <c r="C250" s="18" t="str">
        <f ca="1">IFERROR(__xludf.DUMMYFUNCTION("""COMPUTED_VALUE"""),"SDS")</f>
        <v>SDS</v>
      </c>
      <c r="D250" s="18" t="str">
        <f ca="1">IFERROR(__xludf.DUMMYFUNCTION("""COMPUTED_VALUE"""),"DCE")</f>
        <v>DCE</v>
      </c>
      <c r="E250" s="25">
        <f ca="1">IFERROR(__xludf.DUMMYFUNCTION("""COMPUTED_VALUE"""),4)</f>
        <v>4</v>
      </c>
      <c r="F250" s="20" t="str">
        <f ca="1">IFERROR(__xludf.DUMMYFUNCTION("""COMPUTED_VALUE"""),"6353751599 9714204903")</f>
        <v>6353751599 9714204903</v>
      </c>
      <c r="G250" s="20" t="str">
        <f ca="1">IFERROR(__xludf.DUMMYFUNCTION("""COMPUTED_VALUE"""),"6353751599 9714204903")</f>
        <v>6353751599 9714204903</v>
      </c>
      <c r="H250" s="6" t="str">
        <f ca="1">IFERROR(__xludf.DUMMYFUNCTION("""COMPUTED_VALUE"""),"DCE_2022-25")</f>
        <v>DCE_2022-25</v>
      </c>
      <c r="I250" s="20"/>
      <c r="J250" s="21">
        <f ca="1">IFERROR(__xludf.DUMMYFUNCTION("""COMPUTED_VALUE"""),25000)</f>
        <v>25000</v>
      </c>
      <c r="K250" s="21">
        <f ca="1">IFERROR(__xludf.DUMMYFUNCTION("""COMPUTED_VALUE"""),25000)</f>
        <v>25000</v>
      </c>
      <c r="L250" s="21">
        <f ca="1">IFERROR(__xludf.DUMMYFUNCTION("""COMPUTED_VALUE"""),0)</f>
        <v>0</v>
      </c>
      <c r="M250" s="23">
        <f ca="1">IFERROR(__xludf.DUMMYFUNCTION("""COMPUTED_VALUE"""),0)</f>
        <v>0</v>
      </c>
      <c r="N250" s="21">
        <f ca="1">IFERROR(__xludf.DUMMYFUNCTION("""COMPUTED_VALUE"""),0)</f>
        <v>0</v>
      </c>
      <c r="O250" s="21">
        <f ca="1">IFERROR(__xludf.DUMMYFUNCTION("""COMPUTED_VALUE"""),3000)</f>
        <v>3000</v>
      </c>
      <c r="P250" s="21">
        <f ca="1">IFERROR(__xludf.DUMMYFUNCTION("""COMPUTED_VALUE"""),3000)</f>
        <v>3000</v>
      </c>
      <c r="Q250" s="23">
        <f ca="1">IFERROR(__xludf.DUMMYFUNCTION("""COMPUTED_VALUE"""),0)</f>
        <v>0</v>
      </c>
      <c r="R250" s="24">
        <f ca="1">IFERROR(__xludf.DUMMYFUNCTION("""COMPUTED_VALUE"""),0)</f>
        <v>0</v>
      </c>
      <c r="S250" s="23">
        <f ca="1">IFERROR(__xludf.DUMMYFUNCTION("""COMPUTED_VALUE"""),0)</f>
        <v>0</v>
      </c>
      <c r="T250" s="24">
        <f ca="1">IFERROR(__xludf.DUMMYFUNCTION("""COMPUTED_VALUE"""),0)</f>
        <v>0</v>
      </c>
      <c r="U250" s="23">
        <f ca="1">IFERROR(__xludf.DUMMYFUNCTION("""COMPUTED_VALUE"""),0)</f>
        <v>0</v>
      </c>
      <c r="V250" s="23">
        <f ca="1">IFERROR(__xludf.DUMMYFUNCTION("""COMPUTED_VALUE"""),0)</f>
        <v>0</v>
      </c>
      <c r="W250" s="23">
        <f ca="1">IFERROR(__xludf.DUMMYFUNCTION("""COMPUTED_VALUE"""),0)</f>
        <v>0</v>
      </c>
      <c r="X250" s="23">
        <f ca="1">IFERROR(__xludf.DUMMYFUNCTION("""COMPUTED_VALUE"""),0)</f>
        <v>0</v>
      </c>
      <c r="Y250" s="25">
        <f ca="1">IFERROR(__xludf.DUMMYFUNCTION("""COMPUTED_VALUE"""),0)</f>
        <v>0</v>
      </c>
      <c r="Z250" s="25">
        <f ca="1">IFERROR(__xludf.DUMMYFUNCTION("""COMPUTED_VALUE"""),0)</f>
        <v>0</v>
      </c>
      <c r="AA250" s="25">
        <f ca="1">IFERROR(__xludf.DUMMYFUNCTION("""COMPUTED_VALUE"""),0)</f>
        <v>0</v>
      </c>
      <c r="AB250" s="25">
        <f ca="1">IFERROR(__xludf.DUMMYFUNCTION("""COMPUTED_VALUE"""),0)</f>
        <v>0</v>
      </c>
      <c r="AC250" s="23">
        <f ca="1">IFERROR(__xludf.DUMMYFUNCTION("""COMPUTED_VALUE"""),0)</f>
        <v>0</v>
      </c>
      <c r="AD250" s="26"/>
      <c r="AE250" s="27"/>
    </row>
    <row r="251" spans="1:31" ht="14.3">
      <c r="A251" s="18" t="str">
        <f ca="1">IFERROR(__xludf.DUMMYFUNCTION("""COMPUTED_VALUE"""),"22SDSCE01002")</f>
        <v>22SDSCE01002</v>
      </c>
      <c r="B251" s="19" t="str">
        <f ca="1">IFERROR(__xludf.DUMMYFUNCTION("""COMPUTED_VALUE"""),"AGHERA SANKETKUMAR SATISHBHAI")</f>
        <v>AGHERA SANKETKUMAR SATISHBHAI</v>
      </c>
      <c r="C251" s="18" t="str">
        <f ca="1">IFERROR(__xludf.DUMMYFUNCTION("""COMPUTED_VALUE"""),"SDS")</f>
        <v>SDS</v>
      </c>
      <c r="D251" s="18" t="str">
        <f ca="1">IFERROR(__xludf.DUMMYFUNCTION("""COMPUTED_VALUE"""),"DCE")</f>
        <v>DCE</v>
      </c>
      <c r="E251" s="25">
        <f ca="1">IFERROR(__xludf.DUMMYFUNCTION("""COMPUTED_VALUE"""),4)</f>
        <v>4</v>
      </c>
      <c r="F251" s="18" t="str">
        <f ca="1">IFERROR(__xludf.DUMMYFUNCTION("""COMPUTED_VALUE"""),"9898895924")</f>
        <v>9898895924</v>
      </c>
      <c r="G251" s="18" t="str">
        <f ca="1">IFERROR(__xludf.DUMMYFUNCTION("""COMPUTED_VALUE"""),"9898895924")</f>
        <v>9898895924</v>
      </c>
      <c r="H251" s="6" t="str">
        <f ca="1">IFERROR(__xludf.DUMMYFUNCTION("""COMPUTED_VALUE"""),"DCE_2022-25")</f>
        <v>DCE_2022-25</v>
      </c>
      <c r="I251" s="20"/>
      <c r="J251" s="21">
        <f ca="1">IFERROR(__xludf.DUMMYFUNCTION("""COMPUTED_VALUE"""),25000)</f>
        <v>25000</v>
      </c>
      <c r="K251" s="21">
        <f ca="1">IFERROR(__xludf.DUMMYFUNCTION("""COMPUTED_VALUE"""),25000)</f>
        <v>25000</v>
      </c>
      <c r="L251" s="21">
        <f ca="1">IFERROR(__xludf.DUMMYFUNCTION("""COMPUTED_VALUE"""),0)</f>
        <v>0</v>
      </c>
      <c r="M251" s="23">
        <f ca="1">IFERROR(__xludf.DUMMYFUNCTION("""COMPUTED_VALUE"""),0)</f>
        <v>0</v>
      </c>
      <c r="N251" s="21">
        <f ca="1">IFERROR(__xludf.DUMMYFUNCTION("""COMPUTED_VALUE"""),0)</f>
        <v>0</v>
      </c>
      <c r="O251" s="21">
        <f ca="1">IFERROR(__xludf.DUMMYFUNCTION("""COMPUTED_VALUE"""),3000)</f>
        <v>3000</v>
      </c>
      <c r="P251" s="21">
        <f ca="1">IFERROR(__xludf.DUMMYFUNCTION("""COMPUTED_VALUE"""),3000)</f>
        <v>3000</v>
      </c>
      <c r="Q251" s="23">
        <f ca="1">IFERROR(__xludf.DUMMYFUNCTION("""COMPUTED_VALUE"""),0)</f>
        <v>0</v>
      </c>
      <c r="R251" s="24">
        <f ca="1">IFERROR(__xludf.DUMMYFUNCTION("""COMPUTED_VALUE"""),0)</f>
        <v>0</v>
      </c>
      <c r="S251" s="23">
        <f ca="1">IFERROR(__xludf.DUMMYFUNCTION("""COMPUTED_VALUE"""),0)</f>
        <v>0</v>
      </c>
      <c r="T251" s="24">
        <f ca="1">IFERROR(__xludf.DUMMYFUNCTION("""COMPUTED_VALUE"""),0)</f>
        <v>0</v>
      </c>
      <c r="U251" s="23">
        <f ca="1">IFERROR(__xludf.DUMMYFUNCTION("""COMPUTED_VALUE"""),0)</f>
        <v>0</v>
      </c>
      <c r="V251" s="23">
        <f ca="1">IFERROR(__xludf.DUMMYFUNCTION("""COMPUTED_VALUE"""),0)</f>
        <v>0</v>
      </c>
      <c r="W251" s="23">
        <f ca="1">IFERROR(__xludf.DUMMYFUNCTION("""COMPUTED_VALUE"""),0)</f>
        <v>0</v>
      </c>
      <c r="X251" s="23">
        <f ca="1">IFERROR(__xludf.DUMMYFUNCTION("""COMPUTED_VALUE"""),0)</f>
        <v>0</v>
      </c>
      <c r="Y251" s="25">
        <f ca="1">IFERROR(__xludf.DUMMYFUNCTION("""COMPUTED_VALUE"""),0)</f>
        <v>0</v>
      </c>
      <c r="Z251" s="25">
        <f ca="1">IFERROR(__xludf.DUMMYFUNCTION("""COMPUTED_VALUE"""),0)</f>
        <v>0</v>
      </c>
      <c r="AA251" s="25">
        <f ca="1">IFERROR(__xludf.DUMMYFUNCTION("""COMPUTED_VALUE"""),0)</f>
        <v>0</v>
      </c>
      <c r="AB251" s="25">
        <f ca="1">IFERROR(__xludf.DUMMYFUNCTION("""COMPUTED_VALUE"""),0)</f>
        <v>0</v>
      </c>
      <c r="AC251" s="23">
        <f ca="1">IFERROR(__xludf.DUMMYFUNCTION("""COMPUTED_VALUE"""),0)</f>
        <v>0</v>
      </c>
      <c r="AD251" s="26"/>
      <c r="AE251" s="27"/>
    </row>
    <row r="252" spans="1:31" ht="23.1">
      <c r="A252" s="18" t="str">
        <f ca="1">IFERROR(__xludf.DUMMYFUNCTION("""COMPUTED_VALUE"""),"22SDSCE01003")</f>
        <v>22SDSCE01003</v>
      </c>
      <c r="B252" s="19" t="str">
        <f ca="1">IFERROR(__xludf.DUMMYFUNCTION("""COMPUTED_VALUE"""),"AJANI MEET PARESHBHAI")</f>
        <v>AJANI MEET PARESHBHAI</v>
      </c>
      <c r="C252" s="18" t="str">
        <f ca="1">IFERROR(__xludf.DUMMYFUNCTION("""COMPUTED_VALUE"""),"SDS")</f>
        <v>SDS</v>
      </c>
      <c r="D252" s="18" t="str">
        <f ca="1">IFERROR(__xludf.DUMMYFUNCTION("""COMPUTED_VALUE"""),"DCE")</f>
        <v>DCE</v>
      </c>
      <c r="E252" s="25">
        <f ca="1">IFERROR(__xludf.DUMMYFUNCTION("""COMPUTED_VALUE"""),4)</f>
        <v>4</v>
      </c>
      <c r="F252" s="18" t="str">
        <f ca="1">IFERROR(__xludf.DUMMYFUNCTION("""COMPUTED_VALUE"""),"6354372977
9723517895")</f>
        <v>6354372977
9723517895</v>
      </c>
      <c r="G252" s="18" t="str">
        <f ca="1">IFERROR(__xludf.DUMMYFUNCTION("""COMPUTED_VALUE"""),"6354372977
9723517895")</f>
        <v>6354372977
9723517895</v>
      </c>
      <c r="H252" s="6" t="str">
        <f ca="1">IFERROR(__xludf.DUMMYFUNCTION("""COMPUTED_VALUE"""),"DCE_2022-25")</f>
        <v>DCE_2022-25</v>
      </c>
      <c r="I252" s="20" t="str">
        <f ca="1">IFERROR(__xludf.DUMMYFUNCTION("""COMPUTED_VALUE"""),"KSP")</f>
        <v>KSP</v>
      </c>
      <c r="J252" s="21">
        <f ca="1">IFERROR(__xludf.DUMMYFUNCTION("""COMPUTED_VALUE"""),25000)</f>
        <v>25000</v>
      </c>
      <c r="K252" s="21">
        <f ca="1">IFERROR(__xludf.DUMMYFUNCTION("""COMPUTED_VALUE"""),12500)</f>
        <v>12500</v>
      </c>
      <c r="L252" s="21">
        <f ca="1">IFERROR(__xludf.DUMMYFUNCTION("""COMPUTED_VALUE"""),0)</f>
        <v>0</v>
      </c>
      <c r="M252" s="23">
        <f ca="1">IFERROR(__xludf.DUMMYFUNCTION("""COMPUTED_VALUE"""),12500)</f>
        <v>12500</v>
      </c>
      <c r="N252" s="21">
        <f ca="1">IFERROR(__xludf.DUMMYFUNCTION("""COMPUTED_VALUE"""),0)</f>
        <v>0</v>
      </c>
      <c r="O252" s="21">
        <f ca="1">IFERROR(__xludf.DUMMYFUNCTION("""COMPUTED_VALUE"""),3000)</f>
        <v>3000</v>
      </c>
      <c r="P252" s="21">
        <f ca="1">IFERROR(__xludf.DUMMYFUNCTION("""COMPUTED_VALUE"""),3000)</f>
        <v>3000</v>
      </c>
      <c r="Q252" s="23">
        <f ca="1">IFERROR(__xludf.DUMMYFUNCTION("""COMPUTED_VALUE"""),0)</f>
        <v>0</v>
      </c>
      <c r="R252" s="24">
        <f ca="1">IFERROR(__xludf.DUMMYFUNCTION("""COMPUTED_VALUE"""),0)</f>
        <v>0</v>
      </c>
      <c r="S252" s="23">
        <f ca="1">IFERROR(__xludf.DUMMYFUNCTION("""COMPUTED_VALUE"""),0)</f>
        <v>0</v>
      </c>
      <c r="T252" s="24">
        <f ca="1">IFERROR(__xludf.DUMMYFUNCTION("""COMPUTED_VALUE"""),0)</f>
        <v>0</v>
      </c>
      <c r="U252" s="23">
        <f ca="1">IFERROR(__xludf.DUMMYFUNCTION("""COMPUTED_VALUE"""),0)</f>
        <v>0</v>
      </c>
      <c r="V252" s="23">
        <f ca="1">IFERROR(__xludf.DUMMYFUNCTION("""COMPUTED_VALUE"""),0)</f>
        <v>0</v>
      </c>
      <c r="W252" s="23">
        <f ca="1">IFERROR(__xludf.DUMMYFUNCTION("""COMPUTED_VALUE"""),0)</f>
        <v>0</v>
      </c>
      <c r="X252" s="23">
        <f ca="1">IFERROR(__xludf.DUMMYFUNCTION("""COMPUTED_VALUE"""),0)</f>
        <v>0</v>
      </c>
      <c r="Y252" s="25">
        <f ca="1">IFERROR(__xludf.DUMMYFUNCTION("""COMPUTED_VALUE"""),0)</f>
        <v>0</v>
      </c>
      <c r="Z252" s="25">
        <f ca="1">IFERROR(__xludf.DUMMYFUNCTION("""COMPUTED_VALUE"""),0)</f>
        <v>0</v>
      </c>
      <c r="AA252" s="25">
        <f ca="1">IFERROR(__xludf.DUMMYFUNCTION("""COMPUTED_VALUE"""),0)</f>
        <v>0</v>
      </c>
      <c r="AB252" s="25">
        <f ca="1">IFERROR(__xludf.DUMMYFUNCTION("""COMPUTED_VALUE"""),0)</f>
        <v>0</v>
      </c>
      <c r="AC252" s="23">
        <f ca="1">IFERROR(__xludf.DUMMYFUNCTION("""COMPUTED_VALUE"""),0)</f>
        <v>0</v>
      </c>
      <c r="AD252" s="26" t="str">
        <f ca="1">IFERROR(__xludf.DUMMYFUNCTION("""COMPUTED_VALUE"""),"""KSPS (50%)
12500 per sem scholarship""")</f>
        <v>"KSPS (50%)
12500 per sem scholarship"</v>
      </c>
      <c r="AE252" s="27"/>
    </row>
    <row r="253" spans="1:31" ht="23.1">
      <c r="A253" s="18" t="str">
        <f ca="1">IFERROR(__xludf.DUMMYFUNCTION("""COMPUTED_VALUE"""),"22SDSCE01004")</f>
        <v>22SDSCE01004</v>
      </c>
      <c r="B253" s="19" t="str">
        <f ca="1">IFERROR(__xludf.DUMMYFUNCTION("""COMPUTED_VALUE"""),"AKBARI AMISHABEN HARESHBHAI")</f>
        <v>AKBARI AMISHABEN HARESHBHAI</v>
      </c>
      <c r="C253" s="18" t="str">
        <f ca="1">IFERROR(__xludf.DUMMYFUNCTION("""COMPUTED_VALUE"""),"SDS")</f>
        <v>SDS</v>
      </c>
      <c r="D253" s="18" t="str">
        <f ca="1">IFERROR(__xludf.DUMMYFUNCTION("""COMPUTED_VALUE"""),"DCE")</f>
        <v>DCE</v>
      </c>
      <c r="E253" s="25">
        <f ca="1">IFERROR(__xludf.DUMMYFUNCTION("""COMPUTED_VALUE"""),4)</f>
        <v>4</v>
      </c>
      <c r="F253" s="18" t="str">
        <f ca="1">IFERROR(__xludf.DUMMYFUNCTION("""COMPUTED_VALUE"""),"7069886757 9712886757")</f>
        <v>7069886757 9712886757</v>
      </c>
      <c r="G253" s="18" t="str">
        <f ca="1">IFERROR(__xludf.DUMMYFUNCTION("""COMPUTED_VALUE"""),"7069886757 9712886757")</f>
        <v>7069886757 9712886757</v>
      </c>
      <c r="H253" s="6" t="str">
        <f ca="1">IFERROR(__xludf.DUMMYFUNCTION("""COMPUTED_VALUE"""),"DCE_2022-25")</f>
        <v>DCE_2022-25</v>
      </c>
      <c r="I253" s="20" t="str">
        <f ca="1">IFERROR(__xludf.DUMMYFUNCTION("""COMPUTED_VALUE"""),"KSP")</f>
        <v>KSP</v>
      </c>
      <c r="J253" s="21">
        <f ca="1">IFERROR(__xludf.DUMMYFUNCTION("""COMPUTED_VALUE"""),25000)</f>
        <v>25000</v>
      </c>
      <c r="K253" s="21">
        <f ca="1">IFERROR(__xludf.DUMMYFUNCTION("""COMPUTED_VALUE"""),12500)</f>
        <v>12500</v>
      </c>
      <c r="L253" s="21">
        <f ca="1">IFERROR(__xludf.DUMMYFUNCTION("""COMPUTED_VALUE"""),0)</f>
        <v>0</v>
      </c>
      <c r="M253" s="23">
        <f ca="1">IFERROR(__xludf.DUMMYFUNCTION("""COMPUTED_VALUE"""),12500)</f>
        <v>12500</v>
      </c>
      <c r="N253" s="21">
        <f ca="1">IFERROR(__xludf.DUMMYFUNCTION("""COMPUTED_VALUE"""),0)</f>
        <v>0</v>
      </c>
      <c r="O253" s="21">
        <f ca="1">IFERROR(__xludf.DUMMYFUNCTION("""COMPUTED_VALUE"""),3000)</f>
        <v>3000</v>
      </c>
      <c r="P253" s="21">
        <f ca="1">IFERROR(__xludf.DUMMYFUNCTION("""COMPUTED_VALUE"""),3000)</f>
        <v>3000</v>
      </c>
      <c r="Q253" s="23">
        <f ca="1">IFERROR(__xludf.DUMMYFUNCTION("""COMPUTED_VALUE"""),0)</f>
        <v>0</v>
      </c>
      <c r="R253" s="24">
        <f ca="1">IFERROR(__xludf.DUMMYFUNCTION("""COMPUTED_VALUE"""),0)</f>
        <v>0</v>
      </c>
      <c r="S253" s="23">
        <f ca="1">IFERROR(__xludf.DUMMYFUNCTION("""COMPUTED_VALUE"""),0)</f>
        <v>0</v>
      </c>
      <c r="T253" s="24">
        <f ca="1">IFERROR(__xludf.DUMMYFUNCTION("""COMPUTED_VALUE"""),0)</f>
        <v>0</v>
      </c>
      <c r="U253" s="23">
        <f ca="1">IFERROR(__xludf.DUMMYFUNCTION("""COMPUTED_VALUE"""),0)</f>
        <v>0</v>
      </c>
      <c r="V253" s="23">
        <f ca="1">IFERROR(__xludf.DUMMYFUNCTION("""COMPUTED_VALUE"""),0)</f>
        <v>0</v>
      </c>
      <c r="W253" s="23">
        <f ca="1">IFERROR(__xludf.DUMMYFUNCTION("""COMPUTED_VALUE"""),0)</f>
        <v>0</v>
      </c>
      <c r="X253" s="23">
        <f ca="1">IFERROR(__xludf.DUMMYFUNCTION("""COMPUTED_VALUE"""),0)</f>
        <v>0</v>
      </c>
      <c r="Y253" s="25">
        <f ca="1">IFERROR(__xludf.DUMMYFUNCTION("""COMPUTED_VALUE"""),0)</f>
        <v>0</v>
      </c>
      <c r="Z253" s="25">
        <f ca="1">IFERROR(__xludf.DUMMYFUNCTION("""COMPUTED_VALUE"""),0)</f>
        <v>0</v>
      </c>
      <c r="AA253" s="25">
        <f ca="1">IFERROR(__xludf.DUMMYFUNCTION("""COMPUTED_VALUE"""),0)</f>
        <v>0</v>
      </c>
      <c r="AB253" s="25">
        <f ca="1">IFERROR(__xludf.DUMMYFUNCTION("""COMPUTED_VALUE"""),0)</f>
        <v>0</v>
      </c>
      <c r="AC253" s="23">
        <f ca="1">IFERROR(__xludf.DUMMYFUNCTION("""COMPUTED_VALUE"""),0)</f>
        <v>0</v>
      </c>
      <c r="AD253" s="26" t="str">
        <f ca="1">IFERROR(__xludf.DUMMYFUNCTION("""COMPUTED_VALUE"""),"KSPS(25%) + MYSY(50%) 
MYSY FORM NOT FULL FILL")</f>
        <v>KSPS(25%) + MYSY(50%) 
MYSY FORM NOT FULL FILL</v>
      </c>
      <c r="AE253" s="27"/>
    </row>
    <row r="254" spans="1:31" ht="14.3">
      <c r="A254" s="18" t="str">
        <f ca="1">IFERROR(__xludf.DUMMYFUNCTION("""COMPUTED_VALUE"""),"22SDSCE01005")</f>
        <v>22SDSCE01005</v>
      </c>
      <c r="B254" s="19" t="str">
        <f ca="1">IFERROR(__xludf.DUMMYFUNCTION("""COMPUTED_VALUE"""),"AMBASANA DHRITI VIJAYBHAI")</f>
        <v>AMBASANA DHRITI VIJAYBHAI</v>
      </c>
      <c r="C254" s="18" t="str">
        <f ca="1">IFERROR(__xludf.DUMMYFUNCTION("""COMPUTED_VALUE"""),"SDS")</f>
        <v>SDS</v>
      </c>
      <c r="D254" s="18" t="str">
        <f ca="1">IFERROR(__xludf.DUMMYFUNCTION("""COMPUTED_VALUE"""),"DCE")</f>
        <v>DCE</v>
      </c>
      <c r="E254" s="25">
        <f ca="1">IFERROR(__xludf.DUMMYFUNCTION("""COMPUTED_VALUE"""),4)</f>
        <v>4</v>
      </c>
      <c r="F254" s="18" t="str">
        <f ca="1">IFERROR(__xludf.DUMMYFUNCTION("""COMPUTED_VALUE"""),"8160489388
9924114044")</f>
        <v>8160489388
9924114044</v>
      </c>
      <c r="G254" s="18" t="str">
        <f ca="1">IFERROR(__xludf.DUMMYFUNCTION("""COMPUTED_VALUE"""),"8160489388
9924114044")</f>
        <v>8160489388
9924114044</v>
      </c>
      <c r="H254" s="6" t="str">
        <f ca="1">IFERROR(__xludf.DUMMYFUNCTION("""COMPUTED_VALUE"""),"DCE_2022-25")</f>
        <v>DCE_2022-25</v>
      </c>
      <c r="I254" s="20" t="str">
        <f ca="1">IFERROR(__xludf.DUMMYFUNCTION("""COMPUTED_VALUE"""),"TFW")</f>
        <v>TFW</v>
      </c>
      <c r="J254" s="21">
        <f ca="1">IFERROR(__xludf.DUMMYFUNCTION("""COMPUTED_VALUE"""),25000)</f>
        <v>25000</v>
      </c>
      <c r="K254" s="21">
        <f ca="1">IFERROR(__xludf.DUMMYFUNCTION("""COMPUTED_VALUE"""),0)</f>
        <v>0</v>
      </c>
      <c r="L254" s="21">
        <f ca="1">IFERROR(__xludf.DUMMYFUNCTION("""COMPUTED_VALUE"""),0)</f>
        <v>0</v>
      </c>
      <c r="M254" s="23">
        <f ca="1">IFERROR(__xludf.DUMMYFUNCTION("""COMPUTED_VALUE"""),25000)</f>
        <v>25000</v>
      </c>
      <c r="N254" s="21">
        <f ca="1">IFERROR(__xludf.DUMMYFUNCTION("""COMPUTED_VALUE"""),0)</f>
        <v>0</v>
      </c>
      <c r="O254" s="21">
        <f ca="1">IFERROR(__xludf.DUMMYFUNCTION("""COMPUTED_VALUE"""),3000)</f>
        <v>3000</v>
      </c>
      <c r="P254" s="21">
        <f ca="1">IFERROR(__xludf.DUMMYFUNCTION("""COMPUTED_VALUE"""),3000)</f>
        <v>3000</v>
      </c>
      <c r="Q254" s="23">
        <f ca="1">IFERROR(__xludf.DUMMYFUNCTION("""COMPUTED_VALUE"""),0)</f>
        <v>0</v>
      </c>
      <c r="R254" s="24">
        <f ca="1">IFERROR(__xludf.DUMMYFUNCTION("""COMPUTED_VALUE"""),0)</f>
        <v>0</v>
      </c>
      <c r="S254" s="23">
        <f ca="1">IFERROR(__xludf.DUMMYFUNCTION("""COMPUTED_VALUE"""),0)</f>
        <v>0</v>
      </c>
      <c r="T254" s="24">
        <f ca="1">IFERROR(__xludf.DUMMYFUNCTION("""COMPUTED_VALUE"""),0)</f>
        <v>0</v>
      </c>
      <c r="U254" s="23">
        <f ca="1">IFERROR(__xludf.DUMMYFUNCTION("""COMPUTED_VALUE"""),0)</f>
        <v>0</v>
      </c>
      <c r="V254" s="23">
        <f ca="1">IFERROR(__xludf.DUMMYFUNCTION("""COMPUTED_VALUE"""),0)</f>
        <v>0</v>
      </c>
      <c r="W254" s="23">
        <f ca="1">IFERROR(__xludf.DUMMYFUNCTION("""COMPUTED_VALUE"""),0)</f>
        <v>0</v>
      </c>
      <c r="X254" s="23">
        <f ca="1">IFERROR(__xludf.DUMMYFUNCTION("""COMPUTED_VALUE"""),0)</f>
        <v>0</v>
      </c>
      <c r="Y254" s="25">
        <f ca="1">IFERROR(__xludf.DUMMYFUNCTION("""COMPUTED_VALUE"""),0)</f>
        <v>0</v>
      </c>
      <c r="Z254" s="25">
        <f ca="1">IFERROR(__xludf.DUMMYFUNCTION("""COMPUTED_VALUE"""),0)</f>
        <v>0</v>
      </c>
      <c r="AA254" s="25">
        <f ca="1">IFERROR(__xludf.DUMMYFUNCTION("""COMPUTED_VALUE"""),0)</f>
        <v>0</v>
      </c>
      <c r="AB254" s="25">
        <f ca="1">IFERROR(__xludf.DUMMYFUNCTION("""COMPUTED_VALUE"""),0)</f>
        <v>0</v>
      </c>
      <c r="AC254" s="23">
        <f ca="1">IFERROR(__xludf.DUMMYFUNCTION("""COMPUTED_VALUE"""),0)</f>
        <v>0</v>
      </c>
      <c r="AD254" s="26"/>
      <c r="AE254" s="27"/>
    </row>
    <row r="255" spans="1:31" ht="14.3">
      <c r="A255" s="18" t="str">
        <f ca="1">IFERROR(__xludf.DUMMYFUNCTION("""COMPUTED_VALUE"""),"22SDSCE01006")</f>
        <v>22SDSCE01006</v>
      </c>
      <c r="B255" s="19" t="str">
        <f ca="1">IFERROR(__xludf.DUMMYFUNCTION("""COMPUTED_VALUE"""),"BAGDA SATYAM MUKESHBHAI")</f>
        <v>BAGDA SATYAM MUKESHBHAI</v>
      </c>
      <c r="C255" s="18" t="str">
        <f ca="1">IFERROR(__xludf.DUMMYFUNCTION("""COMPUTED_VALUE"""),"SDS")</f>
        <v>SDS</v>
      </c>
      <c r="D255" s="18" t="str">
        <f ca="1">IFERROR(__xludf.DUMMYFUNCTION("""COMPUTED_VALUE"""),"DCE")</f>
        <v>DCE</v>
      </c>
      <c r="E255" s="25">
        <f ca="1">IFERROR(__xludf.DUMMYFUNCTION("""COMPUTED_VALUE"""),4)</f>
        <v>4</v>
      </c>
      <c r="F255" s="18" t="str">
        <f ca="1">IFERROR(__xludf.DUMMYFUNCTION("""COMPUTED_VALUE"""),"9106606395 9537101265")</f>
        <v>9106606395 9537101265</v>
      </c>
      <c r="G255" s="18" t="str">
        <f ca="1">IFERROR(__xludf.DUMMYFUNCTION("""COMPUTED_VALUE"""),"9106606395 9537101265")</f>
        <v>9106606395 9537101265</v>
      </c>
      <c r="H255" s="6" t="str">
        <f ca="1">IFERROR(__xludf.DUMMYFUNCTION("""COMPUTED_VALUE"""),"DCE_2022-25")</f>
        <v>DCE_2022-25</v>
      </c>
      <c r="I255" s="20"/>
      <c r="J255" s="21">
        <f ca="1">IFERROR(__xludf.DUMMYFUNCTION("""COMPUTED_VALUE"""),25000)</f>
        <v>25000</v>
      </c>
      <c r="K255" s="21">
        <f ca="1">IFERROR(__xludf.DUMMYFUNCTION("""COMPUTED_VALUE"""),25000)</f>
        <v>25000</v>
      </c>
      <c r="L255" s="21">
        <f ca="1">IFERROR(__xludf.DUMMYFUNCTION("""COMPUTED_VALUE"""),0)</f>
        <v>0</v>
      </c>
      <c r="M255" s="23">
        <f ca="1">IFERROR(__xludf.DUMMYFUNCTION("""COMPUTED_VALUE"""),0)</f>
        <v>0</v>
      </c>
      <c r="N255" s="21">
        <f ca="1">IFERROR(__xludf.DUMMYFUNCTION("""COMPUTED_VALUE"""),0)</f>
        <v>0</v>
      </c>
      <c r="O255" s="21">
        <f ca="1">IFERROR(__xludf.DUMMYFUNCTION("""COMPUTED_VALUE"""),3000)</f>
        <v>3000</v>
      </c>
      <c r="P255" s="21">
        <f ca="1">IFERROR(__xludf.DUMMYFUNCTION("""COMPUTED_VALUE"""),3000)</f>
        <v>3000</v>
      </c>
      <c r="Q255" s="23">
        <f ca="1">IFERROR(__xludf.DUMMYFUNCTION("""COMPUTED_VALUE"""),0)</f>
        <v>0</v>
      </c>
      <c r="R255" s="24">
        <f ca="1">IFERROR(__xludf.DUMMYFUNCTION("""COMPUTED_VALUE"""),0)</f>
        <v>0</v>
      </c>
      <c r="S255" s="23">
        <f ca="1">IFERROR(__xludf.DUMMYFUNCTION("""COMPUTED_VALUE"""),0)</f>
        <v>0</v>
      </c>
      <c r="T255" s="24">
        <f ca="1">IFERROR(__xludf.DUMMYFUNCTION("""COMPUTED_VALUE"""),0)</f>
        <v>0</v>
      </c>
      <c r="U255" s="23">
        <f ca="1">IFERROR(__xludf.DUMMYFUNCTION("""COMPUTED_VALUE"""),0)</f>
        <v>0</v>
      </c>
      <c r="V255" s="23">
        <f ca="1">IFERROR(__xludf.DUMMYFUNCTION("""COMPUTED_VALUE"""),0)</f>
        <v>0</v>
      </c>
      <c r="W255" s="23">
        <f ca="1">IFERROR(__xludf.DUMMYFUNCTION("""COMPUTED_VALUE"""),0)</f>
        <v>0</v>
      </c>
      <c r="X255" s="23">
        <f ca="1">IFERROR(__xludf.DUMMYFUNCTION("""COMPUTED_VALUE"""),0)</f>
        <v>0</v>
      </c>
      <c r="Y255" s="25">
        <f ca="1">IFERROR(__xludf.DUMMYFUNCTION("""COMPUTED_VALUE"""),0)</f>
        <v>0</v>
      </c>
      <c r="Z255" s="25">
        <f ca="1">IFERROR(__xludf.DUMMYFUNCTION("""COMPUTED_VALUE"""),0)</f>
        <v>0</v>
      </c>
      <c r="AA255" s="25">
        <f ca="1">IFERROR(__xludf.DUMMYFUNCTION("""COMPUTED_VALUE"""),0)</f>
        <v>0</v>
      </c>
      <c r="AB255" s="25">
        <f ca="1">IFERROR(__xludf.DUMMYFUNCTION("""COMPUTED_VALUE"""),0)</f>
        <v>0</v>
      </c>
      <c r="AC255" s="23">
        <f ca="1">IFERROR(__xludf.DUMMYFUNCTION("""COMPUTED_VALUE"""),0)</f>
        <v>0</v>
      </c>
      <c r="AD255" s="26"/>
      <c r="AE255" s="27"/>
    </row>
    <row r="256" spans="1:31" ht="14.3">
      <c r="A256" s="18" t="str">
        <f ca="1">IFERROR(__xludf.DUMMYFUNCTION("""COMPUTED_VALUE"""),"22SDSCE01007")</f>
        <v>22SDSCE01007</v>
      </c>
      <c r="B256" s="19" t="str">
        <f ca="1">IFERROR(__xludf.DUMMYFUNCTION("""COMPUTED_VALUE"""),"BAGTHALIYA MIHIR NARESHKUMAR")</f>
        <v>BAGTHALIYA MIHIR NARESHKUMAR</v>
      </c>
      <c r="C256" s="18" t="str">
        <f ca="1">IFERROR(__xludf.DUMMYFUNCTION("""COMPUTED_VALUE"""),"SDS")</f>
        <v>SDS</v>
      </c>
      <c r="D256" s="18" t="str">
        <f ca="1">IFERROR(__xludf.DUMMYFUNCTION("""COMPUTED_VALUE"""),"DCE")</f>
        <v>DCE</v>
      </c>
      <c r="E256" s="25">
        <f ca="1">IFERROR(__xludf.DUMMYFUNCTION("""COMPUTED_VALUE"""),4)</f>
        <v>4</v>
      </c>
      <c r="F256" s="18" t="str">
        <f ca="1">IFERROR(__xludf.DUMMYFUNCTION("""COMPUTED_VALUE"""),"6353778125 9714456111")</f>
        <v>6353778125 9714456111</v>
      </c>
      <c r="G256" s="18" t="str">
        <f ca="1">IFERROR(__xludf.DUMMYFUNCTION("""COMPUTED_VALUE"""),"6353778125 9714456111")</f>
        <v>6353778125 9714456111</v>
      </c>
      <c r="H256" s="6" t="str">
        <f ca="1">IFERROR(__xludf.DUMMYFUNCTION("""COMPUTED_VALUE"""),"DEE_2022-25")</f>
        <v>DEE_2022-25</v>
      </c>
      <c r="I256" s="20" t="str">
        <f ca="1">IFERROR(__xludf.DUMMYFUNCTION("""COMPUTED_VALUE"""),"KSP")</f>
        <v>KSP</v>
      </c>
      <c r="J256" s="21">
        <f ca="1">IFERROR(__xludf.DUMMYFUNCTION("""COMPUTED_VALUE"""),25000)</f>
        <v>25000</v>
      </c>
      <c r="K256" s="21">
        <f ca="1">IFERROR(__xludf.DUMMYFUNCTION("""COMPUTED_VALUE"""),22500)</f>
        <v>22500</v>
      </c>
      <c r="L256" s="21">
        <f ca="1">IFERROR(__xludf.DUMMYFUNCTION("""COMPUTED_VALUE"""),0)</f>
        <v>0</v>
      </c>
      <c r="M256" s="23">
        <f ca="1">IFERROR(__xludf.DUMMYFUNCTION("""COMPUTED_VALUE"""),2500)</f>
        <v>2500</v>
      </c>
      <c r="N256" s="21">
        <f ca="1">IFERROR(__xludf.DUMMYFUNCTION("""COMPUTED_VALUE"""),0)</f>
        <v>0</v>
      </c>
      <c r="O256" s="21">
        <f ca="1">IFERROR(__xludf.DUMMYFUNCTION("""COMPUTED_VALUE"""),3000)</f>
        <v>3000</v>
      </c>
      <c r="P256" s="21">
        <f ca="1">IFERROR(__xludf.DUMMYFUNCTION("""COMPUTED_VALUE"""),3000)</f>
        <v>3000</v>
      </c>
      <c r="Q256" s="23">
        <f ca="1">IFERROR(__xludf.DUMMYFUNCTION("""COMPUTED_VALUE"""),0)</f>
        <v>0</v>
      </c>
      <c r="R256" s="24">
        <f ca="1">IFERROR(__xludf.DUMMYFUNCTION("""COMPUTED_VALUE"""),0)</f>
        <v>0</v>
      </c>
      <c r="S256" s="23">
        <f ca="1">IFERROR(__xludf.DUMMYFUNCTION("""COMPUTED_VALUE"""),0)</f>
        <v>0</v>
      </c>
      <c r="T256" s="24">
        <f ca="1">IFERROR(__xludf.DUMMYFUNCTION("""COMPUTED_VALUE"""),0)</f>
        <v>0</v>
      </c>
      <c r="U256" s="23">
        <f ca="1">IFERROR(__xludf.DUMMYFUNCTION("""COMPUTED_VALUE"""),0)</f>
        <v>0</v>
      </c>
      <c r="V256" s="23">
        <f ca="1">IFERROR(__xludf.DUMMYFUNCTION("""COMPUTED_VALUE"""),0)</f>
        <v>0</v>
      </c>
      <c r="W256" s="23">
        <f ca="1">IFERROR(__xludf.DUMMYFUNCTION("""COMPUTED_VALUE"""),0)</f>
        <v>0</v>
      </c>
      <c r="X256" s="23">
        <f ca="1">IFERROR(__xludf.DUMMYFUNCTION("""COMPUTED_VALUE"""),0)</f>
        <v>0</v>
      </c>
      <c r="Y256" s="25">
        <f ca="1">IFERROR(__xludf.DUMMYFUNCTION("""COMPUTED_VALUE"""),0)</f>
        <v>0</v>
      </c>
      <c r="Z256" s="25">
        <f ca="1">IFERROR(__xludf.DUMMYFUNCTION("""COMPUTED_VALUE"""),0)</f>
        <v>0</v>
      </c>
      <c r="AA256" s="25">
        <f ca="1">IFERROR(__xludf.DUMMYFUNCTION("""COMPUTED_VALUE"""),0)</f>
        <v>0</v>
      </c>
      <c r="AB256" s="25">
        <f ca="1">IFERROR(__xludf.DUMMYFUNCTION("""COMPUTED_VALUE"""),0)</f>
        <v>0</v>
      </c>
      <c r="AC256" s="23">
        <f ca="1">IFERROR(__xludf.DUMMYFUNCTION("""COMPUTED_VALUE"""),0)</f>
        <v>0</v>
      </c>
      <c r="AD256" s="26" t="str">
        <f ca="1">IFERROR(__xludf.DUMMYFUNCTION("""COMPUTED_VALUE"""),"RS 2500 PER SEM SCHOLARSHIP")</f>
        <v>RS 2500 PER SEM SCHOLARSHIP</v>
      </c>
      <c r="AE256" s="27"/>
    </row>
    <row r="257" spans="1:31" ht="14.3">
      <c r="A257" s="18" t="str">
        <f ca="1">IFERROR(__xludf.DUMMYFUNCTION("""COMPUTED_VALUE"""),"22SDSCE01008")</f>
        <v>22SDSCE01008</v>
      </c>
      <c r="B257" s="19" t="str">
        <f ca="1">IFERROR(__xludf.DUMMYFUNCTION("""COMPUTED_VALUE"""),"BAKORI KISHAN")</f>
        <v>BAKORI KISHAN</v>
      </c>
      <c r="C257" s="18" t="str">
        <f ca="1">IFERROR(__xludf.DUMMYFUNCTION("""COMPUTED_VALUE"""),"SDS")</f>
        <v>SDS</v>
      </c>
      <c r="D257" s="18" t="str">
        <f ca="1">IFERROR(__xludf.DUMMYFUNCTION("""COMPUTED_VALUE"""),"DCE")</f>
        <v>DCE</v>
      </c>
      <c r="E257" s="25">
        <f ca="1">IFERROR(__xludf.DUMMYFUNCTION("""COMPUTED_VALUE"""),4)</f>
        <v>4</v>
      </c>
      <c r="F257" s="18" t="str">
        <f ca="1">IFERROR(__xludf.DUMMYFUNCTION("""COMPUTED_VALUE"""),"9624203804")</f>
        <v>9624203804</v>
      </c>
      <c r="G257" s="18" t="str">
        <f ca="1">IFERROR(__xludf.DUMMYFUNCTION("""COMPUTED_VALUE"""),"9624203804")</f>
        <v>9624203804</v>
      </c>
      <c r="H257" s="6" t="str">
        <f ca="1">IFERROR(__xludf.DUMMYFUNCTION("""COMPUTED_VALUE"""),"DCE_2022-25")</f>
        <v>DCE_2022-25</v>
      </c>
      <c r="I257" s="20"/>
      <c r="J257" s="21">
        <f ca="1">IFERROR(__xludf.DUMMYFUNCTION("""COMPUTED_VALUE"""),25000)</f>
        <v>25000</v>
      </c>
      <c r="K257" s="21">
        <f ca="1">IFERROR(__xludf.DUMMYFUNCTION("""COMPUTED_VALUE"""),25000)</f>
        <v>25000</v>
      </c>
      <c r="L257" s="21">
        <f ca="1">IFERROR(__xludf.DUMMYFUNCTION("""COMPUTED_VALUE"""),0)</f>
        <v>0</v>
      </c>
      <c r="M257" s="23">
        <f ca="1">IFERROR(__xludf.DUMMYFUNCTION("""COMPUTED_VALUE"""),0)</f>
        <v>0</v>
      </c>
      <c r="N257" s="21">
        <f ca="1">IFERROR(__xludf.DUMMYFUNCTION("""COMPUTED_VALUE"""),0)</f>
        <v>0</v>
      </c>
      <c r="O257" s="21">
        <f ca="1">IFERROR(__xludf.DUMMYFUNCTION("""COMPUTED_VALUE"""),3000)</f>
        <v>3000</v>
      </c>
      <c r="P257" s="21">
        <f ca="1">IFERROR(__xludf.DUMMYFUNCTION("""COMPUTED_VALUE"""),3000)</f>
        <v>3000</v>
      </c>
      <c r="Q257" s="23">
        <f ca="1">IFERROR(__xludf.DUMMYFUNCTION("""COMPUTED_VALUE"""),0)</f>
        <v>0</v>
      </c>
      <c r="R257" s="24">
        <f ca="1">IFERROR(__xludf.DUMMYFUNCTION("""COMPUTED_VALUE"""),0)</f>
        <v>0</v>
      </c>
      <c r="S257" s="23">
        <f ca="1">IFERROR(__xludf.DUMMYFUNCTION("""COMPUTED_VALUE"""),0)</f>
        <v>0</v>
      </c>
      <c r="T257" s="24">
        <f ca="1">IFERROR(__xludf.DUMMYFUNCTION("""COMPUTED_VALUE"""),0)</f>
        <v>0</v>
      </c>
      <c r="U257" s="23">
        <f ca="1">IFERROR(__xludf.DUMMYFUNCTION("""COMPUTED_VALUE"""),0)</f>
        <v>0</v>
      </c>
      <c r="V257" s="23">
        <f ca="1">IFERROR(__xludf.DUMMYFUNCTION("""COMPUTED_VALUE"""),0)</f>
        <v>0</v>
      </c>
      <c r="W257" s="23">
        <f ca="1">IFERROR(__xludf.DUMMYFUNCTION("""COMPUTED_VALUE"""),0)</f>
        <v>0</v>
      </c>
      <c r="X257" s="23">
        <f ca="1">IFERROR(__xludf.DUMMYFUNCTION("""COMPUTED_VALUE"""),0)</f>
        <v>0</v>
      </c>
      <c r="Y257" s="25">
        <f ca="1">IFERROR(__xludf.DUMMYFUNCTION("""COMPUTED_VALUE"""),0)</f>
        <v>0</v>
      </c>
      <c r="Z257" s="25">
        <f ca="1">IFERROR(__xludf.DUMMYFUNCTION("""COMPUTED_VALUE"""),0)</f>
        <v>0</v>
      </c>
      <c r="AA257" s="25">
        <f ca="1">IFERROR(__xludf.DUMMYFUNCTION("""COMPUTED_VALUE"""),0)</f>
        <v>0</v>
      </c>
      <c r="AB257" s="25">
        <f ca="1">IFERROR(__xludf.DUMMYFUNCTION("""COMPUTED_VALUE"""),0)</f>
        <v>0</v>
      </c>
      <c r="AC257" s="23">
        <f ca="1">IFERROR(__xludf.DUMMYFUNCTION("""COMPUTED_VALUE"""),0)</f>
        <v>0</v>
      </c>
      <c r="AD257" s="26"/>
      <c r="AE257" s="27"/>
    </row>
    <row r="258" spans="1:31" ht="14.3">
      <c r="A258" s="18" t="str">
        <f ca="1">IFERROR(__xludf.DUMMYFUNCTION("""COMPUTED_VALUE"""),"22SDSCE01009")</f>
        <v>22SDSCE01009</v>
      </c>
      <c r="B258" s="19" t="str">
        <f ca="1">IFERROR(__xludf.DUMMYFUNCTION("""COMPUTED_VALUE"""),"BAMBHAROLIYA DAKSH KIRITBHAI")</f>
        <v>BAMBHAROLIYA DAKSH KIRITBHAI</v>
      </c>
      <c r="C258" s="18" t="str">
        <f ca="1">IFERROR(__xludf.DUMMYFUNCTION("""COMPUTED_VALUE"""),"SDS")</f>
        <v>SDS</v>
      </c>
      <c r="D258" s="18" t="str">
        <f ca="1">IFERROR(__xludf.DUMMYFUNCTION("""COMPUTED_VALUE"""),"DCE")</f>
        <v>DCE</v>
      </c>
      <c r="E258" s="25">
        <f ca="1">IFERROR(__xludf.DUMMYFUNCTION("""COMPUTED_VALUE"""),4)</f>
        <v>4</v>
      </c>
      <c r="F258" s="18" t="str">
        <f ca="1">IFERROR(__xludf.DUMMYFUNCTION("""COMPUTED_VALUE"""),"9913737915 9978115934")</f>
        <v>9913737915 9978115934</v>
      </c>
      <c r="G258" s="18" t="str">
        <f ca="1">IFERROR(__xludf.DUMMYFUNCTION("""COMPUTED_VALUE"""),"9913737915 9978115934")</f>
        <v>9913737915 9978115934</v>
      </c>
      <c r="H258" s="6" t="str">
        <f ca="1">IFERROR(__xludf.DUMMYFUNCTION("""COMPUTED_VALUE"""),"DCE_2022-25")</f>
        <v>DCE_2022-25</v>
      </c>
      <c r="I258" s="20" t="str">
        <f ca="1">IFERROR(__xludf.DUMMYFUNCTION("""COMPUTED_VALUE"""),"MYSY")</f>
        <v>MYSY</v>
      </c>
      <c r="J258" s="21">
        <f ca="1">IFERROR(__xludf.DUMMYFUNCTION("""COMPUTED_VALUE"""),25000)</f>
        <v>25000</v>
      </c>
      <c r="K258" s="21">
        <f ca="1">IFERROR(__xludf.DUMMYFUNCTION("""COMPUTED_VALUE"""),0)</f>
        <v>0</v>
      </c>
      <c r="L258" s="21">
        <f ca="1">IFERROR(__xludf.DUMMYFUNCTION("""COMPUTED_VALUE"""),0)</f>
        <v>0</v>
      </c>
      <c r="M258" s="23">
        <f ca="1">IFERROR(__xludf.DUMMYFUNCTION("""COMPUTED_VALUE"""),0)</f>
        <v>0</v>
      </c>
      <c r="N258" s="21">
        <f ca="1">IFERROR(__xludf.DUMMYFUNCTION("""COMPUTED_VALUE"""),25000)</f>
        <v>25000</v>
      </c>
      <c r="O258" s="21">
        <f ca="1">IFERROR(__xludf.DUMMYFUNCTION("""COMPUTED_VALUE"""),3000)</f>
        <v>3000</v>
      </c>
      <c r="P258" s="21">
        <f ca="1">IFERROR(__xludf.DUMMYFUNCTION("""COMPUTED_VALUE"""),3000)</f>
        <v>3000</v>
      </c>
      <c r="Q258" s="23">
        <f ca="1">IFERROR(__xludf.DUMMYFUNCTION("""COMPUTED_VALUE"""),0)</f>
        <v>0</v>
      </c>
      <c r="R258" s="24">
        <f ca="1">IFERROR(__xludf.DUMMYFUNCTION("""COMPUTED_VALUE"""),0)</f>
        <v>0</v>
      </c>
      <c r="S258" s="23">
        <f ca="1">IFERROR(__xludf.DUMMYFUNCTION("""COMPUTED_VALUE"""),0)</f>
        <v>0</v>
      </c>
      <c r="T258" s="24">
        <f ca="1">IFERROR(__xludf.DUMMYFUNCTION("""COMPUTED_VALUE"""),0)</f>
        <v>0</v>
      </c>
      <c r="U258" s="23">
        <f ca="1">IFERROR(__xludf.DUMMYFUNCTION("""COMPUTED_VALUE"""),0)</f>
        <v>0</v>
      </c>
      <c r="V258" s="23">
        <f ca="1">IFERROR(__xludf.DUMMYFUNCTION("""COMPUTED_VALUE"""),0)</f>
        <v>0</v>
      </c>
      <c r="W258" s="23">
        <f ca="1">IFERROR(__xludf.DUMMYFUNCTION("""COMPUTED_VALUE"""),0)</f>
        <v>0</v>
      </c>
      <c r="X258" s="23">
        <f ca="1">IFERROR(__xludf.DUMMYFUNCTION("""COMPUTED_VALUE"""),0)</f>
        <v>0</v>
      </c>
      <c r="Y258" s="25">
        <f ca="1">IFERROR(__xludf.DUMMYFUNCTION("""COMPUTED_VALUE"""),0)</f>
        <v>0</v>
      </c>
      <c r="Z258" s="25">
        <f ca="1">IFERROR(__xludf.DUMMYFUNCTION("""COMPUTED_VALUE"""),0)</f>
        <v>0</v>
      </c>
      <c r="AA258" s="25">
        <f ca="1">IFERROR(__xludf.DUMMYFUNCTION("""COMPUTED_VALUE"""),0)</f>
        <v>0</v>
      </c>
      <c r="AB258" s="25">
        <f ca="1">IFERROR(__xludf.DUMMYFUNCTION("""COMPUTED_VALUE"""),0)</f>
        <v>0</v>
      </c>
      <c r="AC258" s="23">
        <f ca="1">IFERROR(__xludf.DUMMYFUNCTION("""COMPUTED_VALUE"""),0)</f>
        <v>0</v>
      </c>
      <c r="AD258" s="26" t="str">
        <f ca="1">IFERROR(__xludf.DUMMYFUNCTION("""COMPUTED_VALUE""")," KSPS(50%) + MYSY(50%) ")</f>
        <v xml:space="preserve"> KSPS(50%) + MYSY(50%) </v>
      </c>
      <c r="AE258" s="27"/>
    </row>
    <row r="259" spans="1:31" ht="14.3">
      <c r="A259" s="18" t="str">
        <f ca="1">IFERROR(__xludf.DUMMYFUNCTION("""COMPUTED_VALUE"""),"22SDSCE01010")</f>
        <v>22SDSCE01010</v>
      </c>
      <c r="B259" s="37" t="str">
        <f ca="1">IFERROR(__xludf.DUMMYFUNCTION("""COMPUTED_VALUE"""),"BARAIYA JEET ASHOKBHAI")</f>
        <v>BARAIYA JEET ASHOKBHAI</v>
      </c>
      <c r="C259" s="18" t="str">
        <f ca="1">IFERROR(__xludf.DUMMYFUNCTION("""COMPUTED_VALUE"""),"SDS")</f>
        <v>SDS</v>
      </c>
      <c r="D259" s="18" t="str">
        <f ca="1">IFERROR(__xludf.DUMMYFUNCTION("""COMPUTED_VALUE"""),"DCE")</f>
        <v>DCE</v>
      </c>
      <c r="E259" s="25">
        <f ca="1">IFERROR(__xludf.DUMMYFUNCTION("""COMPUTED_VALUE"""),4)</f>
        <v>4</v>
      </c>
      <c r="F259" s="6" t="str">
        <f ca="1">IFERROR(__xludf.DUMMYFUNCTION("""COMPUTED_VALUE"""),"6353919960 9879695378")</f>
        <v>6353919960 9879695378</v>
      </c>
      <c r="G259" s="6" t="str">
        <f ca="1">IFERROR(__xludf.DUMMYFUNCTION("""COMPUTED_VALUE"""),"6353919960 9879695378")</f>
        <v>6353919960 9879695378</v>
      </c>
      <c r="H259" s="6" t="str">
        <f ca="1">IFERROR(__xludf.DUMMYFUNCTION("""COMPUTED_VALUE"""),"DCE_2022-25")</f>
        <v>DCE_2022-25</v>
      </c>
      <c r="I259" s="20"/>
      <c r="J259" s="21">
        <f ca="1">IFERROR(__xludf.DUMMYFUNCTION("""COMPUTED_VALUE"""),25000)</f>
        <v>25000</v>
      </c>
      <c r="K259" s="21">
        <f ca="1">IFERROR(__xludf.DUMMYFUNCTION("""COMPUTED_VALUE"""),25000)</f>
        <v>25000</v>
      </c>
      <c r="L259" s="21">
        <f ca="1">IFERROR(__xludf.DUMMYFUNCTION("""COMPUTED_VALUE"""),0)</f>
        <v>0</v>
      </c>
      <c r="M259" s="23">
        <f ca="1">IFERROR(__xludf.DUMMYFUNCTION("""COMPUTED_VALUE"""),0)</f>
        <v>0</v>
      </c>
      <c r="N259" s="21">
        <f ca="1">IFERROR(__xludf.DUMMYFUNCTION("""COMPUTED_VALUE"""),0)</f>
        <v>0</v>
      </c>
      <c r="O259" s="21">
        <f ca="1">IFERROR(__xludf.DUMMYFUNCTION("""COMPUTED_VALUE"""),3000)</f>
        <v>3000</v>
      </c>
      <c r="P259" s="21">
        <f ca="1">IFERROR(__xludf.DUMMYFUNCTION("""COMPUTED_VALUE"""),3000)</f>
        <v>3000</v>
      </c>
      <c r="Q259" s="23">
        <f ca="1">IFERROR(__xludf.DUMMYFUNCTION("""COMPUTED_VALUE"""),0)</f>
        <v>0</v>
      </c>
      <c r="R259" s="24">
        <f ca="1">IFERROR(__xludf.DUMMYFUNCTION("""COMPUTED_VALUE"""),0)</f>
        <v>0</v>
      </c>
      <c r="S259" s="23">
        <f ca="1">IFERROR(__xludf.DUMMYFUNCTION("""COMPUTED_VALUE"""),0)</f>
        <v>0</v>
      </c>
      <c r="T259" s="24">
        <f ca="1">IFERROR(__xludf.DUMMYFUNCTION("""COMPUTED_VALUE"""),0)</f>
        <v>0</v>
      </c>
      <c r="U259" s="23">
        <f ca="1">IFERROR(__xludf.DUMMYFUNCTION("""COMPUTED_VALUE"""),0)</f>
        <v>0</v>
      </c>
      <c r="V259" s="23">
        <f ca="1">IFERROR(__xludf.DUMMYFUNCTION("""COMPUTED_VALUE"""),0)</f>
        <v>0</v>
      </c>
      <c r="W259" s="23">
        <f ca="1">IFERROR(__xludf.DUMMYFUNCTION("""COMPUTED_VALUE"""),0)</f>
        <v>0</v>
      </c>
      <c r="X259" s="23">
        <f ca="1">IFERROR(__xludf.DUMMYFUNCTION("""COMPUTED_VALUE"""),0)</f>
        <v>0</v>
      </c>
      <c r="Y259" s="25">
        <f ca="1">IFERROR(__xludf.DUMMYFUNCTION("""COMPUTED_VALUE"""),0)</f>
        <v>0</v>
      </c>
      <c r="Z259" s="25">
        <f ca="1">IFERROR(__xludf.DUMMYFUNCTION("""COMPUTED_VALUE"""),0)</f>
        <v>0</v>
      </c>
      <c r="AA259" s="25">
        <f ca="1">IFERROR(__xludf.DUMMYFUNCTION("""COMPUTED_VALUE"""),0)</f>
        <v>0</v>
      </c>
      <c r="AB259" s="25">
        <f ca="1">IFERROR(__xludf.DUMMYFUNCTION("""COMPUTED_VALUE"""),0)</f>
        <v>0</v>
      </c>
      <c r="AC259" s="23">
        <f ca="1">IFERROR(__xludf.DUMMYFUNCTION("""COMPUTED_VALUE"""),0)</f>
        <v>0</v>
      </c>
      <c r="AD259" s="26"/>
      <c r="AE259" s="27"/>
    </row>
    <row r="260" spans="1:31" ht="14.3">
      <c r="A260" s="18" t="str">
        <f ca="1">IFERROR(__xludf.DUMMYFUNCTION("""COMPUTED_VALUE"""),"22SDSCE01011")</f>
        <v>22SDSCE01011</v>
      </c>
      <c r="B260" s="19" t="str">
        <f ca="1">IFERROR(__xludf.DUMMYFUNCTION("""COMPUTED_VALUE"""),"BARAIYA MOHIT SHAMJIBHAI")</f>
        <v>BARAIYA MOHIT SHAMJIBHAI</v>
      </c>
      <c r="C260" s="18" t="str">
        <f ca="1">IFERROR(__xludf.DUMMYFUNCTION("""COMPUTED_VALUE"""),"SDS")</f>
        <v>SDS</v>
      </c>
      <c r="D260" s="18" t="str">
        <f ca="1">IFERROR(__xludf.DUMMYFUNCTION("""COMPUTED_VALUE"""),"DCE")</f>
        <v>DCE</v>
      </c>
      <c r="E260" s="25">
        <f ca="1">IFERROR(__xludf.DUMMYFUNCTION("""COMPUTED_VALUE"""),4)</f>
        <v>4</v>
      </c>
      <c r="F260" s="20" t="str">
        <f ca="1">IFERROR(__xludf.DUMMYFUNCTION("""COMPUTED_VALUE"""),"9979025331")</f>
        <v>9979025331</v>
      </c>
      <c r="G260" s="20" t="str">
        <f ca="1">IFERROR(__xludf.DUMMYFUNCTION("""COMPUTED_VALUE"""),"9979025331")</f>
        <v>9979025331</v>
      </c>
      <c r="H260" s="6" t="str">
        <f ca="1">IFERROR(__xludf.DUMMYFUNCTION("""COMPUTED_VALUE"""),"DCE_2022-25")</f>
        <v>DCE_2022-25</v>
      </c>
      <c r="I260" s="20" t="str">
        <f ca="1">IFERROR(__xludf.DUMMYFUNCTION("""COMPUTED_VALUE"""),"TFW")</f>
        <v>TFW</v>
      </c>
      <c r="J260" s="21">
        <f ca="1">IFERROR(__xludf.DUMMYFUNCTION("""COMPUTED_VALUE"""),25000)</f>
        <v>25000</v>
      </c>
      <c r="K260" s="21">
        <f ca="1">IFERROR(__xludf.DUMMYFUNCTION("""COMPUTED_VALUE"""),0)</f>
        <v>0</v>
      </c>
      <c r="L260" s="21">
        <f ca="1">IFERROR(__xludf.DUMMYFUNCTION("""COMPUTED_VALUE"""),0)</f>
        <v>0</v>
      </c>
      <c r="M260" s="23">
        <f ca="1">IFERROR(__xludf.DUMMYFUNCTION("""COMPUTED_VALUE"""),25000)</f>
        <v>25000</v>
      </c>
      <c r="N260" s="21">
        <f ca="1">IFERROR(__xludf.DUMMYFUNCTION("""COMPUTED_VALUE"""),0)</f>
        <v>0</v>
      </c>
      <c r="O260" s="21">
        <f ca="1">IFERROR(__xludf.DUMMYFUNCTION("""COMPUTED_VALUE"""),3000)</f>
        <v>3000</v>
      </c>
      <c r="P260" s="21">
        <f ca="1">IFERROR(__xludf.DUMMYFUNCTION("""COMPUTED_VALUE"""),3000)</f>
        <v>3000</v>
      </c>
      <c r="Q260" s="23">
        <f ca="1">IFERROR(__xludf.DUMMYFUNCTION("""COMPUTED_VALUE"""),0)</f>
        <v>0</v>
      </c>
      <c r="R260" s="24">
        <f ca="1">IFERROR(__xludf.DUMMYFUNCTION("""COMPUTED_VALUE"""),0)</f>
        <v>0</v>
      </c>
      <c r="S260" s="23">
        <f ca="1">IFERROR(__xludf.DUMMYFUNCTION("""COMPUTED_VALUE"""),0)</f>
        <v>0</v>
      </c>
      <c r="T260" s="24">
        <f ca="1">IFERROR(__xludf.DUMMYFUNCTION("""COMPUTED_VALUE"""),0)</f>
        <v>0</v>
      </c>
      <c r="U260" s="23">
        <f ca="1">IFERROR(__xludf.DUMMYFUNCTION("""COMPUTED_VALUE"""),0)</f>
        <v>0</v>
      </c>
      <c r="V260" s="23">
        <f ca="1">IFERROR(__xludf.DUMMYFUNCTION("""COMPUTED_VALUE"""),0)</f>
        <v>0</v>
      </c>
      <c r="W260" s="23">
        <f ca="1">IFERROR(__xludf.DUMMYFUNCTION("""COMPUTED_VALUE"""),0)</f>
        <v>0</v>
      </c>
      <c r="X260" s="23">
        <f ca="1">IFERROR(__xludf.DUMMYFUNCTION("""COMPUTED_VALUE"""),0)</f>
        <v>0</v>
      </c>
      <c r="Y260" s="25">
        <f ca="1">IFERROR(__xludf.DUMMYFUNCTION("""COMPUTED_VALUE"""),0)</f>
        <v>0</v>
      </c>
      <c r="Z260" s="25">
        <f ca="1">IFERROR(__xludf.DUMMYFUNCTION("""COMPUTED_VALUE"""),0)</f>
        <v>0</v>
      </c>
      <c r="AA260" s="25">
        <f ca="1">IFERROR(__xludf.DUMMYFUNCTION("""COMPUTED_VALUE"""),0)</f>
        <v>0</v>
      </c>
      <c r="AB260" s="25">
        <f ca="1">IFERROR(__xludf.DUMMYFUNCTION("""COMPUTED_VALUE"""),0)</f>
        <v>0</v>
      </c>
      <c r="AC260" s="23">
        <f ca="1">IFERROR(__xludf.DUMMYFUNCTION("""COMPUTED_VALUE"""),0)</f>
        <v>0</v>
      </c>
      <c r="AD260" s="26"/>
      <c r="AE260" s="27"/>
    </row>
    <row r="261" spans="1:31" ht="28.55">
      <c r="A261" s="18" t="str">
        <f ca="1">IFERROR(__xludf.DUMMYFUNCTION("""COMPUTED_VALUE"""),"22SDSCE01013")</f>
        <v>22SDSCE01013</v>
      </c>
      <c r="B261" s="19" t="str">
        <f ca="1">IFERROR(__xludf.DUMMYFUNCTION("""COMPUTED_VALUE"""),"BHADANI MEET ASHVINBHAI")</f>
        <v>BHADANI MEET ASHVINBHAI</v>
      </c>
      <c r="C261" s="18" t="str">
        <f ca="1">IFERROR(__xludf.DUMMYFUNCTION("""COMPUTED_VALUE"""),"SDS")</f>
        <v>SDS</v>
      </c>
      <c r="D261" s="18" t="str">
        <f ca="1">IFERROR(__xludf.DUMMYFUNCTION("""COMPUTED_VALUE"""),"DCE")</f>
        <v>DCE</v>
      </c>
      <c r="E261" s="25">
        <f ca="1">IFERROR(__xludf.DUMMYFUNCTION("""COMPUTED_VALUE"""),4)</f>
        <v>4</v>
      </c>
      <c r="F261" s="20" t="str">
        <f ca="1">IFERROR(__xludf.DUMMYFUNCTION("""COMPUTED_VALUE"""),"9106174419 9925264960")</f>
        <v>9106174419 9925264960</v>
      </c>
      <c r="G261" s="20" t="str">
        <f ca="1">IFERROR(__xludf.DUMMYFUNCTION("""COMPUTED_VALUE"""),"9106174419 9925264960")</f>
        <v>9106174419 9925264960</v>
      </c>
      <c r="H261" s="6" t="str">
        <f ca="1">IFERROR(__xludf.DUMMYFUNCTION("""COMPUTED_VALUE"""),"DCE_2022-25")</f>
        <v>DCE_2022-25</v>
      </c>
      <c r="I261" s="20" t="str">
        <f ca="1">IFERROR(__xludf.DUMMYFUNCTION("""COMPUTED_VALUE"""),"MYSY")</f>
        <v>MYSY</v>
      </c>
      <c r="J261" s="21">
        <f ca="1">IFERROR(__xludf.DUMMYFUNCTION("""COMPUTED_VALUE"""),25000)</f>
        <v>25000</v>
      </c>
      <c r="K261" s="21">
        <f ca="1">IFERROR(__xludf.DUMMYFUNCTION("""COMPUTED_VALUE"""),0)</f>
        <v>0</v>
      </c>
      <c r="L261" s="21">
        <f ca="1">IFERROR(__xludf.DUMMYFUNCTION("""COMPUTED_VALUE"""),0)</f>
        <v>0</v>
      </c>
      <c r="M261" s="23">
        <f ca="1">IFERROR(__xludf.DUMMYFUNCTION("""COMPUTED_VALUE"""),0)</f>
        <v>0</v>
      </c>
      <c r="N261" s="21">
        <f ca="1">IFERROR(__xludf.DUMMYFUNCTION("""COMPUTED_VALUE"""),25000)</f>
        <v>25000</v>
      </c>
      <c r="O261" s="21">
        <f ca="1">IFERROR(__xludf.DUMMYFUNCTION("""COMPUTED_VALUE"""),3000)</f>
        <v>3000</v>
      </c>
      <c r="P261" s="21">
        <f ca="1">IFERROR(__xludf.DUMMYFUNCTION("""COMPUTED_VALUE"""),3000)</f>
        <v>3000</v>
      </c>
      <c r="Q261" s="23">
        <f ca="1">IFERROR(__xludf.DUMMYFUNCTION("""COMPUTED_VALUE"""),0)</f>
        <v>0</v>
      </c>
      <c r="R261" s="24">
        <f ca="1">IFERROR(__xludf.DUMMYFUNCTION("""COMPUTED_VALUE"""),0)</f>
        <v>0</v>
      </c>
      <c r="S261" s="23">
        <f ca="1">IFERROR(__xludf.DUMMYFUNCTION("""COMPUTED_VALUE"""),0)</f>
        <v>0</v>
      </c>
      <c r="T261" s="24">
        <f ca="1">IFERROR(__xludf.DUMMYFUNCTION("""COMPUTED_VALUE"""),0)</f>
        <v>0</v>
      </c>
      <c r="U261" s="23">
        <f ca="1">IFERROR(__xludf.DUMMYFUNCTION("""COMPUTED_VALUE"""),0)</f>
        <v>0</v>
      </c>
      <c r="V261" s="23">
        <f ca="1">IFERROR(__xludf.DUMMYFUNCTION("""COMPUTED_VALUE"""),0)</f>
        <v>0</v>
      </c>
      <c r="W261" s="23">
        <f ca="1">IFERROR(__xludf.DUMMYFUNCTION("""COMPUTED_VALUE"""),0)</f>
        <v>0</v>
      </c>
      <c r="X261" s="23">
        <f ca="1">IFERROR(__xludf.DUMMYFUNCTION("""COMPUTED_VALUE"""),0)</f>
        <v>0</v>
      </c>
      <c r="Y261" s="25">
        <f ca="1">IFERROR(__xludf.DUMMYFUNCTION("""COMPUTED_VALUE"""),0)</f>
        <v>0</v>
      </c>
      <c r="Z261" s="25">
        <f ca="1">IFERROR(__xludf.DUMMYFUNCTION("""COMPUTED_VALUE"""),0)</f>
        <v>0</v>
      </c>
      <c r="AA261" s="25">
        <f ca="1">IFERROR(__xludf.DUMMYFUNCTION("""COMPUTED_VALUE"""),0)</f>
        <v>0</v>
      </c>
      <c r="AB261" s="25">
        <f ca="1">IFERROR(__xludf.DUMMYFUNCTION("""COMPUTED_VALUE"""),0)</f>
        <v>0</v>
      </c>
      <c r="AC261" s="23">
        <f ca="1">IFERROR(__xludf.DUMMYFUNCTION("""COMPUTED_VALUE"""),0)</f>
        <v>0</v>
      </c>
      <c r="AD261" s="26" t="str">
        <f ca="1">IFERROR(__xludf.DUMMYFUNCTION("""COMPUTED_VALUE"""),"KSPS(25%) + MYSY(50%)")</f>
        <v>KSPS(25%) + MYSY(50%)</v>
      </c>
      <c r="AE261" s="27"/>
    </row>
    <row r="262" spans="1:31" ht="14.3">
      <c r="A262" s="18" t="str">
        <f ca="1">IFERROR(__xludf.DUMMYFUNCTION("""COMPUTED_VALUE"""),"22SDSCE01014")</f>
        <v>22SDSCE01014</v>
      </c>
      <c r="B262" s="19" t="str">
        <f ca="1">IFERROR(__xludf.DUMMYFUNCTION("""COMPUTED_VALUE"""),"BHAKHAR KUNJ NITINKUMAR")</f>
        <v>BHAKHAR KUNJ NITINKUMAR</v>
      </c>
      <c r="C262" s="18" t="str">
        <f ca="1">IFERROR(__xludf.DUMMYFUNCTION("""COMPUTED_VALUE"""),"SDS")</f>
        <v>SDS</v>
      </c>
      <c r="D262" s="18" t="str">
        <f ca="1">IFERROR(__xludf.DUMMYFUNCTION("""COMPUTED_VALUE"""),"DCE")</f>
        <v>DCE</v>
      </c>
      <c r="E262" s="25">
        <f ca="1">IFERROR(__xludf.DUMMYFUNCTION("""COMPUTED_VALUE"""),4)</f>
        <v>4</v>
      </c>
      <c r="F262" s="18" t="str">
        <f ca="1">IFERROR(__xludf.DUMMYFUNCTION("""COMPUTED_VALUE"""),"6354215231 
8849894229")</f>
        <v>6354215231 
8849894229</v>
      </c>
      <c r="G262" s="18" t="str">
        <f ca="1">IFERROR(__xludf.DUMMYFUNCTION("""COMPUTED_VALUE"""),"6354215231 
8849894229")</f>
        <v>6354215231 
8849894229</v>
      </c>
      <c r="H262" s="6" t="str">
        <f ca="1">IFERROR(__xludf.DUMMYFUNCTION("""COMPUTED_VALUE"""),"DCE_2022-25")</f>
        <v>DCE_2022-25</v>
      </c>
      <c r="I262" s="20" t="str">
        <f ca="1">IFERROR(__xludf.DUMMYFUNCTION("""COMPUTED_VALUE"""),"MYSY")</f>
        <v>MYSY</v>
      </c>
      <c r="J262" s="21">
        <f ca="1">IFERROR(__xludf.DUMMYFUNCTION("""COMPUTED_VALUE"""),25000)</f>
        <v>25000</v>
      </c>
      <c r="K262" s="21">
        <f ca="1">IFERROR(__xludf.DUMMYFUNCTION("""COMPUTED_VALUE"""),0)</f>
        <v>0</v>
      </c>
      <c r="L262" s="21">
        <f ca="1">IFERROR(__xludf.DUMMYFUNCTION("""COMPUTED_VALUE"""),0)</f>
        <v>0</v>
      </c>
      <c r="M262" s="23">
        <f ca="1">IFERROR(__xludf.DUMMYFUNCTION("""COMPUTED_VALUE"""),0)</f>
        <v>0</v>
      </c>
      <c r="N262" s="21">
        <f ca="1">IFERROR(__xludf.DUMMYFUNCTION("""COMPUTED_VALUE"""),25000)</f>
        <v>25000</v>
      </c>
      <c r="O262" s="21">
        <f ca="1">IFERROR(__xludf.DUMMYFUNCTION("""COMPUTED_VALUE"""),3000)</f>
        <v>3000</v>
      </c>
      <c r="P262" s="21">
        <f ca="1">IFERROR(__xludf.DUMMYFUNCTION("""COMPUTED_VALUE"""),3000)</f>
        <v>3000</v>
      </c>
      <c r="Q262" s="23">
        <f ca="1">IFERROR(__xludf.DUMMYFUNCTION("""COMPUTED_VALUE"""),0)</f>
        <v>0</v>
      </c>
      <c r="R262" s="24">
        <f ca="1">IFERROR(__xludf.DUMMYFUNCTION("""COMPUTED_VALUE"""),0)</f>
        <v>0</v>
      </c>
      <c r="S262" s="23">
        <f ca="1">IFERROR(__xludf.DUMMYFUNCTION("""COMPUTED_VALUE"""),0)</f>
        <v>0</v>
      </c>
      <c r="T262" s="24">
        <f ca="1">IFERROR(__xludf.DUMMYFUNCTION("""COMPUTED_VALUE"""),0)</f>
        <v>0</v>
      </c>
      <c r="U262" s="23">
        <f ca="1">IFERROR(__xludf.DUMMYFUNCTION("""COMPUTED_VALUE"""),0)</f>
        <v>0</v>
      </c>
      <c r="V262" s="23">
        <f ca="1">IFERROR(__xludf.DUMMYFUNCTION("""COMPUTED_VALUE"""),0)</f>
        <v>0</v>
      </c>
      <c r="W262" s="23">
        <f ca="1">IFERROR(__xludf.DUMMYFUNCTION("""COMPUTED_VALUE"""),0)</f>
        <v>0</v>
      </c>
      <c r="X262" s="23">
        <f ca="1">IFERROR(__xludf.DUMMYFUNCTION("""COMPUTED_VALUE"""),0)</f>
        <v>0</v>
      </c>
      <c r="Y262" s="25">
        <f ca="1">IFERROR(__xludf.DUMMYFUNCTION("""COMPUTED_VALUE"""),0)</f>
        <v>0</v>
      </c>
      <c r="Z262" s="25">
        <f ca="1">IFERROR(__xludf.DUMMYFUNCTION("""COMPUTED_VALUE"""),0)</f>
        <v>0</v>
      </c>
      <c r="AA262" s="25">
        <f ca="1">IFERROR(__xludf.DUMMYFUNCTION("""COMPUTED_VALUE"""),0)</f>
        <v>0</v>
      </c>
      <c r="AB262" s="25">
        <f ca="1">IFERROR(__xludf.DUMMYFUNCTION("""COMPUTED_VALUE"""),0)</f>
        <v>0</v>
      </c>
      <c r="AC262" s="23">
        <f ca="1">IFERROR(__xludf.DUMMYFUNCTION("""COMPUTED_VALUE"""),0)</f>
        <v>0</v>
      </c>
      <c r="AD262" s="26" t="str">
        <f ca="1">IFERROR(__xludf.DUMMYFUNCTION("""COMPUTED_VALUE""")," KSPS(50%) + MYSY(50%) ")</f>
        <v xml:space="preserve"> KSPS(50%) + MYSY(50%) </v>
      </c>
      <c r="AE262" s="27"/>
    </row>
    <row r="263" spans="1:31" ht="14.3">
      <c r="A263" s="18" t="str">
        <f ca="1">IFERROR(__xludf.DUMMYFUNCTION("""COMPUTED_VALUE"""),"22SDSCE01015")</f>
        <v>22SDSCE01015</v>
      </c>
      <c r="B263" s="19" t="str">
        <f ca="1">IFERROR(__xludf.DUMMYFUNCTION("""COMPUTED_VALUE"""),"BHALANI DHRUVIBEN DHARMENDRABHAI")</f>
        <v>BHALANI DHRUVIBEN DHARMENDRABHAI</v>
      </c>
      <c r="C263" s="18" t="str">
        <f ca="1">IFERROR(__xludf.DUMMYFUNCTION("""COMPUTED_VALUE"""),"SDS")</f>
        <v>SDS</v>
      </c>
      <c r="D263" s="18" t="str">
        <f ca="1">IFERROR(__xludf.DUMMYFUNCTION("""COMPUTED_VALUE"""),"DCE")</f>
        <v>DCE</v>
      </c>
      <c r="E263" s="25">
        <f ca="1">IFERROR(__xludf.DUMMYFUNCTION("""COMPUTED_VALUE"""),4)</f>
        <v>4</v>
      </c>
      <c r="F263" s="18" t="str">
        <f ca="1">IFERROR(__xludf.DUMMYFUNCTION("""COMPUTED_VALUE"""),"6355252662 7698583898")</f>
        <v>6355252662 7698583898</v>
      </c>
      <c r="G263" s="18" t="str">
        <f ca="1">IFERROR(__xludf.DUMMYFUNCTION("""COMPUTED_VALUE"""),"6355252662 7698583898")</f>
        <v>6355252662 7698583898</v>
      </c>
      <c r="H263" s="6" t="str">
        <f ca="1">IFERROR(__xludf.DUMMYFUNCTION("""COMPUTED_VALUE"""),"DCE_2022-25")</f>
        <v>DCE_2022-25</v>
      </c>
      <c r="I263" s="20" t="str">
        <f ca="1">IFERROR(__xludf.DUMMYFUNCTION("""COMPUTED_VALUE"""),"MYSY")</f>
        <v>MYSY</v>
      </c>
      <c r="J263" s="21">
        <f ca="1">IFERROR(__xludf.DUMMYFUNCTION("""COMPUTED_VALUE"""),25000)</f>
        <v>25000</v>
      </c>
      <c r="K263" s="21">
        <f ca="1">IFERROR(__xludf.DUMMYFUNCTION("""COMPUTED_VALUE"""),0)</f>
        <v>0</v>
      </c>
      <c r="L263" s="21">
        <f ca="1">IFERROR(__xludf.DUMMYFUNCTION("""COMPUTED_VALUE"""),0)</f>
        <v>0</v>
      </c>
      <c r="M263" s="23">
        <f ca="1">IFERROR(__xludf.DUMMYFUNCTION("""COMPUTED_VALUE"""),0)</f>
        <v>0</v>
      </c>
      <c r="N263" s="21">
        <f ca="1">IFERROR(__xludf.DUMMYFUNCTION("""COMPUTED_VALUE"""),25000)</f>
        <v>25000</v>
      </c>
      <c r="O263" s="21">
        <f ca="1">IFERROR(__xludf.DUMMYFUNCTION("""COMPUTED_VALUE"""),3000)</f>
        <v>3000</v>
      </c>
      <c r="P263" s="21">
        <f ca="1">IFERROR(__xludf.DUMMYFUNCTION("""COMPUTED_VALUE"""),3000)</f>
        <v>3000</v>
      </c>
      <c r="Q263" s="23">
        <f ca="1">IFERROR(__xludf.DUMMYFUNCTION("""COMPUTED_VALUE"""),0)</f>
        <v>0</v>
      </c>
      <c r="R263" s="24">
        <f ca="1">IFERROR(__xludf.DUMMYFUNCTION("""COMPUTED_VALUE"""),0)</f>
        <v>0</v>
      </c>
      <c r="S263" s="23">
        <f ca="1">IFERROR(__xludf.DUMMYFUNCTION("""COMPUTED_VALUE"""),0)</f>
        <v>0</v>
      </c>
      <c r="T263" s="24">
        <f ca="1">IFERROR(__xludf.DUMMYFUNCTION("""COMPUTED_VALUE"""),0)</f>
        <v>0</v>
      </c>
      <c r="U263" s="23">
        <f ca="1">IFERROR(__xludf.DUMMYFUNCTION("""COMPUTED_VALUE"""),0)</f>
        <v>0</v>
      </c>
      <c r="V263" s="23">
        <f ca="1">IFERROR(__xludf.DUMMYFUNCTION("""COMPUTED_VALUE"""),0)</f>
        <v>0</v>
      </c>
      <c r="W263" s="23">
        <f ca="1">IFERROR(__xludf.DUMMYFUNCTION("""COMPUTED_VALUE"""),0)</f>
        <v>0</v>
      </c>
      <c r="X263" s="23">
        <f ca="1">IFERROR(__xludf.DUMMYFUNCTION("""COMPUTED_VALUE"""),0)</f>
        <v>0</v>
      </c>
      <c r="Y263" s="25">
        <f ca="1">IFERROR(__xludf.DUMMYFUNCTION("""COMPUTED_VALUE"""),0)</f>
        <v>0</v>
      </c>
      <c r="Z263" s="25">
        <f ca="1">IFERROR(__xludf.DUMMYFUNCTION("""COMPUTED_VALUE"""),0)</f>
        <v>0</v>
      </c>
      <c r="AA263" s="25">
        <f ca="1">IFERROR(__xludf.DUMMYFUNCTION("""COMPUTED_VALUE"""),0)</f>
        <v>0</v>
      </c>
      <c r="AB263" s="25">
        <f ca="1">IFERROR(__xludf.DUMMYFUNCTION("""COMPUTED_VALUE"""),0)</f>
        <v>0</v>
      </c>
      <c r="AC263" s="23">
        <f ca="1">IFERROR(__xludf.DUMMYFUNCTION("""COMPUTED_VALUE"""),0)</f>
        <v>0</v>
      </c>
      <c r="AD263" s="26" t="str">
        <f ca="1">IFERROR(__xludf.DUMMYFUNCTION("""COMPUTED_VALUE""")," KSPS(50%) + MYSY(50%) ")</f>
        <v xml:space="preserve"> KSPS(50%) + MYSY(50%) </v>
      </c>
      <c r="AE263" s="27"/>
    </row>
    <row r="264" spans="1:31" ht="14.3">
      <c r="A264" s="18" t="str">
        <f ca="1">IFERROR(__xludf.DUMMYFUNCTION("""COMPUTED_VALUE"""),"22SDSCE01016")</f>
        <v>22SDSCE01016</v>
      </c>
      <c r="B264" s="19" t="str">
        <f ca="1">IFERROR(__xludf.DUMMYFUNCTION("""COMPUTED_VALUE"""),"BHALANI TISHA RAMESHBHAI")</f>
        <v>BHALANI TISHA RAMESHBHAI</v>
      </c>
      <c r="C264" s="18" t="str">
        <f ca="1">IFERROR(__xludf.DUMMYFUNCTION("""COMPUTED_VALUE"""),"SDS")</f>
        <v>SDS</v>
      </c>
      <c r="D264" s="18" t="str">
        <f ca="1">IFERROR(__xludf.DUMMYFUNCTION("""COMPUTED_VALUE"""),"DCE")</f>
        <v>DCE</v>
      </c>
      <c r="E264" s="25">
        <f ca="1">IFERROR(__xludf.DUMMYFUNCTION("""COMPUTED_VALUE"""),4)</f>
        <v>4</v>
      </c>
      <c r="F264" s="18" t="str">
        <f ca="1">IFERROR(__xludf.DUMMYFUNCTION("""COMPUTED_VALUE"""),"8849945584 9428622402")</f>
        <v>8849945584 9428622402</v>
      </c>
      <c r="G264" s="18" t="str">
        <f ca="1">IFERROR(__xludf.DUMMYFUNCTION("""COMPUTED_VALUE"""),"8849945584 9428622402")</f>
        <v>8849945584 9428622402</v>
      </c>
      <c r="H264" s="6" t="str">
        <f ca="1">IFERROR(__xludf.DUMMYFUNCTION("""COMPUTED_VALUE"""),"DCE_2022-25")</f>
        <v>DCE_2022-25</v>
      </c>
      <c r="I264" s="20" t="str">
        <f ca="1">IFERROR(__xludf.DUMMYFUNCTION("""COMPUTED_VALUE"""),"MYSY")</f>
        <v>MYSY</v>
      </c>
      <c r="J264" s="21">
        <f ca="1">IFERROR(__xludf.DUMMYFUNCTION("""COMPUTED_VALUE"""),25000)</f>
        <v>25000</v>
      </c>
      <c r="K264" s="21">
        <f ca="1">IFERROR(__xludf.DUMMYFUNCTION("""COMPUTED_VALUE"""),12500)</f>
        <v>12500</v>
      </c>
      <c r="L264" s="21">
        <f ca="1">IFERROR(__xludf.DUMMYFUNCTION("""COMPUTED_VALUE"""),0)</f>
        <v>0</v>
      </c>
      <c r="M264" s="23">
        <f ca="1">IFERROR(__xludf.DUMMYFUNCTION("""COMPUTED_VALUE"""),0)</f>
        <v>0</v>
      </c>
      <c r="N264" s="21">
        <f ca="1">IFERROR(__xludf.DUMMYFUNCTION("""COMPUTED_VALUE"""),12500)</f>
        <v>12500</v>
      </c>
      <c r="O264" s="21">
        <f ca="1">IFERROR(__xludf.DUMMYFUNCTION("""COMPUTED_VALUE"""),3000)</f>
        <v>3000</v>
      </c>
      <c r="P264" s="21">
        <f ca="1">IFERROR(__xludf.DUMMYFUNCTION("""COMPUTED_VALUE"""),3000)</f>
        <v>3000</v>
      </c>
      <c r="Q264" s="23">
        <f ca="1">IFERROR(__xludf.DUMMYFUNCTION("""COMPUTED_VALUE"""),0)</f>
        <v>0</v>
      </c>
      <c r="R264" s="24">
        <f ca="1">IFERROR(__xludf.DUMMYFUNCTION("""COMPUTED_VALUE"""),0)</f>
        <v>0</v>
      </c>
      <c r="S264" s="23">
        <f ca="1">IFERROR(__xludf.DUMMYFUNCTION("""COMPUTED_VALUE"""),0)</f>
        <v>0</v>
      </c>
      <c r="T264" s="24">
        <f ca="1">IFERROR(__xludf.DUMMYFUNCTION("""COMPUTED_VALUE"""),0)</f>
        <v>0</v>
      </c>
      <c r="U264" s="23">
        <f ca="1">IFERROR(__xludf.DUMMYFUNCTION("""COMPUTED_VALUE"""),0)</f>
        <v>0</v>
      </c>
      <c r="V264" s="23">
        <f ca="1">IFERROR(__xludf.DUMMYFUNCTION("""COMPUTED_VALUE"""),0)</f>
        <v>0</v>
      </c>
      <c r="W264" s="23">
        <f ca="1">IFERROR(__xludf.DUMMYFUNCTION("""COMPUTED_VALUE"""),0)</f>
        <v>0</v>
      </c>
      <c r="X264" s="23">
        <f ca="1">IFERROR(__xludf.DUMMYFUNCTION("""COMPUTED_VALUE"""),0)</f>
        <v>0</v>
      </c>
      <c r="Y264" s="25">
        <f ca="1">IFERROR(__xludf.DUMMYFUNCTION("""COMPUTED_VALUE"""),0)</f>
        <v>0</v>
      </c>
      <c r="Z264" s="25">
        <f ca="1">IFERROR(__xludf.DUMMYFUNCTION("""COMPUTED_VALUE"""),0)</f>
        <v>0</v>
      </c>
      <c r="AA264" s="25">
        <f ca="1">IFERROR(__xludf.DUMMYFUNCTION("""COMPUTED_VALUE"""),0)</f>
        <v>0</v>
      </c>
      <c r="AB264" s="25">
        <f ca="1">IFERROR(__xludf.DUMMYFUNCTION("""COMPUTED_VALUE"""),0)</f>
        <v>0</v>
      </c>
      <c r="AC264" s="23">
        <f ca="1">IFERROR(__xludf.DUMMYFUNCTION("""COMPUTED_VALUE"""),0)</f>
        <v>0</v>
      </c>
      <c r="AD264" s="26" t="str">
        <f ca="1">IFERROR(__xludf.DUMMYFUNCTION("""COMPUTED_VALUE"""),"KSPS(25%) + MYSY(50%) ")</f>
        <v xml:space="preserve">KSPS(25%) + MYSY(50%) </v>
      </c>
      <c r="AE264" s="27"/>
    </row>
    <row r="265" spans="1:31" ht="14.3">
      <c r="A265" s="18" t="str">
        <f ca="1">IFERROR(__xludf.DUMMYFUNCTION("""COMPUTED_VALUE"""),"22SDSCE01017")</f>
        <v>22SDSCE01017</v>
      </c>
      <c r="B265" s="19" t="str">
        <f ca="1">IFERROR(__xludf.DUMMYFUNCTION("""COMPUTED_VALUE"""),"BHANDERI TIRTH SURESHBHAI")</f>
        <v>BHANDERI TIRTH SURESHBHAI</v>
      </c>
      <c r="C265" s="18" t="str">
        <f ca="1">IFERROR(__xludf.DUMMYFUNCTION("""COMPUTED_VALUE"""),"SDS")</f>
        <v>SDS</v>
      </c>
      <c r="D265" s="18" t="str">
        <f ca="1">IFERROR(__xludf.DUMMYFUNCTION("""COMPUTED_VALUE"""),"DCE")</f>
        <v>DCE</v>
      </c>
      <c r="E265" s="25">
        <f ca="1">IFERROR(__xludf.DUMMYFUNCTION("""COMPUTED_VALUE"""),4)</f>
        <v>4</v>
      </c>
      <c r="F265" s="18" t="str">
        <f ca="1">IFERROR(__xludf.DUMMYFUNCTION("""COMPUTED_VALUE"""),"9737006181 9924682868")</f>
        <v>9737006181 9924682868</v>
      </c>
      <c r="G265" s="18" t="str">
        <f ca="1">IFERROR(__xludf.DUMMYFUNCTION("""COMPUTED_VALUE"""),"9737006181 9924682868")</f>
        <v>9737006181 9924682868</v>
      </c>
      <c r="H265" s="6" t="str">
        <f ca="1">IFERROR(__xludf.DUMMYFUNCTION("""COMPUTED_VALUE"""),"DCE_2022-25")</f>
        <v>DCE_2022-25</v>
      </c>
      <c r="I265" s="20" t="str">
        <f ca="1">IFERROR(__xludf.DUMMYFUNCTION("""COMPUTED_VALUE"""),"MYSY")</f>
        <v>MYSY</v>
      </c>
      <c r="J265" s="21">
        <f ca="1">IFERROR(__xludf.DUMMYFUNCTION("""COMPUTED_VALUE"""),25000)</f>
        <v>25000</v>
      </c>
      <c r="K265" s="21">
        <f ca="1">IFERROR(__xludf.DUMMYFUNCTION("""COMPUTED_VALUE"""),0)</f>
        <v>0</v>
      </c>
      <c r="L265" s="21">
        <f ca="1">IFERROR(__xludf.DUMMYFUNCTION("""COMPUTED_VALUE"""),0)</f>
        <v>0</v>
      </c>
      <c r="M265" s="23">
        <f ca="1">IFERROR(__xludf.DUMMYFUNCTION("""COMPUTED_VALUE"""),0)</f>
        <v>0</v>
      </c>
      <c r="N265" s="21">
        <f ca="1">IFERROR(__xludf.DUMMYFUNCTION("""COMPUTED_VALUE"""),25000)</f>
        <v>25000</v>
      </c>
      <c r="O265" s="21">
        <f ca="1">IFERROR(__xludf.DUMMYFUNCTION("""COMPUTED_VALUE"""),3000)</f>
        <v>3000</v>
      </c>
      <c r="P265" s="21">
        <f ca="1">IFERROR(__xludf.DUMMYFUNCTION("""COMPUTED_VALUE"""),3000)</f>
        <v>3000</v>
      </c>
      <c r="Q265" s="23">
        <f ca="1">IFERROR(__xludf.DUMMYFUNCTION("""COMPUTED_VALUE"""),0)</f>
        <v>0</v>
      </c>
      <c r="R265" s="24">
        <f ca="1">IFERROR(__xludf.DUMMYFUNCTION("""COMPUTED_VALUE"""),0)</f>
        <v>0</v>
      </c>
      <c r="S265" s="23">
        <f ca="1">IFERROR(__xludf.DUMMYFUNCTION("""COMPUTED_VALUE"""),0)</f>
        <v>0</v>
      </c>
      <c r="T265" s="24">
        <f ca="1">IFERROR(__xludf.DUMMYFUNCTION("""COMPUTED_VALUE"""),0)</f>
        <v>0</v>
      </c>
      <c r="U265" s="23">
        <f ca="1">IFERROR(__xludf.DUMMYFUNCTION("""COMPUTED_VALUE"""),0)</f>
        <v>0</v>
      </c>
      <c r="V265" s="23">
        <f ca="1">IFERROR(__xludf.DUMMYFUNCTION("""COMPUTED_VALUE"""),0)</f>
        <v>0</v>
      </c>
      <c r="W265" s="23">
        <f ca="1">IFERROR(__xludf.DUMMYFUNCTION("""COMPUTED_VALUE"""),0)</f>
        <v>0</v>
      </c>
      <c r="X265" s="23">
        <f ca="1">IFERROR(__xludf.DUMMYFUNCTION("""COMPUTED_VALUE"""),0)</f>
        <v>0</v>
      </c>
      <c r="Y265" s="25">
        <f ca="1">IFERROR(__xludf.DUMMYFUNCTION("""COMPUTED_VALUE"""),0)</f>
        <v>0</v>
      </c>
      <c r="Z265" s="25">
        <f ca="1">IFERROR(__xludf.DUMMYFUNCTION("""COMPUTED_VALUE"""),0)</f>
        <v>0</v>
      </c>
      <c r="AA265" s="25">
        <f ca="1">IFERROR(__xludf.DUMMYFUNCTION("""COMPUTED_VALUE"""),0)</f>
        <v>0</v>
      </c>
      <c r="AB265" s="25">
        <f ca="1">IFERROR(__xludf.DUMMYFUNCTION("""COMPUTED_VALUE"""),0)</f>
        <v>0</v>
      </c>
      <c r="AC265" s="23">
        <f ca="1">IFERROR(__xludf.DUMMYFUNCTION("""COMPUTED_VALUE"""),0)</f>
        <v>0</v>
      </c>
      <c r="AD265" s="26" t="str">
        <f ca="1">IFERROR(__xludf.DUMMYFUNCTION("""COMPUTED_VALUE""")," KSPS(50%) + MYSY(50%) ")</f>
        <v xml:space="preserve"> KSPS(50%) + MYSY(50%) </v>
      </c>
      <c r="AE265" s="27"/>
    </row>
    <row r="266" spans="1:31" ht="14.3">
      <c r="A266" s="18" t="str">
        <f ca="1">IFERROR(__xludf.DUMMYFUNCTION("""COMPUTED_VALUE"""),"22SDSCE01018")</f>
        <v>22SDSCE01018</v>
      </c>
      <c r="B266" s="19" t="str">
        <f ca="1">IFERROR(__xludf.DUMMYFUNCTION("""COMPUTED_VALUE"""),"BHARMAL IBRAHIM IDRISHBHAI")</f>
        <v>BHARMAL IBRAHIM IDRISHBHAI</v>
      </c>
      <c r="C266" s="18" t="str">
        <f ca="1">IFERROR(__xludf.DUMMYFUNCTION("""COMPUTED_VALUE"""),"SDS")</f>
        <v>SDS</v>
      </c>
      <c r="D266" s="18" t="str">
        <f ca="1">IFERROR(__xludf.DUMMYFUNCTION("""COMPUTED_VALUE"""),"DCE")</f>
        <v>DCE</v>
      </c>
      <c r="E266" s="25">
        <f ca="1">IFERROR(__xludf.DUMMYFUNCTION("""COMPUTED_VALUE"""),4)</f>
        <v>4</v>
      </c>
      <c r="F266" s="18" t="str">
        <f ca="1">IFERROR(__xludf.DUMMYFUNCTION("""COMPUTED_VALUE"""),"8734821153")</f>
        <v>8734821153</v>
      </c>
      <c r="G266" s="18" t="str">
        <f ca="1">IFERROR(__xludf.DUMMYFUNCTION("""COMPUTED_VALUE"""),"8734821153")</f>
        <v>8734821153</v>
      </c>
      <c r="H266" s="6" t="str">
        <f ca="1">IFERROR(__xludf.DUMMYFUNCTION("""COMPUTED_VALUE"""),"DCE_2022-25")</f>
        <v>DCE_2022-25</v>
      </c>
      <c r="I266" s="20" t="str">
        <f ca="1">IFERROR(__xludf.DUMMYFUNCTION("""COMPUTED_VALUE"""),"MYSY")</f>
        <v>MYSY</v>
      </c>
      <c r="J266" s="21">
        <f ca="1">IFERROR(__xludf.DUMMYFUNCTION("""COMPUTED_VALUE"""),25000)</f>
        <v>25000</v>
      </c>
      <c r="K266" s="21">
        <f ca="1">IFERROR(__xludf.DUMMYFUNCTION("""COMPUTED_VALUE"""),0)</f>
        <v>0</v>
      </c>
      <c r="L266" s="21">
        <f ca="1">IFERROR(__xludf.DUMMYFUNCTION("""COMPUTED_VALUE"""),0)</f>
        <v>0</v>
      </c>
      <c r="M266" s="23">
        <f ca="1">IFERROR(__xludf.DUMMYFUNCTION("""COMPUTED_VALUE"""),0)</f>
        <v>0</v>
      </c>
      <c r="N266" s="21">
        <f ca="1">IFERROR(__xludf.DUMMYFUNCTION("""COMPUTED_VALUE"""),25000)</f>
        <v>25000</v>
      </c>
      <c r="O266" s="21">
        <f ca="1">IFERROR(__xludf.DUMMYFUNCTION("""COMPUTED_VALUE"""),3000)</f>
        <v>3000</v>
      </c>
      <c r="P266" s="21">
        <f ca="1">IFERROR(__xludf.DUMMYFUNCTION("""COMPUTED_VALUE"""),3000)</f>
        <v>3000</v>
      </c>
      <c r="Q266" s="23">
        <f ca="1">IFERROR(__xludf.DUMMYFUNCTION("""COMPUTED_VALUE"""),0)</f>
        <v>0</v>
      </c>
      <c r="R266" s="24">
        <f ca="1">IFERROR(__xludf.DUMMYFUNCTION("""COMPUTED_VALUE"""),0)</f>
        <v>0</v>
      </c>
      <c r="S266" s="23">
        <f ca="1">IFERROR(__xludf.DUMMYFUNCTION("""COMPUTED_VALUE"""),0)</f>
        <v>0</v>
      </c>
      <c r="T266" s="24">
        <f ca="1">IFERROR(__xludf.DUMMYFUNCTION("""COMPUTED_VALUE"""),0)</f>
        <v>0</v>
      </c>
      <c r="U266" s="23">
        <f ca="1">IFERROR(__xludf.DUMMYFUNCTION("""COMPUTED_VALUE"""),0)</f>
        <v>0</v>
      </c>
      <c r="V266" s="23">
        <f ca="1">IFERROR(__xludf.DUMMYFUNCTION("""COMPUTED_VALUE"""),0)</f>
        <v>0</v>
      </c>
      <c r="W266" s="23">
        <f ca="1">IFERROR(__xludf.DUMMYFUNCTION("""COMPUTED_VALUE"""),0)</f>
        <v>0</v>
      </c>
      <c r="X266" s="23">
        <f ca="1">IFERROR(__xludf.DUMMYFUNCTION("""COMPUTED_VALUE"""),0)</f>
        <v>0</v>
      </c>
      <c r="Y266" s="25">
        <f ca="1">IFERROR(__xludf.DUMMYFUNCTION("""COMPUTED_VALUE"""),0)</f>
        <v>0</v>
      </c>
      <c r="Z266" s="25">
        <f ca="1">IFERROR(__xludf.DUMMYFUNCTION("""COMPUTED_VALUE"""),0)</f>
        <v>0</v>
      </c>
      <c r="AA266" s="25">
        <f ca="1">IFERROR(__xludf.DUMMYFUNCTION("""COMPUTED_VALUE"""),0)</f>
        <v>0</v>
      </c>
      <c r="AB266" s="25">
        <f ca="1">IFERROR(__xludf.DUMMYFUNCTION("""COMPUTED_VALUE"""),0)</f>
        <v>0</v>
      </c>
      <c r="AC266" s="23">
        <f ca="1">IFERROR(__xludf.DUMMYFUNCTION("""COMPUTED_VALUE"""),0)</f>
        <v>0</v>
      </c>
      <c r="AD266" s="26" t="str">
        <f ca="1">IFERROR(__xludf.DUMMYFUNCTION("""COMPUTED_VALUE"""),"KSPS(25%) + MYSY(50%) ")</f>
        <v xml:space="preserve">KSPS(25%) + MYSY(50%) </v>
      </c>
      <c r="AE266" s="27"/>
    </row>
    <row r="267" spans="1:31" ht="23.1">
      <c r="A267" s="18" t="str">
        <f ca="1">IFERROR(__xludf.DUMMYFUNCTION("""COMPUTED_VALUE"""),"22SDSCE01019")</f>
        <v>22SDSCE01019</v>
      </c>
      <c r="B267" s="19" t="str">
        <f ca="1">IFERROR(__xludf.DUMMYFUNCTION("""COMPUTED_VALUE"""),"BHATT RUTVA VIMALBHAI")</f>
        <v>BHATT RUTVA VIMALBHAI</v>
      </c>
      <c r="C267" s="18" t="str">
        <f ca="1">IFERROR(__xludf.DUMMYFUNCTION("""COMPUTED_VALUE"""),"SDS")</f>
        <v>SDS</v>
      </c>
      <c r="D267" s="18" t="str">
        <f ca="1">IFERROR(__xludf.DUMMYFUNCTION("""COMPUTED_VALUE"""),"DCE")</f>
        <v>DCE</v>
      </c>
      <c r="E267" s="25">
        <f ca="1">IFERROR(__xludf.DUMMYFUNCTION("""COMPUTED_VALUE"""),4)</f>
        <v>4</v>
      </c>
      <c r="F267" s="18" t="str">
        <f ca="1">IFERROR(__xludf.DUMMYFUNCTION("""COMPUTED_VALUE"""),"8849065287 9727733515")</f>
        <v>8849065287 9727733515</v>
      </c>
      <c r="G267" s="18" t="str">
        <f ca="1">IFERROR(__xludf.DUMMYFUNCTION("""COMPUTED_VALUE"""),"8849065287 9727733515")</f>
        <v>8849065287 9727733515</v>
      </c>
      <c r="H267" s="6" t="str">
        <f ca="1">IFERROR(__xludf.DUMMYFUNCTION("""COMPUTED_VALUE"""),"DCE_2022-25")</f>
        <v>DCE_2022-25</v>
      </c>
      <c r="I267" s="20" t="str">
        <f ca="1">IFERROR(__xludf.DUMMYFUNCTION("""COMPUTED_VALUE"""),"KSP")</f>
        <v>KSP</v>
      </c>
      <c r="J267" s="21">
        <f ca="1">IFERROR(__xludf.DUMMYFUNCTION("""COMPUTED_VALUE"""),25000)</f>
        <v>25000</v>
      </c>
      <c r="K267" s="21">
        <f ca="1">IFERROR(__xludf.DUMMYFUNCTION("""COMPUTED_VALUE"""),12500)</f>
        <v>12500</v>
      </c>
      <c r="L267" s="21">
        <f ca="1">IFERROR(__xludf.DUMMYFUNCTION("""COMPUTED_VALUE"""),0)</f>
        <v>0</v>
      </c>
      <c r="M267" s="23">
        <f ca="1">IFERROR(__xludf.DUMMYFUNCTION("""COMPUTED_VALUE"""),12500)</f>
        <v>12500</v>
      </c>
      <c r="N267" s="21">
        <f ca="1">IFERROR(__xludf.DUMMYFUNCTION("""COMPUTED_VALUE"""),0)</f>
        <v>0</v>
      </c>
      <c r="O267" s="21">
        <f ca="1">IFERROR(__xludf.DUMMYFUNCTION("""COMPUTED_VALUE"""),3000)</f>
        <v>3000</v>
      </c>
      <c r="P267" s="21">
        <f ca="1">IFERROR(__xludf.DUMMYFUNCTION("""COMPUTED_VALUE"""),3000)</f>
        <v>3000</v>
      </c>
      <c r="Q267" s="23">
        <f ca="1">IFERROR(__xludf.DUMMYFUNCTION("""COMPUTED_VALUE"""),0)</f>
        <v>0</v>
      </c>
      <c r="R267" s="24">
        <f ca="1">IFERROR(__xludf.DUMMYFUNCTION("""COMPUTED_VALUE"""),0)</f>
        <v>0</v>
      </c>
      <c r="S267" s="23">
        <f ca="1">IFERROR(__xludf.DUMMYFUNCTION("""COMPUTED_VALUE"""),0)</f>
        <v>0</v>
      </c>
      <c r="T267" s="24">
        <f ca="1">IFERROR(__xludf.DUMMYFUNCTION("""COMPUTED_VALUE"""),0)</f>
        <v>0</v>
      </c>
      <c r="U267" s="23">
        <f ca="1">IFERROR(__xludf.DUMMYFUNCTION("""COMPUTED_VALUE"""),0)</f>
        <v>0</v>
      </c>
      <c r="V267" s="23">
        <f ca="1">IFERROR(__xludf.DUMMYFUNCTION("""COMPUTED_VALUE"""),0)</f>
        <v>0</v>
      </c>
      <c r="W267" s="23">
        <f ca="1">IFERROR(__xludf.DUMMYFUNCTION("""COMPUTED_VALUE"""),0)</f>
        <v>0</v>
      </c>
      <c r="X267" s="23">
        <f ca="1">IFERROR(__xludf.DUMMYFUNCTION("""COMPUTED_VALUE"""),0)</f>
        <v>0</v>
      </c>
      <c r="Y267" s="25">
        <f ca="1">IFERROR(__xludf.DUMMYFUNCTION("""COMPUTED_VALUE"""),0)</f>
        <v>0</v>
      </c>
      <c r="Z267" s="25">
        <f ca="1">IFERROR(__xludf.DUMMYFUNCTION("""COMPUTED_VALUE"""),0)</f>
        <v>0</v>
      </c>
      <c r="AA267" s="25">
        <f ca="1">IFERROR(__xludf.DUMMYFUNCTION("""COMPUTED_VALUE"""),0)</f>
        <v>0</v>
      </c>
      <c r="AB267" s="25">
        <f ca="1">IFERROR(__xludf.DUMMYFUNCTION("""COMPUTED_VALUE"""),0)</f>
        <v>0</v>
      </c>
      <c r="AC267" s="23">
        <f ca="1">IFERROR(__xludf.DUMMYFUNCTION("""COMPUTED_VALUE"""),0)</f>
        <v>0</v>
      </c>
      <c r="AD267" s="26" t="str">
        <f ca="1">IFERROR(__xludf.DUMMYFUNCTION("""COMPUTED_VALUE"""),"KSPS(50%)
12500 every sem")</f>
        <v>KSPS(50%)
12500 every sem</v>
      </c>
      <c r="AE267" s="27"/>
    </row>
    <row r="268" spans="1:31" ht="14.3">
      <c r="A268" s="18" t="str">
        <f ca="1">IFERROR(__xludf.DUMMYFUNCTION("""COMPUTED_VALUE"""),"22SDSCE01021")</f>
        <v>22SDSCE01021</v>
      </c>
      <c r="B268" s="19" t="str">
        <f ca="1">IFERROR(__xludf.DUMMYFUNCTION("""COMPUTED_VALUE"""),"BHUDIYA HARSHIL DINESH")</f>
        <v>BHUDIYA HARSHIL DINESH</v>
      </c>
      <c r="C268" s="18" t="str">
        <f ca="1">IFERROR(__xludf.DUMMYFUNCTION("""COMPUTED_VALUE"""),"SDS")</f>
        <v>SDS</v>
      </c>
      <c r="D268" s="18" t="str">
        <f ca="1">IFERROR(__xludf.DUMMYFUNCTION("""COMPUTED_VALUE"""),"DCE")</f>
        <v>DCE</v>
      </c>
      <c r="E268" s="25">
        <f ca="1">IFERROR(__xludf.DUMMYFUNCTION("""COMPUTED_VALUE"""),4)</f>
        <v>4</v>
      </c>
      <c r="F268" s="18" t="str">
        <f ca="1">IFERROR(__xludf.DUMMYFUNCTION("""COMPUTED_VALUE"""),"9913471295
9687314200")</f>
        <v>9913471295
9687314200</v>
      </c>
      <c r="G268" s="18" t="str">
        <f ca="1">IFERROR(__xludf.DUMMYFUNCTION("""COMPUTED_VALUE"""),"9913471295
9687314200")</f>
        <v>9913471295
9687314200</v>
      </c>
      <c r="H268" s="6" t="str">
        <f ca="1">IFERROR(__xludf.DUMMYFUNCTION("""COMPUTED_VALUE"""),"DCE_2022-25")</f>
        <v>DCE_2022-25</v>
      </c>
      <c r="I268" s="20"/>
      <c r="J268" s="21">
        <f ca="1">IFERROR(__xludf.DUMMYFUNCTION("""COMPUTED_VALUE"""),25000)</f>
        <v>25000</v>
      </c>
      <c r="K268" s="21">
        <f ca="1">IFERROR(__xludf.DUMMYFUNCTION("""COMPUTED_VALUE"""),25000)</f>
        <v>25000</v>
      </c>
      <c r="L268" s="21">
        <f ca="1">IFERROR(__xludf.DUMMYFUNCTION("""COMPUTED_VALUE"""),0)</f>
        <v>0</v>
      </c>
      <c r="M268" s="23">
        <f ca="1">IFERROR(__xludf.DUMMYFUNCTION("""COMPUTED_VALUE"""),0)</f>
        <v>0</v>
      </c>
      <c r="N268" s="21">
        <f ca="1">IFERROR(__xludf.DUMMYFUNCTION("""COMPUTED_VALUE"""),0)</f>
        <v>0</v>
      </c>
      <c r="O268" s="21">
        <f ca="1">IFERROR(__xludf.DUMMYFUNCTION("""COMPUTED_VALUE"""),3000)</f>
        <v>3000</v>
      </c>
      <c r="P268" s="21">
        <f ca="1">IFERROR(__xludf.DUMMYFUNCTION("""COMPUTED_VALUE"""),3000)</f>
        <v>3000</v>
      </c>
      <c r="Q268" s="23">
        <f ca="1">IFERROR(__xludf.DUMMYFUNCTION("""COMPUTED_VALUE"""),0)</f>
        <v>0</v>
      </c>
      <c r="R268" s="24">
        <f ca="1">IFERROR(__xludf.DUMMYFUNCTION("""COMPUTED_VALUE"""),0)</f>
        <v>0</v>
      </c>
      <c r="S268" s="23">
        <f ca="1">IFERROR(__xludf.DUMMYFUNCTION("""COMPUTED_VALUE"""),0)</f>
        <v>0</v>
      </c>
      <c r="T268" s="24">
        <f ca="1">IFERROR(__xludf.DUMMYFUNCTION("""COMPUTED_VALUE"""),0)</f>
        <v>0</v>
      </c>
      <c r="U268" s="23">
        <f ca="1">IFERROR(__xludf.DUMMYFUNCTION("""COMPUTED_VALUE"""),0)</f>
        <v>0</v>
      </c>
      <c r="V268" s="23">
        <f ca="1">IFERROR(__xludf.DUMMYFUNCTION("""COMPUTED_VALUE"""),0)</f>
        <v>0</v>
      </c>
      <c r="W268" s="23">
        <f ca="1">IFERROR(__xludf.DUMMYFUNCTION("""COMPUTED_VALUE"""),0)</f>
        <v>0</v>
      </c>
      <c r="X268" s="23">
        <f ca="1">IFERROR(__xludf.DUMMYFUNCTION("""COMPUTED_VALUE"""),0)</f>
        <v>0</v>
      </c>
      <c r="Y268" s="25">
        <f ca="1">IFERROR(__xludf.DUMMYFUNCTION("""COMPUTED_VALUE"""),0)</f>
        <v>0</v>
      </c>
      <c r="Z268" s="25">
        <f ca="1">IFERROR(__xludf.DUMMYFUNCTION("""COMPUTED_VALUE"""),0)</f>
        <v>0</v>
      </c>
      <c r="AA268" s="25">
        <f ca="1">IFERROR(__xludf.DUMMYFUNCTION("""COMPUTED_VALUE"""),0)</f>
        <v>0</v>
      </c>
      <c r="AB268" s="25">
        <f ca="1">IFERROR(__xludf.DUMMYFUNCTION("""COMPUTED_VALUE"""),0)</f>
        <v>0</v>
      </c>
      <c r="AC268" s="23">
        <f ca="1">IFERROR(__xludf.DUMMYFUNCTION("""COMPUTED_VALUE"""),0)</f>
        <v>0</v>
      </c>
      <c r="AD268" s="26"/>
      <c r="AE268" s="27"/>
    </row>
    <row r="269" spans="1:31" ht="23.1">
      <c r="A269" s="18" t="str">
        <f ca="1">IFERROR(__xludf.DUMMYFUNCTION("""COMPUTED_VALUE"""),"22SDSCE01022")</f>
        <v>22SDSCE01022</v>
      </c>
      <c r="B269" s="19" t="str">
        <f ca="1">IFERROR(__xludf.DUMMYFUNCTION("""COMPUTED_VALUE"""),"BORAD KHUSH ATULBHAI")</f>
        <v>BORAD KHUSH ATULBHAI</v>
      </c>
      <c r="C269" s="18" t="str">
        <f ca="1">IFERROR(__xludf.DUMMYFUNCTION("""COMPUTED_VALUE"""),"SDS")</f>
        <v>SDS</v>
      </c>
      <c r="D269" s="18" t="str">
        <f ca="1">IFERROR(__xludf.DUMMYFUNCTION("""COMPUTED_VALUE"""),"DCE")</f>
        <v>DCE</v>
      </c>
      <c r="E269" s="25">
        <f ca="1">IFERROR(__xludf.DUMMYFUNCTION("""COMPUTED_VALUE"""),4)</f>
        <v>4</v>
      </c>
      <c r="F269" s="18" t="str">
        <f ca="1">IFERROR(__xludf.DUMMYFUNCTION("""COMPUTED_VALUE"""),"9328055146 9714861612")</f>
        <v>9328055146 9714861612</v>
      </c>
      <c r="G269" s="18" t="str">
        <f ca="1">IFERROR(__xludf.DUMMYFUNCTION("""COMPUTED_VALUE"""),"9328055146 9714861612")</f>
        <v>9328055146 9714861612</v>
      </c>
      <c r="H269" s="6" t="str">
        <f ca="1">IFERROR(__xludf.DUMMYFUNCTION("""COMPUTED_VALUE"""),"DCE_2022-25")</f>
        <v>DCE_2022-25</v>
      </c>
      <c r="I269" s="20" t="str">
        <f ca="1">IFERROR(__xludf.DUMMYFUNCTION("""COMPUTED_VALUE"""),"KSP")</f>
        <v>KSP</v>
      </c>
      <c r="J269" s="21">
        <f ca="1">IFERROR(__xludf.DUMMYFUNCTION("""COMPUTED_VALUE"""),25000)</f>
        <v>25000</v>
      </c>
      <c r="K269" s="21">
        <f ca="1">IFERROR(__xludf.DUMMYFUNCTION("""COMPUTED_VALUE"""),12500)</f>
        <v>12500</v>
      </c>
      <c r="L269" s="21">
        <f ca="1">IFERROR(__xludf.DUMMYFUNCTION("""COMPUTED_VALUE"""),0)</f>
        <v>0</v>
      </c>
      <c r="M269" s="23">
        <f ca="1">IFERROR(__xludf.DUMMYFUNCTION("""COMPUTED_VALUE"""),12500)</f>
        <v>12500</v>
      </c>
      <c r="N269" s="21">
        <f ca="1">IFERROR(__xludf.DUMMYFUNCTION("""COMPUTED_VALUE"""),0)</f>
        <v>0</v>
      </c>
      <c r="O269" s="21">
        <f ca="1">IFERROR(__xludf.DUMMYFUNCTION("""COMPUTED_VALUE"""),3000)</f>
        <v>3000</v>
      </c>
      <c r="P269" s="21">
        <f ca="1">IFERROR(__xludf.DUMMYFUNCTION("""COMPUTED_VALUE"""),3000)</f>
        <v>3000</v>
      </c>
      <c r="Q269" s="23">
        <f ca="1">IFERROR(__xludf.DUMMYFUNCTION("""COMPUTED_VALUE"""),0)</f>
        <v>0</v>
      </c>
      <c r="R269" s="24">
        <f ca="1">IFERROR(__xludf.DUMMYFUNCTION("""COMPUTED_VALUE"""),0)</f>
        <v>0</v>
      </c>
      <c r="S269" s="23">
        <f ca="1">IFERROR(__xludf.DUMMYFUNCTION("""COMPUTED_VALUE"""),0)</f>
        <v>0</v>
      </c>
      <c r="T269" s="24">
        <f ca="1">IFERROR(__xludf.DUMMYFUNCTION("""COMPUTED_VALUE"""),0)</f>
        <v>0</v>
      </c>
      <c r="U269" s="23">
        <f ca="1">IFERROR(__xludf.DUMMYFUNCTION("""COMPUTED_VALUE"""),0)</f>
        <v>0</v>
      </c>
      <c r="V269" s="23">
        <f ca="1">IFERROR(__xludf.DUMMYFUNCTION("""COMPUTED_VALUE"""),0)</f>
        <v>0</v>
      </c>
      <c r="W269" s="23">
        <f ca="1">IFERROR(__xludf.DUMMYFUNCTION("""COMPUTED_VALUE"""),0)</f>
        <v>0</v>
      </c>
      <c r="X269" s="23">
        <f ca="1">IFERROR(__xludf.DUMMYFUNCTION("""COMPUTED_VALUE"""),0)</f>
        <v>0</v>
      </c>
      <c r="Y269" s="25">
        <f ca="1">IFERROR(__xludf.DUMMYFUNCTION("""COMPUTED_VALUE"""),0)</f>
        <v>0</v>
      </c>
      <c r="Z269" s="25">
        <f ca="1">IFERROR(__xludf.DUMMYFUNCTION("""COMPUTED_VALUE"""),0)</f>
        <v>0</v>
      </c>
      <c r="AA269" s="25">
        <f ca="1">IFERROR(__xludf.DUMMYFUNCTION("""COMPUTED_VALUE"""),0)</f>
        <v>0</v>
      </c>
      <c r="AB269" s="25">
        <f ca="1">IFERROR(__xludf.DUMMYFUNCTION("""COMPUTED_VALUE"""),0)</f>
        <v>0</v>
      </c>
      <c r="AC269" s="23">
        <f ca="1">IFERROR(__xludf.DUMMYFUNCTION("""COMPUTED_VALUE"""),0)</f>
        <v>0</v>
      </c>
      <c r="AD269" s="26" t="str">
        <f ca="1">IFERROR(__xludf.DUMMYFUNCTION("""COMPUTED_VALUE"""),"KSPS(50%)
12500 every sem")</f>
        <v>KSPS(50%)
12500 every sem</v>
      </c>
      <c r="AE269" s="27"/>
    </row>
    <row r="270" spans="1:31" ht="23.1">
      <c r="A270" s="18" t="str">
        <f ca="1">IFERROR(__xludf.DUMMYFUNCTION("""COMPUTED_VALUE"""),"22SDSCE01023")</f>
        <v>22SDSCE01023</v>
      </c>
      <c r="B270" s="19" t="str">
        <f ca="1">IFERROR(__xludf.DUMMYFUNCTION("""COMPUTED_VALUE"""),"CHABHAD JAYRAJ ABHALBHAI")</f>
        <v>CHABHAD JAYRAJ ABHALBHAI</v>
      </c>
      <c r="C270" s="18" t="str">
        <f ca="1">IFERROR(__xludf.DUMMYFUNCTION("""COMPUTED_VALUE"""),"SDS")</f>
        <v>SDS</v>
      </c>
      <c r="D270" s="18" t="str">
        <f ca="1">IFERROR(__xludf.DUMMYFUNCTION("""COMPUTED_VALUE"""),"DCE")</f>
        <v>DCE</v>
      </c>
      <c r="E270" s="25">
        <f ca="1">IFERROR(__xludf.DUMMYFUNCTION("""COMPUTED_VALUE"""),4)</f>
        <v>4</v>
      </c>
      <c r="F270" s="18" t="str">
        <f ca="1">IFERROR(__xludf.DUMMYFUNCTION("""COMPUTED_VALUE"""),"8238474680 9662918958")</f>
        <v>8238474680 9662918958</v>
      </c>
      <c r="G270" s="18" t="str">
        <f ca="1">IFERROR(__xludf.DUMMYFUNCTION("""COMPUTED_VALUE"""),"8238474680 9662918958")</f>
        <v>8238474680 9662918958</v>
      </c>
      <c r="H270" s="6" t="str">
        <f ca="1">IFERROR(__xludf.DUMMYFUNCTION("""COMPUTED_VALUE"""),"DCE_2022-25")</f>
        <v>DCE_2022-25</v>
      </c>
      <c r="I270" s="20" t="str">
        <f ca="1">IFERROR(__xludf.DUMMYFUNCTION("""COMPUTED_VALUE"""),"KSP")</f>
        <v>KSP</v>
      </c>
      <c r="J270" s="21">
        <f ca="1">IFERROR(__xludf.DUMMYFUNCTION("""COMPUTED_VALUE"""),25000)</f>
        <v>25000</v>
      </c>
      <c r="K270" s="21">
        <f ca="1">IFERROR(__xludf.DUMMYFUNCTION("""COMPUTED_VALUE"""),12500)</f>
        <v>12500</v>
      </c>
      <c r="L270" s="21">
        <f ca="1">IFERROR(__xludf.DUMMYFUNCTION("""COMPUTED_VALUE"""),0)</f>
        <v>0</v>
      </c>
      <c r="M270" s="23">
        <f ca="1">IFERROR(__xludf.DUMMYFUNCTION("""COMPUTED_VALUE"""),12500)</f>
        <v>12500</v>
      </c>
      <c r="N270" s="21">
        <f ca="1">IFERROR(__xludf.DUMMYFUNCTION("""COMPUTED_VALUE"""),0)</f>
        <v>0</v>
      </c>
      <c r="O270" s="21">
        <f ca="1">IFERROR(__xludf.DUMMYFUNCTION("""COMPUTED_VALUE"""),3000)</f>
        <v>3000</v>
      </c>
      <c r="P270" s="21">
        <f ca="1">IFERROR(__xludf.DUMMYFUNCTION("""COMPUTED_VALUE"""),3000)</f>
        <v>3000</v>
      </c>
      <c r="Q270" s="23">
        <f ca="1">IFERROR(__xludf.DUMMYFUNCTION("""COMPUTED_VALUE"""),0)</f>
        <v>0</v>
      </c>
      <c r="R270" s="24">
        <f ca="1">IFERROR(__xludf.DUMMYFUNCTION("""COMPUTED_VALUE"""),0)</f>
        <v>0</v>
      </c>
      <c r="S270" s="23">
        <f ca="1">IFERROR(__xludf.DUMMYFUNCTION("""COMPUTED_VALUE"""),0)</f>
        <v>0</v>
      </c>
      <c r="T270" s="24">
        <f ca="1">IFERROR(__xludf.DUMMYFUNCTION("""COMPUTED_VALUE"""),0)</f>
        <v>0</v>
      </c>
      <c r="U270" s="23">
        <f ca="1">IFERROR(__xludf.DUMMYFUNCTION("""COMPUTED_VALUE"""),0)</f>
        <v>0</v>
      </c>
      <c r="V270" s="23">
        <f ca="1">IFERROR(__xludf.DUMMYFUNCTION("""COMPUTED_VALUE"""),0)</f>
        <v>0</v>
      </c>
      <c r="W270" s="23">
        <f ca="1">IFERROR(__xludf.DUMMYFUNCTION("""COMPUTED_VALUE"""),0)</f>
        <v>0</v>
      </c>
      <c r="X270" s="23">
        <f ca="1">IFERROR(__xludf.DUMMYFUNCTION("""COMPUTED_VALUE"""),0)</f>
        <v>0</v>
      </c>
      <c r="Y270" s="25">
        <f ca="1">IFERROR(__xludf.DUMMYFUNCTION("""COMPUTED_VALUE"""),0)</f>
        <v>0</v>
      </c>
      <c r="Z270" s="25">
        <f ca="1">IFERROR(__xludf.DUMMYFUNCTION("""COMPUTED_VALUE"""),0)</f>
        <v>0</v>
      </c>
      <c r="AA270" s="25">
        <f ca="1">IFERROR(__xludf.DUMMYFUNCTION("""COMPUTED_VALUE"""),0)</f>
        <v>0</v>
      </c>
      <c r="AB270" s="25">
        <f ca="1">IFERROR(__xludf.DUMMYFUNCTION("""COMPUTED_VALUE"""),0)</f>
        <v>0</v>
      </c>
      <c r="AC270" s="23">
        <f ca="1">IFERROR(__xludf.DUMMYFUNCTION("""COMPUTED_VALUE"""),0)</f>
        <v>0</v>
      </c>
      <c r="AD270" s="26" t="str">
        <f ca="1">IFERROR(__xludf.DUMMYFUNCTION("""COMPUTED_VALUE"""),"KSPS(50%)
12500 every sem")</f>
        <v>KSPS(50%)
12500 every sem</v>
      </c>
      <c r="AE270" s="27"/>
    </row>
    <row r="271" spans="1:31" ht="28.55">
      <c r="A271" s="18" t="str">
        <f ca="1">IFERROR(__xludf.DUMMYFUNCTION("""COMPUTED_VALUE"""),"22SDSCE01024")</f>
        <v>22SDSCE01024</v>
      </c>
      <c r="B271" s="19" t="str">
        <f ca="1">IFERROR(__xludf.DUMMYFUNCTION("""COMPUTED_VALUE"""),"CHABHADIYA HARDI DHARMENDRABHAI")</f>
        <v>CHABHADIYA HARDI DHARMENDRABHAI</v>
      </c>
      <c r="C271" s="18" t="str">
        <f ca="1">IFERROR(__xludf.DUMMYFUNCTION("""COMPUTED_VALUE"""),"SDS")</f>
        <v>SDS</v>
      </c>
      <c r="D271" s="18" t="str">
        <f ca="1">IFERROR(__xludf.DUMMYFUNCTION("""COMPUTED_VALUE"""),"DCE")</f>
        <v>DCE</v>
      </c>
      <c r="E271" s="25">
        <f ca="1">IFERROR(__xludf.DUMMYFUNCTION("""COMPUTED_VALUE"""),4)</f>
        <v>4</v>
      </c>
      <c r="F271" s="20" t="str">
        <f ca="1">IFERROR(__xludf.DUMMYFUNCTION("""COMPUTED_VALUE"""),"9601618904 9998623709")</f>
        <v>9601618904 9998623709</v>
      </c>
      <c r="G271" s="20" t="str">
        <f ca="1">IFERROR(__xludf.DUMMYFUNCTION("""COMPUTED_VALUE"""),"9601618904 9998623709")</f>
        <v>9601618904 9998623709</v>
      </c>
      <c r="H271" s="6" t="str">
        <f ca="1">IFERROR(__xludf.DUMMYFUNCTION("""COMPUTED_VALUE"""),"DCE_2022-25")</f>
        <v>DCE_2022-25</v>
      </c>
      <c r="I271" s="20" t="str">
        <f ca="1">IFERROR(__xludf.DUMMYFUNCTION("""COMPUTED_VALUE"""),"MYSY")</f>
        <v>MYSY</v>
      </c>
      <c r="J271" s="21">
        <f ca="1">IFERROR(__xludf.DUMMYFUNCTION("""COMPUTED_VALUE"""),25000)</f>
        <v>25000</v>
      </c>
      <c r="K271" s="21">
        <f ca="1">IFERROR(__xludf.DUMMYFUNCTION("""COMPUTED_VALUE"""),0)</f>
        <v>0</v>
      </c>
      <c r="L271" s="21">
        <f ca="1">IFERROR(__xludf.DUMMYFUNCTION("""COMPUTED_VALUE"""),0)</f>
        <v>0</v>
      </c>
      <c r="M271" s="23">
        <f ca="1">IFERROR(__xludf.DUMMYFUNCTION("""COMPUTED_VALUE"""),0)</f>
        <v>0</v>
      </c>
      <c r="N271" s="21">
        <f ca="1">IFERROR(__xludf.DUMMYFUNCTION("""COMPUTED_VALUE"""),25000)</f>
        <v>25000</v>
      </c>
      <c r="O271" s="21">
        <f ca="1">IFERROR(__xludf.DUMMYFUNCTION("""COMPUTED_VALUE"""),3000)</f>
        <v>3000</v>
      </c>
      <c r="P271" s="21">
        <f ca="1">IFERROR(__xludf.DUMMYFUNCTION("""COMPUTED_VALUE"""),3000)</f>
        <v>3000</v>
      </c>
      <c r="Q271" s="23">
        <f ca="1">IFERROR(__xludf.DUMMYFUNCTION("""COMPUTED_VALUE"""),0)</f>
        <v>0</v>
      </c>
      <c r="R271" s="24">
        <f ca="1">IFERROR(__xludf.DUMMYFUNCTION("""COMPUTED_VALUE"""),0)</f>
        <v>0</v>
      </c>
      <c r="S271" s="23">
        <f ca="1">IFERROR(__xludf.DUMMYFUNCTION("""COMPUTED_VALUE"""),0)</f>
        <v>0</v>
      </c>
      <c r="T271" s="24">
        <f ca="1">IFERROR(__xludf.DUMMYFUNCTION("""COMPUTED_VALUE"""),0)</f>
        <v>0</v>
      </c>
      <c r="U271" s="23">
        <f ca="1">IFERROR(__xludf.DUMMYFUNCTION("""COMPUTED_VALUE"""),0)</f>
        <v>0</v>
      </c>
      <c r="V271" s="23">
        <f ca="1">IFERROR(__xludf.DUMMYFUNCTION("""COMPUTED_VALUE"""),0)</f>
        <v>0</v>
      </c>
      <c r="W271" s="23">
        <f ca="1">IFERROR(__xludf.DUMMYFUNCTION("""COMPUTED_VALUE"""),0)</f>
        <v>0</v>
      </c>
      <c r="X271" s="23">
        <f ca="1">IFERROR(__xludf.DUMMYFUNCTION("""COMPUTED_VALUE"""),0)</f>
        <v>0</v>
      </c>
      <c r="Y271" s="25">
        <f ca="1">IFERROR(__xludf.DUMMYFUNCTION("""COMPUTED_VALUE"""),0)</f>
        <v>0</v>
      </c>
      <c r="Z271" s="25">
        <f ca="1">IFERROR(__xludf.DUMMYFUNCTION("""COMPUTED_VALUE"""),0)</f>
        <v>0</v>
      </c>
      <c r="AA271" s="25">
        <f ca="1">IFERROR(__xludf.DUMMYFUNCTION("""COMPUTED_VALUE"""),0)</f>
        <v>0</v>
      </c>
      <c r="AB271" s="25">
        <f ca="1">IFERROR(__xludf.DUMMYFUNCTION("""COMPUTED_VALUE"""),0)</f>
        <v>0</v>
      </c>
      <c r="AC271" s="23">
        <f ca="1">IFERROR(__xludf.DUMMYFUNCTION("""COMPUTED_VALUE"""),0)</f>
        <v>0</v>
      </c>
      <c r="AD271" s="26" t="str">
        <f ca="1">IFERROR(__xludf.DUMMYFUNCTION("""COMPUTED_VALUE""")," KSPS(50%) + MYSY(50%) ")</f>
        <v xml:space="preserve"> KSPS(50%) + MYSY(50%) </v>
      </c>
      <c r="AE271" s="27"/>
    </row>
    <row r="272" spans="1:31" ht="28.55">
      <c r="A272" s="18" t="str">
        <f ca="1">IFERROR(__xludf.DUMMYFUNCTION("""COMPUTED_VALUE"""),"22SDSCE01025")</f>
        <v>22SDSCE01025</v>
      </c>
      <c r="B272" s="19" t="str">
        <f ca="1">IFERROR(__xludf.DUMMYFUNCTION("""COMPUTED_VALUE"""),"CHANDPA MITUL KISHORBHAI")</f>
        <v>CHANDPA MITUL KISHORBHAI</v>
      </c>
      <c r="C272" s="18" t="str">
        <f ca="1">IFERROR(__xludf.DUMMYFUNCTION("""COMPUTED_VALUE"""),"SDS")</f>
        <v>SDS</v>
      </c>
      <c r="D272" s="18" t="str">
        <f ca="1">IFERROR(__xludf.DUMMYFUNCTION("""COMPUTED_VALUE"""),"DCE")</f>
        <v>DCE</v>
      </c>
      <c r="E272" s="25">
        <f ca="1">IFERROR(__xludf.DUMMYFUNCTION("""COMPUTED_VALUE"""),4)</f>
        <v>4</v>
      </c>
      <c r="F272" s="18" t="str">
        <f ca="1">IFERROR(__xludf.DUMMYFUNCTION("""COMPUTED_VALUE"""),"9016165210 9106670719")</f>
        <v>9016165210 9106670719</v>
      </c>
      <c r="G272" s="18" t="str">
        <f ca="1">IFERROR(__xludf.DUMMYFUNCTION("""COMPUTED_VALUE"""),"9016165210 9106670719")</f>
        <v>9016165210 9106670719</v>
      </c>
      <c r="H272" s="6" t="str">
        <f ca="1">IFERROR(__xludf.DUMMYFUNCTION("""COMPUTED_VALUE"""),"DCE_2022-25")</f>
        <v>DCE_2022-25</v>
      </c>
      <c r="I272" s="20" t="str">
        <f ca="1">IFERROR(__xludf.DUMMYFUNCTION("""COMPUTED_VALUE"""),"FREESHIP CARD")</f>
        <v>FREESHIP CARD</v>
      </c>
      <c r="J272" s="21">
        <f ca="1">IFERROR(__xludf.DUMMYFUNCTION("""COMPUTED_VALUE"""),25000)</f>
        <v>25000</v>
      </c>
      <c r="K272" s="21">
        <f ca="1">IFERROR(__xludf.DUMMYFUNCTION("""COMPUTED_VALUE"""),0)</f>
        <v>0</v>
      </c>
      <c r="L272" s="21">
        <f ca="1">IFERROR(__xludf.DUMMYFUNCTION("""COMPUTED_VALUE"""),0)</f>
        <v>0</v>
      </c>
      <c r="M272" s="23">
        <f ca="1">IFERROR(__xludf.DUMMYFUNCTION("""COMPUTED_VALUE"""),0)</f>
        <v>0</v>
      </c>
      <c r="N272" s="21">
        <f ca="1">IFERROR(__xludf.DUMMYFUNCTION("""COMPUTED_VALUE"""),25000)</f>
        <v>25000</v>
      </c>
      <c r="O272" s="21">
        <f ca="1">IFERROR(__xludf.DUMMYFUNCTION("""COMPUTED_VALUE"""),3000)</f>
        <v>3000</v>
      </c>
      <c r="P272" s="21">
        <f ca="1">IFERROR(__xludf.DUMMYFUNCTION("""COMPUTED_VALUE"""),3000)</f>
        <v>3000</v>
      </c>
      <c r="Q272" s="23">
        <f ca="1">IFERROR(__xludf.DUMMYFUNCTION("""COMPUTED_VALUE"""),0)</f>
        <v>0</v>
      </c>
      <c r="R272" s="24">
        <f ca="1">IFERROR(__xludf.DUMMYFUNCTION("""COMPUTED_VALUE"""),0)</f>
        <v>0</v>
      </c>
      <c r="S272" s="23">
        <f ca="1">IFERROR(__xludf.DUMMYFUNCTION("""COMPUTED_VALUE"""),0)</f>
        <v>0</v>
      </c>
      <c r="T272" s="24">
        <f ca="1">IFERROR(__xludf.DUMMYFUNCTION("""COMPUTED_VALUE"""),0)</f>
        <v>0</v>
      </c>
      <c r="U272" s="23">
        <f ca="1">IFERROR(__xludf.DUMMYFUNCTION("""COMPUTED_VALUE"""),0)</f>
        <v>0</v>
      </c>
      <c r="V272" s="23">
        <f ca="1">IFERROR(__xludf.DUMMYFUNCTION("""COMPUTED_VALUE"""),0)</f>
        <v>0</v>
      </c>
      <c r="W272" s="23">
        <f ca="1">IFERROR(__xludf.DUMMYFUNCTION("""COMPUTED_VALUE"""),0)</f>
        <v>0</v>
      </c>
      <c r="X272" s="23">
        <f ca="1">IFERROR(__xludf.DUMMYFUNCTION("""COMPUTED_VALUE"""),0)</f>
        <v>0</v>
      </c>
      <c r="Y272" s="25">
        <f ca="1">IFERROR(__xludf.DUMMYFUNCTION("""COMPUTED_VALUE"""),0)</f>
        <v>0</v>
      </c>
      <c r="Z272" s="25">
        <f ca="1">IFERROR(__xludf.DUMMYFUNCTION("""COMPUTED_VALUE"""),0)</f>
        <v>0</v>
      </c>
      <c r="AA272" s="25">
        <f ca="1">IFERROR(__xludf.DUMMYFUNCTION("""COMPUTED_VALUE"""),0)</f>
        <v>0</v>
      </c>
      <c r="AB272" s="25">
        <f ca="1">IFERROR(__xludf.DUMMYFUNCTION("""COMPUTED_VALUE"""),0)</f>
        <v>0</v>
      </c>
      <c r="AC272" s="23">
        <f ca="1">IFERROR(__xludf.DUMMYFUNCTION("""COMPUTED_VALUE"""),0)</f>
        <v>0</v>
      </c>
      <c r="AD272" s="26" t="str">
        <f ca="1">IFERROR(__xludf.DUMMYFUNCTION("""COMPUTED_VALUE"""),"FREESHIP CARD")</f>
        <v>FREESHIP CARD</v>
      </c>
      <c r="AE272" s="27"/>
    </row>
    <row r="273" spans="1:31" ht="14.3">
      <c r="A273" s="18" t="str">
        <f ca="1">IFERROR(__xludf.DUMMYFUNCTION("""COMPUTED_VALUE"""),"22SDSCE01026")</f>
        <v>22SDSCE01026</v>
      </c>
      <c r="B273" s="19" t="str">
        <f ca="1">IFERROR(__xludf.DUMMYFUNCTION("""COMPUTED_VALUE"""),"DHYEY CHANGELA")</f>
        <v>DHYEY CHANGELA</v>
      </c>
      <c r="C273" s="18" t="str">
        <f ca="1">IFERROR(__xludf.DUMMYFUNCTION("""COMPUTED_VALUE"""),"SDS")</f>
        <v>SDS</v>
      </c>
      <c r="D273" s="18" t="str">
        <f ca="1">IFERROR(__xludf.DUMMYFUNCTION("""COMPUTED_VALUE"""),"DCE")</f>
        <v>DCE</v>
      </c>
      <c r="E273" s="25">
        <f ca="1">IFERROR(__xludf.DUMMYFUNCTION("""COMPUTED_VALUE"""),4)</f>
        <v>4</v>
      </c>
      <c r="F273" s="18" t="str">
        <f ca="1">IFERROR(__xludf.DUMMYFUNCTION("""COMPUTED_VALUE"""),"9664797482 9825432092")</f>
        <v>9664797482 9825432092</v>
      </c>
      <c r="G273" s="18" t="str">
        <f ca="1">IFERROR(__xludf.DUMMYFUNCTION("""COMPUTED_VALUE"""),"9664797482 9825432092")</f>
        <v>9664797482 9825432092</v>
      </c>
      <c r="H273" s="6" t="str">
        <f ca="1">IFERROR(__xludf.DUMMYFUNCTION("""COMPUTED_VALUE"""),"DCE_2022-25")</f>
        <v>DCE_2022-25</v>
      </c>
      <c r="I273" s="20"/>
      <c r="J273" s="21">
        <f ca="1">IFERROR(__xludf.DUMMYFUNCTION("""COMPUTED_VALUE"""),25000)</f>
        <v>25000</v>
      </c>
      <c r="K273" s="21">
        <f ca="1">IFERROR(__xludf.DUMMYFUNCTION("""COMPUTED_VALUE"""),25000)</f>
        <v>25000</v>
      </c>
      <c r="L273" s="21">
        <f ca="1">IFERROR(__xludf.DUMMYFUNCTION("""COMPUTED_VALUE"""),0)</f>
        <v>0</v>
      </c>
      <c r="M273" s="23">
        <f ca="1">IFERROR(__xludf.DUMMYFUNCTION("""COMPUTED_VALUE"""),0)</f>
        <v>0</v>
      </c>
      <c r="N273" s="21">
        <f ca="1">IFERROR(__xludf.DUMMYFUNCTION("""COMPUTED_VALUE"""),0)</f>
        <v>0</v>
      </c>
      <c r="O273" s="21">
        <f ca="1">IFERROR(__xludf.DUMMYFUNCTION("""COMPUTED_VALUE"""),3000)</f>
        <v>3000</v>
      </c>
      <c r="P273" s="21">
        <f ca="1">IFERROR(__xludf.DUMMYFUNCTION("""COMPUTED_VALUE"""),3000)</f>
        <v>3000</v>
      </c>
      <c r="Q273" s="23">
        <f ca="1">IFERROR(__xludf.DUMMYFUNCTION("""COMPUTED_VALUE"""),0)</f>
        <v>0</v>
      </c>
      <c r="R273" s="24">
        <f ca="1">IFERROR(__xludf.DUMMYFUNCTION("""COMPUTED_VALUE"""),0)</f>
        <v>0</v>
      </c>
      <c r="S273" s="23">
        <f ca="1">IFERROR(__xludf.DUMMYFUNCTION("""COMPUTED_VALUE"""),0)</f>
        <v>0</v>
      </c>
      <c r="T273" s="24">
        <f ca="1">IFERROR(__xludf.DUMMYFUNCTION("""COMPUTED_VALUE"""),0)</f>
        <v>0</v>
      </c>
      <c r="U273" s="23">
        <f ca="1">IFERROR(__xludf.DUMMYFUNCTION("""COMPUTED_VALUE"""),0)</f>
        <v>0</v>
      </c>
      <c r="V273" s="23">
        <f ca="1">IFERROR(__xludf.DUMMYFUNCTION("""COMPUTED_VALUE"""),0)</f>
        <v>0</v>
      </c>
      <c r="W273" s="23">
        <f ca="1">IFERROR(__xludf.DUMMYFUNCTION("""COMPUTED_VALUE"""),0)</f>
        <v>0</v>
      </c>
      <c r="X273" s="23">
        <f ca="1">IFERROR(__xludf.DUMMYFUNCTION("""COMPUTED_VALUE"""),0)</f>
        <v>0</v>
      </c>
      <c r="Y273" s="25">
        <f ca="1">IFERROR(__xludf.DUMMYFUNCTION("""COMPUTED_VALUE"""),0)</f>
        <v>0</v>
      </c>
      <c r="Z273" s="25">
        <f ca="1">IFERROR(__xludf.DUMMYFUNCTION("""COMPUTED_VALUE"""),0)</f>
        <v>0</v>
      </c>
      <c r="AA273" s="25">
        <f ca="1">IFERROR(__xludf.DUMMYFUNCTION("""COMPUTED_VALUE"""),0)</f>
        <v>0</v>
      </c>
      <c r="AB273" s="25">
        <f ca="1">IFERROR(__xludf.DUMMYFUNCTION("""COMPUTED_VALUE"""),0)</f>
        <v>0</v>
      </c>
      <c r="AC273" s="23">
        <f ca="1">IFERROR(__xludf.DUMMYFUNCTION("""COMPUTED_VALUE"""),0)</f>
        <v>0</v>
      </c>
      <c r="AD273" s="26"/>
      <c r="AE273" s="27"/>
    </row>
    <row r="274" spans="1:31" ht="14.3">
      <c r="A274" s="18" t="str">
        <f ca="1">IFERROR(__xludf.DUMMYFUNCTION("""COMPUTED_VALUE"""),"22SDSCE01028")</f>
        <v>22SDSCE01028</v>
      </c>
      <c r="B274" s="19" t="str">
        <f ca="1">IFERROR(__xludf.DUMMYFUNCTION("""COMPUTED_VALUE"""),"CHAUHAN MEET PARESHBHAI")</f>
        <v>CHAUHAN MEET PARESHBHAI</v>
      </c>
      <c r="C274" s="18" t="str">
        <f ca="1">IFERROR(__xludf.DUMMYFUNCTION("""COMPUTED_VALUE"""),"SDS")</f>
        <v>SDS</v>
      </c>
      <c r="D274" s="18" t="str">
        <f ca="1">IFERROR(__xludf.DUMMYFUNCTION("""COMPUTED_VALUE"""),"DCE")</f>
        <v>DCE</v>
      </c>
      <c r="E274" s="25">
        <f ca="1">IFERROR(__xludf.DUMMYFUNCTION("""COMPUTED_VALUE"""),4)</f>
        <v>4</v>
      </c>
      <c r="F274" s="18" t="str">
        <f ca="1">IFERROR(__xludf.DUMMYFUNCTION("""COMPUTED_VALUE"""),"8154066235 9825689072")</f>
        <v>8154066235 9825689072</v>
      </c>
      <c r="G274" s="18" t="str">
        <f ca="1">IFERROR(__xludf.DUMMYFUNCTION("""COMPUTED_VALUE"""),"8154066235 9825689072")</f>
        <v>8154066235 9825689072</v>
      </c>
      <c r="H274" s="6" t="str">
        <f ca="1">IFERROR(__xludf.DUMMYFUNCTION("""COMPUTED_VALUE"""),"DCE_2022-25")</f>
        <v>DCE_2022-25</v>
      </c>
      <c r="I274" s="20"/>
      <c r="J274" s="21">
        <f ca="1">IFERROR(__xludf.DUMMYFUNCTION("""COMPUTED_VALUE"""),25000)</f>
        <v>25000</v>
      </c>
      <c r="K274" s="21">
        <f ca="1">IFERROR(__xludf.DUMMYFUNCTION("""COMPUTED_VALUE"""),25000)</f>
        <v>25000</v>
      </c>
      <c r="L274" s="21">
        <f ca="1">IFERROR(__xludf.DUMMYFUNCTION("""COMPUTED_VALUE"""),0)</f>
        <v>0</v>
      </c>
      <c r="M274" s="23">
        <f ca="1">IFERROR(__xludf.DUMMYFUNCTION("""COMPUTED_VALUE"""),0)</f>
        <v>0</v>
      </c>
      <c r="N274" s="21">
        <f ca="1">IFERROR(__xludf.DUMMYFUNCTION("""COMPUTED_VALUE"""),0)</f>
        <v>0</v>
      </c>
      <c r="O274" s="21">
        <f ca="1">IFERROR(__xludf.DUMMYFUNCTION("""COMPUTED_VALUE"""),3000)</f>
        <v>3000</v>
      </c>
      <c r="P274" s="21">
        <f ca="1">IFERROR(__xludf.DUMMYFUNCTION("""COMPUTED_VALUE"""),3000)</f>
        <v>3000</v>
      </c>
      <c r="Q274" s="23">
        <f ca="1">IFERROR(__xludf.DUMMYFUNCTION("""COMPUTED_VALUE"""),0)</f>
        <v>0</v>
      </c>
      <c r="R274" s="24">
        <f ca="1">IFERROR(__xludf.DUMMYFUNCTION("""COMPUTED_VALUE"""),0)</f>
        <v>0</v>
      </c>
      <c r="S274" s="23">
        <f ca="1">IFERROR(__xludf.DUMMYFUNCTION("""COMPUTED_VALUE"""),0)</f>
        <v>0</v>
      </c>
      <c r="T274" s="24">
        <f ca="1">IFERROR(__xludf.DUMMYFUNCTION("""COMPUTED_VALUE"""),0)</f>
        <v>0</v>
      </c>
      <c r="U274" s="23">
        <f ca="1">IFERROR(__xludf.DUMMYFUNCTION("""COMPUTED_VALUE"""),0)</f>
        <v>0</v>
      </c>
      <c r="V274" s="23">
        <f ca="1">IFERROR(__xludf.DUMMYFUNCTION("""COMPUTED_VALUE"""),0)</f>
        <v>0</v>
      </c>
      <c r="W274" s="23">
        <f ca="1">IFERROR(__xludf.DUMMYFUNCTION("""COMPUTED_VALUE"""),0)</f>
        <v>0</v>
      </c>
      <c r="X274" s="23">
        <f ca="1">IFERROR(__xludf.DUMMYFUNCTION("""COMPUTED_VALUE"""),0)</f>
        <v>0</v>
      </c>
      <c r="Y274" s="25">
        <f ca="1">IFERROR(__xludf.DUMMYFUNCTION("""COMPUTED_VALUE"""),0)</f>
        <v>0</v>
      </c>
      <c r="Z274" s="25">
        <f ca="1">IFERROR(__xludf.DUMMYFUNCTION("""COMPUTED_VALUE"""),0)</f>
        <v>0</v>
      </c>
      <c r="AA274" s="25">
        <f ca="1">IFERROR(__xludf.DUMMYFUNCTION("""COMPUTED_VALUE"""),0)</f>
        <v>0</v>
      </c>
      <c r="AB274" s="25">
        <f ca="1">IFERROR(__xludf.DUMMYFUNCTION("""COMPUTED_VALUE"""),0)</f>
        <v>0</v>
      </c>
      <c r="AC274" s="23">
        <f ca="1">IFERROR(__xludf.DUMMYFUNCTION("""COMPUTED_VALUE"""),0)</f>
        <v>0</v>
      </c>
      <c r="AD274" s="26"/>
      <c r="AE274" s="27"/>
    </row>
    <row r="275" spans="1:31" ht="28.55">
      <c r="A275" s="18" t="str">
        <f ca="1">IFERROR(__xludf.DUMMYFUNCTION("""COMPUTED_VALUE"""),"22SDSCE01030")</f>
        <v>22SDSCE01030</v>
      </c>
      <c r="B275" s="19" t="str">
        <f ca="1">IFERROR(__xludf.DUMMYFUNCTION("""COMPUTED_VALUE"""),"CHAVDA MAYUR MANSUKHBHAI")</f>
        <v>CHAVDA MAYUR MANSUKHBHAI</v>
      </c>
      <c r="C275" s="18" t="str">
        <f ca="1">IFERROR(__xludf.DUMMYFUNCTION("""COMPUTED_VALUE"""),"SDS")</f>
        <v>SDS</v>
      </c>
      <c r="D275" s="18" t="str">
        <f ca="1">IFERROR(__xludf.DUMMYFUNCTION("""COMPUTED_VALUE"""),"DCE")</f>
        <v>DCE</v>
      </c>
      <c r="E275" s="25">
        <f ca="1">IFERROR(__xludf.DUMMYFUNCTION("""COMPUTED_VALUE"""),4)</f>
        <v>4</v>
      </c>
      <c r="F275" s="18" t="str">
        <f ca="1">IFERROR(__xludf.DUMMYFUNCTION("""COMPUTED_VALUE"""),"9904598373 9723645451")</f>
        <v>9904598373 9723645451</v>
      </c>
      <c r="G275" s="18" t="str">
        <f ca="1">IFERROR(__xludf.DUMMYFUNCTION("""COMPUTED_VALUE"""),"9904598373 9723645451")</f>
        <v>9904598373 9723645451</v>
      </c>
      <c r="H275" s="6" t="str">
        <f ca="1">IFERROR(__xludf.DUMMYFUNCTION("""COMPUTED_VALUE"""),"DCE_2022-25")</f>
        <v>DCE_2022-25</v>
      </c>
      <c r="I275" s="20" t="str">
        <f ca="1">IFERROR(__xludf.DUMMYFUNCTION("""COMPUTED_VALUE"""),"FREESHIP CARD")</f>
        <v>FREESHIP CARD</v>
      </c>
      <c r="J275" s="21">
        <f ca="1">IFERROR(__xludf.DUMMYFUNCTION("""COMPUTED_VALUE"""),25000)</f>
        <v>25000</v>
      </c>
      <c r="K275" s="21">
        <f ca="1">IFERROR(__xludf.DUMMYFUNCTION("""COMPUTED_VALUE"""),0)</f>
        <v>0</v>
      </c>
      <c r="L275" s="21">
        <f ca="1">IFERROR(__xludf.DUMMYFUNCTION("""COMPUTED_VALUE"""),0)</f>
        <v>0</v>
      </c>
      <c r="M275" s="23">
        <f ca="1">IFERROR(__xludf.DUMMYFUNCTION("""COMPUTED_VALUE"""),0)</f>
        <v>0</v>
      </c>
      <c r="N275" s="21">
        <f ca="1">IFERROR(__xludf.DUMMYFUNCTION("""COMPUTED_VALUE"""),25000)</f>
        <v>25000</v>
      </c>
      <c r="O275" s="21">
        <f ca="1">IFERROR(__xludf.DUMMYFUNCTION("""COMPUTED_VALUE"""),3000)</f>
        <v>3000</v>
      </c>
      <c r="P275" s="21">
        <f ca="1">IFERROR(__xludf.DUMMYFUNCTION("""COMPUTED_VALUE"""),3000)</f>
        <v>3000</v>
      </c>
      <c r="Q275" s="23">
        <f ca="1">IFERROR(__xludf.DUMMYFUNCTION("""COMPUTED_VALUE"""),0)</f>
        <v>0</v>
      </c>
      <c r="R275" s="24">
        <f ca="1">IFERROR(__xludf.DUMMYFUNCTION("""COMPUTED_VALUE"""),0)</f>
        <v>0</v>
      </c>
      <c r="S275" s="23">
        <f ca="1">IFERROR(__xludf.DUMMYFUNCTION("""COMPUTED_VALUE"""),0)</f>
        <v>0</v>
      </c>
      <c r="T275" s="24">
        <f ca="1">IFERROR(__xludf.DUMMYFUNCTION("""COMPUTED_VALUE"""),0)</f>
        <v>0</v>
      </c>
      <c r="U275" s="23">
        <f ca="1">IFERROR(__xludf.DUMMYFUNCTION("""COMPUTED_VALUE"""),0)</f>
        <v>0</v>
      </c>
      <c r="V275" s="23">
        <f ca="1">IFERROR(__xludf.DUMMYFUNCTION("""COMPUTED_VALUE"""),0)</f>
        <v>0</v>
      </c>
      <c r="W275" s="23">
        <f ca="1">IFERROR(__xludf.DUMMYFUNCTION("""COMPUTED_VALUE"""),0)</f>
        <v>0</v>
      </c>
      <c r="X275" s="23">
        <f ca="1">IFERROR(__xludf.DUMMYFUNCTION("""COMPUTED_VALUE"""),0)</f>
        <v>0</v>
      </c>
      <c r="Y275" s="25">
        <f ca="1">IFERROR(__xludf.DUMMYFUNCTION("""COMPUTED_VALUE"""),0)</f>
        <v>0</v>
      </c>
      <c r="Z275" s="25">
        <f ca="1">IFERROR(__xludf.DUMMYFUNCTION("""COMPUTED_VALUE"""),0)</f>
        <v>0</v>
      </c>
      <c r="AA275" s="25">
        <f ca="1">IFERROR(__xludf.DUMMYFUNCTION("""COMPUTED_VALUE"""),0)</f>
        <v>0</v>
      </c>
      <c r="AB275" s="25">
        <f ca="1">IFERROR(__xludf.DUMMYFUNCTION("""COMPUTED_VALUE"""),0)</f>
        <v>0</v>
      </c>
      <c r="AC275" s="23">
        <f ca="1">IFERROR(__xludf.DUMMYFUNCTION("""COMPUTED_VALUE"""),0)</f>
        <v>0</v>
      </c>
      <c r="AD275" s="26" t="str">
        <f ca="1">IFERROR(__xludf.DUMMYFUNCTION("""COMPUTED_VALUE"""),"FREESHIP CARD")</f>
        <v>FREESHIP CARD</v>
      </c>
      <c r="AE275" s="27"/>
    </row>
    <row r="276" spans="1:31" ht="14.3">
      <c r="A276" s="18" t="str">
        <f ca="1">IFERROR(__xludf.DUMMYFUNCTION("""COMPUTED_VALUE"""),"22SDSCE01031")</f>
        <v>22SDSCE01031</v>
      </c>
      <c r="B276" s="19" t="str">
        <f ca="1">IFERROR(__xludf.DUMMYFUNCTION("""COMPUTED_VALUE"""),"CHUDASAMA BHAVYKUMAR MAHESHBHAI")</f>
        <v>CHUDASAMA BHAVYKUMAR MAHESHBHAI</v>
      </c>
      <c r="C276" s="18" t="str">
        <f ca="1">IFERROR(__xludf.DUMMYFUNCTION("""COMPUTED_VALUE"""),"SDS")</f>
        <v>SDS</v>
      </c>
      <c r="D276" s="18" t="str">
        <f ca="1">IFERROR(__xludf.DUMMYFUNCTION("""COMPUTED_VALUE"""),"DCE")</f>
        <v>DCE</v>
      </c>
      <c r="E276" s="25">
        <f ca="1">IFERROR(__xludf.DUMMYFUNCTION("""COMPUTED_VALUE"""),4)</f>
        <v>4</v>
      </c>
      <c r="F276" s="18" t="str">
        <f ca="1">IFERROR(__xludf.DUMMYFUNCTION("""COMPUTED_VALUE"""),"9898595918
9898595918")</f>
        <v>9898595918
9898595918</v>
      </c>
      <c r="G276" s="18" t="str">
        <f ca="1">IFERROR(__xludf.DUMMYFUNCTION("""COMPUTED_VALUE"""),"9898595918
9898595918")</f>
        <v>9898595918
9898595918</v>
      </c>
      <c r="H276" s="6" t="str">
        <f ca="1">IFERROR(__xludf.DUMMYFUNCTION("""COMPUTED_VALUE"""),"DCE_2022-25")</f>
        <v>DCE_2022-25</v>
      </c>
      <c r="I276" s="20" t="str">
        <f ca="1">IFERROR(__xludf.DUMMYFUNCTION("""COMPUTED_VALUE"""),"MYSY")</f>
        <v>MYSY</v>
      </c>
      <c r="J276" s="21">
        <f ca="1">IFERROR(__xludf.DUMMYFUNCTION("""COMPUTED_VALUE"""),25000)</f>
        <v>25000</v>
      </c>
      <c r="K276" s="21">
        <f ca="1">IFERROR(__xludf.DUMMYFUNCTION("""COMPUTED_VALUE"""),0)</f>
        <v>0</v>
      </c>
      <c r="L276" s="21">
        <f ca="1">IFERROR(__xludf.DUMMYFUNCTION("""COMPUTED_VALUE"""),0)</f>
        <v>0</v>
      </c>
      <c r="M276" s="23">
        <f ca="1">IFERROR(__xludf.DUMMYFUNCTION("""COMPUTED_VALUE"""),0)</f>
        <v>0</v>
      </c>
      <c r="N276" s="21">
        <f ca="1">IFERROR(__xludf.DUMMYFUNCTION("""COMPUTED_VALUE"""),25000)</f>
        <v>25000</v>
      </c>
      <c r="O276" s="21">
        <f ca="1">IFERROR(__xludf.DUMMYFUNCTION("""COMPUTED_VALUE"""),3000)</f>
        <v>3000</v>
      </c>
      <c r="P276" s="21">
        <f ca="1">IFERROR(__xludf.DUMMYFUNCTION("""COMPUTED_VALUE"""),0)</f>
        <v>0</v>
      </c>
      <c r="Q276" s="23">
        <f ca="1">IFERROR(__xludf.DUMMYFUNCTION("""COMPUTED_VALUE"""),0)</f>
        <v>0</v>
      </c>
      <c r="R276" s="24">
        <f ca="1">IFERROR(__xludf.DUMMYFUNCTION("""COMPUTED_VALUE"""),0)</f>
        <v>0</v>
      </c>
      <c r="S276" s="23">
        <f ca="1">IFERROR(__xludf.DUMMYFUNCTION("""COMPUTED_VALUE"""),3000)</f>
        <v>3000</v>
      </c>
      <c r="T276" s="24">
        <f ca="1">IFERROR(__xludf.DUMMYFUNCTION("""COMPUTED_VALUE"""),0)</f>
        <v>0</v>
      </c>
      <c r="U276" s="23">
        <f ca="1">IFERROR(__xludf.DUMMYFUNCTION("""COMPUTED_VALUE"""),0)</f>
        <v>0</v>
      </c>
      <c r="V276" s="23">
        <f ca="1">IFERROR(__xludf.DUMMYFUNCTION("""COMPUTED_VALUE"""),0)</f>
        <v>0</v>
      </c>
      <c r="W276" s="23">
        <f ca="1">IFERROR(__xludf.DUMMYFUNCTION("""COMPUTED_VALUE"""),0)</f>
        <v>0</v>
      </c>
      <c r="X276" s="23">
        <f ca="1">IFERROR(__xludf.DUMMYFUNCTION("""COMPUTED_VALUE"""),0)</f>
        <v>0</v>
      </c>
      <c r="Y276" s="25">
        <f ca="1">IFERROR(__xludf.DUMMYFUNCTION("""COMPUTED_VALUE"""),0)</f>
        <v>0</v>
      </c>
      <c r="Z276" s="25">
        <f ca="1">IFERROR(__xludf.DUMMYFUNCTION("""COMPUTED_VALUE"""),0)</f>
        <v>0</v>
      </c>
      <c r="AA276" s="25">
        <f ca="1">IFERROR(__xludf.DUMMYFUNCTION("""COMPUTED_VALUE"""),0)</f>
        <v>0</v>
      </c>
      <c r="AB276" s="25">
        <f ca="1">IFERROR(__xludf.DUMMYFUNCTION("""COMPUTED_VALUE"""),0)</f>
        <v>0</v>
      </c>
      <c r="AC276" s="23">
        <f ca="1">IFERROR(__xludf.DUMMYFUNCTION("""COMPUTED_VALUE"""),0)</f>
        <v>0</v>
      </c>
      <c r="AD276" s="26" t="str">
        <f ca="1">IFERROR(__xludf.DUMMYFUNCTION("""COMPUTED_VALUE"""),"KSPS(25%) + MYSY(50%) ")</f>
        <v xml:space="preserve">KSPS(25%) + MYSY(50%) </v>
      </c>
      <c r="AE276" s="27"/>
    </row>
    <row r="277" spans="1:31" ht="14.3">
      <c r="A277" s="18" t="str">
        <f ca="1">IFERROR(__xludf.DUMMYFUNCTION("""COMPUTED_VALUE"""),"22SDSCE01032")</f>
        <v>22SDSCE01032</v>
      </c>
      <c r="B277" s="19" t="str">
        <f ca="1">IFERROR(__xludf.DUMMYFUNCTION("""COMPUTED_VALUE"""),"CHUDASAMA JEET PRAVINBHAI")</f>
        <v>CHUDASAMA JEET PRAVINBHAI</v>
      </c>
      <c r="C277" s="18" t="str">
        <f ca="1">IFERROR(__xludf.DUMMYFUNCTION("""COMPUTED_VALUE"""),"SDS")</f>
        <v>SDS</v>
      </c>
      <c r="D277" s="18" t="str">
        <f ca="1">IFERROR(__xludf.DUMMYFUNCTION("""COMPUTED_VALUE"""),"DCE")</f>
        <v>DCE</v>
      </c>
      <c r="E277" s="25">
        <f ca="1">IFERROR(__xludf.DUMMYFUNCTION("""COMPUTED_VALUE"""),4)</f>
        <v>4</v>
      </c>
      <c r="F277" s="18" t="str">
        <f ca="1">IFERROR(__xludf.DUMMYFUNCTION("""COMPUTED_VALUE"""),"9974717832 9825771514")</f>
        <v>9974717832 9825771514</v>
      </c>
      <c r="G277" s="18" t="str">
        <f ca="1">IFERROR(__xludf.DUMMYFUNCTION("""COMPUTED_VALUE"""),"9974717832 9825771514")</f>
        <v>9974717832 9825771514</v>
      </c>
      <c r="H277" s="6" t="str">
        <f ca="1">IFERROR(__xludf.DUMMYFUNCTION("""COMPUTED_VALUE"""),"DCE_2022-25")</f>
        <v>DCE_2022-25</v>
      </c>
      <c r="I277" s="20" t="str">
        <f ca="1">IFERROR(__xludf.DUMMYFUNCTION("""COMPUTED_VALUE"""),"MYSY")</f>
        <v>MYSY</v>
      </c>
      <c r="J277" s="21">
        <f ca="1">IFERROR(__xludf.DUMMYFUNCTION("""COMPUTED_VALUE"""),25000)</f>
        <v>25000</v>
      </c>
      <c r="K277" s="21">
        <f ca="1">IFERROR(__xludf.DUMMYFUNCTION("""COMPUTED_VALUE"""),0)</f>
        <v>0</v>
      </c>
      <c r="L277" s="21">
        <f ca="1">IFERROR(__xludf.DUMMYFUNCTION("""COMPUTED_VALUE"""),0)</f>
        <v>0</v>
      </c>
      <c r="M277" s="23">
        <f ca="1">IFERROR(__xludf.DUMMYFUNCTION("""COMPUTED_VALUE"""),0)</f>
        <v>0</v>
      </c>
      <c r="N277" s="21">
        <f ca="1">IFERROR(__xludf.DUMMYFUNCTION("""COMPUTED_VALUE"""),25000)</f>
        <v>25000</v>
      </c>
      <c r="O277" s="21">
        <f ca="1">IFERROR(__xludf.DUMMYFUNCTION("""COMPUTED_VALUE"""),3000)</f>
        <v>3000</v>
      </c>
      <c r="P277" s="21">
        <f ca="1">IFERROR(__xludf.DUMMYFUNCTION("""COMPUTED_VALUE"""),3000)</f>
        <v>3000</v>
      </c>
      <c r="Q277" s="23">
        <f ca="1">IFERROR(__xludf.DUMMYFUNCTION("""COMPUTED_VALUE"""),0)</f>
        <v>0</v>
      </c>
      <c r="R277" s="24">
        <f ca="1">IFERROR(__xludf.DUMMYFUNCTION("""COMPUTED_VALUE"""),0)</f>
        <v>0</v>
      </c>
      <c r="S277" s="23">
        <f ca="1">IFERROR(__xludf.DUMMYFUNCTION("""COMPUTED_VALUE"""),0)</f>
        <v>0</v>
      </c>
      <c r="T277" s="24">
        <f ca="1">IFERROR(__xludf.DUMMYFUNCTION("""COMPUTED_VALUE"""),0)</f>
        <v>0</v>
      </c>
      <c r="U277" s="23">
        <f ca="1">IFERROR(__xludf.DUMMYFUNCTION("""COMPUTED_VALUE"""),0)</f>
        <v>0</v>
      </c>
      <c r="V277" s="23">
        <f ca="1">IFERROR(__xludf.DUMMYFUNCTION("""COMPUTED_VALUE"""),0)</f>
        <v>0</v>
      </c>
      <c r="W277" s="23">
        <f ca="1">IFERROR(__xludf.DUMMYFUNCTION("""COMPUTED_VALUE"""),0)</f>
        <v>0</v>
      </c>
      <c r="X277" s="23">
        <f ca="1">IFERROR(__xludf.DUMMYFUNCTION("""COMPUTED_VALUE"""),0)</f>
        <v>0</v>
      </c>
      <c r="Y277" s="25">
        <f ca="1">IFERROR(__xludf.DUMMYFUNCTION("""COMPUTED_VALUE"""),0)</f>
        <v>0</v>
      </c>
      <c r="Z277" s="25">
        <f ca="1">IFERROR(__xludf.DUMMYFUNCTION("""COMPUTED_VALUE"""),0)</f>
        <v>0</v>
      </c>
      <c r="AA277" s="25">
        <f ca="1">IFERROR(__xludf.DUMMYFUNCTION("""COMPUTED_VALUE"""),0)</f>
        <v>0</v>
      </c>
      <c r="AB277" s="25">
        <f ca="1">IFERROR(__xludf.DUMMYFUNCTION("""COMPUTED_VALUE"""),0)</f>
        <v>0</v>
      </c>
      <c r="AC277" s="23">
        <f ca="1">IFERROR(__xludf.DUMMYFUNCTION("""COMPUTED_VALUE"""),0)</f>
        <v>0</v>
      </c>
      <c r="AD277" s="26" t="str">
        <f ca="1">IFERROR(__xludf.DUMMYFUNCTION("""COMPUTED_VALUE""")," KSPS(50%) + MYSY(50%) ")</f>
        <v xml:space="preserve"> KSPS(50%) + MYSY(50%) </v>
      </c>
      <c r="AE277" s="27"/>
    </row>
    <row r="278" spans="1:31" ht="14.3">
      <c r="A278" s="18" t="str">
        <f ca="1">IFERROR(__xludf.DUMMYFUNCTION("""COMPUTED_VALUE"""),"22SDSCE01033")</f>
        <v>22SDSCE01033</v>
      </c>
      <c r="B278" s="19" t="str">
        <f ca="1">IFERROR(__xludf.DUMMYFUNCTION("""COMPUTED_VALUE"""),"DADHANIA DHRUVI NITESHBHAI")</f>
        <v>DADHANIA DHRUVI NITESHBHAI</v>
      </c>
      <c r="C278" s="18" t="str">
        <f ca="1">IFERROR(__xludf.DUMMYFUNCTION("""COMPUTED_VALUE"""),"SDS")</f>
        <v>SDS</v>
      </c>
      <c r="D278" s="18" t="str">
        <f ca="1">IFERROR(__xludf.DUMMYFUNCTION("""COMPUTED_VALUE"""),"DCE")</f>
        <v>DCE</v>
      </c>
      <c r="E278" s="25">
        <f ca="1">IFERROR(__xludf.DUMMYFUNCTION("""COMPUTED_VALUE"""),4)</f>
        <v>4</v>
      </c>
      <c r="F278" s="18" t="str">
        <f ca="1">IFERROR(__xludf.DUMMYFUNCTION("""COMPUTED_VALUE"""),"9558230248")</f>
        <v>9558230248</v>
      </c>
      <c r="G278" s="18" t="str">
        <f ca="1">IFERROR(__xludf.DUMMYFUNCTION("""COMPUTED_VALUE"""),"9558230248")</f>
        <v>9558230248</v>
      </c>
      <c r="H278" s="6" t="str">
        <f ca="1">IFERROR(__xludf.DUMMYFUNCTION("""COMPUTED_VALUE"""),"DCE_2022-25")</f>
        <v>DCE_2022-25</v>
      </c>
      <c r="I278" s="20"/>
      <c r="J278" s="21">
        <f ca="1">IFERROR(__xludf.DUMMYFUNCTION("""COMPUTED_VALUE"""),25000)</f>
        <v>25000</v>
      </c>
      <c r="K278" s="21">
        <f ca="1">IFERROR(__xludf.DUMMYFUNCTION("""COMPUTED_VALUE"""),25000)</f>
        <v>25000</v>
      </c>
      <c r="L278" s="21">
        <f ca="1">IFERROR(__xludf.DUMMYFUNCTION("""COMPUTED_VALUE"""),0)</f>
        <v>0</v>
      </c>
      <c r="M278" s="23">
        <f ca="1">IFERROR(__xludf.DUMMYFUNCTION("""COMPUTED_VALUE"""),0)</f>
        <v>0</v>
      </c>
      <c r="N278" s="21">
        <f ca="1">IFERROR(__xludf.DUMMYFUNCTION("""COMPUTED_VALUE"""),0)</f>
        <v>0</v>
      </c>
      <c r="O278" s="21">
        <f ca="1">IFERROR(__xludf.DUMMYFUNCTION("""COMPUTED_VALUE"""),3000)</f>
        <v>3000</v>
      </c>
      <c r="P278" s="21">
        <f ca="1">IFERROR(__xludf.DUMMYFUNCTION("""COMPUTED_VALUE"""),3000)</f>
        <v>3000</v>
      </c>
      <c r="Q278" s="23">
        <f ca="1">IFERROR(__xludf.DUMMYFUNCTION("""COMPUTED_VALUE"""),0)</f>
        <v>0</v>
      </c>
      <c r="R278" s="24">
        <f ca="1">IFERROR(__xludf.DUMMYFUNCTION("""COMPUTED_VALUE"""),0)</f>
        <v>0</v>
      </c>
      <c r="S278" s="23">
        <f ca="1">IFERROR(__xludf.DUMMYFUNCTION("""COMPUTED_VALUE"""),0)</f>
        <v>0</v>
      </c>
      <c r="T278" s="24">
        <f ca="1">IFERROR(__xludf.DUMMYFUNCTION("""COMPUTED_VALUE"""),0)</f>
        <v>0</v>
      </c>
      <c r="U278" s="23">
        <f ca="1">IFERROR(__xludf.DUMMYFUNCTION("""COMPUTED_VALUE"""),0)</f>
        <v>0</v>
      </c>
      <c r="V278" s="23">
        <f ca="1">IFERROR(__xludf.DUMMYFUNCTION("""COMPUTED_VALUE"""),0)</f>
        <v>0</v>
      </c>
      <c r="W278" s="23">
        <f ca="1">IFERROR(__xludf.DUMMYFUNCTION("""COMPUTED_VALUE"""),0)</f>
        <v>0</v>
      </c>
      <c r="X278" s="23">
        <f ca="1">IFERROR(__xludf.DUMMYFUNCTION("""COMPUTED_VALUE"""),0)</f>
        <v>0</v>
      </c>
      <c r="Y278" s="25">
        <f ca="1">IFERROR(__xludf.DUMMYFUNCTION("""COMPUTED_VALUE"""),0)</f>
        <v>0</v>
      </c>
      <c r="Z278" s="25">
        <f ca="1">IFERROR(__xludf.DUMMYFUNCTION("""COMPUTED_VALUE"""),0)</f>
        <v>0</v>
      </c>
      <c r="AA278" s="25">
        <f ca="1">IFERROR(__xludf.DUMMYFUNCTION("""COMPUTED_VALUE"""),0)</f>
        <v>0</v>
      </c>
      <c r="AB278" s="25">
        <f ca="1">IFERROR(__xludf.DUMMYFUNCTION("""COMPUTED_VALUE"""),0)</f>
        <v>0</v>
      </c>
      <c r="AC278" s="23">
        <f ca="1">IFERROR(__xludf.DUMMYFUNCTION("""COMPUTED_VALUE"""),0)</f>
        <v>0</v>
      </c>
      <c r="AD278" s="26"/>
      <c r="AE278" s="27"/>
    </row>
    <row r="279" spans="1:31" ht="14.3">
      <c r="A279" s="18" t="str">
        <f ca="1">IFERROR(__xludf.DUMMYFUNCTION("""COMPUTED_VALUE"""),"22SDSCE01034")</f>
        <v>22SDSCE01034</v>
      </c>
      <c r="B279" s="19" t="str">
        <f ca="1">IFERROR(__xludf.DUMMYFUNCTION("""COMPUTED_VALUE"""),"DARJI GHANSHYAM JAGDISHBHAI")</f>
        <v>DARJI GHANSHYAM JAGDISHBHAI</v>
      </c>
      <c r="C279" s="18" t="str">
        <f ca="1">IFERROR(__xludf.DUMMYFUNCTION("""COMPUTED_VALUE"""),"SDS")</f>
        <v>SDS</v>
      </c>
      <c r="D279" s="18" t="str">
        <f ca="1">IFERROR(__xludf.DUMMYFUNCTION("""COMPUTED_VALUE"""),"DCE")</f>
        <v>DCE</v>
      </c>
      <c r="E279" s="25">
        <f ca="1">IFERROR(__xludf.DUMMYFUNCTION("""COMPUTED_VALUE"""),4)</f>
        <v>4</v>
      </c>
      <c r="F279" s="18" t="str">
        <f ca="1">IFERROR(__xludf.DUMMYFUNCTION("""COMPUTED_VALUE"""),"9099254823 7574031390")</f>
        <v>9099254823 7574031390</v>
      </c>
      <c r="G279" s="18" t="str">
        <f ca="1">IFERROR(__xludf.DUMMYFUNCTION("""COMPUTED_VALUE"""),"9099254823 7574031390")</f>
        <v>9099254823 7574031390</v>
      </c>
      <c r="H279" s="6" t="str">
        <f ca="1">IFERROR(__xludf.DUMMYFUNCTION("""COMPUTED_VALUE"""),"DCE_2022-25")</f>
        <v>DCE_2022-25</v>
      </c>
      <c r="I279" s="20" t="str">
        <f ca="1">IFERROR(__xludf.DUMMYFUNCTION("""COMPUTED_VALUE"""),"MYSY")</f>
        <v>MYSY</v>
      </c>
      <c r="J279" s="21">
        <f ca="1">IFERROR(__xludf.DUMMYFUNCTION("""COMPUTED_VALUE"""),25000)</f>
        <v>25000</v>
      </c>
      <c r="K279" s="21">
        <f ca="1">IFERROR(__xludf.DUMMYFUNCTION("""COMPUTED_VALUE"""),0)</f>
        <v>0</v>
      </c>
      <c r="L279" s="21">
        <f ca="1">IFERROR(__xludf.DUMMYFUNCTION("""COMPUTED_VALUE"""),0)</f>
        <v>0</v>
      </c>
      <c r="M279" s="23">
        <f ca="1">IFERROR(__xludf.DUMMYFUNCTION("""COMPUTED_VALUE"""),0)</f>
        <v>0</v>
      </c>
      <c r="N279" s="21">
        <f ca="1">IFERROR(__xludf.DUMMYFUNCTION("""COMPUTED_VALUE"""),25000)</f>
        <v>25000</v>
      </c>
      <c r="O279" s="21">
        <f ca="1">IFERROR(__xludf.DUMMYFUNCTION("""COMPUTED_VALUE"""),3000)</f>
        <v>3000</v>
      </c>
      <c r="P279" s="21">
        <f ca="1">IFERROR(__xludf.DUMMYFUNCTION("""COMPUTED_VALUE"""),0)</f>
        <v>0</v>
      </c>
      <c r="Q279" s="23">
        <f ca="1">IFERROR(__xludf.DUMMYFUNCTION("""COMPUTED_VALUE"""),0)</f>
        <v>0</v>
      </c>
      <c r="R279" s="24">
        <f ca="1">IFERROR(__xludf.DUMMYFUNCTION("""COMPUTED_VALUE"""),0)</f>
        <v>0</v>
      </c>
      <c r="S279" s="23">
        <f ca="1">IFERROR(__xludf.DUMMYFUNCTION("""COMPUTED_VALUE"""),3000)</f>
        <v>3000</v>
      </c>
      <c r="T279" s="24">
        <f ca="1">IFERROR(__xludf.DUMMYFUNCTION("""COMPUTED_VALUE"""),0)</f>
        <v>0</v>
      </c>
      <c r="U279" s="23">
        <f ca="1">IFERROR(__xludf.DUMMYFUNCTION("""COMPUTED_VALUE"""),0)</f>
        <v>0</v>
      </c>
      <c r="V279" s="23">
        <f ca="1">IFERROR(__xludf.DUMMYFUNCTION("""COMPUTED_VALUE"""),0)</f>
        <v>0</v>
      </c>
      <c r="W279" s="23">
        <f ca="1">IFERROR(__xludf.DUMMYFUNCTION("""COMPUTED_VALUE"""),0)</f>
        <v>0</v>
      </c>
      <c r="X279" s="23">
        <f ca="1">IFERROR(__xludf.DUMMYFUNCTION("""COMPUTED_VALUE"""),0)</f>
        <v>0</v>
      </c>
      <c r="Y279" s="25">
        <f ca="1">IFERROR(__xludf.DUMMYFUNCTION("""COMPUTED_VALUE"""),0)</f>
        <v>0</v>
      </c>
      <c r="Z279" s="25">
        <f ca="1">IFERROR(__xludf.DUMMYFUNCTION("""COMPUTED_VALUE"""),0)</f>
        <v>0</v>
      </c>
      <c r="AA279" s="25">
        <f ca="1">IFERROR(__xludf.DUMMYFUNCTION("""COMPUTED_VALUE"""),0)</f>
        <v>0</v>
      </c>
      <c r="AB279" s="25">
        <f ca="1">IFERROR(__xludf.DUMMYFUNCTION("""COMPUTED_VALUE"""),0)</f>
        <v>0</v>
      </c>
      <c r="AC279" s="23">
        <f ca="1">IFERROR(__xludf.DUMMYFUNCTION("""COMPUTED_VALUE"""),0)</f>
        <v>0</v>
      </c>
      <c r="AD279" s="26" t="str">
        <f ca="1">IFERROR(__xludf.DUMMYFUNCTION("""COMPUTED_VALUE"""),"KSPS(25%) + MYSY(50%) ")</f>
        <v xml:space="preserve">KSPS(25%) + MYSY(50%) </v>
      </c>
      <c r="AE279" s="27"/>
    </row>
    <row r="280" spans="1:31" ht="14.3">
      <c r="A280" s="18" t="str">
        <f ca="1">IFERROR(__xludf.DUMMYFUNCTION("""COMPUTED_VALUE"""),"22SDSCE01035")</f>
        <v>22SDSCE01035</v>
      </c>
      <c r="B280" s="19" t="str">
        <f ca="1">IFERROR(__xludf.DUMMYFUNCTION("""COMPUTED_VALUE"""),"DESAI DHARA DINESHBHAI")</f>
        <v>DESAI DHARA DINESHBHAI</v>
      </c>
      <c r="C280" s="18" t="str">
        <f ca="1">IFERROR(__xludf.DUMMYFUNCTION("""COMPUTED_VALUE"""),"SDS")</f>
        <v>SDS</v>
      </c>
      <c r="D280" s="18" t="str">
        <f ca="1">IFERROR(__xludf.DUMMYFUNCTION("""COMPUTED_VALUE"""),"DCE")</f>
        <v>DCE</v>
      </c>
      <c r="E280" s="25">
        <f ca="1">IFERROR(__xludf.DUMMYFUNCTION("""COMPUTED_VALUE"""),4)</f>
        <v>4</v>
      </c>
      <c r="F280" s="18" t="str">
        <f ca="1">IFERROR(__xludf.DUMMYFUNCTION("""COMPUTED_VALUE"""),"9081818535")</f>
        <v>9081818535</v>
      </c>
      <c r="G280" s="18" t="str">
        <f ca="1">IFERROR(__xludf.DUMMYFUNCTION("""COMPUTED_VALUE"""),"9081818535")</f>
        <v>9081818535</v>
      </c>
      <c r="H280" s="6" t="str">
        <f ca="1">IFERROR(__xludf.DUMMYFUNCTION("""COMPUTED_VALUE"""),"DCE_2022-25")</f>
        <v>DCE_2022-25</v>
      </c>
      <c r="I280" s="20" t="str">
        <f ca="1">IFERROR(__xludf.DUMMYFUNCTION("""COMPUTED_VALUE"""),"TFW")</f>
        <v>TFW</v>
      </c>
      <c r="J280" s="21">
        <f ca="1">IFERROR(__xludf.DUMMYFUNCTION("""COMPUTED_VALUE"""),25000)</f>
        <v>25000</v>
      </c>
      <c r="K280" s="21">
        <f ca="1">IFERROR(__xludf.DUMMYFUNCTION("""COMPUTED_VALUE"""),0)</f>
        <v>0</v>
      </c>
      <c r="L280" s="21">
        <f ca="1">IFERROR(__xludf.DUMMYFUNCTION("""COMPUTED_VALUE"""),0)</f>
        <v>0</v>
      </c>
      <c r="M280" s="23">
        <f ca="1">IFERROR(__xludf.DUMMYFUNCTION("""COMPUTED_VALUE"""),25000)</f>
        <v>25000</v>
      </c>
      <c r="N280" s="21">
        <f ca="1">IFERROR(__xludf.DUMMYFUNCTION("""COMPUTED_VALUE"""),0)</f>
        <v>0</v>
      </c>
      <c r="O280" s="21">
        <f ca="1">IFERROR(__xludf.DUMMYFUNCTION("""COMPUTED_VALUE"""),3000)</f>
        <v>3000</v>
      </c>
      <c r="P280" s="21">
        <f ca="1">IFERROR(__xludf.DUMMYFUNCTION("""COMPUTED_VALUE"""),3000)</f>
        <v>3000</v>
      </c>
      <c r="Q280" s="23">
        <f ca="1">IFERROR(__xludf.DUMMYFUNCTION("""COMPUTED_VALUE"""),0)</f>
        <v>0</v>
      </c>
      <c r="R280" s="24">
        <f ca="1">IFERROR(__xludf.DUMMYFUNCTION("""COMPUTED_VALUE"""),0)</f>
        <v>0</v>
      </c>
      <c r="S280" s="23">
        <f ca="1">IFERROR(__xludf.DUMMYFUNCTION("""COMPUTED_VALUE"""),0)</f>
        <v>0</v>
      </c>
      <c r="T280" s="24">
        <f ca="1">IFERROR(__xludf.DUMMYFUNCTION("""COMPUTED_VALUE"""),0)</f>
        <v>0</v>
      </c>
      <c r="U280" s="23">
        <f ca="1">IFERROR(__xludf.DUMMYFUNCTION("""COMPUTED_VALUE"""),0)</f>
        <v>0</v>
      </c>
      <c r="V280" s="23">
        <f ca="1">IFERROR(__xludf.DUMMYFUNCTION("""COMPUTED_VALUE"""),0)</f>
        <v>0</v>
      </c>
      <c r="W280" s="23">
        <f ca="1">IFERROR(__xludf.DUMMYFUNCTION("""COMPUTED_VALUE"""),0)</f>
        <v>0</v>
      </c>
      <c r="X280" s="23">
        <f ca="1">IFERROR(__xludf.DUMMYFUNCTION("""COMPUTED_VALUE"""),0)</f>
        <v>0</v>
      </c>
      <c r="Y280" s="25">
        <f ca="1">IFERROR(__xludf.DUMMYFUNCTION("""COMPUTED_VALUE"""),0)</f>
        <v>0</v>
      </c>
      <c r="Z280" s="25">
        <f ca="1">IFERROR(__xludf.DUMMYFUNCTION("""COMPUTED_VALUE"""),0)</f>
        <v>0</v>
      </c>
      <c r="AA280" s="25">
        <f ca="1">IFERROR(__xludf.DUMMYFUNCTION("""COMPUTED_VALUE"""),0)</f>
        <v>0</v>
      </c>
      <c r="AB280" s="25">
        <f ca="1">IFERROR(__xludf.DUMMYFUNCTION("""COMPUTED_VALUE"""),0)</f>
        <v>0</v>
      </c>
      <c r="AC280" s="23">
        <f ca="1">IFERROR(__xludf.DUMMYFUNCTION("""COMPUTED_VALUE"""),0)</f>
        <v>0</v>
      </c>
      <c r="AD280" s="26"/>
      <c r="AE280" s="27"/>
    </row>
    <row r="281" spans="1:31" ht="14.3">
      <c r="A281" s="18" t="str">
        <f ca="1">IFERROR(__xludf.DUMMYFUNCTION("""COMPUTED_VALUE"""),"22SDSCE01036")</f>
        <v>22SDSCE01036</v>
      </c>
      <c r="B281" s="19" t="str">
        <f ca="1">IFERROR(__xludf.DUMMYFUNCTION("""COMPUTED_VALUE"""),"DESAI SUJAL JAYESHBHAI")</f>
        <v>DESAI SUJAL JAYESHBHAI</v>
      </c>
      <c r="C281" s="18" t="str">
        <f ca="1">IFERROR(__xludf.DUMMYFUNCTION("""COMPUTED_VALUE"""),"SDS")</f>
        <v>SDS</v>
      </c>
      <c r="D281" s="18" t="str">
        <f ca="1">IFERROR(__xludf.DUMMYFUNCTION("""COMPUTED_VALUE"""),"DCE")</f>
        <v>DCE</v>
      </c>
      <c r="E281" s="25">
        <f ca="1">IFERROR(__xludf.DUMMYFUNCTION("""COMPUTED_VALUE"""),4)</f>
        <v>4</v>
      </c>
      <c r="F281" s="18" t="str">
        <f ca="1">IFERROR(__xludf.DUMMYFUNCTION("""COMPUTED_VALUE"""),"6353060649 9558137630")</f>
        <v>6353060649 9558137630</v>
      </c>
      <c r="G281" s="18" t="str">
        <f ca="1">IFERROR(__xludf.DUMMYFUNCTION("""COMPUTED_VALUE"""),"6353060649 9558137630")</f>
        <v>6353060649 9558137630</v>
      </c>
      <c r="H281" s="6" t="str">
        <f ca="1">IFERROR(__xludf.DUMMYFUNCTION("""COMPUTED_VALUE"""),"DCE_2022-25")</f>
        <v>DCE_2022-25</v>
      </c>
      <c r="I281" s="20"/>
      <c r="J281" s="21">
        <f ca="1">IFERROR(__xludf.DUMMYFUNCTION("""COMPUTED_VALUE"""),25000)</f>
        <v>25000</v>
      </c>
      <c r="K281" s="21">
        <f ca="1">IFERROR(__xludf.DUMMYFUNCTION("""COMPUTED_VALUE"""),25000)</f>
        <v>25000</v>
      </c>
      <c r="L281" s="21">
        <f ca="1">IFERROR(__xludf.DUMMYFUNCTION("""COMPUTED_VALUE"""),0)</f>
        <v>0</v>
      </c>
      <c r="M281" s="23">
        <f ca="1">IFERROR(__xludf.DUMMYFUNCTION("""COMPUTED_VALUE"""),0)</f>
        <v>0</v>
      </c>
      <c r="N281" s="21">
        <f ca="1">IFERROR(__xludf.DUMMYFUNCTION("""COMPUTED_VALUE"""),0)</f>
        <v>0</v>
      </c>
      <c r="O281" s="21">
        <f ca="1">IFERROR(__xludf.DUMMYFUNCTION("""COMPUTED_VALUE"""),3000)</f>
        <v>3000</v>
      </c>
      <c r="P281" s="21">
        <f ca="1">IFERROR(__xludf.DUMMYFUNCTION("""COMPUTED_VALUE"""),3000)</f>
        <v>3000</v>
      </c>
      <c r="Q281" s="23">
        <f ca="1">IFERROR(__xludf.DUMMYFUNCTION("""COMPUTED_VALUE"""),0)</f>
        <v>0</v>
      </c>
      <c r="R281" s="24">
        <f ca="1">IFERROR(__xludf.DUMMYFUNCTION("""COMPUTED_VALUE"""),0)</f>
        <v>0</v>
      </c>
      <c r="S281" s="23">
        <f ca="1">IFERROR(__xludf.DUMMYFUNCTION("""COMPUTED_VALUE"""),0)</f>
        <v>0</v>
      </c>
      <c r="T281" s="24">
        <f ca="1">IFERROR(__xludf.DUMMYFUNCTION("""COMPUTED_VALUE"""),0)</f>
        <v>0</v>
      </c>
      <c r="U281" s="23">
        <f ca="1">IFERROR(__xludf.DUMMYFUNCTION("""COMPUTED_VALUE"""),0)</f>
        <v>0</v>
      </c>
      <c r="V281" s="23">
        <f ca="1">IFERROR(__xludf.DUMMYFUNCTION("""COMPUTED_VALUE"""),0)</f>
        <v>0</v>
      </c>
      <c r="W281" s="23">
        <f ca="1">IFERROR(__xludf.DUMMYFUNCTION("""COMPUTED_VALUE"""),0)</f>
        <v>0</v>
      </c>
      <c r="X281" s="23">
        <f ca="1">IFERROR(__xludf.DUMMYFUNCTION("""COMPUTED_VALUE"""),0)</f>
        <v>0</v>
      </c>
      <c r="Y281" s="25">
        <f ca="1">IFERROR(__xludf.DUMMYFUNCTION("""COMPUTED_VALUE"""),0)</f>
        <v>0</v>
      </c>
      <c r="Z281" s="25">
        <f ca="1">IFERROR(__xludf.DUMMYFUNCTION("""COMPUTED_VALUE"""),0)</f>
        <v>0</v>
      </c>
      <c r="AA281" s="25">
        <f ca="1">IFERROR(__xludf.DUMMYFUNCTION("""COMPUTED_VALUE"""),0)</f>
        <v>0</v>
      </c>
      <c r="AB281" s="25">
        <f ca="1">IFERROR(__xludf.DUMMYFUNCTION("""COMPUTED_VALUE"""),0)</f>
        <v>0</v>
      </c>
      <c r="AC281" s="23">
        <f ca="1">IFERROR(__xludf.DUMMYFUNCTION("""COMPUTED_VALUE"""),0)</f>
        <v>0</v>
      </c>
      <c r="AD281" s="26"/>
      <c r="AE281" s="27"/>
    </row>
    <row r="282" spans="1:31" ht="14.3">
      <c r="A282" s="18" t="str">
        <f ca="1">IFERROR(__xludf.DUMMYFUNCTION("""COMPUTED_VALUE"""),"22SDSCE01037")</f>
        <v>22SDSCE01037</v>
      </c>
      <c r="B282" s="19" t="str">
        <f ca="1">IFERROR(__xludf.DUMMYFUNCTION("""COMPUTED_VALUE"""),"DETROJA RADHE SHAILESHBHAI")</f>
        <v>DETROJA RADHE SHAILESHBHAI</v>
      </c>
      <c r="C282" s="18" t="str">
        <f ca="1">IFERROR(__xludf.DUMMYFUNCTION("""COMPUTED_VALUE"""),"SDS")</f>
        <v>SDS</v>
      </c>
      <c r="D282" s="18" t="str">
        <f ca="1">IFERROR(__xludf.DUMMYFUNCTION("""COMPUTED_VALUE"""),"DCE")</f>
        <v>DCE</v>
      </c>
      <c r="E282" s="25">
        <f ca="1">IFERROR(__xludf.DUMMYFUNCTION("""COMPUTED_VALUE"""),4)</f>
        <v>4</v>
      </c>
      <c r="F282" s="6" t="str">
        <f ca="1">IFERROR(__xludf.DUMMYFUNCTION("""COMPUTED_VALUE"""),"9825478841
8780082615")</f>
        <v>9825478841
8780082615</v>
      </c>
      <c r="G282" s="6" t="str">
        <f ca="1">IFERROR(__xludf.DUMMYFUNCTION("""COMPUTED_VALUE"""),"9825478841
8780082615")</f>
        <v>9825478841
8780082615</v>
      </c>
      <c r="H282" s="6" t="str">
        <f ca="1">IFERROR(__xludf.DUMMYFUNCTION("""COMPUTED_VALUE"""),"DCE_2022-25")</f>
        <v>DCE_2022-25</v>
      </c>
      <c r="I282" s="20"/>
      <c r="J282" s="21">
        <f ca="1">IFERROR(__xludf.DUMMYFUNCTION("""COMPUTED_VALUE"""),25000)</f>
        <v>25000</v>
      </c>
      <c r="K282" s="21">
        <f ca="1">IFERROR(__xludf.DUMMYFUNCTION("""COMPUTED_VALUE"""),0)</f>
        <v>0</v>
      </c>
      <c r="L282" s="21">
        <f ca="1">IFERROR(__xludf.DUMMYFUNCTION("""COMPUTED_VALUE"""),0)</f>
        <v>0</v>
      </c>
      <c r="M282" s="23">
        <f ca="1">IFERROR(__xludf.DUMMYFUNCTION("""COMPUTED_VALUE"""),0)</f>
        <v>0</v>
      </c>
      <c r="N282" s="21">
        <f ca="1">IFERROR(__xludf.DUMMYFUNCTION("""COMPUTED_VALUE"""),25000)</f>
        <v>25000</v>
      </c>
      <c r="O282" s="21">
        <f ca="1">IFERROR(__xludf.DUMMYFUNCTION("""COMPUTED_VALUE"""),3000)</f>
        <v>3000</v>
      </c>
      <c r="P282" s="21">
        <f ca="1">IFERROR(__xludf.DUMMYFUNCTION("""COMPUTED_VALUE"""),0)</f>
        <v>0</v>
      </c>
      <c r="Q282" s="23">
        <f ca="1">IFERROR(__xludf.DUMMYFUNCTION("""COMPUTED_VALUE"""),0)</f>
        <v>0</v>
      </c>
      <c r="R282" s="24">
        <f ca="1">IFERROR(__xludf.DUMMYFUNCTION("""COMPUTED_VALUE"""),0)</f>
        <v>0</v>
      </c>
      <c r="S282" s="23">
        <f ca="1">IFERROR(__xludf.DUMMYFUNCTION("""COMPUTED_VALUE"""),3000)</f>
        <v>3000</v>
      </c>
      <c r="T282" s="24">
        <f ca="1">IFERROR(__xludf.DUMMYFUNCTION("""COMPUTED_VALUE"""),0)</f>
        <v>0</v>
      </c>
      <c r="U282" s="23">
        <f ca="1">IFERROR(__xludf.DUMMYFUNCTION("""COMPUTED_VALUE"""),0)</f>
        <v>0</v>
      </c>
      <c r="V282" s="23">
        <f ca="1">IFERROR(__xludf.DUMMYFUNCTION("""COMPUTED_VALUE"""),0)</f>
        <v>0</v>
      </c>
      <c r="W282" s="23">
        <f ca="1">IFERROR(__xludf.DUMMYFUNCTION("""COMPUTED_VALUE"""),0)</f>
        <v>0</v>
      </c>
      <c r="X282" s="23">
        <f ca="1">IFERROR(__xludf.DUMMYFUNCTION("""COMPUTED_VALUE"""),0)</f>
        <v>0</v>
      </c>
      <c r="Y282" s="25">
        <f ca="1">IFERROR(__xludf.DUMMYFUNCTION("""COMPUTED_VALUE"""),0)</f>
        <v>0</v>
      </c>
      <c r="Z282" s="25">
        <f ca="1">IFERROR(__xludf.DUMMYFUNCTION("""COMPUTED_VALUE"""),0)</f>
        <v>0</v>
      </c>
      <c r="AA282" s="25">
        <f ca="1">IFERROR(__xludf.DUMMYFUNCTION("""COMPUTED_VALUE"""),0)</f>
        <v>0</v>
      </c>
      <c r="AB282" s="25">
        <f ca="1">IFERROR(__xludf.DUMMYFUNCTION("""COMPUTED_VALUE"""),0)</f>
        <v>0</v>
      </c>
      <c r="AC282" s="23">
        <f ca="1">IFERROR(__xludf.DUMMYFUNCTION("""COMPUTED_VALUE"""),0)</f>
        <v>0</v>
      </c>
      <c r="AD282" s="26"/>
      <c r="AE282" s="27"/>
    </row>
    <row r="283" spans="1:31" ht="14.3">
      <c r="A283" s="18" t="str">
        <f ca="1">IFERROR(__xludf.DUMMYFUNCTION("""COMPUTED_VALUE"""),"22SDSCE01038")</f>
        <v>22SDSCE01038</v>
      </c>
      <c r="B283" s="19" t="str">
        <f ca="1">IFERROR(__xludf.DUMMYFUNCTION("""COMPUTED_VALUE"""),"DHAMELIYA NIRAV PRAVINBHAI")</f>
        <v>DHAMELIYA NIRAV PRAVINBHAI</v>
      </c>
      <c r="C283" s="18" t="str">
        <f ca="1">IFERROR(__xludf.DUMMYFUNCTION("""COMPUTED_VALUE"""),"SDS")</f>
        <v>SDS</v>
      </c>
      <c r="D283" s="18" t="str">
        <f ca="1">IFERROR(__xludf.DUMMYFUNCTION("""COMPUTED_VALUE"""),"DCE")</f>
        <v>DCE</v>
      </c>
      <c r="E283" s="25">
        <f ca="1">IFERROR(__xludf.DUMMYFUNCTION("""COMPUTED_VALUE"""),4)</f>
        <v>4</v>
      </c>
      <c r="F283" s="18" t="str">
        <f ca="1">IFERROR(__xludf.DUMMYFUNCTION("""COMPUTED_VALUE"""),"7567423069 7567112414")</f>
        <v>7567423069 7567112414</v>
      </c>
      <c r="G283" s="18" t="str">
        <f ca="1">IFERROR(__xludf.DUMMYFUNCTION("""COMPUTED_VALUE"""),"7567423069 7567112414")</f>
        <v>7567423069 7567112414</v>
      </c>
      <c r="H283" s="6" t="str">
        <f ca="1">IFERROR(__xludf.DUMMYFUNCTION("""COMPUTED_VALUE"""),"DCE_2022-25")</f>
        <v>DCE_2022-25</v>
      </c>
      <c r="I283" s="20" t="str">
        <f ca="1">IFERROR(__xludf.DUMMYFUNCTION("""COMPUTED_VALUE"""),"MYSY")</f>
        <v>MYSY</v>
      </c>
      <c r="J283" s="21">
        <f ca="1">IFERROR(__xludf.DUMMYFUNCTION("""COMPUTED_VALUE"""),25000)</f>
        <v>25000</v>
      </c>
      <c r="K283" s="21">
        <f ca="1">IFERROR(__xludf.DUMMYFUNCTION("""COMPUTED_VALUE"""),0)</f>
        <v>0</v>
      </c>
      <c r="L283" s="21">
        <f ca="1">IFERROR(__xludf.DUMMYFUNCTION("""COMPUTED_VALUE"""),0)</f>
        <v>0</v>
      </c>
      <c r="M283" s="23">
        <f ca="1">IFERROR(__xludf.DUMMYFUNCTION("""COMPUTED_VALUE"""),0)</f>
        <v>0</v>
      </c>
      <c r="N283" s="21">
        <f ca="1">IFERROR(__xludf.DUMMYFUNCTION("""COMPUTED_VALUE"""),25000)</f>
        <v>25000</v>
      </c>
      <c r="O283" s="21">
        <f ca="1">IFERROR(__xludf.DUMMYFUNCTION("""COMPUTED_VALUE"""),3000)</f>
        <v>3000</v>
      </c>
      <c r="P283" s="21">
        <f ca="1">IFERROR(__xludf.DUMMYFUNCTION("""COMPUTED_VALUE"""),3000)</f>
        <v>3000</v>
      </c>
      <c r="Q283" s="23">
        <f ca="1">IFERROR(__xludf.DUMMYFUNCTION("""COMPUTED_VALUE"""),0)</f>
        <v>0</v>
      </c>
      <c r="R283" s="24">
        <f ca="1">IFERROR(__xludf.DUMMYFUNCTION("""COMPUTED_VALUE"""),0)</f>
        <v>0</v>
      </c>
      <c r="S283" s="23">
        <f ca="1">IFERROR(__xludf.DUMMYFUNCTION("""COMPUTED_VALUE"""),0)</f>
        <v>0</v>
      </c>
      <c r="T283" s="24">
        <f ca="1">IFERROR(__xludf.DUMMYFUNCTION("""COMPUTED_VALUE"""),0)</f>
        <v>0</v>
      </c>
      <c r="U283" s="23">
        <f ca="1">IFERROR(__xludf.DUMMYFUNCTION("""COMPUTED_VALUE"""),0)</f>
        <v>0</v>
      </c>
      <c r="V283" s="23">
        <f ca="1">IFERROR(__xludf.DUMMYFUNCTION("""COMPUTED_VALUE"""),0)</f>
        <v>0</v>
      </c>
      <c r="W283" s="23">
        <f ca="1">IFERROR(__xludf.DUMMYFUNCTION("""COMPUTED_VALUE"""),0)</f>
        <v>0</v>
      </c>
      <c r="X283" s="23">
        <f ca="1">IFERROR(__xludf.DUMMYFUNCTION("""COMPUTED_VALUE"""),0)</f>
        <v>0</v>
      </c>
      <c r="Y283" s="25">
        <f ca="1">IFERROR(__xludf.DUMMYFUNCTION("""COMPUTED_VALUE"""),0)</f>
        <v>0</v>
      </c>
      <c r="Z283" s="25">
        <f ca="1">IFERROR(__xludf.DUMMYFUNCTION("""COMPUTED_VALUE"""),0)</f>
        <v>0</v>
      </c>
      <c r="AA283" s="25">
        <f ca="1">IFERROR(__xludf.DUMMYFUNCTION("""COMPUTED_VALUE"""),0)</f>
        <v>0</v>
      </c>
      <c r="AB283" s="25">
        <f ca="1">IFERROR(__xludf.DUMMYFUNCTION("""COMPUTED_VALUE"""),0)</f>
        <v>0</v>
      </c>
      <c r="AC283" s="23">
        <f ca="1">IFERROR(__xludf.DUMMYFUNCTION("""COMPUTED_VALUE"""),0)</f>
        <v>0</v>
      </c>
      <c r="AD283" s="26" t="str">
        <f ca="1">IFERROR(__xludf.DUMMYFUNCTION("""COMPUTED_VALUE"""),"MYSY(50%) ")</f>
        <v xml:space="preserve">MYSY(50%) </v>
      </c>
      <c r="AE283" s="27"/>
    </row>
    <row r="284" spans="1:31" ht="14.3">
      <c r="A284" s="18" t="str">
        <f ca="1">IFERROR(__xludf.DUMMYFUNCTION("""COMPUTED_VALUE"""),"22SDSCE01039")</f>
        <v>22SDSCE01039</v>
      </c>
      <c r="B284" s="19" t="str">
        <f ca="1">IFERROR(__xludf.DUMMYFUNCTION("""COMPUTED_VALUE"""),"DHOLAKIYA BRIJESHKUMAR ROHITBHAI")</f>
        <v>DHOLAKIYA BRIJESHKUMAR ROHITBHAI</v>
      </c>
      <c r="C284" s="18" t="str">
        <f ca="1">IFERROR(__xludf.DUMMYFUNCTION("""COMPUTED_VALUE"""),"SDS")</f>
        <v>SDS</v>
      </c>
      <c r="D284" s="18" t="str">
        <f ca="1">IFERROR(__xludf.DUMMYFUNCTION("""COMPUTED_VALUE"""),"DCE")</f>
        <v>DCE</v>
      </c>
      <c r="E284" s="25">
        <f ca="1">IFERROR(__xludf.DUMMYFUNCTION("""COMPUTED_VALUE"""),4)</f>
        <v>4</v>
      </c>
      <c r="F284" s="20" t="str">
        <f ca="1">IFERROR(__xludf.DUMMYFUNCTION("""COMPUTED_VALUE"""),"7600472406")</f>
        <v>7600472406</v>
      </c>
      <c r="G284" s="20" t="str">
        <f ca="1">IFERROR(__xludf.DUMMYFUNCTION("""COMPUTED_VALUE"""),"7600472406")</f>
        <v>7600472406</v>
      </c>
      <c r="H284" s="6" t="str">
        <f ca="1">IFERROR(__xludf.DUMMYFUNCTION("""COMPUTED_VALUE"""),"DCE_2022-25")</f>
        <v>DCE_2022-25</v>
      </c>
      <c r="I284" s="20"/>
      <c r="J284" s="21">
        <f ca="1">IFERROR(__xludf.DUMMYFUNCTION("""COMPUTED_VALUE"""),25000)</f>
        <v>25000</v>
      </c>
      <c r="K284" s="21">
        <f ca="1">IFERROR(__xludf.DUMMYFUNCTION("""COMPUTED_VALUE"""),0)</f>
        <v>0</v>
      </c>
      <c r="L284" s="21">
        <f ca="1">IFERROR(__xludf.DUMMYFUNCTION("""COMPUTED_VALUE"""),0)</f>
        <v>0</v>
      </c>
      <c r="M284" s="23">
        <f ca="1">IFERROR(__xludf.DUMMYFUNCTION("""COMPUTED_VALUE"""),0)</f>
        <v>0</v>
      </c>
      <c r="N284" s="21">
        <f ca="1">IFERROR(__xludf.DUMMYFUNCTION("""COMPUTED_VALUE"""),25000)</f>
        <v>25000</v>
      </c>
      <c r="O284" s="21">
        <f ca="1">IFERROR(__xludf.DUMMYFUNCTION("""COMPUTED_VALUE"""),3000)</f>
        <v>3000</v>
      </c>
      <c r="P284" s="21">
        <f ca="1">IFERROR(__xludf.DUMMYFUNCTION("""COMPUTED_VALUE"""),0)</f>
        <v>0</v>
      </c>
      <c r="Q284" s="23">
        <f ca="1">IFERROR(__xludf.DUMMYFUNCTION("""COMPUTED_VALUE"""),0)</f>
        <v>0</v>
      </c>
      <c r="R284" s="24">
        <f ca="1">IFERROR(__xludf.DUMMYFUNCTION("""COMPUTED_VALUE"""),0)</f>
        <v>0</v>
      </c>
      <c r="S284" s="23">
        <f ca="1">IFERROR(__xludf.DUMMYFUNCTION("""COMPUTED_VALUE"""),3000)</f>
        <v>3000</v>
      </c>
      <c r="T284" s="24">
        <f ca="1">IFERROR(__xludf.DUMMYFUNCTION("""COMPUTED_VALUE"""),0)</f>
        <v>0</v>
      </c>
      <c r="U284" s="23">
        <f ca="1">IFERROR(__xludf.DUMMYFUNCTION("""COMPUTED_VALUE"""),0)</f>
        <v>0</v>
      </c>
      <c r="V284" s="23">
        <f ca="1">IFERROR(__xludf.DUMMYFUNCTION("""COMPUTED_VALUE"""),0)</f>
        <v>0</v>
      </c>
      <c r="W284" s="23">
        <f ca="1">IFERROR(__xludf.DUMMYFUNCTION("""COMPUTED_VALUE"""),0)</f>
        <v>0</v>
      </c>
      <c r="X284" s="23">
        <f ca="1">IFERROR(__xludf.DUMMYFUNCTION("""COMPUTED_VALUE"""),0)</f>
        <v>0</v>
      </c>
      <c r="Y284" s="25">
        <f ca="1">IFERROR(__xludf.DUMMYFUNCTION("""COMPUTED_VALUE"""),0)</f>
        <v>0</v>
      </c>
      <c r="Z284" s="25">
        <f ca="1">IFERROR(__xludf.DUMMYFUNCTION("""COMPUTED_VALUE"""),0)</f>
        <v>0</v>
      </c>
      <c r="AA284" s="25">
        <f ca="1">IFERROR(__xludf.DUMMYFUNCTION("""COMPUTED_VALUE"""),0)</f>
        <v>0</v>
      </c>
      <c r="AB284" s="25">
        <f ca="1">IFERROR(__xludf.DUMMYFUNCTION("""COMPUTED_VALUE"""),0)</f>
        <v>0</v>
      </c>
      <c r="AC284" s="23">
        <f ca="1">IFERROR(__xludf.DUMMYFUNCTION("""COMPUTED_VALUE"""),0)</f>
        <v>0</v>
      </c>
      <c r="AD284" s="26"/>
      <c r="AE284" s="27"/>
    </row>
    <row r="285" spans="1:31" ht="28.55">
      <c r="A285" s="18" t="str">
        <f ca="1">IFERROR(__xludf.DUMMYFUNCTION("""COMPUTED_VALUE"""),"22SDSCE01041")</f>
        <v>22SDSCE01041</v>
      </c>
      <c r="B285" s="19" t="str">
        <f ca="1">IFERROR(__xludf.DUMMYFUNCTION("""COMPUTED_VALUE"""),"FICHADIYA SHYAM MAYURBHAI")</f>
        <v>FICHADIYA SHYAM MAYURBHAI</v>
      </c>
      <c r="C285" s="18" t="str">
        <f ca="1">IFERROR(__xludf.DUMMYFUNCTION("""COMPUTED_VALUE"""),"SDS")</f>
        <v>SDS</v>
      </c>
      <c r="D285" s="18" t="str">
        <f ca="1">IFERROR(__xludf.DUMMYFUNCTION("""COMPUTED_VALUE"""),"DCE")</f>
        <v>DCE</v>
      </c>
      <c r="E285" s="25">
        <f ca="1">IFERROR(__xludf.DUMMYFUNCTION("""COMPUTED_VALUE"""),4)</f>
        <v>4</v>
      </c>
      <c r="F285" s="20" t="str">
        <f ca="1">IFERROR(__xludf.DUMMYFUNCTION("""COMPUTED_VALUE"""),"9712331831 9727331831")</f>
        <v>9712331831 9727331831</v>
      </c>
      <c r="G285" s="20" t="str">
        <f ca="1">IFERROR(__xludf.DUMMYFUNCTION("""COMPUTED_VALUE"""),"9712331831 9727331831")</f>
        <v>9712331831 9727331831</v>
      </c>
      <c r="H285" s="6" t="str">
        <f ca="1">IFERROR(__xludf.DUMMYFUNCTION("""COMPUTED_VALUE"""),"DCE_2022-25")</f>
        <v>DCE_2022-25</v>
      </c>
      <c r="I285" s="20"/>
      <c r="J285" s="21">
        <f ca="1">IFERROR(__xludf.DUMMYFUNCTION("""COMPUTED_VALUE"""),25000)</f>
        <v>25000</v>
      </c>
      <c r="K285" s="21">
        <f ca="1">IFERROR(__xludf.DUMMYFUNCTION("""COMPUTED_VALUE"""),25000)</f>
        <v>25000</v>
      </c>
      <c r="L285" s="21">
        <f ca="1">IFERROR(__xludf.DUMMYFUNCTION("""COMPUTED_VALUE"""),0)</f>
        <v>0</v>
      </c>
      <c r="M285" s="23">
        <f ca="1">IFERROR(__xludf.DUMMYFUNCTION("""COMPUTED_VALUE"""),0)</f>
        <v>0</v>
      </c>
      <c r="N285" s="21">
        <f ca="1">IFERROR(__xludf.DUMMYFUNCTION("""COMPUTED_VALUE"""),0)</f>
        <v>0</v>
      </c>
      <c r="O285" s="21">
        <f ca="1">IFERROR(__xludf.DUMMYFUNCTION("""COMPUTED_VALUE"""),3000)</f>
        <v>3000</v>
      </c>
      <c r="P285" s="21">
        <f ca="1">IFERROR(__xludf.DUMMYFUNCTION("""COMPUTED_VALUE"""),3000)</f>
        <v>3000</v>
      </c>
      <c r="Q285" s="23">
        <f ca="1">IFERROR(__xludf.DUMMYFUNCTION("""COMPUTED_VALUE"""),0)</f>
        <v>0</v>
      </c>
      <c r="R285" s="24">
        <f ca="1">IFERROR(__xludf.DUMMYFUNCTION("""COMPUTED_VALUE"""),0)</f>
        <v>0</v>
      </c>
      <c r="S285" s="23">
        <f ca="1">IFERROR(__xludf.DUMMYFUNCTION("""COMPUTED_VALUE"""),0)</f>
        <v>0</v>
      </c>
      <c r="T285" s="24">
        <f ca="1">IFERROR(__xludf.DUMMYFUNCTION("""COMPUTED_VALUE"""),0)</f>
        <v>0</v>
      </c>
      <c r="U285" s="23">
        <f ca="1">IFERROR(__xludf.DUMMYFUNCTION("""COMPUTED_VALUE"""),0)</f>
        <v>0</v>
      </c>
      <c r="V285" s="23">
        <f ca="1">IFERROR(__xludf.DUMMYFUNCTION("""COMPUTED_VALUE"""),0)</f>
        <v>0</v>
      </c>
      <c r="W285" s="23">
        <f ca="1">IFERROR(__xludf.DUMMYFUNCTION("""COMPUTED_VALUE"""),0)</f>
        <v>0</v>
      </c>
      <c r="X285" s="23">
        <f ca="1">IFERROR(__xludf.DUMMYFUNCTION("""COMPUTED_VALUE"""),0)</f>
        <v>0</v>
      </c>
      <c r="Y285" s="25">
        <f ca="1">IFERROR(__xludf.DUMMYFUNCTION("""COMPUTED_VALUE"""),0)</f>
        <v>0</v>
      </c>
      <c r="Z285" s="25">
        <f ca="1">IFERROR(__xludf.DUMMYFUNCTION("""COMPUTED_VALUE"""),0)</f>
        <v>0</v>
      </c>
      <c r="AA285" s="25">
        <f ca="1">IFERROR(__xludf.DUMMYFUNCTION("""COMPUTED_VALUE"""),0)</f>
        <v>0</v>
      </c>
      <c r="AB285" s="25">
        <f ca="1">IFERROR(__xludf.DUMMYFUNCTION("""COMPUTED_VALUE"""),0)</f>
        <v>0</v>
      </c>
      <c r="AC285" s="23">
        <f ca="1">IFERROR(__xludf.DUMMYFUNCTION("""COMPUTED_VALUE"""),0)</f>
        <v>0</v>
      </c>
      <c r="AD285" s="26"/>
      <c r="AE285" s="27"/>
    </row>
    <row r="286" spans="1:31" ht="14.3">
      <c r="A286" s="18" t="str">
        <f ca="1">IFERROR(__xludf.DUMMYFUNCTION("""COMPUTED_VALUE"""),"22SDSCE01042")</f>
        <v>22SDSCE01042</v>
      </c>
      <c r="B286" s="19" t="str">
        <f ca="1">IFERROR(__xludf.DUMMYFUNCTION("""COMPUTED_VALUE"""),"GADHIYA DARSHIL RAJESHBHAI")</f>
        <v>GADHIYA DARSHIL RAJESHBHAI</v>
      </c>
      <c r="C286" s="18" t="str">
        <f ca="1">IFERROR(__xludf.DUMMYFUNCTION("""COMPUTED_VALUE"""),"SDS")</f>
        <v>SDS</v>
      </c>
      <c r="D286" s="18" t="str">
        <f ca="1">IFERROR(__xludf.DUMMYFUNCTION("""COMPUTED_VALUE"""),"DCE")</f>
        <v>DCE</v>
      </c>
      <c r="E286" s="25">
        <f ca="1">IFERROR(__xludf.DUMMYFUNCTION("""COMPUTED_VALUE"""),4)</f>
        <v>4</v>
      </c>
      <c r="F286" s="6" t="str">
        <f ca="1">IFERROR(__xludf.DUMMYFUNCTION("""COMPUTED_VALUE"""),"8866589617 6355001106")</f>
        <v>8866589617 6355001106</v>
      </c>
      <c r="G286" s="6" t="str">
        <f ca="1">IFERROR(__xludf.DUMMYFUNCTION("""COMPUTED_VALUE"""),"8866589617 6355001106")</f>
        <v>8866589617 6355001106</v>
      </c>
      <c r="H286" s="6" t="str">
        <f ca="1">IFERROR(__xludf.DUMMYFUNCTION("""COMPUTED_VALUE"""),"DCE_2022-25")</f>
        <v>DCE_2022-25</v>
      </c>
      <c r="I286" s="20"/>
      <c r="J286" s="21">
        <f ca="1">IFERROR(__xludf.DUMMYFUNCTION("""COMPUTED_VALUE"""),0)</f>
        <v>0</v>
      </c>
      <c r="K286" s="21">
        <f ca="1">IFERROR(__xludf.DUMMYFUNCTION("""COMPUTED_VALUE"""),0)</f>
        <v>0</v>
      </c>
      <c r="L286" s="21">
        <f ca="1">IFERROR(__xludf.DUMMYFUNCTION("""COMPUTED_VALUE"""),0)</f>
        <v>0</v>
      </c>
      <c r="M286" s="23">
        <f ca="1">IFERROR(__xludf.DUMMYFUNCTION("""COMPUTED_VALUE"""),0)</f>
        <v>0</v>
      </c>
      <c r="N286" s="21">
        <f ca="1">IFERROR(__xludf.DUMMYFUNCTION("""COMPUTED_VALUE"""),0)</f>
        <v>0</v>
      </c>
      <c r="O286" s="21">
        <f ca="1">IFERROR(__xludf.DUMMYFUNCTION("""COMPUTED_VALUE"""),0)</f>
        <v>0</v>
      </c>
      <c r="P286" s="21">
        <f ca="1">IFERROR(__xludf.DUMMYFUNCTION("""COMPUTED_VALUE"""),0)</f>
        <v>0</v>
      </c>
      <c r="Q286" s="23">
        <f ca="1">IFERROR(__xludf.DUMMYFUNCTION("""COMPUTED_VALUE"""),0)</f>
        <v>0</v>
      </c>
      <c r="R286" s="24">
        <f ca="1">IFERROR(__xludf.DUMMYFUNCTION("""COMPUTED_VALUE"""),0)</f>
        <v>0</v>
      </c>
      <c r="S286" s="23">
        <f ca="1">IFERROR(__xludf.DUMMYFUNCTION("""COMPUTED_VALUE"""),0)</f>
        <v>0</v>
      </c>
      <c r="T286" s="24">
        <f ca="1">IFERROR(__xludf.DUMMYFUNCTION("""COMPUTED_VALUE"""),0)</f>
        <v>0</v>
      </c>
      <c r="U286" s="23">
        <f ca="1">IFERROR(__xludf.DUMMYFUNCTION("""COMPUTED_VALUE"""),0)</f>
        <v>0</v>
      </c>
      <c r="V286" s="23">
        <f ca="1">IFERROR(__xludf.DUMMYFUNCTION("""COMPUTED_VALUE"""),0)</f>
        <v>0</v>
      </c>
      <c r="W286" s="23">
        <f ca="1">IFERROR(__xludf.DUMMYFUNCTION("""COMPUTED_VALUE"""),0)</f>
        <v>0</v>
      </c>
      <c r="X286" s="23">
        <f ca="1">IFERROR(__xludf.DUMMYFUNCTION("""COMPUTED_VALUE"""),0)</f>
        <v>0</v>
      </c>
      <c r="Y286" s="25">
        <f ca="1">IFERROR(__xludf.DUMMYFUNCTION("""COMPUTED_VALUE"""),0)</f>
        <v>0</v>
      </c>
      <c r="Z286" s="25">
        <f ca="1">IFERROR(__xludf.DUMMYFUNCTION("""COMPUTED_VALUE"""),0)</f>
        <v>0</v>
      </c>
      <c r="AA286" s="25">
        <f ca="1">IFERROR(__xludf.DUMMYFUNCTION("""COMPUTED_VALUE"""),0)</f>
        <v>0</v>
      </c>
      <c r="AB286" s="25">
        <f ca="1">IFERROR(__xludf.DUMMYFUNCTION("""COMPUTED_VALUE"""),0)</f>
        <v>0</v>
      </c>
      <c r="AC286" s="23">
        <f ca="1">IFERROR(__xludf.DUMMYFUNCTION("""COMPUTED_VALUE"""),0)</f>
        <v>0</v>
      </c>
      <c r="AD286" s="26"/>
      <c r="AE286" s="27"/>
    </row>
    <row r="287" spans="1:31" ht="14.3">
      <c r="A287" s="18" t="str">
        <f ca="1">IFERROR(__xludf.DUMMYFUNCTION("""COMPUTED_VALUE"""),"22SDSCE01044")</f>
        <v>22SDSCE01044</v>
      </c>
      <c r="B287" s="19" t="str">
        <f ca="1">IFERROR(__xludf.DUMMYFUNCTION("""COMPUTED_VALUE"""),"GHELANI FORAM GHANSHYAMBHAI")</f>
        <v>GHELANI FORAM GHANSHYAMBHAI</v>
      </c>
      <c r="C287" s="18" t="str">
        <f ca="1">IFERROR(__xludf.DUMMYFUNCTION("""COMPUTED_VALUE"""),"SDS")</f>
        <v>SDS</v>
      </c>
      <c r="D287" s="18" t="str">
        <f ca="1">IFERROR(__xludf.DUMMYFUNCTION("""COMPUTED_VALUE"""),"DCE")</f>
        <v>DCE</v>
      </c>
      <c r="E287" s="25">
        <f ca="1">IFERROR(__xludf.DUMMYFUNCTION("""COMPUTED_VALUE"""),4)</f>
        <v>4</v>
      </c>
      <c r="F287" s="18" t="str">
        <f ca="1">IFERROR(__xludf.DUMMYFUNCTION("""COMPUTED_VALUE"""),"8866220622 9824687560")</f>
        <v>8866220622 9824687560</v>
      </c>
      <c r="G287" s="18" t="str">
        <f ca="1">IFERROR(__xludf.DUMMYFUNCTION("""COMPUTED_VALUE"""),"8866220622 9824687560")</f>
        <v>8866220622 9824687560</v>
      </c>
      <c r="H287" s="6" t="str">
        <f ca="1">IFERROR(__xludf.DUMMYFUNCTION("""COMPUTED_VALUE"""),"DCE_2022-25")</f>
        <v>DCE_2022-25</v>
      </c>
      <c r="I287" s="20"/>
      <c r="J287" s="21">
        <f ca="1">IFERROR(__xludf.DUMMYFUNCTION("""COMPUTED_VALUE"""),25000)</f>
        <v>25000</v>
      </c>
      <c r="K287" s="21">
        <f ca="1">IFERROR(__xludf.DUMMYFUNCTION("""COMPUTED_VALUE"""),25000)</f>
        <v>25000</v>
      </c>
      <c r="L287" s="21">
        <f ca="1">IFERROR(__xludf.DUMMYFUNCTION("""COMPUTED_VALUE"""),0)</f>
        <v>0</v>
      </c>
      <c r="M287" s="23">
        <f ca="1">IFERROR(__xludf.DUMMYFUNCTION("""COMPUTED_VALUE"""),0)</f>
        <v>0</v>
      </c>
      <c r="N287" s="21">
        <f ca="1">IFERROR(__xludf.DUMMYFUNCTION("""COMPUTED_VALUE"""),0)</f>
        <v>0</v>
      </c>
      <c r="O287" s="21">
        <f ca="1">IFERROR(__xludf.DUMMYFUNCTION("""COMPUTED_VALUE"""),3000)</f>
        <v>3000</v>
      </c>
      <c r="P287" s="21">
        <f ca="1">IFERROR(__xludf.DUMMYFUNCTION("""COMPUTED_VALUE"""),3000)</f>
        <v>3000</v>
      </c>
      <c r="Q287" s="23">
        <f ca="1">IFERROR(__xludf.DUMMYFUNCTION("""COMPUTED_VALUE"""),0)</f>
        <v>0</v>
      </c>
      <c r="R287" s="24">
        <f ca="1">IFERROR(__xludf.DUMMYFUNCTION("""COMPUTED_VALUE"""),0)</f>
        <v>0</v>
      </c>
      <c r="S287" s="23">
        <f ca="1">IFERROR(__xludf.DUMMYFUNCTION("""COMPUTED_VALUE"""),0)</f>
        <v>0</v>
      </c>
      <c r="T287" s="24">
        <f ca="1">IFERROR(__xludf.DUMMYFUNCTION("""COMPUTED_VALUE"""),0)</f>
        <v>0</v>
      </c>
      <c r="U287" s="23">
        <f ca="1">IFERROR(__xludf.DUMMYFUNCTION("""COMPUTED_VALUE"""),0)</f>
        <v>0</v>
      </c>
      <c r="V287" s="23">
        <f ca="1">IFERROR(__xludf.DUMMYFUNCTION("""COMPUTED_VALUE"""),0)</f>
        <v>0</v>
      </c>
      <c r="W287" s="23">
        <f ca="1">IFERROR(__xludf.DUMMYFUNCTION("""COMPUTED_VALUE"""),0)</f>
        <v>0</v>
      </c>
      <c r="X287" s="23">
        <f ca="1">IFERROR(__xludf.DUMMYFUNCTION("""COMPUTED_VALUE"""),0)</f>
        <v>0</v>
      </c>
      <c r="Y287" s="25">
        <f ca="1">IFERROR(__xludf.DUMMYFUNCTION("""COMPUTED_VALUE"""),0)</f>
        <v>0</v>
      </c>
      <c r="Z287" s="25">
        <f ca="1">IFERROR(__xludf.DUMMYFUNCTION("""COMPUTED_VALUE"""),0)</f>
        <v>0</v>
      </c>
      <c r="AA287" s="25">
        <f ca="1">IFERROR(__xludf.DUMMYFUNCTION("""COMPUTED_VALUE"""),0)</f>
        <v>0</v>
      </c>
      <c r="AB287" s="25">
        <f ca="1">IFERROR(__xludf.DUMMYFUNCTION("""COMPUTED_VALUE"""),0)</f>
        <v>0</v>
      </c>
      <c r="AC287" s="23">
        <f ca="1">IFERROR(__xludf.DUMMYFUNCTION("""COMPUTED_VALUE"""),0)</f>
        <v>0</v>
      </c>
      <c r="AD287" s="26"/>
      <c r="AE287" s="27"/>
    </row>
    <row r="288" spans="1:31" ht="28.55">
      <c r="A288" s="18" t="str">
        <f ca="1">IFERROR(__xludf.DUMMYFUNCTION("""COMPUTED_VALUE"""),"22SDSCE01045")</f>
        <v>22SDSCE01045</v>
      </c>
      <c r="B288" s="19" t="str">
        <f ca="1">IFERROR(__xludf.DUMMYFUNCTION("""COMPUTED_VALUE"""),"GHETIYA VASU BHAVESHBHAI")</f>
        <v>GHETIYA VASU BHAVESHBHAI</v>
      </c>
      <c r="C288" s="18" t="str">
        <f ca="1">IFERROR(__xludf.DUMMYFUNCTION("""COMPUTED_VALUE"""),"SDS")</f>
        <v>SDS</v>
      </c>
      <c r="D288" s="18" t="str">
        <f ca="1">IFERROR(__xludf.DUMMYFUNCTION("""COMPUTED_VALUE"""),"DCE")</f>
        <v>DCE</v>
      </c>
      <c r="E288" s="25">
        <f ca="1">IFERROR(__xludf.DUMMYFUNCTION("""COMPUTED_VALUE"""),4)</f>
        <v>4</v>
      </c>
      <c r="F288" s="20" t="str">
        <f ca="1">IFERROR(__xludf.DUMMYFUNCTION("""COMPUTED_VALUE"""),"8320673754 9574190912")</f>
        <v>8320673754 9574190912</v>
      </c>
      <c r="G288" s="20" t="str">
        <f ca="1">IFERROR(__xludf.DUMMYFUNCTION("""COMPUTED_VALUE"""),"8320673754 9574190912")</f>
        <v>8320673754 9574190912</v>
      </c>
      <c r="H288" s="6" t="str">
        <f ca="1">IFERROR(__xludf.DUMMYFUNCTION("""COMPUTED_VALUE"""),"DCE_2022-25")</f>
        <v>DCE_2022-25</v>
      </c>
      <c r="I288" s="20" t="str">
        <f ca="1">IFERROR(__xludf.DUMMYFUNCTION("""COMPUTED_VALUE"""),"MYSY")</f>
        <v>MYSY</v>
      </c>
      <c r="J288" s="21">
        <f ca="1">IFERROR(__xludf.DUMMYFUNCTION("""COMPUTED_VALUE"""),25000)</f>
        <v>25000</v>
      </c>
      <c r="K288" s="21">
        <f ca="1">IFERROR(__xludf.DUMMYFUNCTION("""COMPUTED_VALUE"""),25000)</f>
        <v>25000</v>
      </c>
      <c r="L288" s="21">
        <f ca="1">IFERROR(__xludf.DUMMYFUNCTION("""COMPUTED_VALUE"""),0)</f>
        <v>0</v>
      </c>
      <c r="M288" s="23">
        <f ca="1">IFERROR(__xludf.DUMMYFUNCTION("""COMPUTED_VALUE"""),0)</f>
        <v>0</v>
      </c>
      <c r="N288" s="21">
        <f ca="1">IFERROR(__xludf.DUMMYFUNCTION("""COMPUTED_VALUE"""),0)</f>
        <v>0</v>
      </c>
      <c r="O288" s="21">
        <f ca="1">IFERROR(__xludf.DUMMYFUNCTION("""COMPUTED_VALUE"""),3000)</f>
        <v>3000</v>
      </c>
      <c r="P288" s="21">
        <f ca="1">IFERROR(__xludf.DUMMYFUNCTION("""COMPUTED_VALUE"""),3000)</f>
        <v>3000</v>
      </c>
      <c r="Q288" s="23">
        <f ca="1">IFERROR(__xludf.DUMMYFUNCTION("""COMPUTED_VALUE"""),0)</f>
        <v>0</v>
      </c>
      <c r="R288" s="24">
        <f ca="1">IFERROR(__xludf.DUMMYFUNCTION("""COMPUTED_VALUE"""),0)</f>
        <v>0</v>
      </c>
      <c r="S288" s="23">
        <f ca="1">IFERROR(__xludf.DUMMYFUNCTION("""COMPUTED_VALUE"""),0)</f>
        <v>0</v>
      </c>
      <c r="T288" s="24">
        <f ca="1">IFERROR(__xludf.DUMMYFUNCTION("""COMPUTED_VALUE"""),0)</f>
        <v>0</v>
      </c>
      <c r="U288" s="23">
        <f ca="1">IFERROR(__xludf.DUMMYFUNCTION("""COMPUTED_VALUE"""),0)</f>
        <v>0</v>
      </c>
      <c r="V288" s="23">
        <f ca="1">IFERROR(__xludf.DUMMYFUNCTION("""COMPUTED_VALUE"""),0)</f>
        <v>0</v>
      </c>
      <c r="W288" s="23">
        <f ca="1">IFERROR(__xludf.DUMMYFUNCTION("""COMPUTED_VALUE"""),0)</f>
        <v>0</v>
      </c>
      <c r="X288" s="23">
        <f ca="1">IFERROR(__xludf.DUMMYFUNCTION("""COMPUTED_VALUE"""),0)</f>
        <v>0</v>
      </c>
      <c r="Y288" s="25">
        <f ca="1">IFERROR(__xludf.DUMMYFUNCTION("""COMPUTED_VALUE"""),0)</f>
        <v>0</v>
      </c>
      <c r="Z288" s="25">
        <f ca="1">IFERROR(__xludf.DUMMYFUNCTION("""COMPUTED_VALUE"""),0)</f>
        <v>0</v>
      </c>
      <c r="AA288" s="25">
        <f ca="1">IFERROR(__xludf.DUMMYFUNCTION("""COMPUTED_VALUE"""),0)</f>
        <v>0</v>
      </c>
      <c r="AB288" s="25">
        <f ca="1">IFERROR(__xludf.DUMMYFUNCTION("""COMPUTED_VALUE"""),0)</f>
        <v>0</v>
      </c>
      <c r="AC288" s="23">
        <f ca="1">IFERROR(__xludf.DUMMYFUNCTION("""COMPUTED_VALUE"""),0)</f>
        <v>0</v>
      </c>
      <c r="AD288" s="26" t="str">
        <f ca="1">IFERROR(__xludf.DUMMYFUNCTION("""COMPUTED_VALUE"""),"KSPS(25%) + MYSY(50%)")</f>
        <v>KSPS(25%) + MYSY(50%)</v>
      </c>
      <c r="AE288" s="27"/>
    </row>
    <row r="289" spans="1:31" ht="14.3">
      <c r="A289" s="18" t="str">
        <f ca="1">IFERROR(__xludf.DUMMYFUNCTION("""COMPUTED_VALUE"""),"22SDSCE01046")</f>
        <v>22SDSCE01046</v>
      </c>
      <c r="B289" s="19" t="str">
        <f ca="1">IFERROR(__xludf.DUMMYFUNCTION("""COMPUTED_VALUE"""),"GHIYAD YXAY CHANDUBHAI")</f>
        <v>GHIYAD YXAY CHANDUBHAI</v>
      </c>
      <c r="C289" s="18" t="str">
        <f ca="1">IFERROR(__xludf.DUMMYFUNCTION("""COMPUTED_VALUE"""),"SDS")</f>
        <v>SDS</v>
      </c>
      <c r="D289" s="18" t="str">
        <f ca="1">IFERROR(__xludf.DUMMYFUNCTION("""COMPUTED_VALUE"""),"DCE")</f>
        <v>DCE</v>
      </c>
      <c r="E289" s="25">
        <f ca="1">IFERROR(__xludf.DUMMYFUNCTION("""COMPUTED_VALUE"""),4)</f>
        <v>4</v>
      </c>
      <c r="F289" s="18" t="str">
        <f ca="1">IFERROR(__xludf.DUMMYFUNCTION("""COMPUTED_VALUE"""),"6351144954
6351144954")</f>
        <v>6351144954
6351144954</v>
      </c>
      <c r="G289" s="18" t="str">
        <f ca="1">IFERROR(__xludf.DUMMYFUNCTION("""COMPUTED_VALUE"""),"6351144954
6351144954")</f>
        <v>6351144954
6351144954</v>
      </c>
      <c r="H289" s="6" t="str">
        <f ca="1">IFERROR(__xludf.DUMMYFUNCTION("""COMPUTED_VALUE"""),"DCE_2022-25")</f>
        <v>DCE_2022-25</v>
      </c>
      <c r="I289" s="20" t="str">
        <f ca="1">IFERROR(__xludf.DUMMYFUNCTION("""COMPUTED_VALUE"""),"MYSY")</f>
        <v>MYSY</v>
      </c>
      <c r="J289" s="21">
        <f ca="1">IFERROR(__xludf.DUMMYFUNCTION("""COMPUTED_VALUE"""),25000)</f>
        <v>25000</v>
      </c>
      <c r="K289" s="21">
        <f ca="1">IFERROR(__xludf.DUMMYFUNCTION("""COMPUTED_VALUE"""),0)</f>
        <v>0</v>
      </c>
      <c r="L289" s="21">
        <f ca="1">IFERROR(__xludf.DUMMYFUNCTION("""COMPUTED_VALUE"""),0)</f>
        <v>0</v>
      </c>
      <c r="M289" s="23">
        <f ca="1">IFERROR(__xludf.DUMMYFUNCTION("""COMPUTED_VALUE"""),0)</f>
        <v>0</v>
      </c>
      <c r="N289" s="21">
        <f ca="1">IFERROR(__xludf.DUMMYFUNCTION("""COMPUTED_VALUE"""),25000)</f>
        <v>25000</v>
      </c>
      <c r="O289" s="21">
        <f ca="1">IFERROR(__xludf.DUMMYFUNCTION("""COMPUTED_VALUE"""),3000)</f>
        <v>3000</v>
      </c>
      <c r="P289" s="21">
        <f ca="1">IFERROR(__xludf.DUMMYFUNCTION("""COMPUTED_VALUE"""),3000)</f>
        <v>3000</v>
      </c>
      <c r="Q289" s="23">
        <f ca="1">IFERROR(__xludf.DUMMYFUNCTION("""COMPUTED_VALUE"""),0)</f>
        <v>0</v>
      </c>
      <c r="R289" s="24">
        <f ca="1">IFERROR(__xludf.DUMMYFUNCTION("""COMPUTED_VALUE"""),0)</f>
        <v>0</v>
      </c>
      <c r="S289" s="23">
        <f ca="1">IFERROR(__xludf.DUMMYFUNCTION("""COMPUTED_VALUE"""),0)</f>
        <v>0</v>
      </c>
      <c r="T289" s="24">
        <f ca="1">IFERROR(__xludf.DUMMYFUNCTION("""COMPUTED_VALUE"""),0)</f>
        <v>0</v>
      </c>
      <c r="U289" s="23">
        <f ca="1">IFERROR(__xludf.DUMMYFUNCTION("""COMPUTED_VALUE"""),0)</f>
        <v>0</v>
      </c>
      <c r="V289" s="23">
        <f ca="1">IFERROR(__xludf.DUMMYFUNCTION("""COMPUTED_VALUE"""),0)</f>
        <v>0</v>
      </c>
      <c r="W289" s="23">
        <f ca="1">IFERROR(__xludf.DUMMYFUNCTION("""COMPUTED_VALUE"""),0)</f>
        <v>0</v>
      </c>
      <c r="X289" s="23">
        <f ca="1">IFERROR(__xludf.DUMMYFUNCTION("""COMPUTED_VALUE"""),0)</f>
        <v>0</v>
      </c>
      <c r="Y289" s="25">
        <f ca="1">IFERROR(__xludf.DUMMYFUNCTION("""COMPUTED_VALUE"""),0)</f>
        <v>0</v>
      </c>
      <c r="Z289" s="25">
        <f ca="1">IFERROR(__xludf.DUMMYFUNCTION("""COMPUTED_VALUE"""),0)</f>
        <v>0</v>
      </c>
      <c r="AA289" s="25">
        <f ca="1">IFERROR(__xludf.DUMMYFUNCTION("""COMPUTED_VALUE"""),0)</f>
        <v>0</v>
      </c>
      <c r="AB289" s="25">
        <f ca="1">IFERROR(__xludf.DUMMYFUNCTION("""COMPUTED_VALUE"""),0)</f>
        <v>0</v>
      </c>
      <c r="AC289" s="23">
        <f ca="1">IFERROR(__xludf.DUMMYFUNCTION("""COMPUTED_VALUE"""),0)</f>
        <v>0</v>
      </c>
      <c r="AD289" s="26" t="str">
        <f ca="1">IFERROR(__xludf.DUMMYFUNCTION("""COMPUTED_VALUE"""),"KSPS(25%) + MYSY(50%)")</f>
        <v>KSPS(25%) + MYSY(50%)</v>
      </c>
      <c r="AE289" s="27"/>
    </row>
    <row r="290" spans="1:31" ht="14.3">
      <c r="A290" s="18" t="str">
        <f ca="1">IFERROR(__xludf.DUMMYFUNCTION("""COMPUTED_VALUE"""),"22SDSCE01047")</f>
        <v>22SDSCE01047</v>
      </c>
      <c r="B290" s="19" t="str">
        <f ca="1">IFERROR(__xludf.DUMMYFUNCTION("""COMPUTED_VALUE"""),"GHODASARA SHREYU DHARMENDRABHAI")</f>
        <v>GHODASARA SHREYU DHARMENDRABHAI</v>
      </c>
      <c r="C290" s="18" t="str">
        <f ca="1">IFERROR(__xludf.DUMMYFUNCTION("""COMPUTED_VALUE"""),"SDS")</f>
        <v>SDS</v>
      </c>
      <c r="D290" s="18" t="str">
        <f ca="1">IFERROR(__xludf.DUMMYFUNCTION("""COMPUTED_VALUE"""),"DCE")</f>
        <v>DCE</v>
      </c>
      <c r="E290" s="25">
        <f ca="1">IFERROR(__xludf.DUMMYFUNCTION("""COMPUTED_VALUE"""),4)</f>
        <v>4</v>
      </c>
      <c r="F290" s="18" t="str">
        <f ca="1">IFERROR(__xludf.DUMMYFUNCTION("""COMPUTED_VALUE"""),"8160883531 9662581300")</f>
        <v>8160883531 9662581300</v>
      </c>
      <c r="G290" s="18" t="str">
        <f ca="1">IFERROR(__xludf.DUMMYFUNCTION("""COMPUTED_VALUE"""),"8160883531 9662581300")</f>
        <v>8160883531 9662581300</v>
      </c>
      <c r="H290" s="6" t="str">
        <f ca="1">IFERROR(__xludf.DUMMYFUNCTION("""COMPUTED_VALUE"""),"DCE_2022-25")</f>
        <v>DCE_2022-25</v>
      </c>
      <c r="I290" s="20" t="str">
        <f ca="1">IFERROR(__xludf.DUMMYFUNCTION("""COMPUTED_VALUE"""),"MYSY")</f>
        <v>MYSY</v>
      </c>
      <c r="J290" s="21">
        <f ca="1">IFERROR(__xludf.DUMMYFUNCTION("""COMPUTED_VALUE"""),25000)</f>
        <v>25000</v>
      </c>
      <c r="K290" s="21">
        <f ca="1">IFERROR(__xludf.DUMMYFUNCTION("""COMPUTED_VALUE"""),25000)</f>
        <v>25000</v>
      </c>
      <c r="L290" s="21">
        <f ca="1">IFERROR(__xludf.DUMMYFUNCTION("""COMPUTED_VALUE"""),0)</f>
        <v>0</v>
      </c>
      <c r="M290" s="23">
        <f ca="1">IFERROR(__xludf.DUMMYFUNCTION("""COMPUTED_VALUE"""),0)</f>
        <v>0</v>
      </c>
      <c r="N290" s="21">
        <f ca="1">IFERROR(__xludf.DUMMYFUNCTION("""COMPUTED_VALUE"""),0)</f>
        <v>0</v>
      </c>
      <c r="O290" s="21">
        <f ca="1">IFERROR(__xludf.DUMMYFUNCTION("""COMPUTED_VALUE"""),3000)</f>
        <v>3000</v>
      </c>
      <c r="P290" s="21">
        <f ca="1">IFERROR(__xludf.DUMMYFUNCTION("""COMPUTED_VALUE"""),3000)</f>
        <v>3000</v>
      </c>
      <c r="Q290" s="23">
        <f ca="1">IFERROR(__xludf.DUMMYFUNCTION("""COMPUTED_VALUE"""),0)</f>
        <v>0</v>
      </c>
      <c r="R290" s="24">
        <f ca="1">IFERROR(__xludf.DUMMYFUNCTION("""COMPUTED_VALUE"""),0)</f>
        <v>0</v>
      </c>
      <c r="S290" s="23">
        <f ca="1">IFERROR(__xludf.DUMMYFUNCTION("""COMPUTED_VALUE"""),0)</f>
        <v>0</v>
      </c>
      <c r="T290" s="24">
        <f ca="1">IFERROR(__xludf.DUMMYFUNCTION("""COMPUTED_VALUE"""),0)</f>
        <v>0</v>
      </c>
      <c r="U290" s="23">
        <f ca="1">IFERROR(__xludf.DUMMYFUNCTION("""COMPUTED_VALUE"""),0)</f>
        <v>0</v>
      </c>
      <c r="V290" s="23">
        <f ca="1">IFERROR(__xludf.DUMMYFUNCTION("""COMPUTED_VALUE"""),0)</f>
        <v>0</v>
      </c>
      <c r="W290" s="23">
        <f ca="1">IFERROR(__xludf.DUMMYFUNCTION("""COMPUTED_VALUE"""),0)</f>
        <v>0</v>
      </c>
      <c r="X290" s="23">
        <f ca="1">IFERROR(__xludf.DUMMYFUNCTION("""COMPUTED_VALUE"""),0)</f>
        <v>0</v>
      </c>
      <c r="Y290" s="25">
        <f ca="1">IFERROR(__xludf.DUMMYFUNCTION("""COMPUTED_VALUE"""),0)</f>
        <v>0</v>
      </c>
      <c r="Z290" s="25">
        <f ca="1">IFERROR(__xludf.DUMMYFUNCTION("""COMPUTED_VALUE"""),0)</f>
        <v>0</v>
      </c>
      <c r="AA290" s="25">
        <f ca="1">IFERROR(__xludf.DUMMYFUNCTION("""COMPUTED_VALUE"""),0)</f>
        <v>0</v>
      </c>
      <c r="AB290" s="25">
        <f ca="1">IFERROR(__xludf.DUMMYFUNCTION("""COMPUTED_VALUE"""),0)</f>
        <v>0</v>
      </c>
      <c r="AC290" s="23">
        <f ca="1">IFERROR(__xludf.DUMMYFUNCTION("""COMPUTED_VALUE"""),0)</f>
        <v>0</v>
      </c>
      <c r="AD290" s="26" t="str">
        <f ca="1">IFERROR(__xludf.DUMMYFUNCTION("""COMPUTED_VALUE"""),"KSPS(25%) + MYSY(50%)")</f>
        <v>KSPS(25%) + MYSY(50%)</v>
      </c>
      <c r="AE290" s="27"/>
    </row>
    <row r="291" spans="1:31" ht="28.55">
      <c r="A291" s="18" t="str">
        <f ca="1">IFERROR(__xludf.DUMMYFUNCTION("""COMPUTED_VALUE"""),"22SDSCE01048")</f>
        <v>22SDSCE01048</v>
      </c>
      <c r="B291" s="19" t="str">
        <f ca="1">IFERROR(__xludf.DUMMYFUNCTION("""COMPUTED_VALUE"""),"HATHILA LAXMI SURESHBHAI")</f>
        <v>HATHILA LAXMI SURESHBHAI</v>
      </c>
      <c r="C291" s="18" t="str">
        <f ca="1">IFERROR(__xludf.DUMMYFUNCTION("""COMPUTED_VALUE"""),"SDS")</f>
        <v>SDS</v>
      </c>
      <c r="D291" s="18" t="str">
        <f ca="1">IFERROR(__xludf.DUMMYFUNCTION("""COMPUTED_VALUE"""),"DCE")</f>
        <v>DCE</v>
      </c>
      <c r="E291" s="25">
        <f ca="1">IFERROR(__xludf.DUMMYFUNCTION("""COMPUTED_VALUE"""),4)</f>
        <v>4</v>
      </c>
      <c r="F291" s="18" t="str">
        <f ca="1">IFERROR(__xludf.DUMMYFUNCTION("""COMPUTED_VALUE"""),"9601092302")</f>
        <v>9601092302</v>
      </c>
      <c r="G291" s="18" t="str">
        <f ca="1">IFERROR(__xludf.DUMMYFUNCTION("""COMPUTED_VALUE"""),"9601092302")</f>
        <v>9601092302</v>
      </c>
      <c r="H291" s="6" t="str">
        <f ca="1">IFERROR(__xludf.DUMMYFUNCTION("""COMPUTED_VALUE"""),"DCE_2022-25")</f>
        <v>DCE_2022-25</v>
      </c>
      <c r="I291" s="20" t="str">
        <f ca="1">IFERROR(__xludf.DUMMYFUNCTION("""COMPUTED_VALUE"""),"FREESHIP CARD")</f>
        <v>FREESHIP CARD</v>
      </c>
      <c r="J291" s="21">
        <f ca="1">IFERROR(__xludf.DUMMYFUNCTION("""COMPUTED_VALUE"""),25000)</f>
        <v>25000</v>
      </c>
      <c r="K291" s="21">
        <f ca="1">IFERROR(__xludf.DUMMYFUNCTION("""COMPUTED_VALUE"""),0)</f>
        <v>0</v>
      </c>
      <c r="L291" s="21">
        <f ca="1">IFERROR(__xludf.DUMMYFUNCTION("""COMPUTED_VALUE"""),0)</f>
        <v>0</v>
      </c>
      <c r="M291" s="23">
        <f ca="1">IFERROR(__xludf.DUMMYFUNCTION("""COMPUTED_VALUE"""),0)</f>
        <v>0</v>
      </c>
      <c r="N291" s="21">
        <f ca="1">IFERROR(__xludf.DUMMYFUNCTION("""COMPUTED_VALUE"""),25000)</f>
        <v>25000</v>
      </c>
      <c r="O291" s="21">
        <f ca="1">IFERROR(__xludf.DUMMYFUNCTION("""COMPUTED_VALUE"""),3000)</f>
        <v>3000</v>
      </c>
      <c r="P291" s="21">
        <f ca="1">IFERROR(__xludf.DUMMYFUNCTION("""COMPUTED_VALUE"""),3000)</f>
        <v>3000</v>
      </c>
      <c r="Q291" s="23">
        <f ca="1">IFERROR(__xludf.DUMMYFUNCTION("""COMPUTED_VALUE"""),0)</f>
        <v>0</v>
      </c>
      <c r="R291" s="24">
        <f ca="1">IFERROR(__xludf.DUMMYFUNCTION("""COMPUTED_VALUE"""),0)</f>
        <v>0</v>
      </c>
      <c r="S291" s="23">
        <f ca="1">IFERROR(__xludf.DUMMYFUNCTION("""COMPUTED_VALUE"""),0)</f>
        <v>0</v>
      </c>
      <c r="T291" s="24">
        <f ca="1">IFERROR(__xludf.DUMMYFUNCTION("""COMPUTED_VALUE"""),0)</f>
        <v>0</v>
      </c>
      <c r="U291" s="23">
        <f ca="1">IFERROR(__xludf.DUMMYFUNCTION("""COMPUTED_VALUE"""),0)</f>
        <v>0</v>
      </c>
      <c r="V291" s="23">
        <f ca="1">IFERROR(__xludf.DUMMYFUNCTION("""COMPUTED_VALUE"""),0)</f>
        <v>0</v>
      </c>
      <c r="W291" s="23">
        <f ca="1">IFERROR(__xludf.DUMMYFUNCTION("""COMPUTED_VALUE"""),0)</f>
        <v>0</v>
      </c>
      <c r="X291" s="23">
        <f ca="1">IFERROR(__xludf.DUMMYFUNCTION("""COMPUTED_VALUE"""),0)</f>
        <v>0</v>
      </c>
      <c r="Y291" s="25">
        <f ca="1">IFERROR(__xludf.DUMMYFUNCTION("""COMPUTED_VALUE"""),0)</f>
        <v>0</v>
      </c>
      <c r="Z291" s="25">
        <f ca="1">IFERROR(__xludf.DUMMYFUNCTION("""COMPUTED_VALUE"""),0)</f>
        <v>0</v>
      </c>
      <c r="AA291" s="25">
        <f ca="1">IFERROR(__xludf.DUMMYFUNCTION("""COMPUTED_VALUE"""),0)</f>
        <v>0</v>
      </c>
      <c r="AB291" s="25">
        <f ca="1">IFERROR(__xludf.DUMMYFUNCTION("""COMPUTED_VALUE"""),0)</f>
        <v>0</v>
      </c>
      <c r="AC291" s="23">
        <f ca="1">IFERROR(__xludf.DUMMYFUNCTION("""COMPUTED_VALUE"""),0)</f>
        <v>0</v>
      </c>
      <c r="AD291" s="26" t="str">
        <f ca="1">IFERROR(__xludf.DUMMYFUNCTION("""COMPUTED_VALUE"""),"FREESHIP CARD")</f>
        <v>FREESHIP CARD</v>
      </c>
      <c r="AE291" s="27"/>
    </row>
    <row r="292" spans="1:31" ht="14.3">
      <c r="A292" s="18" t="str">
        <f ca="1">IFERROR(__xludf.DUMMYFUNCTION("""COMPUTED_VALUE"""),"22SDSCE01049")</f>
        <v>22SDSCE01049</v>
      </c>
      <c r="B292" s="19" t="str">
        <f ca="1">IFERROR(__xludf.DUMMYFUNCTION("""COMPUTED_VALUE"""),"HINDOCHA KARTAVYA KALPESHBHAI")</f>
        <v>HINDOCHA KARTAVYA KALPESHBHAI</v>
      </c>
      <c r="C292" s="18" t="str">
        <f ca="1">IFERROR(__xludf.DUMMYFUNCTION("""COMPUTED_VALUE"""),"SDS")</f>
        <v>SDS</v>
      </c>
      <c r="D292" s="18" t="str">
        <f ca="1">IFERROR(__xludf.DUMMYFUNCTION("""COMPUTED_VALUE"""),"DCE")</f>
        <v>DCE</v>
      </c>
      <c r="E292" s="25">
        <f ca="1">IFERROR(__xludf.DUMMYFUNCTION("""COMPUTED_VALUE"""),4)</f>
        <v>4</v>
      </c>
      <c r="F292" s="18" t="str">
        <f ca="1">IFERROR(__xludf.DUMMYFUNCTION("""COMPUTED_VALUE"""),"9429980320 8200098229")</f>
        <v>9429980320 8200098229</v>
      </c>
      <c r="G292" s="18" t="str">
        <f ca="1">IFERROR(__xludf.DUMMYFUNCTION("""COMPUTED_VALUE"""),"9429980320 8200098229")</f>
        <v>9429980320 8200098229</v>
      </c>
      <c r="H292" s="6" t="str">
        <f ca="1">IFERROR(__xludf.DUMMYFUNCTION("""COMPUTED_VALUE"""),"DCE_2022-25")</f>
        <v>DCE_2022-25</v>
      </c>
      <c r="I292" s="20" t="str">
        <f ca="1">IFERROR(__xludf.DUMMYFUNCTION("""COMPUTED_VALUE"""),"MYSY")</f>
        <v>MYSY</v>
      </c>
      <c r="J292" s="21">
        <f ca="1">IFERROR(__xludf.DUMMYFUNCTION("""COMPUTED_VALUE"""),25000)</f>
        <v>25000</v>
      </c>
      <c r="K292" s="21">
        <f ca="1">IFERROR(__xludf.DUMMYFUNCTION("""COMPUTED_VALUE"""),0)</f>
        <v>0</v>
      </c>
      <c r="L292" s="21">
        <f ca="1">IFERROR(__xludf.DUMMYFUNCTION("""COMPUTED_VALUE"""),0)</f>
        <v>0</v>
      </c>
      <c r="M292" s="23">
        <f ca="1">IFERROR(__xludf.DUMMYFUNCTION("""COMPUTED_VALUE"""),0)</f>
        <v>0</v>
      </c>
      <c r="N292" s="21">
        <f ca="1">IFERROR(__xludf.DUMMYFUNCTION("""COMPUTED_VALUE"""),25000)</f>
        <v>25000</v>
      </c>
      <c r="O292" s="21">
        <f ca="1">IFERROR(__xludf.DUMMYFUNCTION("""COMPUTED_VALUE"""),3000)</f>
        <v>3000</v>
      </c>
      <c r="P292" s="21">
        <f ca="1">IFERROR(__xludf.DUMMYFUNCTION("""COMPUTED_VALUE"""),0)</f>
        <v>0</v>
      </c>
      <c r="Q292" s="23">
        <f ca="1">IFERROR(__xludf.DUMMYFUNCTION("""COMPUTED_VALUE"""),0)</f>
        <v>0</v>
      </c>
      <c r="R292" s="24">
        <f ca="1">IFERROR(__xludf.DUMMYFUNCTION("""COMPUTED_VALUE"""),0)</f>
        <v>0</v>
      </c>
      <c r="S292" s="23">
        <f ca="1">IFERROR(__xludf.DUMMYFUNCTION("""COMPUTED_VALUE"""),3000)</f>
        <v>3000</v>
      </c>
      <c r="T292" s="24">
        <f ca="1">IFERROR(__xludf.DUMMYFUNCTION("""COMPUTED_VALUE"""),0)</f>
        <v>0</v>
      </c>
      <c r="U292" s="23">
        <f ca="1">IFERROR(__xludf.DUMMYFUNCTION("""COMPUTED_VALUE"""),0)</f>
        <v>0</v>
      </c>
      <c r="V292" s="23">
        <f ca="1">IFERROR(__xludf.DUMMYFUNCTION("""COMPUTED_VALUE"""),0)</f>
        <v>0</v>
      </c>
      <c r="W292" s="23">
        <f ca="1">IFERROR(__xludf.DUMMYFUNCTION("""COMPUTED_VALUE"""),0)</f>
        <v>0</v>
      </c>
      <c r="X292" s="23">
        <f ca="1">IFERROR(__xludf.DUMMYFUNCTION("""COMPUTED_VALUE"""),0)</f>
        <v>0</v>
      </c>
      <c r="Y292" s="25">
        <f ca="1">IFERROR(__xludf.DUMMYFUNCTION("""COMPUTED_VALUE"""),0)</f>
        <v>0</v>
      </c>
      <c r="Z292" s="25">
        <f ca="1">IFERROR(__xludf.DUMMYFUNCTION("""COMPUTED_VALUE"""),0)</f>
        <v>0</v>
      </c>
      <c r="AA292" s="25">
        <f ca="1">IFERROR(__xludf.DUMMYFUNCTION("""COMPUTED_VALUE"""),0)</f>
        <v>0</v>
      </c>
      <c r="AB292" s="25">
        <f ca="1">IFERROR(__xludf.DUMMYFUNCTION("""COMPUTED_VALUE"""),0)</f>
        <v>0</v>
      </c>
      <c r="AC292" s="23">
        <f ca="1">IFERROR(__xludf.DUMMYFUNCTION("""COMPUTED_VALUE"""),0)</f>
        <v>0</v>
      </c>
      <c r="AD292" s="26" t="str">
        <f ca="1">IFERROR(__xludf.DUMMYFUNCTION("""COMPUTED_VALUE"""),"MYSY(50%) + KSPS(25%)")</f>
        <v>MYSY(50%) + KSPS(25%)</v>
      </c>
      <c r="AE292" s="27"/>
    </row>
    <row r="293" spans="1:31" ht="14.3">
      <c r="A293" s="18" t="str">
        <f ca="1">IFERROR(__xludf.DUMMYFUNCTION("""COMPUTED_VALUE"""),"22SDSCE01050")</f>
        <v>22SDSCE01050</v>
      </c>
      <c r="B293" s="19" t="str">
        <f ca="1">IFERROR(__xludf.DUMMYFUNCTION("""COMPUTED_VALUE"""),"JADEJA VISHVARAJSINH VIKRAMSINH")</f>
        <v>JADEJA VISHVARAJSINH VIKRAMSINH</v>
      </c>
      <c r="C293" s="18" t="str">
        <f ca="1">IFERROR(__xludf.DUMMYFUNCTION("""COMPUTED_VALUE"""),"SDS")</f>
        <v>SDS</v>
      </c>
      <c r="D293" s="18" t="str">
        <f ca="1">IFERROR(__xludf.DUMMYFUNCTION("""COMPUTED_VALUE"""),"DCE")</f>
        <v>DCE</v>
      </c>
      <c r="E293" s="25">
        <f ca="1">IFERROR(__xludf.DUMMYFUNCTION("""COMPUTED_VALUE"""),4)</f>
        <v>4</v>
      </c>
      <c r="F293" s="18" t="str">
        <f ca="1">IFERROR(__xludf.DUMMYFUNCTION("""COMPUTED_VALUE"""),"8487916772 9687516772")</f>
        <v>8487916772 9687516772</v>
      </c>
      <c r="G293" s="18" t="str">
        <f ca="1">IFERROR(__xludf.DUMMYFUNCTION("""COMPUTED_VALUE"""),"8487916772 9687516772")</f>
        <v>8487916772 9687516772</v>
      </c>
      <c r="H293" s="6" t="str">
        <f ca="1">IFERROR(__xludf.DUMMYFUNCTION("""COMPUTED_VALUE"""),"DCE_2022-25")</f>
        <v>DCE_2022-25</v>
      </c>
      <c r="I293" s="20"/>
      <c r="J293" s="21">
        <f ca="1">IFERROR(__xludf.DUMMYFUNCTION("""COMPUTED_VALUE"""),25000)</f>
        <v>25000</v>
      </c>
      <c r="K293" s="21">
        <f ca="1">IFERROR(__xludf.DUMMYFUNCTION("""COMPUTED_VALUE"""),25000)</f>
        <v>25000</v>
      </c>
      <c r="L293" s="21">
        <f ca="1">IFERROR(__xludf.DUMMYFUNCTION("""COMPUTED_VALUE"""),0)</f>
        <v>0</v>
      </c>
      <c r="M293" s="23">
        <f ca="1">IFERROR(__xludf.DUMMYFUNCTION("""COMPUTED_VALUE"""),0)</f>
        <v>0</v>
      </c>
      <c r="N293" s="21">
        <f ca="1">IFERROR(__xludf.DUMMYFUNCTION("""COMPUTED_VALUE"""),0)</f>
        <v>0</v>
      </c>
      <c r="O293" s="21">
        <f ca="1">IFERROR(__xludf.DUMMYFUNCTION("""COMPUTED_VALUE"""),3000)</f>
        <v>3000</v>
      </c>
      <c r="P293" s="21">
        <f ca="1">IFERROR(__xludf.DUMMYFUNCTION("""COMPUTED_VALUE"""),3000)</f>
        <v>3000</v>
      </c>
      <c r="Q293" s="23">
        <f ca="1">IFERROR(__xludf.DUMMYFUNCTION("""COMPUTED_VALUE"""),0)</f>
        <v>0</v>
      </c>
      <c r="R293" s="24">
        <f ca="1">IFERROR(__xludf.DUMMYFUNCTION("""COMPUTED_VALUE"""),0)</f>
        <v>0</v>
      </c>
      <c r="S293" s="23">
        <f ca="1">IFERROR(__xludf.DUMMYFUNCTION("""COMPUTED_VALUE"""),0)</f>
        <v>0</v>
      </c>
      <c r="T293" s="24">
        <f ca="1">IFERROR(__xludf.DUMMYFUNCTION("""COMPUTED_VALUE"""),0)</f>
        <v>0</v>
      </c>
      <c r="U293" s="23">
        <f ca="1">IFERROR(__xludf.DUMMYFUNCTION("""COMPUTED_VALUE"""),0)</f>
        <v>0</v>
      </c>
      <c r="V293" s="23">
        <f ca="1">IFERROR(__xludf.DUMMYFUNCTION("""COMPUTED_VALUE"""),0)</f>
        <v>0</v>
      </c>
      <c r="W293" s="23">
        <f ca="1">IFERROR(__xludf.DUMMYFUNCTION("""COMPUTED_VALUE"""),0)</f>
        <v>0</v>
      </c>
      <c r="X293" s="23">
        <f ca="1">IFERROR(__xludf.DUMMYFUNCTION("""COMPUTED_VALUE"""),0)</f>
        <v>0</v>
      </c>
      <c r="Y293" s="25">
        <f ca="1">IFERROR(__xludf.DUMMYFUNCTION("""COMPUTED_VALUE"""),0)</f>
        <v>0</v>
      </c>
      <c r="Z293" s="25">
        <f ca="1">IFERROR(__xludf.DUMMYFUNCTION("""COMPUTED_VALUE"""),0)</f>
        <v>0</v>
      </c>
      <c r="AA293" s="25">
        <f ca="1">IFERROR(__xludf.DUMMYFUNCTION("""COMPUTED_VALUE"""),0)</f>
        <v>0</v>
      </c>
      <c r="AB293" s="25">
        <f ca="1">IFERROR(__xludf.DUMMYFUNCTION("""COMPUTED_VALUE"""),0)</f>
        <v>0</v>
      </c>
      <c r="AC293" s="23">
        <f ca="1">IFERROR(__xludf.DUMMYFUNCTION("""COMPUTED_VALUE"""),0)</f>
        <v>0</v>
      </c>
      <c r="AD293" s="26"/>
      <c r="AE293" s="27"/>
    </row>
    <row r="294" spans="1:31" ht="14.3">
      <c r="A294" s="18" t="str">
        <f ca="1">IFERROR(__xludf.DUMMYFUNCTION("""COMPUTED_VALUE"""),"22SDSCE01051")</f>
        <v>22SDSCE01051</v>
      </c>
      <c r="B294" s="19" t="str">
        <f ca="1">IFERROR(__xludf.DUMMYFUNCTION("""COMPUTED_VALUE"""),"KACHHADIYA KRISH VITTHALBHAI")</f>
        <v>KACHHADIYA KRISH VITTHALBHAI</v>
      </c>
      <c r="C294" s="18" t="str">
        <f ca="1">IFERROR(__xludf.DUMMYFUNCTION("""COMPUTED_VALUE"""),"SDS")</f>
        <v>SDS</v>
      </c>
      <c r="D294" s="18" t="str">
        <f ca="1">IFERROR(__xludf.DUMMYFUNCTION("""COMPUTED_VALUE"""),"DCE")</f>
        <v>DCE</v>
      </c>
      <c r="E294" s="25">
        <f ca="1">IFERROR(__xludf.DUMMYFUNCTION("""COMPUTED_VALUE"""),4)</f>
        <v>4</v>
      </c>
      <c r="F294" s="18" t="str">
        <f ca="1">IFERROR(__xludf.DUMMYFUNCTION("""COMPUTED_VALUE"""),"8849793479 8200747973")</f>
        <v>8849793479 8200747973</v>
      </c>
      <c r="G294" s="18" t="str">
        <f ca="1">IFERROR(__xludf.DUMMYFUNCTION("""COMPUTED_VALUE"""),"8849793479 8200747973")</f>
        <v>8849793479 8200747973</v>
      </c>
      <c r="H294" s="6" t="str">
        <f ca="1">IFERROR(__xludf.DUMMYFUNCTION("""COMPUTED_VALUE"""),"DCE_2022-25")</f>
        <v>DCE_2022-25</v>
      </c>
      <c r="I294" s="20" t="str">
        <f ca="1">IFERROR(__xludf.DUMMYFUNCTION("""COMPUTED_VALUE"""),"MYSY")</f>
        <v>MYSY</v>
      </c>
      <c r="J294" s="21">
        <f ca="1">IFERROR(__xludf.DUMMYFUNCTION("""COMPUTED_VALUE"""),25000)</f>
        <v>25000</v>
      </c>
      <c r="K294" s="21">
        <f ca="1">IFERROR(__xludf.DUMMYFUNCTION("""COMPUTED_VALUE"""),0)</f>
        <v>0</v>
      </c>
      <c r="L294" s="21">
        <f ca="1">IFERROR(__xludf.DUMMYFUNCTION("""COMPUTED_VALUE"""),0)</f>
        <v>0</v>
      </c>
      <c r="M294" s="23">
        <f ca="1">IFERROR(__xludf.DUMMYFUNCTION("""COMPUTED_VALUE"""),0)</f>
        <v>0</v>
      </c>
      <c r="N294" s="21">
        <f ca="1">IFERROR(__xludf.DUMMYFUNCTION("""COMPUTED_VALUE"""),25000)</f>
        <v>25000</v>
      </c>
      <c r="O294" s="21">
        <f ca="1">IFERROR(__xludf.DUMMYFUNCTION("""COMPUTED_VALUE"""),3000)</f>
        <v>3000</v>
      </c>
      <c r="P294" s="21">
        <f ca="1">IFERROR(__xludf.DUMMYFUNCTION("""COMPUTED_VALUE"""),3000)</f>
        <v>3000</v>
      </c>
      <c r="Q294" s="23">
        <f ca="1">IFERROR(__xludf.DUMMYFUNCTION("""COMPUTED_VALUE"""),0)</f>
        <v>0</v>
      </c>
      <c r="R294" s="24">
        <f ca="1">IFERROR(__xludf.DUMMYFUNCTION("""COMPUTED_VALUE"""),0)</f>
        <v>0</v>
      </c>
      <c r="S294" s="23">
        <f ca="1">IFERROR(__xludf.DUMMYFUNCTION("""COMPUTED_VALUE"""),0)</f>
        <v>0</v>
      </c>
      <c r="T294" s="24">
        <f ca="1">IFERROR(__xludf.DUMMYFUNCTION("""COMPUTED_VALUE"""),0)</f>
        <v>0</v>
      </c>
      <c r="U294" s="23">
        <f ca="1">IFERROR(__xludf.DUMMYFUNCTION("""COMPUTED_VALUE"""),0)</f>
        <v>0</v>
      </c>
      <c r="V294" s="23">
        <f ca="1">IFERROR(__xludf.DUMMYFUNCTION("""COMPUTED_VALUE"""),0)</f>
        <v>0</v>
      </c>
      <c r="W294" s="23">
        <f ca="1">IFERROR(__xludf.DUMMYFUNCTION("""COMPUTED_VALUE"""),0)</f>
        <v>0</v>
      </c>
      <c r="X294" s="23">
        <f ca="1">IFERROR(__xludf.DUMMYFUNCTION("""COMPUTED_VALUE"""),0)</f>
        <v>0</v>
      </c>
      <c r="Y294" s="25">
        <f ca="1">IFERROR(__xludf.DUMMYFUNCTION("""COMPUTED_VALUE"""),0)</f>
        <v>0</v>
      </c>
      <c r="Z294" s="25">
        <f ca="1">IFERROR(__xludf.DUMMYFUNCTION("""COMPUTED_VALUE"""),0)</f>
        <v>0</v>
      </c>
      <c r="AA294" s="25">
        <f ca="1">IFERROR(__xludf.DUMMYFUNCTION("""COMPUTED_VALUE"""),0)</f>
        <v>0</v>
      </c>
      <c r="AB294" s="25">
        <f ca="1">IFERROR(__xludf.DUMMYFUNCTION("""COMPUTED_VALUE"""),0)</f>
        <v>0</v>
      </c>
      <c r="AC294" s="23">
        <f ca="1">IFERROR(__xludf.DUMMYFUNCTION("""COMPUTED_VALUE"""),0)</f>
        <v>0</v>
      </c>
      <c r="AD294" s="26" t="str">
        <f ca="1">IFERROR(__xludf.DUMMYFUNCTION("""COMPUTED_VALUE"""),"KSPS(25%) + MYSY(50%) ")</f>
        <v xml:space="preserve">KSPS(25%) + MYSY(50%) </v>
      </c>
      <c r="AE294" s="27"/>
    </row>
    <row r="295" spans="1:31" ht="14.3">
      <c r="A295" s="18" t="str">
        <f ca="1">IFERROR(__xludf.DUMMYFUNCTION("""COMPUTED_VALUE"""),"22SDSCE01053")</f>
        <v>22SDSCE01053</v>
      </c>
      <c r="B295" s="19" t="str">
        <f ca="1">IFERROR(__xludf.DUMMYFUNCTION("""COMPUTED_VALUE"""),"KIKANI RAJ KISHORBHAI")</f>
        <v>KIKANI RAJ KISHORBHAI</v>
      </c>
      <c r="C295" s="18" t="str">
        <f ca="1">IFERROR(__xludf.DUMMYFUNCTION("""COMPUTED_VALUE"""),"SDS")</f>
        <v>SDS</v>
      </c>
      <c r="D295" s="18" t="str">
        <f ca="1">IFERROR(__xludf.DUMMYFUNCTION("""COMPUTED_VALUE"""),"DCE")</f>
        <v>DCE</v>
      </c>
      <c r="E295" s="25">
        <f ca="1">IFERROR(__xludf.DUMMYFUNCTION("""COMPUTED_VALUE"""),4)</f>
        <v>4</v>
      </c>
      <c r="F295" s="18" t="str">
        <f ca="1">IFERROR(__xludf.DUMMYFUNCTION("""COMPUTED_VALUE"""),"9106848736 6352799727")</f>
        <v>9106848736 6352799727</v>
      </c>
      <c r="G295" s="18" t="str">
        <f ca="1">IFERROR(__xludf.DUMMYFUNCTION("""COMPUTED_VALUE"""),"9106848736 6352799727")</f>
        <v>9106848736 6352799727</v>
      </c>
      <c r="H295" s="6" t="str">
        <f ca="1">IFERROR(__xludf.DUMMYFUNCTION("""COMPUTED_VALUE"""),"DCE_2022-25")</f>
        <v>DCE_2022-25</v>
      </c>
      <c r="I295" s="20" t="str">
        <f ca="1">IFERROR(__xludf.DUMMYFUNCTION("""COMPUTED_VALUE"""),"MYSY")</f>
        <v>MYSY</v>
      </c>
      <c r="J295" s="21">
        <f ca="1">IFERROR(__xludf.DUMMYFUNCTION("""COMPUTED_VALUE"""),25000)</f>
        <v>25000</v>
      </c>
      <c r="K295" s="21">
        <f ca="1">IFERROR(__xludf.DUMMYFUNCTION("""COMPUTED_VALUE"""),0)</f>
        <v>0</v>
      </c>
      <c r="L295" s="21">
        <f ca="1">IFERROR(__xludf.DUMMYFUNCTION("""COMPUTED_VALUE"""),0)</f>
        <v>0</v>
      </c>
      <c r="M295" s="23">
        <f ca="1">IFERROR(__xludf.DUMMYFUNCTION("""COMPUTED_VALUE"""),0)</f>
        <v>0</v>
      </c>
      <c r="N295" s="21">
        <f ca="1">IFERROR(__xludf.DUMMYFUNCTION("""COMPUTED_VALUE"""),25000)</f>
        <v>25000</v>
      </c>
      <c r="O295" s="21">
        <f ca="1">IFERROR(__xludf.DUMMYFUNCTION("""COMPUTED_VALUE"""),3000)</f>
        <v>3000</v>
      </c>
      <c r="P295" s="21">
        <f ca="1">IFERROR(__xludf.DUMMYFUNCTION("""COMPUTED_VALUE"""),3000)</f>
        <v>3000</v>
      </c>
      <c r="Q295" s="23">
        <f ca="1">IFERROR(__xludf.DUMMYFUNCTION("""COMPUTED_VALUE"""),0)</f>
        <v>0</v>
      </c>
      <c r="R295" s="24">
        <f ca="1">IFERROR(__xludf.DUMMYFUNCTION("""COMPUTED_VALUE"""),0)</f>
        <v>0</v>
      </c>
      <c r="S295" s="23">
        <f ca="1">IFERROR(__xludf.DUMMYFUNCTION("""COMPUTED_VALUE"""),0)</f>
        <v>0</v>
      </c>
      <c r="T295" s="24">
        <f ca="1">IFERROR(__xludf.DUMMYFUNCTION("""COMPUTED_VALUE"""),0)</f>
        <v>0</v>
      </c>
      <c r="U295" s="23">
        <f ca="1">IFERROR(__xludf.DUMMYFUNCTION("""COMPUTED_VALUE"""),0)</f>
        <v>0</v>
      </c>
      <c r="V295" s="23">
        <f ca="1">IFERROR(__xludf.DUMMYFUNCTION("""COMPUTED_VALUE"""),0)</f>
        <v>0</v>
      </c>
      <c r="W295" s="23">
        <f ca="1">IFERROR(__xludf.DUMMYFUNCTION("""COMPUTED_VALUE"""),0)</f>
        <v>0</v>
      </c>
      <c r="X295" s="23">
        <f ca="1">IFERROR(__xludf.DUMMYFUNCTION("""COMPUTED_VALUE"""),0)</f>
        <v>0</v>
      </c>
      <c r="Y295" s="25">
        <f ca="1">IFERROR(__xludf.DUMMYFUNCTION("""COMPUTED_VALUE"""),0)</f>
        <v>0</v>
      </c>
      <c r="Z295" s="25">
        <f ca="1">IFERROR(__xludf.DUMMYFUNCTION("""COMPUTED_VALUE"""),0)</f>
        <v>0</v>
      </c>
      <c r="AA295" s="25">
        <f ca="1">IFERROR(__xludf.DUMMYFUNCTION("""COMPUTED_VALUE"""),0)</f>
        <v>0</v>
      </c>
      <c r="AB295" s="25">
        <f ca="1">IFERROR(__xludf.DUMMYFUNCTION("""COMPUTED_VALUE"""),0)</f>
        <v>0</v>
      </c>
      <c r="AC295" s="23">
        <f ca="1">IFERROR(__xludf.DUMMYFUNCTION("""COMPUTED_VALUE"""),0)</f>
        <v>0</v>
      </c>
      <c r="AD295" s="26" t="str">
        <f ca="1">IFERROR(__xludf.DUMMYFUNCTION("""COMPUTED_VALUE"""),"KSPS(25%) + MYSY(50%) ")</f>
        <v xml:space="preserve">KSPS(25%) + MYSY(50%) </v>
      </c>
      <c r="AE295" s="27"/>
    </row>
    <row r="296" spans="1:31" ht="14.3">
      <c r="A296" s="18" t="str">
        <f ca="1">IFERROR(__xludf.DUMMYFUNCTION("""COMPUTED_VALUE"""),"22SDSCE01054")</f>
        <v>22SDSCE01054</v>
      </c>
      <c r="B296" s="19" t="str">
        <f ca="1">IFERROR(__xludf.DUMMYFUNCTION("""COMPUTED_VALUE"""),"KOTADIYA SHUBHAM JENTIBHAI")</f>
        <v>KOTADIYA SHUBHAM JENTIBHAI</v>
      </c>
      <c r="C296" s="18" t="str">
        <f ca="1">IFERROR(__xludf.DUMMYFUNCTION("""COMPUTED_VALUE"""),"SDS")</f>
        <v>SDS</v>
      </c>
      <c r="D296" s="18" t="str">
        <f ca="1">IFERROR(__xludf.DUMMYFUNCTION("""COMPUTED_VALUE"""),"DCE")</f>
        <v>DCE</v>
      </c>
      <c r="E296" s="25">
        <f ca="1">IFERROR(__xludf.DUMMYFUNCTION("""COMPUTED_VALUE"""),4)</f>
        <v>4</v>
      </c>
      <c r="F296" s="18" t="str">
        <f ca="1">IFERROR(__xludf.DUMMYFUNCTION("""COMPUTED_VALUE"""),"9978120865
9879817895")</f>
        <v>9978120865
9879817895</v>
      </c>
      <c r="G296" s="18" t="str">
        <f ca="1">IFERROR(__xludf.DUMMYFUNCTION("""COMPUTED_VALUE"""),"9978120865
9879817895")</f>
        <v>9978120865
9879817895</v>
      </c>
      <c r="H296" s="6" t="str">
        <f ca="1">IFERROR(__xludf.DUMMYFUNCTION("""COMPUTED_VALUE"""),"DCE_2022-25")</f>
        <v>DCE_2022-25</v>
      </c>
      <c r="I296" s="20"/>
      <c r="J296" s="21">
        <f ca="1">IFERROR(__xludf.DUMMYFUNCTION("""COMPUTED_VALUE"""),25000)</f>
        <v>25000</v>
      </c>
      <c r="K296" s="21">
        <f ca="1">IFERROR(__xludf.DUMMYFUNCTION("""COMPUTED_VALUE"""),25000)</f>
        <v>25000</v>
      </c>
      <c r="L296" s="21">
        <f ca="1">IFERROR(__xludf.DUMMYFUNCTION("""COMPUTED_VALUE"""),0)</f>
        <v>0</v>
      </c>
      <c r="M296" s="23">
        <f ca="1">IFERROR(__xludf.DUMMYFUNCTION("""COMPUTED_VALUE"""),0)</f>
        <v>0</v>
      </c>
      <c r="N296" s="21">
        <f ca="1">IFERROR(__xludf.DUMMYFUNCTION("""COMPUTED_VALUE"""),0)</f>
        <v>0</v>
      </c>
      <c r="O296" s="21">
        <f ca="1">IFERROR(__xludf.DUMMYFUNCTION("""COMPUTED_VALUE"""),3000)</f>
        <v>3000</v>
      </c>
      <c r="P296" s="21">
        <f ca="1">IFERROR(__xludf.DUMMYFUNCTION("""COMPUTED_VALUE"""),3000)</f>
        <v>3000</v>
      </c>
      <c r="Q296" s="23">
        <f ca="1">IFERROR(__xludf.DUMMYFUNCTION("""COMPUTED_VALUE"""),0)</f>
        <v>0</v>
      </c>
      <c r="R296" s="24">
        <f ca="1">IFERROR(__xludf.DUMMYFUNCTION("""COMPUTED_VALUE"""),0)</f>
        <v>0</v>
      </c>
      <c r="S296" s="23">
        <f ca="1">IFERROR(__xludf.DUMMYFUNCTION("""COMPUTED_VALUE"""),0)</f>
        <v>0</v>
      </c>
      <c r="T296" s="24">
        <f ca="1">IFERROR(__xludf.DUMMYFUNCTION("""COMPUTED_VALUE"""),0)</f>
        <v>0</v>
      </c>
      <c r="U296" s="23">
        <f ca="1">IFERROR(__xludf.DUMMYFUNCTION("""COMPUTED_VALUE"""),0)</f>
        <v>0</v>
      </c>
      <c r="V296" s="23">
        <f ca="1">IFERROR(__xludf.DUMMYFUNCTION("""COMPUTED_VALUE"""),0)</f>
        <v>0</v>
      </c>
      <c r="W296" s="23">
        <f ca="1">IFERROR(__xludf.DUMMYFUNCTION("""COMPUTED_VALUE"""),0)</f>
        <v>0</v>
      </c>
      <c r="X296" s="23">
        <f ca="1">IFERROR(__xludf.DUMMYFUNCTION("""COMPUTED_VALUE"""),0)</f>
        <v>0</v>
      </c>
      <c r="Y296" s="25">
        <f ca="1">IFERROR(__xludf.DUMMYFUNCTION("""COMPUTED_VALUE"""),0)</f>
        <v>0</v>
      </c>
      <c r="Z296" s="25">
        <f ca="1">IFERROR(__xludf.DUMMYFUNCTION("""COMPUTED_VALUE"""),0)</f>
        <v>0</v>
      </c>
      <c r="AA296" s="25">
        <f ca="1">IFERROR(__xludf.DUMMYFUNCTION("""COMPUTED_VALUE"""),0)</f>
        <v>0</v>
      </c>
      <c r="AB296" s="25">
        <f ca="1">IFERROR(__xludf.DUMMYFUNCTION("""COMPUTED_VALUE"""),0)</f>
        <v>0</v>
      </c>
      <c r="AC296" s="23">
        <f ca="1">IFERROR(__xludf.DUMMYFUNCTION("""COMPUTED_VALUE"""),0)</f>
        <v>0</v>
      </c>
      <c r="AD296" s="26"/>
      <c r="AE296" s="27"/>
    </row>
    <row r="297" spans="1:31" ht="14.3">
      <c r="A297" s="18" t="str">
        <f ca="1">IFERROR(__xludf.DUMMYFUNCTION("""COMPUTED_VALUE"""),"22SDSCE01055")</f>
        <v>22SDSCE01055</v>
      </c>
      <c r="B297" s="19" t="str">
        <f ca="1">IFERROR(__xludf.DUMMYFUNCTION("""COMPUTED_VALUE"""),"KOTADIYA VATSAL KISHORBHAI")</f>
        <v>KOTADIYA VATSAL KISHORBHAI</v>
      </c>
      <c r="C297" s="18" t="str">
        <f ca="1">IFERROR(__xludf.DUMMYFUNCTION("""COMPUTED_VALUE"""),"SDS")</f>
        <v>SDS</v>
      </c>
      <c r="D297" s="18" t="str">
        <f ca="1">IFERROR(__xludf.DUMMYFUNCTION("""COMPUTED_VALUE"""),"DCE")</f>
        <v>DCE</v>
      </c>
      <c r="E297" s="25">
        <f ca="1">IFERROR(__xludf.DUMMYFUNCTION("""COMPUTED_VALUE"""),4)</f>
        <v>4</v>
      </c>
      <c r="F297" s="18" t="str">
        <f ca="1">IFERROR(__xludf.DUMMYFUNCTION("""COMPUTED_VALUE"""),"9316562865 9833676591")</f>
        <v>9316562865 9833676591</v>
      </c>
      <c r="G297" s="18" t="str">
        <f ca="1">IFERROR(__xludf.DUMMYFUNCTION("""COMPUTED_VALUE"""),"9316562865 9833676591")</f>
        <v>9316562865 9833676591</v>
      </c>
      <c r="H297" s="6" t="str">
        <f ca="1">IFERROR(__xludf.DUMMYFUNCTION("""COMPUTED_VALUE"""),"DCE_2022-25")</f>
        <v>DCE_2022-25</v>
      </c>
      <c r="I297" s="20"/>
      <c r="J297" s="21">
        <f ca="1">IFERROR(__xludf.DUMMYFUNCTION("""COMPUTED_VALUE"""),25000)</f>
        <v>25000</v>
      </c>
      <c r="K297" s="21">
        <f ca="1">IFERROR(__xludf.DUMMYFUNCTION("""COMPUTED_VALUE"""),25000)</f>
        <v>25000</v>
      </c>
      <c r="L297" s="21">
        <f ca="1">IFERROR(__xludf.DUMMYFUNCTION("""COMPUTED_VALUE"""),0)</f>
        <v>0</v>
      </c>
      <c r="M297" s="23">
        <f ca="1">IFERROR(__xludf.DUMMYFUNCTION("""COMPUTED_VALUE"""),0)</f>
        <v>0</v>
      </c>
      <c r="N297" s="21">
        <f ca="1">IFERROR(__xludf.DUMMYFUNCTION("""COMPUTED_VALUE"""),0)</f>
        <v>0</v>
      </c>
      <c r="O297" s="21">
        <f ca="1">IFERROR(__xludf.DUMMYFUNCTION("""COMPUTED_VALUE"""),3000)</f>
        <v>3000</v>
      </c>
      <c r="P297" s="21">
        <f ca="1">IFERROR(__xludf.DUMMYFUNCTION("""COMPUTED_VALUE"""),3000)</f>
        <v>3000</v>
      </c>
      <c r="Q297" s="23">
        <f ca="1">IFERROR(__xludf.DUMMYFUNCTION("""COMPUTED_VALUE"""),0)</f>
        <v>0</v>
      </c>
      <c r="R297" s="24">
        <f ca="1">IFERROR(__xludf.DUMMYFUNCTION("""COMPUTED_VALUE"""),0)</f>
        <v>0</v>
      </c>
      <c r="S297" s="23">
        <f ca="1">IFERROR(__xludf.DUMMYFUNCTION("""COMPUTED_VALUE"""),0)</f>
        <v>0</v>
      </c>
      <c r="T297" s="24">
        <f ca="1">IFERROR(__xludf.DUMMYFUNCTION("""COMPUTED_VALUE"""),0)</f>
        <v>0</v>
      </c>
      <c r="U297" s="23">
        <f ca="1">IFERROR(__xludf.DUMMYFUNCTION("""COMPUTED_VALUE"""),0)</f>
        <v>0</v>
      </c>
      <c r="V297" s="23">
        <f ca="1">IFERROR(__xludf.DUMMYFUNCTION("""COMPUTED_VALUE"""),0)</f>
        <v>0</v>
      </c>
      <c r="W297" s="23">
        <f ca="1">IFERROR(__xludf.DUMMYFUNCTION("""COMPUTED_VALUE"""),0)</f>
        <v>0</v>
      </c>
      <c r="X297" s="23">
        <f ca="1">IFERROR(__xludf.DUMMYFUNCTION("""COMPUTED_VALUE"""),0)</f>
        <v>0</v>
      </c>
      <c r="Y297" s="25">
        <f ca="1">IFERROR(__xludf.DUMMYFUNCTION("""COMPUTED_VALUE"""),0)</f>
        <v>0</v>
      </c>
      <c r="Z297" s="25">
        <f ca="1">IFERROR(__xludf.DUMMYFUNCTION("""COMPUTED_VALUE"""),0)</f>
        <v>0</v>
      </c>
      <c r="AA297" s="25">
        <f ca="1">IFERROR(__xludf.DUMMYFUNCTION("""COMPUTED_VALUE"""),0)</f>
        <v>0</v>
      </c>
      <c r="AB297" s="25">
        <f ca="1">IFERROR(__xludf.DUMMYFUNCTION("""COMPUTED_VALUE"""),0)</f>
        <v>0</v>
      </c>
      <c r="AC297" s="23">
        <f ca="1">IFERROR(__xludf.DUMMYFUNCTION("""COMPUTED_VALUE"""),0)</f>
        <v>0</v>
      </c>
      <c r="AD297" s="26"/>
      <c r="AE297" s="27"/>
    </row>
    <row r="298" spans="1:31" ht="14.3">
      <c r="A298" s="18" t="str">
        <f ca="1">IFERROR(__xludf.DUMMYFUNCTION("""COMPUTED_VALUE"""),"22SDSCE01056")</f>
        <v>22SDSCE01056</v>
      </c>
      <c r="B298" s="19" t="str">
        <f ca="1">IFERROR(__xludf.DUMMYFUNCTION("""COMPUTED_VALUE"""),"KOTAK NIKHIL PANKAJBHAI")</f>
        <v>KOTAK NIKHIL PANKAJBHAI</v>
      </c>
      <c r="C298" s="18" t="str">
        <f ca="1">IFERROR(__xludf.DUMMYFUNCTION("""COMPUTED_VALUE"""),"SDS")</f>
        <v>SDS</v>
      </c>
      <c r="D298" s="18" t="str">
        <f ca="1">IFERROR(__xludf.DUMMYFUNCTION("""COMPUTED_VALUE"""),"DCE")</f>
        <v>DCE</v>
      </c>
      <c r="E298" s="25">
        <f ca="1">IFERROR(__xludf.DUMMYFUNCTION("""COMPUTED_VALUE"""),4)</f>
        <v>4</v>
      </c>
      <c r="F298" s="18" t="str">
        <f ca="1">IFERROR(__xludf.DUMMYFUNCTION("""COMPUTED_VALUE"""),"6353050513
9276557605")</f>
        <v>6353050513
9276557605</v>
      </c>
      <c r="G298" s="18" t="str">
        <f ca="1">IFERROR(__xludf.DUMMYFUNCTION("""COMPUTED_VALUE"""),"6353050513
9276557605")</f>
        <v>6353050513
9276557605</v>
      </c>
      <c r="H298" s="6" t="str">
        <f ca="1">IFERROR(__xludf.DUMMYFUNCTION("""COMPUTED_VALUE"""),"DCE_2022-25")</f>
        <v>DCE_2022-25</v>
      </c>
      <c r="I298" s="20" t="str">
        <f ca="1">IFERROR(__xludf.DUMMYFUNCTION("""COMPUTED_VALUE"""),"MYSY")</f>
        <v>MYSY</v>
      </c>
      <c r="J298" s="21">
        <f ca="1">IFERROR(__xludf.DUMMYFUNCTION("""COMPUTED_VALUE"""),25000)</f>
        <v>25000</v>
      </c>
      <c r="K298" s="21">
        <f ca="1">IFERROR(__xludf.DUMMYFUNCTION("""COMPUTED_VALUE"""),0)</f>
        <v>0</v>
      </c>
      <c r="L298" s="21">
        <f ca="1">IFERROR(__xludf.DUMMYFUNCTION("""COMPUTED_VALUE"""),0)</f>
        <v>0</v>
      </c>
      <c r="M298" s="23">
        <f ca="1">IFERROR(__xludf.DUMMYFUNCTION("""COMPUTED_VALUE"""),0)</f>
        <v>0</v>
      </c>
      <c r="N298" s="21">
        <f ca="1">IFERROR(__xludf.DUMMYFUNCTION("""COMPUTED_VALUE"""),25000)</f>
        <v>25000</v>
      </c>
      <c r="O298" s="21">
        <f ca="1">IFERROR(__xludf.DUMMYFUNCTION("""COMPUTED_VALUE"""),3000)</f>
        <v>3000</v>
      </c>
      <c r="P298" s="21">
        <f ca="1">IFERROR(__xludf.DUMMYFUNCTION("""COMPUTED_VALUE"""),3000)</f>
        <v>3000</v>
      </c>
      <c r="Q298" s="23">
        <f ca="1">IFERROR(__xludf.DUMMYFUNCTION("""COMPUTED_VALUE"""),0)</f>
        <v>0</v>
      </c>
      <c r="R298" s="24">
        <f ca="1">IFERROR(__xludf.DUMMYFUNCTION("""COMPUTED_VALUE"""),0)</f>
        <v>0</v>
      </c>
      <c r="S298" s="23">
        <f ca="1">IFERROR(__xludf.DUMMYFUNCTION("""COMPUTED_VALUE"""),0)</f>
        <v>0</v>
      </c>
      <c r="T298" s="24">
        <f ca="1">IFERROR(__xludf.DUMMYFUNCTION("""COMPUTED_VALUE"""),0)</f>
        <v>0</v>
      </c>
      <c r="U298" s="23">
        <f ca="1">IFERROR(__xludf.DUMMYFUNCTION("""COMPUTED_VALUE"""),0)</f>
        <v>0</v>
      </c>
      <c r="V298" s="23">
        <f ca="1">IFERROR(__xludf.DUMMYFUNCTION("""COMPUTED_VALUE"""),0)</f>
        <v>0</v>
      </c>
      <c r="W298" s="23">
        <f ca="1">IFERROR(__xludf.DUMMYFUNCTION("""COMPUTED_VALUE"""),0)</f>
        <v>0</v>
      </c>
      <c r="X298" s="23">
        <f ca="1">IFERROR(__xludf.DUMMYFUNCTION("""COMPUTED_VALUE"""),0)</f>
        <v>0</v>
      </c>
      <c r="Y298" s="25">
        <f ca="1">IFERROR(__xludf.DUMMYFUNCTION("""COMPUTED_VALUE"""),0)</f>
        <v>0</v>
      </c>
      <c r="Z298" s="25">
        <f ca="1">IFERROR(__xludf.DUMMYFUNCTION("""COMPUTED_VALUE"""),0)</f>
        <v>0</v>
      </c>
      <c r="AA298" s="25">
        <f ca="1">IFERROR(__xludf.DUMMYFUNCTION("""COMPUTED_VALUE"""),0)</f>
        <v>0</v>
      </c>
      <c r="AB298" s="25">
        <f ca="1">IFERROR(__xludf.DUMMYFUNCTION("""COMPUTED_VALUE"""),0)</f>
        <v>0</v>
      </c>
      <c r="AC298" s="23">
        <f ca="1">IFERROR(__xludf.DUMMYFUNCTION("""COMPUTED_VALUE"""),0)</f>
        <v>0</v>
      </c>
      <c r="AD298" s="26" t="str">
        <f ca="1">IFERROR(__xludf.DUMMYFUNCTION("""COMPUTED_VALUE"""),"KSPS(25%) + MYSY(50%)")</f>
        <v>KSPS(25%) + MYSY(50%)</v>
      </c>
      <c r="AE298" s="27"/>
    </row>
    <row r="299" spans="1:31" ht="14.3">
      <c r="A299" s="18" t="str">
        <f ca="1">IFERROR(__xludf.DUMMYFUNCTION("""COMPUTED_VALUE"""),"22SDSCE01058")</f>
        <v>22SDSCE01058</v>
      </c>
      <c r="B299" s="19" t="str">
        <f ca="1">IFERROR(__xludf.DUMMYFUNCTION("""COMPUTED_VALUE"""),"LATHIGARA ARYAN KALPESHBHAI")</f>
        <v>LATHIGARA ARYAN KALPESHBHAI</v>
      </c>
      <c r="C299" s="18" t="str">
        <f ca="1">IFERROR(__xludf.DUMMYFUNCTION("""COMPUTED_VALUE"""),"SDS")</f>
        <v>SDS</v>
      </c>
      <c r="D299" s="18" t="str">
        <f ca="1">IFERROR(__xludf.DUMMYFUNCTION("""COMPUTED_VALUE"""),"DCE")</f>
        <v>DCE</v>
      </c>
      <c r="E299" s="25">
        <f ca="1">IFERROR(__xludf.DUMMYFUNCTION("""COMPUTED_VALUE"""),4)</f>
        <v>4</v>
      </c>
      <c r="F299" s="18" t="str">
        <f ca="1">IFERROR(__xludf.DUMMYFUNCTION("""COMPUTED_VALUE"""),"9978912034 9924527753")</f>
        <v>9978912034 9924527753</v>
      </c>
      <c r="G299" s="18" t="str">
        <f ca="1">IFERROR(__xludf.DUMMYFUNCTION("""COMPUTED_VALUE"""),"9978912034 9924527753")</f>
        <v>9978912034 9924527753</v>
      </c>
      <c r="H299" s="6" t="str">
        <f ca="1">IFERROR(__xludf.DUMMYFUNCTION("""COMPUTED_VALUE"""),"DCE_2022-25")</f>
        <v>DCE_2022-25</v>
      </c>
      <c r="I299" s="20" t="str">
        <f ca="1">IFERROR(__xludf.DUMMYFUNCTION("""COMPUTED_VALUE"""),"MYSY")</f>
        <v>MYSY</v>
      </c>
      <c r="J299" s="21">
        <f ca="1">IFERROR(__xludf.DUMMYFUNCTION("""COMPUTED_VALUE"""),25000)</f>
        <v>25000</v>
      </c>
      <c r="K299" s="21">
        <f ca="1">IFERROR(__xludf.DUMMYFUNCTION("""COMPUTED_VALUE"""),0)</f>
        <v>0</v>
      </c>
      <c r="L299" s="21">
        <f ca="1">IFERROR(__xludf.DUMMYFUNCTION("""COMPUTED_VALUE"""),0)</f>
        <v>0</v>
      </c>
      <c r="M299" s="23">
        <f ca="1">IFERROR(__xludf.DUMMYFUNCTION("""COMPUTED_VALUE"""),0)</f>
        <v>0</v>
      </c>
      <c r="N299" s="21">
        <f ca="1">IFERROR(__xludf.DUMMYFUNCTION("""COMPUTED_VALUE"""),25000)</f>
        <v>25000</v>
      </c>
      <c r="O299" s="21">
        <f ca="1">IFERROR(__xludf.DUMMYFUNCTION("""COMPUTED_VALUE"""),3000)</f>
        <v>3000</v>
      </c>
      <c r="P299" s="21">
        <f ca="1">IFERROR(__xludf.DUMMYFUNCTION("""COMPUTED_VALUE"""),3000)</f>
        <v>3000</v>
      </c>
      <c r="Q299" s="23">
        <f ca="1">IFERROR(__xludf.DUMMYFUNCTION("""COMPUTED_VALUE"""),0)</f>
        <v>0</v>
      </c>
      <c r="R299" s="24">
        <f ca="1">IFERROR(__xludf.DUMMYFUNCTION("""COMPUTED_VALUE"""),0)</f>
        <v>0</v>
      </c>
      <c r="S299" s="23">
        <f ca="1">IFERROR(__xludf.DUMMYFUNCTION("""COMPUTED_VALUE"""),0)</f>
        <v>0</v>
      </c>
      <c r="T299" s="24">
        <f ca="1">IFERROR(__xludf.DUMMYFUNCTION("""COMPUTED_VALUE"""),0)</f>
        <v>0</v>
      </c>
      <c r="U299" s="23">
        <f ca="1">IFERROR(__xludf.DUMMYFUNCTION("""COMPUTED_VALUE"""),0)</f>
        <v>0</v>
      </c>
      <c r="V299" s="23">
        <f ca="1">IFERROR(__xludf.DUMMYFUNCTION("""COMPUTED_VALUE"""),0)</f>
        <v>0</v>
      </c>
      <c r="W299" s="23">
        <f ca="1">IFERROR(__xludf.DUMMYFUNCTION("""COMPUTED_VALUE"""),0)</f>
        <v>0</v>
      </c>
      <c r="X299" s="23">
        <f ca="1">IFERROR(__xludf.DUMMYFUNCTION("""COMPUTED_VALUE"""),0)</f>
        <v>0</v>
      </c>
      <c r="Y299" s="25">
        <f ca="1">IFERROR(__xludf.DUMMYFUNCTION("""COMPUTED_VALUE"""),0)</f>
        <v>0</v>
      </c>
      <c r="Z299" s="25">
        <f ca="1">IFERROR(__xludf.DUMMYFUNCTION("""COMPUTED_VALUE"""),0)</f>
        <v>0</v>
      </c>
      <c r="AA299" s="25">
        <f ca="1">IFERROR(__xludf.DUMMYFUNCTION("""COMPUTED_VALUE"""),0)</f>
        <v>0</v>
      </c>
      <c r="AB299" s="25">
        <f ca="1">IFERROR(__xludf.DUMMYFUNCTION("""COMPUTED_VALUE"""),0)</f>
        <v>0</v>
      </c>
      <c r="AC299" s="23">
        <f ca="1">IFERROR(__xludf.DUMMYFUNCTION("""COMPUTED_VALUE"""),0)</f>
        <v>0</v>
      </c>
      <c r="AD299" s="26" t="str">
        <f ca="1">IFERROR(__xludf.DUMMYFUNCTION("""COMPUTED_VALUE"""),"KSPS(50%) + MYSY(50%) ")</f>
        <v xml:space="preserve">KSPS(50%) + MYSY(50%) </v>
      </c>
      <c r="AE299" s="27"/>
    </row>
    <row r="300" spans="1:31" ht="14.3">
      <c r="A300" s="18" t="str">
        <f ca="1">IFERROR(__xludf.DUMMYFUNCTION("""COMPUTED_VALUE"""),"22SDSCE01059")</f>
        <v>22SDSCE01059</v>
      </c>
      <c r="B300" s="19" t="str">
        <f ca="1">IFERROR(__xludf.DUMMYFUNCTION("""COMPUTED_VALUE"""),"LIMBANI RAJ SHAILESHBHAI")</f>
        <v>LIMBANI RAJ SHAILESHBHAI</v>
      </c>
      <c r="C300" s="18" t="str">
        <f ca="1">IFERROR(__xludf.DUMMYFUNCTION("""COMPUTED_VALUE"""),"SDS")</f>
        <v>SDS</v>
      </c>
      <c r="D300" s="18" t="str">
        <f ca="1">IFERROR(__xludf.DUMMYFUNCTION("""COMPUTED_VALUE"""),"DCE")</f>
        <v>DCE</v>
      </c>
      <c r="E300" s="25">
        <f ca="1">IFERROR(__xludf.DUMMYFUNCTION("""COMPUTED_VALUE"""),4)</f>
        <v>4</v>
      </c>
      <c r="F300" s="18" t="str">
        <f ca="1">IFERROR(__xludf.DUMMYFUNCTION("""COMPUTED_VALUE"""),"8780040581 9427431981")</f>
        <v>8780040581 9427431981</v>
      </c>
      <c r="G300" s="18" t="str">
        <f ca="1">IFERROR(__xludf.DUMMYFUNCTION("""COMPUTED_VALUE"""),"8780040581 9427431981")</f>
        <v>8780040581 9427431981</v>
      </c>
      <c r="H300" s="6" t="str">
        <f ca="1">IFERROR(__xludf.DUMMYFUNCTION("""COMPUTED_VALUE"""),"DCE_2022-25")</f>
        <v>DCE_2022-25</v>
      </c>
      <c r="I300" s="20" t="str">
        <f ca="1">IFERROR(__xludf.DUMMYFUNCTION("""COMPUTED_VALUE"""),"KSP")</f>
        <v>KSP</v>
      </c>
      <c r="J300" s="21">
        <f ca="1">IFERROR(__xludf.DUMMYFUNCTION("""COMPUTED_VALUE"""),25000)</f>
        <v>25000</v>
      </c>
      <c r="K300" s="21">
        <f ca="1">IFERROR(__xludf.DUMMYFUNCTION("""COMPUTED_VALUE"""),18750)</f>
        <v>18750</v>
      </c>
      <c r="L300" s="21">
        <f ca="1">IFERROR(__xludf.DUMMYFUNCTION("""COMPUTED_VALUE"""),0)</f>
        <v>0</v>
      </c>
      <c r="M300" s="23">
        <f ca="1">IFERROR(__xludf.DUMMYFUNCTION("""COMPUTED_VALUE"""),6250)</f>
        <v>6250</v>
      </c>
      <c r="N300" s="21">
        <f ca="1">IFERROR(__xludf.DUMMYFUNCTION("""COMPUTED_VALUE"""),0)</f>
        <v>0</v>
      </c>
      <c r="O300" s="21">
        <f ca="1">IFERROR(__xludf.DUMMYFUNCTION("""COMPUTED_VALUE"""),3000)</f>
        <v>3000</v>
      </c>
      <c r="P300" s="21">
        <f ca="1">IFERROR(__xludf.DUMMYFUNCTION("""COMPUTED_VALUE"""),3000)</f>
        <v>3000</v>
      </c>
      <c r="Q300" s="23">
        <f ca="1">IFERROR(__xludf.DUMMYFUNCTION("""COMPUTED_VALUE"""),0)</f>
        <v>0</v>
      </c>
      <c r="R300" s="24">
        <f ca="1">IFERROR(__xludf.DUMMYFUNCTION("""COMPUTED_VALUE"""),0)</f>
        <v>0</v>
      </c>
      <c r="S300" s="23">
        <f ca="1">IFERROR(__xludf.DUMMYFUNCTION("""COMPUTED_VALUE"""),0)</f>
        <v>0</v>
      </c>
      <c r="T300" s="24">
        <f ca="1">IFERROR(__xludf.DUMMYFUNCTION("""COMPUTED_VALUE"""),0)</f>
        <v>0</v>
      </c>
      <c r="U300" s="23">
        <f ca="1">IFERROR(__xludf.DUMMYFUNCTION("""COMPUTED_VALUE"""),0)</f>
        <v>0</v>
      </c>
      <c r="V300" s="23">
        <f ca="1">IFERROR(__xludf.DUMMYFUNCTION("""COMPUTED_VALUE"""),0)</f>
        <v>0</v>
      </c>
      <c r="W300" s="23">
        <f ca="1">IFERROR(__xludf.DUMMYFUNCTION("""COMPUTED_VALUE"""),0)</f>
        <v>0</v>
      </c>
      <c r="X300" s="23">
        <f ca="1">IFERROR(__xludf.DUMMYFUNCTION("""COMPUTED_VALUE"""),0)</f>
        <v>0</v>
      </c>
      <c r="Y300" s="25">
        <f ca="1">IFERROR(__xludf.DUMMYFUNCTION("""COMPUTED_VALUE"""),0)</f>
        <v>0</v>
      </c>
      <c r="Z300" s="25">
        <f ca="1">IFERROR(__xludf.DUMMYFUNCTION("""COMPUTED_VALUE"""),0)</f>
        <v>0</v>
      </c>
      <c r="AA300" s="25">
        <f ca="1">IFERROR(__xludf.DUMMYFUNCTION("""COMPUTED_VALUE"""),0)</f>
        <v>0</v>
      </c>
      <c r="AB300" s="25">
        <f ca="1">IFERROR(__xludf.DUMMYFUNCTION("""COMPUTED_VALUE"""),0)</f>
        <v>0</v>
      </c>
      <c r="AC300" s="23">
        <f ca="1">IFERROR(__xludf.DUMMYFUNCTION("""COMPUTED_VALUE"""),0)</f>
        <v>0</v>
      </c>
      <c r="AD300" s="26" t="str">
        <f ca="1">IFERROR(__xludf.DUMMYFUNCTION("""COMPUTED_VALUE"""),"6250 per sem scholarship")</f>
        <v>6250 per sem scholarship</v>
      </c>
      <c r="AE300" s="27"/>
    </row>
    <row r="301" spans="1:31" ht="14.3">
      <c r="A301" s="18" t="str">
        <f ca="1">IFERROR(__xludf.DUMMYFUNCTION("""COMPUTED_VALUE"""),"22SDSCE01060")</f>
        <v>22SDSCE01060</v>
      </c>
      <c r="B301" s="19" t="str">
        <f ca="1">IFERROR(__xludf.DUMMYFUNCTION("""COMPUTED_VALUE"""),"RAMANI UTTAM RAJESHBHAI")</f>
        <v>RAMANI UTTAM RAJESHBHAI</v>
      </c>
      <c r="C301" s="18" t="str">
        <f ca="1">IFERROR(__xludf.DUMMYFUNCTION("""COMPUTED_VALUE"""),"SDS")</f>
        <v>SDS</v>
      </c>
      <c r="D301" s="18" t="str">
        <f ca="1">IFERROR(__xludf.DUMMYFUNCTION("""COMPUTED_VALUE"""),"DCE")</f>
        <v>DCE</v>
      </c>
      <c r="E301" s="25">
        <f ca="1">IFERROR(__xludf.DUMMYFUNCTION("""COMPUTED_VALUE"""),4)</f>
        <v>4</v>
      </c>
      <c r="F301" s="18" t="str">
        <f ca="1">IFERROR(__xludf.DUMMYFUNCTION("""COMPUTED_VALUE"""),"9510894941")</f>
        <v>9510894941</v>
      </c>
      <c r="G301" s="18" t="str">
        <f ca="1">IFERROR(__xludf.DUMMYFUNCTION("""COMPUTED_VALUE"""),"9510894941")</f>
        <v>9510894941</v>
      </c>
      <c r="H301" s="6" t="str">
        <f ca="1">IFERROR(__xludf.DUMMYFUNCTION("""COMPUTED_VALUE"""),"DCE_2022-25")</f>
        <v>DCE_2022-25</v>
      </c>
      <c r="I301" s="20" t="str">
        <f ca="1">IFERROR(__xludf.DUMMYFUNCTION("""COMPUTED_VALUE"""),"TFW")</f>
        <v>TFW</v>
      </c>
      <c r="J301" s="21">
        <f ca="1">IFERROR(__xludf.DUMMYFUNCTION("""COMPUTED_VALUE"""),25000)</f>
        <v>25000</v>
      </c>
      <c r="K301" s="21">
        <f ca="1">IFERROR(__xludf.DUMMYFUNCTION("""COMPUTED_VALUE"""),0)</f>
        <v>0</v>
      </c>
      <c r="L301" s="21">
        <f ca="1">IFERROR(__xludf.DUMMYFUNCTION("""COMPUTED_VALUE"""),0)</f>
        <v>0</v>
      </c>
      <c r="M301" s="23">
        <f ca="1">IFERROR(__xludf.DUMMYFUNCTION("""COMPUTED_VALUE"""),25000)</f>
        <v>25000</v>
      </c>
      <c r="N301" s="21">
        <f ca="1">IFERROR(__xludf.DUMMYFUNCTION("""COMPUTED_VALUE"""),0)</f>
        <v>0</v>
      </c>
      <c r="O301" s="21">
        <f ca="1">IFERROR(__xludf.DUMMYFUNCTION("""COMPUTED_VALUE"""),3000)</f>
        <v>3000</v>
      </c>
      <c r="P301" s="21">
        <f ca="1">IFERROR(__xludf.DUMMYFUNCTION("""COMPUTED_VALUE"""),3000)</f>
        <v>3000</v>
      </c>
      <c r="Q301" s="23">
        <f ca="1">IFERROR(__xludf.DUMMYFUNCTION("""COMPUTED_VALUE"""),0)</f>
        <v>0</v>
      </c>
      <c r="R301" s="24">
        <f ca="1">IFERROR(__xludf.DUMMYFUNCTION("""COMPUTED_VALUE"""),0)</f>
        <v>0</v>
      </c>
      <c r="S301" s="23">
        <f ca="1">IFERROR(__xludf.DUMMYFUNCTION("""COMPUTED_VALUE"""),0)</f>
        <v>0</v>
      </c>
      <c r="T301" s="24">
        <f ca="1">IFERROR(__xludf.DUMMYFUNCTION("""COMPUTED_VALUE"""),0)</f>
        <v>0</v>
      </c>
      <c r="U301" s="23">
        <f ca="1">IFERROR(__xludf.DUMMYFUNCTION("""COMPUTED_VALUE"""),0)</f>
        <v>0</v>
      </c>
      <c r="V301" s="23">
        <f ca="1">IFERROR(__xludf.DUMMYFUNCTION("""COMPUTED_VALUE"""),0)</f>
        <v>0</v>
      </c>
      <c r="W301" s="23">
        <f ca="1">IFERROR(__xludf.DUMMYFUNCTION("""COMPUTED_VALUE"""),0)</f>
        <v>0</v>
      </c>
      <c r="X301" s="23">
        <f ca="1">IFERROR(__xludf.DUMMYFUNCTION("""COMPUTED_VALUE"""),0)</f>
        <v>0</v>
      </c>
      <c r="Y301" s="25">
        <f ca="1">IFERROR(__xludf.DUMMYFUNCTION("""COMPUTED_VALUE"""),0)</f>
        <v>0</v>
      </c>
      <c r="Z301" s="25">
        <f ca="1">IFERROR(__xludf.DUMMYFUNCTION("""COMPUTED_VALUE"""),0)</f>
        <v>0</v>
      </c>
      <c r="AA301" s="25">
        <f ca="1">IFERROR(__xludf.DUMMYFUNCTION("""COMPUTED_VALUE"""),0)</f>
        <v>0</v>
      </c>
      <c r="AB301" s="25">
        <f ca="1">IFERROR(__xludf.DUMMYFUNCTION("""COMPUTED_VALUE"""),0)</f>
        <v>0</v>
      </c>
      <c r="AC301" s="23">
        <f ca="1">IFERROR(__xludf.DUMMYFUNCTION("""COMPUTED_VALUE"""),0)</f>
        <v>0</v>
      </c>
      <c r="AD301" s="26"/>
      <c r="AE301" s="27"/>
    </row>
    <row r="302" spans="1:31" ht="14.3">
      <c r="A302" s="18" t="str">
        <f ca="1">IFERROR(__xludf.DUMMYFUNCTION("""COMPUTED_VALUE"""),"22SDSCE01061")</f>
        <v>22SDSCE01061</v>
      </c>
      <c r="B302" s="19" t="str">
        <f ca="1">IFERROR(__xludf.DUMMYFUNCTION("""COMPUTED_VALUE"""),"RATHOD AVANI SURESHBHAI")</f>
        <v>RATHOD AVANI SURESHBHAI</v>
      </c>
      <c r="C302" s="18" t="str">
        <f ca="1">IFERROR(__xludf.DUMMYFUNCTION("""COMPUTED_VALUE"""),"SDS")</f>
        <v>SDS</v>
      </c>
      <c r="D302" s="18" t="str">
        <f ca="1">IFERROR(__xludf.DUMMYFUNCTION("""COMPUTED_VALUE"""),"DCE")</f>
        <v>DCE</v>
      </c>
      <c r="E302" s="25">
        <f ca="1">IFERROR(__xludf.DUMMYFUNCTION("""COMPUTED_VALUE"""),4)</f>
        <v>4</v>
      </c>
      <c r="F302" s="18" t="str">
        <f ca="1">IFERROR(__xludf.DUMMYFUNCTION("""COMPUTED_VALUE"""),"7069840646 9687140646")</f>
        <v>7069840646 9687140646</v>
      </c>
      <c r="G302" s="18" t="str">
        <f ca="1">IFERROR(__xludf.DUMMYFUNCTION("""COMPUTED_VALUE"""),"7069840646 9687140646")</f>
        <v>7069840646 9687140646</v>
      </c>
      <c r="H302" s="6" t="str">
        <f ca="1">IFERROR(__xludf.DUMMYFUNCTION("""COMPUTED_VALUE"""),"DCE_2022-25")</f>
        <v>DCE_2022-25</v>
      </c>
      <c r="I302" s="20" t="str">
        <f ca="1">IFERROR(__xludf.DUMMYFUNCTION("""COMPUTED_VALUE"""),"MYSY")</f>
        <v>MYSY</v>
      </c>
      <c r="J302" s="21">
        <f ca="1">IFERROR(__xludf.DUMMYFUNCTION("""COMPUTED_VALUE"""),25000)</f>
        <v>25000</v>
      </c>
      <c r="K302" s="21">
        <f ca="1">IFERROR(__xludf.DUMMYFUNCTION("""COMPUTED_VALUE"""),0)</f>
        <v>0</v>
      </c>
      <c r="L302" s="21">
        <f ca="1">IFERROR(__xludf.DUMMYFUNCTION("""COMPUTED_VALUE"""),0)</f>
        <v>0</v>
      </c>
      <c r="M302" s="23">
        <f ca="1">IFERROR(__xludf.DUMMYFUNCTION("""COMPUTED_VALUE"""),0)</f>
        <v>0</v>
      </c>
      <c r="N302" s="21">
        <f ca="1">IFERROR(__xludf.DUMMYFUNCTION("""COMPUTED_VALUE"""),25000)</f>
        <v>25000</v>
      </c>
      <c r="O302" s="21">
        <f ca="1">IFERROR(__xludf.DUMMYFUNCTION("""COMPUTED_VALUE"""),3000)</f>
        <v>3000</v>
      </c>
      <c r="P302" s="21">
        <f ca="1">IFERROR(__xludf.DUMMYFUNCTION("""COMPUTED_VALUE"""),3000)</f>
        <v>3000</v>
      </c>
      <c r="Q302" s="23">
        <f ca="1">IFERROR(__xludf.DUMMYFUNCTION("""COMPUTED_VALUE"""),0)</f>
        <v>0</v>
      </c>
      <c r="R302" s="24">
        <f ca="1">IFERROR(__xludf.DUMMYFUNCTION("""COMPUTED_VALUE"""),0)</f>
        <v>0</v>
      </c>
      <c r="S302" s="23">
        <f ca="1">IFERROR(__xludf.DUMMYFUNCTION("""COMPUTED_VALUE"""),0)</f>
        <v>0</v>
      </c>
      <c r="T302" s="24">
        <f ca="1">IFERROR(__xludf.DUMMYFUNCTION("""COMPUTED_VALUE"""),0)</f>
        <v>0</v>
      </c>
      <c r="U302" s="23">
        <f ca="1">IFERROR(__xludf.DUMMYFUNCTION("""COMPUTED_VALUE"""),0)</f>
        <v>0</v>
      </c>
      <c r="V302" s="23">
        <f ca="1">IFERROR(__xludf.DUMMYFUNCTION("""COMPUTED_VALUE"""),0)</f>
        <v>0</v>
      </c>
      <c r="W302" s="23">
        <f ca="1">IFERROR(__xludf.DUMMYFUNCTION("""COMPUTED_VALUE"""),0)</f>
        <v>0</v>
      </c>
      <c r="X302" s="23">
        <f ca="1">IFERROR(__xludf.DUMMYFUNCTION("""COMPUTED_VALUE"""),0)</f>
        <v>0</v>
      </c>
      <c r="Y302" s="25">
        <f ca="1">IFERROR(__xludf.DUMMYFUNCTION("""COMPUTED_VALUE"""),0)</f>
        <v>0</v>
      </c>
      <c r="Z302" s="25">
        <f ca="1">IFERROR(__xludf.DUMMYFUNCTION("""COMPUTED_VALUE"""),0)</f>
        <v>0</v>
      </c>
      <c r="AA302" s="25">
        <f ca="1">IFERROR(__xludf.DUMMYFUNCTION("""COMPUTED_VALUE"""),0)</f>
        <v>0</v>
      </c>
      <c r="AB302" s="25">
        <f ca="1">IFERROR(__xludf.DUMMYFUNCTION("""COMPUTED_VALUE"""),0)</f>
        <v>0</v>
      </c>
      <c r="AC302" s="23">
        <f ca="1">IFERROR(__xludf.DUMMYFUNCTION("""COMPUTED_VALUE"""),0)</f>
        <v>0</v>
      </c>
      <c r="AD302" s="26" t="str">
        <f ca="1">IFERROR(__xludf.DUMMYFUNCTION("""COMPUTED_VALUE"""),"MYSY(50%) ")</f>
        <v xml:space="preserve">MYSY(50%) </v>
      </c>
      <c r="AE302" s="27"/>
    </row>
    <row r="303" spans="1:31" ht="14.3">
      <c r="A303" s="18" t="str">
        <f ca="1">IFERROR(__xludf.DUMMYFUNCTION("""COMPUTED_VALUE"""),"22SDSCE01062")</f>
        <v>22SDSCE01062</v>
      </c>
      <c r="B303" s="19" t="str">
        <f ca="1">IFERROR(__xludf.DUMMYFUNCTION("""COMPUTED_VALUE"""),"SANCHANIYA SAKSHI TUSHARBHAI")</f>
        <v>SANCHANIYA SAKSHI TUSHARBHAI</v>
      </c>
      <c r="C303" s="18" t="str">
        <f ca="1">IFERROR(__xludf.DUMMYFUNCTION("""COMPUTED_VALUE"""),"SDS")</f>
        <v>SDS</v>
      </c>
      <c r="D303" s="18" t="str">
        <f ca="1">IFERROR(__xludf.DUMMYFUNCTION("""COMPUTED_VALUE"""),"DCE")</f>
        <v>DCE</v>
      </c>
      <c r="E303" s="25">
        <f ca="1">IFERROR(__xludf.DUMMYFUNCTION("""COMPUTED_VALUE"""),4)</f>
        <v>4</v>
      </c>
      <c r="F303" s="18" t="str">
        <f ca="1">IFERROR(__xludf.DUMMYFUNCTION("""COMPUTED_VALUE"""),"9998936880")</f>
        <v>9998936880</v>
      </c>
      <c r="G303" s="18" t="str">
        <f ca="1">IFERROR(__xludf.DUMMYFUNCTION("""COMPUTED_VALUE"""),"9998936880")</f>
        <v>9998936880</v>
      </c>
      <c r="H303" s="6" t="str">
        <f ca="1">IFERROR(__xludf.DUMMYFUNCTION("""COMPUTED_VALUE"""),"DCE_2022-25")</f>
        <v>DCE_2022-25</v>
      </c>
      <c r="I303" s="20"/>
      <c r="J303" s="21">
        <f ca="1">IFERROR(__xludf.DUMMYFUNCTION("""COMPUTED_VALUE"""),25000)</f>
        <v>25000</v>
      </c>
      <c r="K303" s="21">
        <f ca="1">IFERROR(__xludf.DUMMYFUNCTION("""COMPUTED_VALUE"""),25000)</f>
        <v>25000</v>
      </c>
      <c r="L303" s="21">
        <f ca="1">IFERROR(__xludf.DUMMYFUNCTION("""COMPUTED_VALUE"""),0)</f>
        <v>0</v>
      </c>
      <c r="M303" s="23">
        <f ca="1">IFERROR(__xludf.DUMMYFUNCTION("""COMPUTED_VALUE"""),0)</f>
        <v>0</v>
      </c>
      <c r="N303" s="21">
        <f ca="1">IFERROR(__xludf.DUMMYFUNCTION("""COMPUTED_VALUE"""),0)</f>
        <v>0</v>
      </c>
      <c r="O303" s="21">
        <f ca="1">IFERROR(__xludf.DUMMYFUNCTION("""COMPUTED_VALUE"""),3000)</f>
        <v>3000</v>
      </c>
      <c r="P303" s="21">
        <f ca="1">IFERROR(__xludf.DUMMYFUNCTION("""COMPUTED_VALUE"""),3000)</f>
        <v>3000</v>
      </c>
      <c r="Q303" s="23">
        <f ca="1">IFERROR(__xludf.DUMMYFUNCTION("""COMPUTED_VALUE"""),0)</f>
        <v>0</v>
      </c>
      <c r="R303" s="24">
        <f ca="1">IFERROR(__xludf.DUMMYFUNCTION("""COMPUTED_VALUE"""),0)</f>
        <v>0</v>
      </c>
      <c r="S303" s="23">
        <f ca="1">IFERROR(__xludf.DUMMYFUNCTION("""COMPUTED_VALUE"""),0)</f>
        <v>0</v>
      </c>
      <c r="T303" s="24">
        <f ca="1">IFERROR(__xludf.DUMMYFUNCTION("""COMPUTED_VALUE"""),0)</f>
        <v>0</v>
      </c>
      <c r="U303" s="23">
        <f ca="1">IFERROR(__xludf.DUMMYFUNCTION("""COMPUTED_VALUE"""),0)</f>
        <v>0</v>
      </c>
      <c r="V303" s="23">
        <f ca="1">IFERROR(__xludf.DUMMYFUNCTION("""COMPUTED_VALUE"""),0)</f>
        <v>0</v>
      </c>
      <c r="W303" s="23">
        <f ca="1">IFERROR(__xludf.DUMMYFUNCTION("""COMPUTED_VALUE"""),0)</f>
        <v>0</v>
      </c>
      <c r="X303" s="23">
        <f ca="1">IFERROR(__xludf.DUMMYFUNCTION("""COMPUTED_VALUE"""),0)</f>
        <v>0</v>
      </c>
      <c r="Y303" s="25">
        <f ca="1">IFERROR(__xludf.DUMMYFUNCTION("""COMPUTED_VALUE"""),0)</f>
        <v>0</v>
      </c>
      <c r="Z303" s="25">
        <f ca="1">IFERROR(__xludf.DUMMYFUNCTION("""COMPUTED_VALUE"""),0)</f>
        <v>0</v>
      </c>
      <c r="AA303" s="25">
        <f ca="1">IFERROR(__xludf.DUMMYFUNCTION("""COMPUTED_VALUE"""),0)</f>
        <v>0</v>
      </c>
      <c r="AB303" s="25">
        <f ca="1">IFERROR(__xludf.DUMMYFUNCTION("""COMPUTED_VALUE"""),0)</f>
        <v>0</v>
      </c>
      <c r="AC303" s="23">
        <f ca="1">IFERROR(__xludf.DUMMYFUNCTION("""COMPUTED_VALUE"""),0)</f>
        <v>0</v>
      </c>
      <c r="AD303" s="26"/>
      <c r="AE303" s="27"/>
    </row>
    <row r="304" spans="1:31" ht="14.3">
      <c r="A304" s="18" t="str">
        <f ca="1">IFERROR(__xludf.DUMMYFUNCTION("""COMPUTED_VALUE"""),"22SDSCE01063")</f>
        <v>22SDSCE01063</v>
      </c>
      <c r="B304" s="19" t="str">
        <f ca="1">IFERROR(__xludf.DUMMYFUNCTION("""COMPUTED_VALUE"""),"TANK DRASHTI ASHOKBHAI")</f>
        <v>TANK DRASHTI ASHOKBHAI</v>
      </c>
      <c r="C304" s="18" t="str">
        <f ca="1">IFERROR(__xludf.DUMMYFUNCTION("""COMPUTED_VALUE"""),"SDS")</f>
        <v>SDS</v>
      </c>
      <c r="D304" s="18" t="str">
        <f ca="1">IFERROR(__xludf.DUMMYFUNCTION("""COMPUTED_VALUE"""),"DCE")</f>
        <v>DCE</v>
      </c>
      <c r="E304" s="25">
        <f ca="1">IFERROR(__xludf.DUMMYFUNCTION("""COMPUTED_VALUE"""),4)</f>
        <v>4</v>
      </c>
      <c r="F304" s="18" t="str">
        <f ca="1">IFERROR(__xludf.DUMMYFUNCTION("""COMPUTED_VALUE"""),"9313229533 9426288184")</f>
        <v>9313229533 9426288184</v>
      </c>
      <c r="G304" s="18" t="str">
        <f ca="1">IFERROR(__xludf.DUMMYFUNCTION("""COMPUTED_VALUE"""),"9313229533 9426288184")</f>
        <v>9313229533 9426288184</v>
      </c>
      <c r="H304" s="6" t="str">
        <f ca="1">IFERROR(__xludf.DUMMYFUNCTION("""COMPUTED_VALUE"""),"DCE_2022-25")</f>
        <v>DCE_2022-25</v>
      </c>
      <c r="I304" s="20" t="str">
        <f ca="1">IFERROR(__xludf.DUMMYFUNCTION("""COMPUTED_VALUE"""),"MYSY")</f>
        <v>MYSY</v>
      </c>
      <c r="J304" s="21">
        <f ca="1">IFERROR(__xludf.DUMMYFUNCTION("""COMPUTED_VALUE"""),25000)</f>
        <v>25000</v>
      </c>
      <c r="K304" s="21">
        <f ca="1">IFERROR(__xludf.DUMMYFUNCTION("""COMPUTED_VALUE"""),12500)</f>
        <v>12500</v>
      </c>
      <c r="L304" s="21">
        <f ca="1">IFERROR(__xludf.DUMMYFUNCTION("""COMPUTED_VALUE"""),0)</f>
        <v>0</v>
      </c>
      <c r="M304" s="23">
        <f ca="1">IFERROR(__xludf.DUMMYFUNCTION("""COMPUTED_VALUE"""),0)</f>
        <v>0</v>
      </c>
      <c r="N304" s="21">
        <f ca="1">IFERROR(__xludf.DUMMYFUNCTION("""COMPUTED_VALUE"""),12500)</f>
        <v>12500</v>
      </c>
      <c r="O304" s="21">
        <f ca="1">IFERROR(__xludf.DUMMYFUNCTION("""COMPUTED_VALUE"""),3000)</f>
        <v>3000</v>
      </c>
      <c r="P304" s="21">
        <f ca="1">IFERROR(__xludf.DUMMYFUNCTION("""COMPUTED_VALUE"""),3000)</f>
        <v>3000</v>
      </c>
      <c r="Q304" s="23">
        <f ca="1">IFERROR(__xludf.DUMMYFUNCTION("""COMPUTED_VALUE"""),0)</f>
        <v>0</v>
      </c>
      <c r="R304" s="24">
        <f ca="1">IFERROR(__xludf.DUMMYFUNCTION("""COMPUTED_VALUE"""),0)</f>
        <v>0</v>
      </c>
      <c r="S304" s="23">
        <f ca="1">IFERROR(__xludf.DUMMYFUNCTION("""COMPUTED_VALUE"""),0)</f>
        <v>0</v>
      </c>
      <c r="T304" s="24">
        <f ca="1">IFERROR(__xludf.DUMMYFUNCTION("""COMPUTED_VALUE"""),0)</f>
        <v>0</v>
      </c>
      <c r="U304" s="23">
        <f ca="1">IFERROR(__xludf.DUMMYFUNCTION("""COMPUTED_VALUE"""),0)</f>
        <v>0</v>
      </c>
      <c r="V304" s="23">
        <f ca="1">IFERROR(__xludf.DUMMYFUNCTION("""COMPUTED_VALUE"""),0)</f>
        <v>0</v>
      </c>
      <c r="W304" s="23">
        <f ca="1">IFERROR(__xludf.DUMMYFUNCTION("""COMPUTED_VALUE"""),0)</f>
        <v>0</v>
      </c>
      <c r="X304" s="23">
        <f ca="1">IFERROR(__xludf.DUMMYFUNCTION("""COMPUTED_VALUE"""),0)</f>
        <v>0</v>
      </c>
      <c r="Y304" s="25">
        <f ca="1">IFERROR(__xludf.DUMMYFUNCTION("""COMPUTED_VALUE"""),0)</f>
        <v>0</v>
      </c>
      <c r="Z304" s="25">
        <f ca="1">IFERROR(__xludf.DUMMYFUNCTION("""COMPUTED_VALUE"""),0)</f>
        <v>0</v>
      </c>
      <c r="AA304" s="25">
        <f ca="1">IFERROR(__xludf.DUMMYFUNCTION("""COMPUTED_VALUE"""),0)</f>
        <v>0</v>
      </c>
      <c r="AB304" s="25">
        <f ca="1">IFERROR(__xludf.DUMMYFUNCTION("""COMPUTED_VALUE"""),0)</f>
        <v>0</v>
      </c>
      <c r="AC304" s="23">
        <f ca="1">IFERROR(__xludf.DUMMYFUNCTION("""COMPUTED_VALUE"""),0)</f>
        <v>0</v>
      </c>
      <c r="AD304" s="26" t="str">
        <f ca="1">IFERROR(__xludf.DUMMYFUNCTION("""COMPUTED_VALUE"""),"KSPS(25%) + MYSY(50%)")</f>
        <v>KSPS(25%) + MYSY(50%)</v>
      </c>
      <c r="AE304" s="27"/>
    </row>
    <row r="305" spans="1:31" ht="14.3">
      <c r="A305" s="18" t="str">
        <f ca="1">IFERROR(__xludf.DUMMYFUNCTION("""COMPUTED_VALUE"""),"22SDSCE01198")</f>
        <v>22SDSCE01198</v>
      </c>
      <c r="B305" s="19" t="str">
        <f ca="1">IFERROR(__xludf.DUMMYFUNCTION("""COMPUTED_VALUE"""),"BHATT BHARGAV VIPULBHAI")</f>
        <v>BHATT BHARGAV VIPULBHAI</v>
      </c>
      <c r="C305" s="18" t="str">
        <f ca="1">IFERROR(__xludf.DUMMYFUNCTION("""COMPUTED_VALUE"""),"SDS")</f>
        <v>SDS</v>
      </c>
      <c r="D305" s="18" t="str">
        <f ca="1">IFERROR(__xludf.DUMMYFUNCTION("""COMPUTED_VALUE"""),"DCE")</f>
        <v>DCE</v>
      </c>
      <c r="E305" s="25">
        <f ca="1">IFERROR(__xludf.DUMMYFUNCTION("""COMPUTED_VALUE"""),4)</f>
        <v>4</v>
      </c>
      <c r="F305" s="18" t="str">
        <f ca="1">IFERROR(__xludf.DUMMYFUNCTION("""COMPUTED_VALUE"""),"9067024265 8000562815")</f>
        <v>9067024265 8000562815</v>
      </c>
      <c r="G305" s="18" t="str">
        <f ca="1">IFERROR(__xludf.DUMMYFUNCTION("""COMPUTED_VALUE"""),"9067024265 8000562815")</f>
        <v>9067024265 8000562815</v>
      </c>
      <c r="H305" s="6" t="str">
        <f ca="1">IFERROR(__xludf.DUMMYFUNCTION("""COMPUTED_VALUE"""),"DCE_2022-25")</f>
        <v>DCE_2022-25</v>
      </c>
      <c r="I305" s="20"/>
      <c r="J305" s="21">
        <f ca="1">IFERROR(__xludf.DUMMYFUNCTION("""COMPUTED_VALUE"""),25000)</f>
        <v>25000</v>
      </c>
      <c r="K305" s="21">
        <f ca="1">IFERROR(__xludf.DUMMYFUNCTION("""COMPUTED_VALUE"""),0)</f>
        <v>0</v>
      </c>
      <c r="L305" s="21">
        <f ca="1">IFERROR(__xludf.DUMMYFUNCTION("""COMPUTED_VALUE"""),0)</f>
        <v>0</v>
      </c>
      <c r="M305" s="23">
        <f ca="1">IFERROR(__xludf.DUMMYFUNCTION("""COMPUTED_VALUE"""),0)</f>
        <v>0</v>
      </c>
      <c r="N305" s="21">
        <f ca="1">IFERROR(__xludf.DUMMYFUNCTION("""COMPUTED_VALUE"""),25000)</f>
        <v>25000</v>
      </c>
      <c r="O305" s="21">
        <f ca="1">IFERROR(__xludf.DUMMYFUNCTION("""COMPUTED_VALUE"""),3000)</f>
        <v>3000</v>
      </c>
      <c r="P305" s="21">
        <f ca="1">IFERROR(__xludf.DUMMYFUNCTION("""COMPUTED_VALUE"""),0)</f>
        <v>0</v>
      </c>
      <c r="Q305" s="23">
        <f ca="1">IFERROR(__xludf.DUMMYFUNCTION("""COMPUTED_VALUE"""),0)</f>
        <v>0</v>
      </c>
      <c r="R305" s="24">
        <f ca="1">IFERROR(__xludf.DUMMYFUNCTION("""COMPUTED_VALUE"""),0)</f>
        <v>0</v>
      </c>
      <c r="S305" s="23">
        <f ca="1">IFERROR(__xludf.DUMMYFUNCTION("""COMPUTED_VALUE"""),3000)</f>
        <v>3000</v>
      </c>
      <c r="T305" s="24">
        <f ca="1">IFERROR(__xludf.DUMMYFUNCTION("""COMPUTED_VALUE"""),0)</f>
        <v>0</v>
      </c>
      <c r="U305" s="23">
        <f ca="1">IFERROR(__xludf.DUMMYFUNCTION("""COMPUTED_VALUE"""),0)</f>
        <v>0</v>
      </c>
      <c r="V305" s="23">
        <f ca="1">IFERROR(__xludf.DUMMYFUNCTION("""COMPUTED_VALUE"""),0)</f>
        <v>0</v>
      </c>
      <c r="W305" s="23">
        <f ca="1">IFERROR(__xludf.DUMMYFUNCTION("""COMPUTED_VALUE"""),0)</f>
        <v>0</v>
      </c>
      <c r="X305" s="23">
        <f ca="1">IFERROR(__xludf.DUMMYFUNCTION("""COMPUTED_VALUE"""),0)</f>
        <v>0</v>
      </c>
      <c r="Y305" s="25">
        <f ca="1">IFERROR(__xludf.DUMMYFUNCTION("""COMPUTED_VALUE"""),0)</f>
        <v>0</v>
      </c>
      <c r="Z305" s="25">
        <f ca="1">IFERROR(__xludf.DUMMYFUNCTION("""COMPUTED_VALUE"""),0)</f>
        <v>0</v>
      </c>
      <c r="AA305" s="25">
        <f ca="1">IFERROR(__xludf.DUMMYFUNCTION("""COMPUTED_VALUE"""),0)</f>
        <v>0</v>
      </c>
      <c r="AB305" s="25">
        <f ca="1">IFERROR(__xludf.DUMMYFUNCTION("""COMPUTED_VALUE"""),0)</f>
        <v>0</v>
      </c>
      <c r="AC305" s="23">
        <f ca="1">IFERROR(__xludf.DUMMYFUNCTION("""COMPUTED_VALUE"""),0)</f>
        <v>0</v>
      </c>
      <c r="AD305" s="26"/>
      <c r="AE305" s="27"/>
    </row>
    <row r="306" spans="1:31" ht="14.3">
      <c r="A306" s="18" t="str">
        <f ca="1">IFERROR(__xludf.DUMMYFUNCTION("""COMPUTED_VALUE"""),"22SDSCE01201")</f>
        <v>22SDSCE01201</v>
      </c>
      <c r="B306" s="19" t="str">
        <f ca="1">IFERROR(__xludf.DUMMYFUNCTION("""COMPUTED_VALUE"""),"DUDHREJIYA ROHIT ASHWINBHAI")</f>
        <v>DUDHREJIYA ROHIT ASHWINBHAI</v>
      </c>
      <c r="C306" s="18" t="str">
        <f ca="1">IFERROR(__xludf.DUMMYFUNCTION("""COMPUTED_VALUE"""),"SDS")</f>
        <v>SDS</v>
      </c>
      <c r="D306" s="18" t="str">
        <f ca="1">IFERROR(__xludf.DUMMYFUNCTION("""COMPUTED_VALUE"""),"DCE")</f>
        <v>DCE</v>
      </c>
      <c r="E306" s="25">
        <f ca="1">IFERROR(__xludf.DUMMYFUNCTION("""COMPUTED_VALUE"""),4)</f>
        <v>4</v>
      </c>
      <c r="F306" s="18" t="str">
        <f ca="1">IFERROR(__xludf.DUMMYFUNCTION("""COMPUTED_VALUE"""),"9726103165 9824803165")</f>
        <v>9726103165 9824803165</v>
      </c>
      <c r="G306" s="18" t="str">
        <f ca="1">IFERROR(__xludf.DUMMYFUNCTION("""COMPUTED_VALUE"""),"9726103165 9824803165")</f>
        <v>9726103165 9824803165</v>
      </c>
      <c r="H306" s="6" t="str">
        <f ca="1">IFERROR(__xludf.DUMMYFUNCTION("""COMPUTED_VALUE"""),"DCE_2022-25")</f>
        <v>DCE_2022-25</v>
      </c>
      <c r="I306" s="20"/>
      <c r="J306" s="21">
        <f ca="1">IFERROR(__xludf.DUMMYFUNCTION("""COMPUTED_VALUE"""),25000)</f>
        <v>25000</v>
      </c>
      <c r="K306" s="21">
        <f ca="1">IFERROR(__xludf.DUMMYFUNCTION("""COMPUTED_VALUE"""),25000)</f>
        <v>25000</v>
      </c>
      <c r="L306" s="21">
        <f ca="1">IFERROR(__xludf.DUMMYFUNCTION("""COMPUTED_VALUE"""),0)</f>
        <v>0</v>
      </c>
      <c r="M306" s="23">
        <f ca="1">IFERROR(__xludf.DUMMYFUNCTION("""COMPUTED_VALUE"""),0)</f>
        <v>0</v>
      </c>
      <c r="N306" s="21">
        <f ca="1">IFERROR(__xludf.DUMMYFUNCTION("""COMPUTED_VALUE"""),0)</f>
        <v>0</v>
      </c>
      <c r="O306" s="21">
        <f ca="1">IFERROR(__xludf.DUMMYFUNCTION("""COMPUTED_VALUE"""),3000)</f>
        <v>3000</v>
      </c>
      <c r="P306" s="21">
        <f ca="1">IFERROR(__xludf.DUMMYFUNCTION("""COMPUTED_VALUE"""),3000)</f>
        <v>3000</v>
      </c>
      <c r="Q306" s="23">
        <f ca="1">IFERROR(__xludf.DUMMYFUNCTION("""COMPUTED_VALUE"""),0)</f>
        <v>0</v>
      </c>
      <c r="R306" s="24">
        <f ca="1">IFERROR(__xludf.DUMMYFUNCTION("""COMPUTED_VALUE"""),0)</f>
        <v>0</v>
      </c>
      <c r="S306" s="23">
        <f ca="1">IFERROR(__xludf.DUMMYFUNCTION("""COMPUTED_VALUE"""),0)</f>
        <v>0</v>
      </c>
      <c r="T306" s="24">
        <f ca="1">IFERROR(__xludf.DUMMYFUNCTION("""COMPUTED_VALUE"""),0)</f>
        <v>0</v>
      </c>
      <c r="U306" s="23">
        <f ca="1">IFERROR(__xludf.DUMMYFUNCTION("""COMPUTED_VALUE"""),0)</f>
        <v>0</v>
      </c>
      <c r="V306" s="23">
        <f ca="1">IFERROR(__xludf.DUMMYFUNCTION("""COMPUTED_VALUE"""),0)</f>
        <v>0</v>
      </c>
      <c r="W306" s="23">
        <f ca="1">IFERROR(__xludf.DUMMYFUNCTION("""COMPUTED_VALUE"""),0)</f>
        <v>0</v>
      </c>
      <c r="X306" s="23">
        <f ca="1">IFERROR(__xludf.DUMMYFUNCTION("""COMPUTED_VALUE"""),0)</f>
        <v>0</v>
      </c>
      <c r="Y306" s="25">
        <f ca="1">IFERROR(__xludf.DUMMYFUNCTION("""COMPUTED_VALUE"""),0)</f>
        <v>0</v>
      </c>
      <c r="Z306" s="25">
        <f ca="1">IFERROR(__xludf.DUMMYFUNCTION("""COMPUTED_VALUE"""),0)</f>
        <v>0</v>
      </c>
      <c r="AA306" s="25">
        <f ca="1">IFERROR(__xludf.DUMMYFUNCTION("""COMPUTED_VALUE"""),0)</f>
        <v>0</v>
      </c>
      <c r="AB306" s="25">
        <f ca="1">IFERROR(__xludf.DUMMYFUNCTION("""COMPUTED_VALUE"""),0)</f>
        <v>0</v>
      </c>
      <c r="AC306" s="23">
        <f ca="1">IFERROR(__xludf.DUMMYFUNCTION("""COMPUTED_VALUE"""),0)</f>
        <v>0</v>
      </c>
      <c r="AD306" s="26"/>
      <c r="AE306" s="27"/>
    </row>
    <row r="307" spans="1:31" ht="14.3">
      <c r="A307" s="18" t="str">
        <f ca="1">IFERROR(__xludf.DUMMYFUNCTION("""COMPUTED_VALUE"""),"22SDSCE01202")</f>
        <v>22SDSCE01202</v>
      </c>
      <c r="B307" s="19" t="str">
        <f ca="1">IFERROR(__xludf.DUMMYFUNCTION("""COMPUTED_VALUE"""),"JADAV JAINIK JAGDISHBHAI")</f>
        <v>JADAV JAINIK JAGDISHBHAI</v>
      </c>
      <c r="C307" s="18" t="str">
        <f ca="1">IFERROR(__xludf.DUMMYFUNCTION("""COMPUTED_VALUE"""),"SDS")</f>
        <v>SDS</v>
      </c>
      <c r="D307" s="18" t="str">
        <f ca="1">IFERROR(__xludf.DUMMYFUNCTION("""COMPUTED_VALUE"""),"DCE")</f>
        <v>DCE</v>
      </c>
      <c r="E307" s="25">
        <f ca="1">IFERROR(__xludf.DUMMYFUNCTION("""COMPUTED_VALUE"""),4)</f>
        <v>4</v>
      </c>
      <c r="F307" s="18" t="str">
        <f ca="1">IFERROR(__xludf.DUMMYFUNCTION("""COMPUTED_VALUE"""),"8160848149 9824243005")</f>
        <v>8160848149 9824243005</v>
      </c>
      <c r="G307" s="18" t="str">
        <f ca="1">IFERROR(__xludf.DUMMYFUNCTION("""COMPUTED_VALUE"""),"8160848149 9824243005")</f>
        <v>8160848149 9824243005</v>
      </c>
      <c r="H307" s="6" t="str">
        <f ca="1">IFERROR(__xludf.DUMMYFUNCTION("""COMPUTED_VALUE"""),"DCE_2022-25")</f>
        <v>DCE_2022-25</v>
      </c>
      <c r="I307" s="20"/>
      <c r="J307" s="21">
        <f ca="1">IFERROR(__xludf.DUMMYFUNCTION("""COMPUTED_VALUE"""),25000)</f>
        <v>25000</v>
      </c>
      <c r="K307" s="21">
        <f ca="1">IFERROR(__xludf.DUMMYFUNCTION("""COMPUTED_VALUE"""),25000)</f>
        <v>25000</v>
      </c>
      <c r="L307" s="21">
        <f ca="1">IFERROR(__xludf.DUMMYFUNCTION("""COMPUTED_VALUE"""),0)</f>
        <v>0</v>
      </c>
      <c r="M307" s="23">
        <f ca="1">IFERROR(__xludf.DUMMYFUNCTION("""COMPUTED_VALUE"""),0)</f>
        <v>0</v>
      </c>
      <c r="N307" s="21">
        <f ca="1">IFERROR(__xludf.DUMMYFUNCTION("""COMPUTED_VALUE"""),0)</f>
        <v>0</v>
      </c>
      <c r="O307" s="21">
        <f ca="1">IFERROR(__xludf.DUMMYFUNCTION("""COMPUTED_VALUE"""),3000)</f>
        <v>3000</v>
      </c>
      <c r="P307" s="21">
        <f ca="1">IFERROR(__xludf.DUMMYFUNCTION("""COMPUTED_VALUE"""),3000)</f>
        <v>3000</v>
      </c>
      <c r="Q307" s="23">
        <f ca="1">IFERROR(__xludf.DUMMYFUNCTION("""COMPUTED_VALUE"""),0)</f>
        <v>0</v>
      </c>
      <c r="R307" s="24">
        <f ca="1">IFERROR(__xludf.DUMMYFUNCTION("""COMPUTED_VALUE"""),0)</f>
        <v>0</v>
      </c>
      <c r="S307" s="23">
        <f ca="1">IFERROR(__xludf.DUMMYFUNCTION("""COMPUTED_VALUE"""),0)</f>
        <v>0</v>
      </c>
      <c r="T307" s="24">
        <f ca="1">IFERROR(__xludf.DUMMYFUNCTION("""COMPUTED_VALUE"""),0)</f>
        <v>0</v>
      </c>
      <c r="U307" s="23">
        <f ca="1">IFERROR(__xludf.DUMMYFUNCTION("""COMPUTED_VALUE"""),0)</f>
        <v>0</v>
      </c>
      <c r="V307" s="23">
        <f ca="1">IFERROR(__xludf.DUMMYFUNCTION("""COMPUTED_VALUE"""),0)</f>
        <v>0</v>
      </c>
      <c r="W307" s="23">
        <f ca="1">IFERROR(__xludf.DUMMYFUNCTION("""COMPUTED_VALUE"""),0)</f>
        <v>0</v>
      </c>
      <c r="X307" s="23">
        <f ca="1">IFERROR(__xludf.DUMMYFUNCTION("""COMPUTED_VALUE"""),0)</f>
        <v>0</v>
      </c>
      <c r="Y307" s="25">
        <f ca="1">IFERROR(__xludf.DUMMYFUNCTION("""COMPUTED_VALUE"""),0)</f>
        <v>0</v>
      </c>
      <c r="Z307" s="25">
        <f ca="1">IFERROR(__xludf.DUMMYFUNCTION("""COMPUTED_VALUE"""),0)</f>
        <v>0</v>
      </c>
      <c r="AA307" s="25">
        <f ca="1">IFERROR(__xludf.DUMMYFUNCTION("""COMPUTED_VALUE"""),0)</f>
        <v>0</v>
      </c>
      <c r="AB307" s="25">
        <f ca="1">IFERROR(__xludf.DUMMYFUNCTION("""COMPUTED_VALUE"""),0)</f>
        <v>0</v>
      </c>
      <c r="AC307" s="23">
        <f ca="1">IFERROR(__xludf.DUMMYFUNCTION("""COMPUTED_VALUE"""),0)</f>
        <v>0</v>
      </c>
      <c r="AD307" s="26"/>
      <c r="AE307" s="27"/>
    </row>
    <row r="308" spans="1:31" ht="14.3">
      <c r="A308" s="18" t="str">
        <f ca="1">IFERROR(__xludf.DUMMYFUNCTION("""COMPUTED_VALUE"""),"22SDSCE01203")</f>
        <v>22SDSCE01203</v>
      </c>
      <c r="B308" s="19" t="str">
        <f ca="1">IFERROR(__xludf.DUMMYFUNCTION("""COMPUTED_VALUE"""),"KAVA MITESH RAJESHBHAI")</f>
        <v>KAVA MITESH RAJESHBHAI</v>
      </c>
      <c r="C308" s="18" t="str">
        <f ca="1">IFERROR(__xludf.DUMMYFUNCTION("""COMPUTED_VALUE"""),"SDS")</f>
        <v>SDS</v>
      </c>
      <c r="D308" s="18" t="str">
        <f ca="1">IFERROR(__xludf.DUMMYFUNCTION("""COMPUTED_VALUE"""),"DCE")</f>
        <v>DCE</v>
      </c>
      <c r="E308" s="25">
        <f ca="1">IFERROR(__xludf.DUMMYFUNCTION("""COMPUTED_VALUE"""),4)</f>
        <v>4</v>
      </c>
      <c r="F308" s="18" t="str">
        <f ca="1">IFERROR(__xludf.DUMMYFUNCTION("""COMPUTED_VALUE"""),"9998830490	 9723888998")</f>
        <v>9998830490	 9723888998</v>
      </c>
      <c r="G308" s="18" t="str">
        <f ca="1">IFERROR(__xludf.DUMMYFUNCTION("""COMPUTED_VALUE"""),"9998830490	 9723888998")</f>
        <v>9998830490	 9723888998</v>
      </c>
      <c r="H308" s="6" t="str">
        <f ca="1">IFERROR(__xludf.DUMMYFUNCTION("""COMPUTED_VALUE"""),"DCE_2022-25")</f>
        <v>DCE_2022-25</v>
      </c>
      <c r="I308" s="20" t="str">
        <f ca="1">IFERROR(__xludf.DUMMYFUNCTION("""COMPUTED_VALUE"""),"MYSY")</f>
        <v>MYSY</v>
      </c>
      <c r="J308" s="21">
        <f ca="1">IFERROR(__xludf.DUMMYFUNCTION("""COMPUTED_VALUE"""),25000)</f>
        <v>25000</v>
      </c>
      <c r="K308" s="21">
        <f ca="1">IFERROR(__xludf.DUMMYFUNCTION("""COMPUTED_VALUE"""),25000)</f>
        <v>25000</v>
      </c>
      <c r="L308" s="21">
        <f ca="1">IFERROR(__xludf.DUMMYFUNCTION("""COMPUTED_VALUE"""),0)</f>
        <v>0</v>
      </c>
      <c r="M308" s="23">
        <f ca="1">IFERROR(__xludf.DUMMYFUNCTION("""COMPUTED_VALUE"""),0)</f>
        <v>0</v>
      </c>
      <c r="N308" s="21">
        <f ca="1">IFERROR(__xludf.DUMMYFUNCTION("""COMPUTED_VALUE"""),0)</f>
        <v>0</v>
      </c>
      <c r="O308" s="21">
        <f ca="1">IFERROR(__xludf.DUMMYFUNCTION("""COMPUTED_VALUE"""),3000)</f>
        <v>3000</v>
      </c>
      <c r="P308" s="21">
        <f ca="1">IFERROR(__xludf.DUMMYFUNCTION("""COMPUTED_VALUE"""),3000)</f>
        <v>3000</v>
      </c>
      <c r="Q308" s="23">
        <f ca="1">IFERROR(__xludf.DUMMYFUNCTION("""COMPUTED_VALUE"""),0)</f>
        <v>0</v>
      </c>
      <c r="R308" s="24">
        <f ca="1">IFERROR(__xludf.DUMMYFUNCTION("""COMPUTED_VALUE"""),0)</f>
        <v>0</v>
      </c>
      <c r="S308" s="23">
        <f ca="1">IFERROR(__xludf.DUMMYFUNCTION("""COMPUTED_VALUE"""),0)</f>
        <v>0</v>
      </c>
      <c r="T308" s="24">
        <f ca="1">IFERROR(__xludf.DUMMYFUNCTION("""COMPUTED_VALUE"""),0)</f>
        <v>0</v>
      </c>
      <c r="U308" s="23">
        <f ca="1">IFERROR(__xludf.DUMMYFUNCTION("""COMPUTED_VALUE"""),0)</f>
        <v>0</v>
      </c>
      <c r="V308" s="23">
        <f ca="1">IFERROR(__xludf.DUMMYFUNCTION("""COMPUTED_VALUE"""),0)</f>
        <v>0</v>
      </c>
      <c r="W308" s="23">
        <f ca="1">IFERROR(__xludf.DUMMYFUNCTION("""COMPUTED_VALUE"""),0)</f>
        <v>0</v>
      </c>
      <c r="X308" s="23">
        <f ca="1">IFERROR(__xludf.DUMMYFUNCTION("""COMPUTED_VALUE"""),0)</f>
        <v>0</v>
      </c>
      <c r="Y308" s="25">
        <f ca="1">IFERROR(__xludf.DUMMYFUNCTION("""COMPUTED_VALUE"""),0)</f>
        <v>0</v>
      </c>
      <c r="Z308" s="25">
        <f ca="1">IFERROR(__xludf.DUMMYFUNCTION("""COMPUTED_VALUE"""),0)</f>
        <v>0</v>
      </c>
      <c r="AA308" s="25">
        <f ca="1">IFERROR(__xludf.DUMMYFUNCTION("""COMPUTED_VALUE"""),0)</f>
        <v>0</v>
      </c>
      <c r="AB308" s="25">
        <f ca="1">IFERROR(__xludf.DUMMYFUNCTION("""COMPUTED_VALUE"""),0)</f>
        <v>0</v>
      </c>
      <c r="AC308" s="23">
        <f ca="1">IFERROR(__xludf.DUMMYFUNCTION("""COMPUTED_VALUE"""),0)</f>
        <v>0</v>
      </c>
      <c r="AD308" s="26" t="str">
        <f ca="1">IFERROR(__xludf.DUMMYFUNCTION("""COMPUTED_VALUE"""),"MYSY(50%)")</f>
        <v>MYSY(50%)</v>
      </c>
      <c r="AE308" s="27"/>
    </row>
    <row r="309" spans="1:31" ht="14.3">
      <c r="A309" s="18" t="str">
        <f ca="1">IFERROR(__xludf.DUMMYFUNCTION("""COMPUTED_VALUE"""),"22SDSCE01207")</f>
        <v>22SDSCE01207</v>
      </c>
      <c r="B309" s="19" t="str">
        <f ca="1">IFERROR(__xludf.DUMMYFUNCTION("""COMPUTED_VALUE"""),"PRATHAM KUMAR")</f>
        <v>PRATHAM KUMAR</v>
      </c>
      <c r="C309" s="18" t="str">
        <f ca="1">IFERROR(__xludf.DUMMYFUNCTION("""COMPUTED_VALUE"""),"SDS")</f>
        <v>SDS</v>
      </c>
      <c r="D309" s="18" t="str">
        <f ca="1">IFERROR(__xludf.DUMMYFUNCTION("""COMPUTED_VALUE"""),"DCE")</f>
        <v>DCE</v>
      </c>
      <c r="E309" s="25">
        <f ca="1">IFERROR(__xludf.DUMMYFUNCTION("""COMPUTED_VALUE"""),4)</f>
        <v>4</v>
      </c>
      <c r="F309" s="18" t="str">
        <f ca="1">IFERROR(__xludf.DUMMYFUNCTION("""COMPUTED_VALUE"""),"9512477078 9671022909")</f>
        <v>9512477078 9671022909</v>
      </c>
      <c r="G309" s="18" t="str">
        <f ca="1">IFERROR(__xludf.DUMMYFUNCTION("""COMPUTED_VALUE"""),"9512477078 9671022909")</f>
        <v>9512477078 9671022909</v>
      </c>
      <c r="H309" s="6" t="str">
        <f ca="1">IFERROR(__xludf.DUMMYFUNCTION("""COMPUTED_VALUE"""),"DCE_2022-25")</f>
        <v>DCE_2022-25</v>
      </c>
      <c r="I309" s="20"/>
      <c r="J309" s="21">
        <f ca="1">IFERROR(__xludf.DUMMYFUNCTION("""COMPUTED_VALUE"""),25000)</f>
        <v>25000</v>
      </c>
      <c r="K309" s="21">
        <f ca="1">IFERROR(__xludf.DUMMYFUNCTION("""COMPUTED_VALUE"""),25000)</f>
        <v>25000</v>
      </c>
      <c r="L309" s="21">
        <f ca="1">IFERROR(__xludf.DUMMYFUNCTION("""COMPUTED_VALUE"""),0)</f>
        <v>0</v>
      </c>
      <c r="M309" s="23">
        <f ca="1">IFERROR(__xludf.DUMMYFUNCTION("""COMPUTED_VALUE"""),0)</f>
        <v>0</v>
      </c>
      <c r="N309" s="21">
        <f ca="1">IFERROR(__xludf.DUMMYFUNCTION("""COMPUTED_VALUE"""),0)</f>
        <v>0</v>
      </c>
      <c r="O309" s="21">
        <f ca="1">IFERROR(__xludf.DUMMYFUNCTION("""COMPUTED_VALUE"""),3000)</f>
        <v>3000</v>
      </c>
      <c r="P309" s="21">
        <f ca="1">IFERROR(__xludf.DUMMYFUNCTION("""COMPUTED_VALUE"""),3000)</f>
        <v>3000</v>
      </c>
      <c r="Q309" s="23">
        <f ca="1">IFERROR(__xludf.DUMMYFUNCTION("""COMPUTED_VALUE"""),0)</f>
        <v>0</v>
      </c>
      <c r="R309" s="24">
        <f ca="1">IFERROR(__xludf.DUMMYFUNCTION("""COMPUTED_VALUE"""),0)</f>
        <v>0</v>
      </c>
      <c r="S309" s="23">
        <f ca="1">IFERROR(__xludf.DUMMYFUNCTION("""COMPUTED_VALUE"""),0)</f>
        <v>0</v>
      </c>
      <c r="T309" s="24">
        <f ca="1">IFERROR(__xludf.DUMMYFUNCTION("""COMPUTED_VALUE"""),0)</f>
        <v>0</v>
      </c>
      <c r="U309" s="23">
        <f ca="1">IFERROR(__xludf.DUMMYFUNCTION("""COMPUTED_VALUE"""),0)</f>
        <v>0</v>
      </c>
      <c r="V309" s="23">
        <f ca="1">IFERROR(__xludf.DUMMYFUNCTION("""COMPUTED_VALUE"""),0)</f>
        <v>0</v>
      </c>
      <c r="W309" s="23">
        <f ca="1">IFERROR(__xludf.DUMMYFUNCTION("""COMPUTED_VALUE"""),0)</f>
        <v>0</v>
      </c>
      <c r="X309" s="23">
        <f ca="1">IFERROR(__xludf.DUMMYFUNCTION("""COMPUTED_VALUE"""),0)</f>
        <v>0</v>
      </c>
      <c r="Y309" s="25">
        <f ca="1">IFERROR(__xludf.DUMMYFUNCTION("""COMPUTED_VALUE"""),0)</f>
        <v>0</v>
      </c>
      <c r="Z309" s="25">
        <f ca="1">IFERROR(__xludf.DUMMYFUNCTION("""COMPUTED_VALUE"""),0)</f>
        <v>0</v>
      </c>
      <c r="AA309" s="25">
        <f ca="1">IFERROR(__xludf.DUMMYFUNCTION("""COMPUTED_VALUE"""),0)</f>
        <v>0</v>
      </c>
      <c r="AB309" s="25">
        <f ca="1">IFERROR(__xludf.DUMMYFUNCTION("""COMPUTED_VALUE"""),0)</f>
        <v>0</v>
      </c>
      <c r="AC309" s="23">
        <f ca="1">IFERROR(__xludf.DUMMYFUNCTION("""COMPUTED_VALUE"""),0)</f>
        <v>0</v>
      </c>
      <c r="AD309" s="26"/>
      <c r="AE309" s="27"/>
    </row>
    <row r="310" spans="1:31" ht="14.3">
      <c r="A310" s="18" t="str">
        <f ca="1">IFERROR(__xludf.DUMMYFUNCTION("""COMPUTED_VALUE"""),"22SDSCE01212")</f>
        <v>22SDSCE01212</v>
      </c>
      <c r="B310" s="19" t="str">
        <f ca="1">IFERROR(__xludf.DUMMYFUNCTION("""COMPUTED_VALUE"""),"CHAVDA PRINCE SHAILESHBHAI")</f>
        <v>CHAVDA PRINCE SHAILESHBHAI</v>
      </c>
      <c r="C310" s="18" t="str">
        <f ca="1">IFERROR(__xludf.DUMMYFUNCTION("""COMPUTED_VALUE"""),"SDS")</f>
        <v>SDS</v>
      </c>
      <c r="D310" s="18" t="str">
        <f ca="1">IFERROR(__xludf.DUMMYFUNCTION("""COMPUTED_VALUE"""),"DCE")</f>
        <v>DCE</v>
      </c>
      <c r="E310" s="25">
        <f ca="1">IFERROR(__xludf.DUMMYFUNCTION("""COMPUTED_VALUE"""),4)</f>
        <v>4</v>
      </c>
      <c r="F310" s="18" t="str">
        <f ca="1">IFERROR(__xludf.DUMMYFUNCTION("""COMPUTED_VALUE"""),"8780944098 8160284620")</f>
        <v>8780944098 8160284620</v>
      </c>
      <c r="G310" s="18" t="str">
        <f ca="1">IFERROR(__xludf.DUMMYFUNCTION("""COMPUTED_VALUE"""),"8780944098 8160284620")</f>
        <v>8780944098 8160284620</v>
      </c>
      <c r="H310" s="6" t="str">
        <f ca="1">IFERROR(__xludf.DUMMYFUNCTION("""COMPUTED_VALUE"""),"DCE_2022-25")</f>
        <v>DCE_2022-25</v>
      </c>
      <c r="I310" s="20"/>
      <c r="J310" s="21">
        <f ca="1">IFERROR(__xludf.DUMMYFUNCTION("""COMPUTED_VALUE"""),25000)</f>
        <v>25000</v>
      </c>
      <c r="K310" s="21">
        <f ca="1">IFERROR(__xludf.DUMMYFUNCTION("""COMPUTED_VALUE"""),25000)</f>
        <v>25000</v>
      </c>
      <c r="L310" s="21">
        <f ca="1">IFERROR(__xludf.DUMMYFUNCTION("""COMPUTED_VALUE"""),0)</f>
        <v>0</v>
      </c>
      <c r="M310" s="23">
        <f ca="1">IFERROR(__xludf.DUMMYFUNCTION("""COMPUTED_VALUE"""),0)</f>
        <v>0</v>
      </c>
      <c r="N310" s="21">
        <f ca="1">IFERROR(__xludf.DUMMYFUNCTION("""COMPUTED_VALUE"""),0)</f>
        <v>0</v>
      </c>
      <c r="O310" s="21">
        <f ca="1">IFERROR(__xludf.DUMMYFUNCTION("""COMPUTED_VALUE"""),3000)</f>
        <v>3000</v>
      </c>
      <c r="P310" s="21">
        <f ca="1">IFERROR(__xludf.DUMMYFUNCTION("""COMPUTED_VALUE"""),3000)</f>
        <v>3000</v>
      </c>
      <c r="Q310" s="23">
        <f ca="1">IFERROR(__xludf.DUMMYFUNCTION("""COMPUTED_VALUE"""),0)</f>
        <v>0</v>
      </c>
      <c r="R310" s="24">
        <f ca="1">IFERROR(__xludf.DUMMYFUNCTION("""COMPUTED_VALUE"""),0)</f>
        <v>0</v>
      </c>
      <c r="S310" s="23">
        <f ca="1">IFERROR(__xludf.DUMMYFUNCTION("""COMPUTED_VALUE"""),0)</f>
        <v>0</v>
      </c>
      <c r="T310" s="24">
        <f ca="1">IFERROR(__xludf.DUMMYFUNCTION("""COMPUTED_VALUE"""),0)</f>
        <v>0</v>
      </c>
      <c r="U310" s="23">
        <f ca="1">IFERROR(__xludf.DUMMYFUNCTION("""COMPUTED_VALUE"""),0)</f>
        <v>0</v>
      </c>
      <c r="V310" s="23">
        <f ca="1">IFERROR(__xludf.DUMMYFUNCTION("""COMPUTED_VALUE"""),0)</f>
        <v>0</v>
      </c>
      <c r="W310" s="23">
        <f ca="1">IFERROR(__xludf.DUMMYFUNCTION("""COMPUTED_VALUE"""),0)</f>
        <v>0</v>
      </c>
      <c r="X310" s="23">
        <f ca="1">IFERROR(__xludf.DUMMYFUNCTION("""COMPUTED_VALUE"""),0)</f>
        <v>0</v>
      </c>
      <c r="Y310" s="25">
        <f ca="1">IFERROR(__xludf.DUMMYFUNCTION("""COMPUTED_VALUE"""),0)</f>
        <v>0</v>
      </c>
      <c r="Z310" s="25">
        <f ca="1">IFERROR(__xludf.DUMMYFUNCTION("""COMPUTED_VALUE"""),0)</f>
        <v>0</v>
      </c>
      <c r="AA310" s="25">
        <f ca="1">IFERROR(__xludf.DUMMYFUNCTION("""COMPUTED_VALUE"""),0)</f>
        <v>0</v>
      </c>
      <c r="AB310" s="25">
        <f ca="1">IFERROR(__xludf.DUMMYFUNCTION("""COMPUTED_VALUE"""),0)</f>
        <v>0</v>
      </c>
      <c r="AC310" s="23">
        <f ca="1">IFERROR(__xludf.DUMMYFUNCTION("""COMPUTED_VALUE"""),0)</f>
        <v>0</v>
      </c>
      <c r="AD310" s="26"/>
      <c r="AE310" s="27"/>
    </row>
    <row r="311" spans="1:31" ht="14.3">
      <c r="A311" s="18" t="str">
        <f ca="1">IFERROR(__xludf.DUMMYFUNCTION("""COMPUTED_VALUE"""),"22SDSCE01064")</f>
        <v>22SDSCE01064</v>
      </c>
      <c r="B311" s="19" t="str">
        <f ca="1">IFERROR(__xludf.DUMMYFUNCTION("""COMPUTED_VALUE"""),"CHANDARANA PAVAN KAMLESHBHAI")</f>
        <v>CHANDARANA PAVAN KAMLESHBHAI</v>
      </c>
      <c r="C311" s="18" t="str">
        <f ca="1">IFERROR(__xludf.DUMMYFUNCTION("""COMPUTED_VALUE"""),"SDS")</f>
        <v>SDS</v>
      </c>
      <c r="D311" s="18" t="str">
        <f ca="1">IFERROR(__xludf.DUMMYFUNCTION("""COMPUTED_VALUE"""),"DCE")</f>
        <v>DCE</v>
      </c>
      <c r="E311" s="25">
        <f ca="1">IFERROR(__xludf.DUMMYFUNCTION("""COMPUTED_VALUE"""),4)</f>
        <v>4</v>
      </c>
      <c r="F311" s="18" t="str">
        <f ca="1">IFERROR(__xludf.DUMMYFUNCTION("""COMPUTED_VALUE"""),"9081718952 9428318152")</f>
        <v>9081718952 9428318152</v>
      </c>
      <c r="G311" s="18" t="str">
        <f ca="1">IFERROR(__xludf.DUMMYFUNCTION("""COMPUTED_VALUE"""),"9081718952 9428318152")</f>
        <v>9081718952 9428318152</v>
      </c>
      <c r="H311" s="6" t="str">
        <f ca="1">IFERROR(__xludf.DUMMYFUNCTION("""COMPUTED_VALUE"""),"DCE_2022-25")</f>
        <v>DCE_2022-25</v>
      </c>
      <c r="I311" s="20"/>
      <c r="J311" s="21">
        <f ca="1">IFERROR(__xludf.DUMMYFUNCTION("""COMPUTED_VALUE"""),25000)</f>
        <v>25000</v>
      </c>
      <c r="K311" s="21">
        <f ca="1">IFERROR(__xludf.DUMMYFUNCTION("""COMPUTED_VALUE"""),25000)</f>
        <v>25000</v>
      </c>
      <c r="L311" s="21">
        <f ca="1">IFERROR(__xludf.DUMMYFUNCTION("""COMPUTED_VALUE"""),0)</f>
        <v>0</v>
      </c>
      <c r="M311" s="23">
        <f ca="1">IFERROR(__xludf.DUMMYFUNCTION("""COMPUTED_VALUE"""),0)</f>
        <v>0</v>
      </c>
      <c r="N311" s="21">
        <f ca="1">IFERROR(__xludf.DUMMYFUNCTION("""COMPUTED_VALUE"""),0)</f>
        <v>0</v>
      </c>
      <c r="O311" s="21">
        <f ca="1">IFERROR(__xludf.DUMMYFUNCTION("""COMPUTED_VALUE"""),3000)</f>
        <v>3000</v>
      </c>
      <c r="P311" s="21">
        <f ca="1">IFERROR(__xludf.DUMMYFUNCTION("""COMPUTED_VALUE"""),3000)</f>
        <v>3000</v>
      </c>
      <c r="Q311" s="23">
        <f ca="1">IFERROR(__xludf.DUMMYFUNCTION("""COMPUTED_VALUE"""),0)</f>
        <v>0</v>
      </c>
      <c r="R311" s="24">
        <f ca="1">IFERROR(__xludf.DUMMYFUNCTION("""COMPUTED_VALUE"""),0)</f>
        <v>0</v>
      </c>
      <c r="S311" s="23">
        <f ca="1">IFERROR(__xludf.DUMMYFUNCTION("""COMPUTED_VALUE"""),0)</f>
        <v>0</v>
      </c>
      <c r="T311" s="24">
        <f ca="1">IFERROR(__xludf.DUMMYFUNCTION("""COMPUTED_VALUE"""),0)</f>
        <v>0</v>
      </c>
      <c r="U311" s="23">
        <f ca="1">IFERROR(__xludf.DUMMYFUNCTION("""COMPUTED_VALUE"""),0)</f>
        <v>0</v>
      </c>
      <c r="V311" s="23">
        <f ca="1">IFERROR(__xludf.DUMMYFUNCTION("""COMPUTED_VALUE"""),0)</f>
        <v>0</v>
      </c>
      <c r="W311" s="23">
        <f ca="1">IFERROR(__xludf.DUMMYFUNCTION("""COMPUTED_VALUE"""),0)</f>
        <v>0</v>
      </c>
      <c r="X311" s="23">
        <f ca="1">IFERROR(__xludf.DUMMYFUNCTION("""COMPUTED_VALUE"""),0)</f>
        <v>0</v>
      </c>
      <c r="Y311" s="25">
        <f ca="1">IFERROR(__xludf.DUMMYFUNCTION("""COMPUTED_VALUE"""),0)</f>
        <v>0</v>
      </c>
      <c r="Z311" s="25">
        <f ca="1">IFERROR(__xludf.DUMMYFUNCTION("""COMPUTED_VALUE"""),0)</f>
        <v>0</v>
      </c>
      <c r="AA311" s="25">
        <f ca="1">IFERROR(__xludf.DUMMYFUNCTION("""COMPUTED_VALUE"""),0)</f>
        <v>0</v>
      </c>
      <c r="AB311" s="25">
        <f ca="1">IFERROR(__xludf.DUMMYFUNCTION("""COMPUTED_VALUE"""),0)</f>
        <v>0</v>
      </c>
      <c r="AC311" s="23">
        <f ca="1">IFERROR(__xludf.DUMMYFUNCTION("""COMPUTED_VALUE"""),0)</f>
        <v>0</v>
      </c>
      <c r="AD311" s="26"/>
      <c r="AE311" s="27"/>
    </row>
    <row r="312" spans="1:31" ht="14.3">
      <c r="A312" s="18" t="str">
        <f ca="1">IFERROR(__xludf.DUMMYFUNCTION("""COMPUTED_VALUE"""),"22SDSCE01065")</f>
        <v>22SDSCE01065</v>
      </c>
      <c r="B312" s="19" t="str">
        <f ca="1">IFERROR(__xludf.DUMMYFUNCTION("""COMPUTED_VALUE"""),"MAKVANA RAHUL KANJIBHAI")</f>
        <v>MAKVANA RAHUL KANJIBHAI</v>
      </c>
      <c r="C312" s="18" t="str">
        <f ca="1">IFERROR(__xludf.DUMMYFUNCTION("""COMPUTED_VALUE"""),"SDS")</f>
        <v>SDS</v>
      </c>
      <c r="D312" s="18" t="str">
        <f ca="1">IFERROR(__xludf.DUMMYFUNCTION("""COMPUTED_VALUE"""),"DCE")</f>
        <v>DCE</v>
      </c>
      <c r="E312" s="25">
        <f ca="1">IFERROR(__xludf.DUMMYFUNCTION("""COMPUTED_VALUE"""),4)</f>
        <v>4</v>
      </c>
      <c r="F312" s="18" t="str">
        <f ca="1">IFERROR(__xludf.DUMMYFUNCTION("""COMPUTED_VALUE"""),"9081276346 7624048651")</f>
        <v>9081276346 7624048651</v>
      </c>
      <c r="G312" s="18" t="str">
        <f ca="1">IFERROR(__xludf.DUMMYFUNCTION("""COMPUTED_VALUE"""),"9081276346 7624048651")</f>
        <v>9081276346 7624048651</v>
      </c>
      <c r="H312" s="6" t="str">
        <f ca="1">IFERROR(__xludf.DUMMYFUNCTION("""COMPUTED_VALUE"""),"DCE_2022-25")</f>
        <v>DCE_2022-25</v>
      </c>
      <c r="I312" s="20" t="str">
        <f ca="1">IFERROR(__xludf.DUMMYFUNCTION("""COMPUTED_VALUE"""),"KSP")</f>
        <v>KSP</v>
      </c>
      <c r="J312" s="21">
        <f ca="1">IFERROR(__xludf.DUMMYFUNCTION("""COMPUTED_VALUE"""),25000)</f>
        <v>25000</v>
      </c>
      <c r="K312" s="21">
        <f ca="1">IFERROR(__xludf.DUMMYFUNCTION("""COMPUTED_VALUE"""),25000)</f>
        <v>25000</v>
      </c>
      <c r="L312" s="21">
        <f ca="1">IFERROR(__xludf.DUMMYFUNCTION("""COMPUTED_VALUE"""),0)</f>
        <v>0</v>
      </c>
      <c r="M312" s="23">
        <f ca="1">IFERROR(__xludf.DUMMYFUNCTION("""COMPUTED_VALUE"""),12500)</f>
        <v>12500</v>
      </c>
      <c r="N312" s="21">
        <f ca="1">IFERROR(__xludf.DUMMYFUNCTION("""COMPUTED_VALUE"""),-12500)</f>
        <v>-12500</v>
      </c>
      <c r="O312" s="21">
        <f ca="1">IFERROR(__xludf.DUMMYFUNCTION("""COMPUTED_VALUE"""),3000)</f>
        <v>3000</v>
      </c>
      <c r="P312" s="21">
        <f ca="1">IFERROR(__xludf.DUMMYFUNCTION("""COMPUTED_VALUE"""),3000)</f>
        <v>3000</v>
      </c>
      <c r="Q312" s="23">
        <f ca="1">IFERROR(__xludf.DUMMYFUNCTION("""COMPUTED_VALUE"""),0)</f>
        <v>0</v>
      </c>
      <c r="R312" s="24">
        <f ca="1">IFERROR(__xludf.DUMMYFUNCTION("""COMPUTED_VALUE"""),0)</f>
        <v>0</v>
      </c>
      <c r="S312" s="23">
        <f ca="1">IFERROR(__xludf.DUMMYFUNCTION("""COMPUTED_VALUE"""),0)</f>
        <v>0</v>
      </c>
      <c r="T312" s="24">
        <f ca="1">IFERROR(__xludf.DUMMYFUNCTION("""COMPUTED_VALUE"""),0)</f>
        <v>0</v>
      </c>
      <c r="U312" s="23">
        <f ca="1">IFERROR(__xludf.DUMMYFUNCTION("""COMPUTED_VALUE"""),0)</f>
        <v>0</v>
      </c>
      <c r="V312" s="23">
        <f ca="1">IFERROR(__xludf.DUMMYFUNCTION("""COMPUTED_VALUE"""),0)</f>
        <v>0</v>
      </c>
      <c r="W312" s="23">
        <f ca="1">IFERROR(__xludf.DUMMYFUNCTION("""COMPUTED_VALUE"""),0)</f>
        <v>0</v>
      </c>
      <c r="X312" s="23">
        <f ca="1">IFERROR(__xludf.DUMMYFUNCTION("""COMPUTED_VALUE"""),0)</f>
        <v>0</v>
      </c>
      <c r="Y312" s="25">
        <f ca="1">IFERROR(__xludf.DUMMYFUNCTION("""COMPUTED_VALUE"""),0)</f>
        <v>0</v>
      </c>
      <c r="Z312" s="25">
        <f ca="1">IFERROR(__xludf.DUMMYFUNCTION("""COMPUTED_VALUE"""),0)</f>
        <v>0</v>
      </c>
      <c r="AA312" s="25">
        <f ca="1">IFERROR(__xludf.DUMMYFUNCTION("""COMPUTED_VALUE"""),0)</f>
        <v>0</v>
      </c>
      <c r="AB312" s="25">
        <f ca="1">IFERROR(__xludf.DUMMYFUNCTION("""COMPUTED_VALUE"""),0)</f>
        <v>0</v>
      </c>
      <c r="AC312" s="23">
        <f ca="1">IFERROR(__xludf.DUMMYFUNCTION("""COMPUTED_VALUE"""),0)</f>
        <v>0</v>
      </c>
      <c r="AD312" s="26" t="str">
        <f ca="1">IFERROR(__xludf.DUMMYFUNCTION("""COMPUTED_VALUE"""),"12500 PER SEM SCHOLARSHIP")</f>
        <v>12500 PER SEM SCHOLARSHIP</v>
      </c>
      <c r="AE312" s="27"/>
    </row>
    <row r="313" spans="1:31" ht="14.3">
      <c r="A313" s="18" t="str">
        <f ca="1">IFERROR(__xludf.DUMMYFUNCTION("""COMPUTED_VALUE"""),"22SDSCE01066")</f>
        <v>22SDSCE01066</v>
      </c>
      <c r="B313" s="19" t="str">
        <f ca="1">IFERROR(__xludf.DUMMYFUNCTION("""COMPUTED_VALUE"""),"MALVIYA PRIYANK ASHVINBHAI")</f>
        <v>MALVIYA PRIYANK ASHVINBHAI</v>
      </c>
      <c r="C313" s="18" t="str">
        <f ca="1">IFERROR(__xludf.DUMMYFUNCTION("""COMPUTED_VALUE"""),"SDS")</f>
        <v>SDS</v>
      </c>
      <c r="D313" s="18" t="str">
        <f ca="1">IFERROR(__xludf.DUMMYFUNCTION("""COMPUTED_VALUE"""),"DCE")</f>
        <v>DCE</v>
      </c>
      <c r="E313" s="25">
        <f ca="1">IFERROR(__xludf.DUMMYFUNCTION("""COMPUTED_VALUE"""),4)</f>
        <v>4</v>
      </c>
      <c r="F313" s="18" t="str">
        <f ca="1">IFERROR(__xludf.DUMMYFUNCTION("""COMPUTED_VALUE"""),"9537707190 9979571491")</f>
        <v>9537707190 9979571491</v>
      </c>
      <c r="G313" s="18" t="str">
        <f ca="1">IFERROR(__xludf.DUMMYFUNCTION("""COMPUTED_VALUE"""),"9537707190 9979571491")</f>
        <v>9537707190 9979571491</v>
      </c>
      <c r="H313" s="6" t="str">
        <f ca="1">IFERROR(__xludf.DUMMYFUNCTION("""COMPUTED_VALUE"""),"DCE_2022-25")</f>
        <v>DCE_2022-25</v>
      </c>
      <c r="I313" s="20" t="str">
        <f ca="1">IFERROR(__xludf.DUMMYFUNCTION("""COMPUTED_VALUE"""),"MYSY")</f>
        <v>MYSY</v>
      </c>
      <c r="J313" s="21">
        <f ca="1">IFERROR(__xludf.DUMMYFUNCTION("""COMPUTED_VALUE"""),25000)</f>
        <v>25000</v>
      </c>
      <c r="K313" s="21">
        <f ca="1">IFERROR(__xludf.DUMMYFUNCTION("""COMPUTED_VALUE"""),0)</f>
        <v>0</v>
      </c>
      <c r="L313" s="21">
        <f ca="1">IFERROR(__xludf.DUMMYFUNCTION("""COMPUTED_VALUE"""),0)</f>
        <v>0</v>
      </c>
      <c r="M313" s="23">
        <f ca="1">IFERROR(__xludf.DUMMYFUNCTION("""COMPUTED_VALUE"""),0)</f>
        <v>0</v>
      </c>
      <c r="N313" s="21">
        <f ca="1">IFERROR(__xludf.DUMMYFUNCTION("""COMPUTED_VALUE"""),25000)</f>
        <v>25000</v>
      </c>
      <c r="O313" s="21">
        <f ca="1">IFERROR(__xludf.DUMMYFUNCTION("""COMPUTED_VALUE"""),3000)</f>
        <v>3000</v>
      </c>
      <c r="P313" s="21">
        <f ca="1">IFERROR(__xludf.DUMMYFUNCTION("""COMPUTED_VALUE"""),3000)</f>
        <v>3000</v>
      </c>
      <c r="Q313" s="23">
        <f ca="1">IFERROR(__xludf.DUMMYFUNCTION("""COMPUTED_VALUE"""),0)</f>
        <v>0</v>
      </c>
      <c r="R313" s="24">
        <f ca="1">IFERROR(__xludf.DUMMYFUNCTION("""COMPUTED_VALUE"""),0)</f>
        <v>0</v>
      </c>
      <c r="S313" s="23">
        <f ca="1">IFERROR(__xludf.DUMMYFUNCTION("""COMPUTED_VALUE"""),0)</f>
        <v>0</v>
      </c>
      <c r="T313" s="24">
        <f ca="1">IFERROR(__xludf.DUMMYFUNCTION("""COMPUTED_VALUE"""),0)</f>
        <v>0</v>
      </c>
      <c r="U313" s="23">
        <f ca="1">IFERROR(__xludf.DUMMYFUNCTION("""COMPUTED_VALUE"""),0)</f>
        <v>0</v>
      </c>
      <c r="V313" s="23">
        <f ca="1">IFERROR(__xludf.DUMMYFUNCTION("""COMPUTED_VALUE"""),0)</f>
        <v>0</v>
      </c>
      <c r="W313" s="23">
        <f ca="1">IFERROR(__xludf.DUMMYFUNCTION("""COMPUTED_VALUE"""),0)</f>
        <v>0</v>
      </c>
      <c r="X313" s="23">
        <f ca="1">IFERROR(__xludf.DUMMYFUNCTION("""COMPUTED_VALUE"""),0)</f>
        <v>0</v>
      </c>
      <c r="Y313" s="25">
        <f ca="1">IFERROR(__xludf.DUMMYFUNCTION("""COMPUTED_VALUE"""),0)</f>
        <v>0</v>
      </c>
      <c r="Z313" s="25">
        <f ca="1">IFERROR(__xludf.DUMMYFUNCTION("""COMPUTED_VALUE"""),0)</f>
        <v>0</v>
      </c>
      <c r="AA313" s="25">
        <f ca="1">IFERROR(__xludf.DUMMYFUNCTION("""COMPUTED_VALUE"""),0)</f>
        <v>0</v>
      </c>
      <c r="AB313" s="25">
        <f ca="1">IFERROR(__xludf.DUMMYFUNCTION("""COMPUTED_VALUE"""),0)</f>
        <v>0</v>
      </c>
      <c r="AC313" s="23">
        <f ca="1">IFERROR(__xludf.DUMMYFUNCTION("""COMPUTED_VALUE"""),0)</f>
        <v>0</v>
      </c>
      <c r="AD313" s="26" t="str">
        <f ca="1">IFERROR(__xludf.DUMMYFUNCTION("""COMPUTED_VALUE"""),"KSPS(25%) + MYSY(50%) ")</f>
        <v xml:space="preserve">KSPS(25%) + MYSY(50%) </v>
      </c>
      <c r="AE313" s="27"/>
    </row>
    <row r="314" spans="1:31" ht="14.3">
      <c r="A314" s="18" t="str">
        <f ca="1">IFERROR(__xludf.DUMMYFUNCTION("""COMPUTED_VALUE"""),"22SDSCE01067")</f>
        <v>22SDSCE01067</v>
      </c>
      <c r="B314" s="19" t="str">
        <f ca="1">IFERROR(__xludf.DUMMYFUNCTION("""COMPUTED_VALUE"""),"MANDANKA VANSH LALJIBHAI")</f>
        <v>MANDANKA VANSH LALJIBHAI</v>
      </c>
      <c r="C314" s="18" t="str">
        <f ca="1">IFERROR(__xludf.DUMMYFUNCTION("""COMPUTED_VALUE"""),"SDS")</f>
        <v>SDS</v>
      </c>
      <c r="D314" s="18" t="str">
        <f ca="1">IFERROR(__xludf.DUMMYFUNCTION("""COMPUTED_VALUE"""),"DCE")</f>
        <v>DCE</v>
      </c>
      <c r="E314" s="25">
        <f ca="1">IFERROR(__xludf.DUMMYFUNCTION("""COMPUTED_VALUE"""),4)</f>
        <v>4</v>
      </c>
      <c r="F314" s="18" t="str">
        <f ca="1">IFERROR(__xludf.DUMMYFUNCTION("""COMPUTED_VALUE"""),"6354355617 9586397290")</f>
        <v>6354355617 9586397290</v>
      </c>
      <c r="G314" s="18" t="str">
        <f ca="1">IFERROR(__xludf.DUMMYFUNCTION("""COMPUTED_VALUE"""),"6354355617 9586397290")</f>
        <v>6354355617 9586397290</v>
      </c>
      <c r="H314" s="6" t="str">
        <f ca="1">IFERROR(__xludf.DUMMYFUNCTION("""COMPUTED_VALUE"""),"DCE_2022-25")</f>
        <v>DCE_2022-25</v>
      </c>
      <c r="I314" s="20" t="str">
        <f ca="1">IFERROR(__xludf.DUMMYFUNCTION("""COMPUTED_VALUE"""),"MYSY")</f>
        <v>MYSY</v>
      </c>
      <c r="J314" s="21">
        <f ca="1">IFERROR(__xludf.DUMMYFUNCTION("""COMPUTED_VALUE"""),25000)</f>
        <v>25000</v>
      </c>
      <c r="K314" s="21">
        <f ca="1">IFERROR(__xludf.DUMMYFUNCTION("""COMPUTED_VALUE"""),0)</f>
        <v>0</v>
      </c>
      <c r="L314" s="21">
        <f ca="1">IFERROR(__xludf.DUMMYFUNCTION("""COMPUTED_VALUE"""),0)</f>
        <v>0</v>
      </c>
      <c r="M314" s="23">
        <f ca="1">IFERROR(__xludf.DUMMYFUNCTION("""COMPUTED_VALUE"""),0)</f>
        <v>0</v>
      </c>
      <c r="N314" s="21">
        <f ca="1">IFERROR(__xludf.DUMMYFUNCTION("""COMPUTED_VALUE"""),25000)</f>
        <v>25000</v>
      </c>
      <c r="O314" s="21">
        <f ca="1">IFERROR(__xludf.DUMMYFUNCTION("""COMPUTED_VALUE"""),3000)</f>
        <v>3000</v>
      </c>
      <c r="P314" s="21">
        <f ca="1">IFERROR(__xludf.DUMMYFUNCTION("""COMPUTED_VALUE"""),3000)</f>
        <v>3000</v>
      </c>
      <c r="Q314" s="23">
        <f ca="1">IFERROR(__xludf.DUMMYFUNCTION("""COMPUTED_VALUE"""),0)</f>
        <v>0</v>
      </c>
      <c r="R314" s="24">
        <f ca="1">IFERROR(__xludf.DUMMYFUNCTION("""COMPUTED_VALUE"""),0)</f>
        <v>0</v>
      </c>
      <c r="S314" s="23">
        <f ca="1">IFERROR(__xludf.DUMMYFUNCTION("""COMPUTED_VALUE"""),0)</f>
        <v>0</v>
      </c>
      <c r="T314" s="24">
        <f ca="1">IFERROR(__xludf.DUMMYFUNCTION("""COMPUTED_VALUE"""),0)</f>
        <v>0</v>
      </c>
      <c r="U314" s="23">
        <f ca="1">IFERROR(__xludf.DUMMYFUNCTION("""COMPUTED_VALUE"""),0)</f>
        <v>0</v>
      </c>
      <c r="V314" s="23">
        <f ca="1">IFERROR(__xludf.DUMMYFUNCTION("""COMPUTED_VALUE"""),0)</f>
        <v>0</v>
      </c>
      <c r="W314" s="23">
        <f ca="1">IFERROR(__xludf.DUMMYFUNCTION("""COMPUTED_VALUE"""),0)</f>
        <v>0</v>
      </c>
      <c r="X314" s="23">
        <f ca="1">IFERROR(__xludf.DUMMYFUNCTION("""COMPUTED_VALUE"""),0)</f>
        <v>0</v>
      </c>
      <c r="Y314" s="25">
        <f ca="1">IFERROR(__xludf.DUMMYFUNCTION("""COMPUTED_VALUE"""),0)</f>
        <v>0</v>
      </c>
      <c r="Z314" s="25">
        <f ca="1">IFERROR(__xludf.DUMMYFUNCTION("""COMPUTED_VALUE"""),0)</f>
        <v>0</v>
      </c>
      <c r="AA314" s="25">
        <f ca="1">IFERROR(__xludf.DUMMYFUNCTION("""COMPUTED_VALUE"""),0)</f>
        <v>0</v>
      </c>
      <c r="AB314" s="25">
        <f ca="1">IFERROR(__xludf.DUMMYFUNCTION("""COMPUTED_VALUE"""),0)</f>
        <v>0</v>
      </c>
      <c r="AC314" s="23">
        <f ca="1">IFERROR(__xludf.DUMMYFUNCTION("""COMPUTED_VALUE"""),0)</f>
        <v>0</v>
      </c>
      <c r="AD314" s="26" t="str">
        <f ca="1">IFERROR(__xludf.DUMMYFUNCTION("""COMPUTED_VALUE"""),"KSPS(25%) + MYSY(50%) ")</f>
        <v xml:space="preserve">KSPS(25%) + MYSY(50%) </v>
      </c>
      <c r="AE314" s="27"/>
    </row>
    <row r="315" spans="1:31" ht="14.3">
      <c r="A315" s="18" t="str">
        <f ca="1">IFERROR(__xludf.DUMMYFUNCTION("""COMPUTED_VALUE"""),"22SDSCE01068")</f>
        <v>22SDSCE01068</v>
      </c>
      <c r="B315" s="19" t="str">
        <f ca="1">IFERROR(__xludf.DUMMYFUNCTION("""COMPUTED_VALUE"""),"MARAVIYA SOHIL YUNUS")</f>
        <v>MARAVIYA SOHIL YUNUS</v>
      </c>
      <c r="C315" s="18" t="str">
        <f ca="1">IFERROR(__xludf.DUMMYFUNCTION("""COMPUTED_VALUE"""),"SDS")</f>
        <v>SDS</v>
      </c>
      <c r="D315" s="18" t="str">
        <f ca="1">IFERROR(__xludf.DUMMYFUNCTION("""COMPUTED_VALUE"""),"DCE")</f>
        <v>DCE</v>
      </c>
      <c r="E315" s="25">
        <f ca="1">IFERROR(__xludf.DUMMYFUNCTION("""COMPUTED_VALUE"""),4)</f>
        <v>4</v>
      </c>
      <c r="F315" s="18" t="str">
        <f ca="1">IFERROR(__xludf.DUMMYFUNCTION("""COMPUTED_VALUE"""),"9638836234 9925895760")</f>
        <v>9638836234 9925895760</v>
      </c>
      <c r="G315" s="18" t="str">
        <f ca="1">IFERROR(__xludf.DUMMYFUNCTION("""COMPUTED_VALUE"""),"9638836234 9925895760")</f>
        <v>9638836234 9925895760</v>
      </c>
      <c r="H315" s="6" t="str">
        <f ca="1">IFERROR(__xludf.DUMMYFUNCTION("""COMPUTED_VALUE"""),"DCE_2022-25")</f>
        <v>DCE_2022-25</v>
      </c>
      <c r="I315" s="20" t="str">
        <f ca="1">IFERROR(__xludf.DUMMYFUNCTION("""COMPUTED_VALUE"""),"MYSY")</f>
        <v>MYSY</v>
      </c>
      <c r="J315" s="21">
        <f ca="1">IFERROR(__xludf.DUMMYFUNCTION("""COMPUTED_VALUE"""),25000)</f>
        <v>25000</v>
      </c>
      <c r="K315" s="21">
        <f ca="1">IFERROR(__xludf.DUMMYFUNCTION("""COMPUTED_VALUE"""),0)</f>
        <v>0</v>
      </c>
      <c r="L315" s="21">
        <f ca="1">IFERROR(__xludf.DUMMYFUNCTION("""COMPUTED_VALUE"""),0)</f>
        <v>0</v>
      </c>
      <c r="M315" s="23">
        <f ca="1">IFERROR(__xludf.DUMMYFUNCTION("""COMPUTED_VALUE"""),0)</f>
        <v>0</v>
      </c>
      <c r="N315" s="21">
        <f ca="1">IFERROR(__xludf.DUMMYFUNCTION("""COMPUTED_VALUE"""),25000)</f>
        <v>25000</v>
      </c>
      <c r="O315" s="21">
        <f ca="1">IFERROR(__xludf.DUMMYFUNCTION("""COMPUTED_VALUE"""),3000)</f>
        <v>3000</v>
      </c>
      <c r="P315" s="21">
        <f ca="1">IFERROR(__xludf.DUMMYFUNCTION("""COMPUTED_VALUE"""),3000)</f>
        <v>3000</v>
      </c>
      <c r="Q315" s="23">
        <f ca="1">IFERROR(__xludf.DUMMYFUNCTION("""COMPUTED_VALUE"""),0)</f>
        <v>0</v>
      </c>
      <c r="R315" s="24">
        <f ca="1">IFERROR(__xludf.DUMMYFUNCTION("""COMPUTED_VALUE"""),0)</f>
        <v>0</v>
      </c>
      <c r="S315" s="23">
        <f ca="1">IFERROR(__xludf.DUMMYFUNCTION("""COMPUTED_VALUE"""),0)</f>
        <v>0</v>
      </c>
      <c r="T315" s="24">
        <f ca="1">IFERROR(__xludf.DUMMYFUNCTION("""COMPUTED_VALUE"""),0)</f>
        <v>0</v>
      </c>
      <c r="U315" s="23">
        <f ca="1">IFERROR(__xludf.DUMMYFUNCTION("""COMPUTED_VALUE"""),0)</f>
        <v>0</v>
      </c>
      <c r="V315" s="23">
        <f ca="1">IFERROR(__xludf.DUMMYFUNCTION("""COMPUTED_VALUE"""),0)</f>
        <v>0</v>
      </c>
      <c r="W315" s="23">
        <f ca="1">IFERROR(__xludf.DUMMYFUNCTION("""COMPUTED_VALUE"""),0)</f>
        <v>0</v>
      </c>
      <c r="X315" s="23">
        <f ca="1">IFERROR(__xludf.DUMMYFUNCTION("""COMPUTED_VALUE"""),0)</f>
        <v>0</v>
      </c>
      <c r="Y315" s="25">
        <f ca="1">IFERROR(__xludf.DUMMYFUNCTION("""COMPUTED_VALUE"""),0)</f>
        <v>0</v>
      </c>
      <c r="Z315" s="25">
        <f ca="1">IFERROR(__xludf.DUMMYFUNCTION("""COMPUTED_VALUE"""),0)</f>
        <v>0</v>
      </c>
      <c r="AA315" s="25">
        <f ca="1">IFERROR(__xludf.DUMMYFUNCTION("""COMPUTED_VALUE"""),0)</f>
        <v>0</v>
      </c>
      <c r="AB315" s="25">
        <f ca="1">IFERROR(__xludf.DUMMYFUNCTION("""COMPUTED_VALUE"""),0)</f>
        <v>0</v>
      </c>
      <c r="AC315" s="23">
        <f ca="1">IFERROR(__xludf.DUMMYFUNCTION("""COMPUTED_VALUE"""),0)</f>
        <v>0</v>
      </c>
      <c r="AD315" s="26" t="str">
        <f ca="1">IFERROR(__xludf.DUMMYFUNCTION("""COMPUTED_VALUE"""),"KSPS(50%) + MYSY(50%) ")</f>
        <v xml:space="preserve">KSPS(50%) + MYSY(50%) </v>
      </c>
      <c r="AE315" s="27"/>
    </row>
    <row r="316" spans="1:31" ht="14.3">
      <c r="A316" s="18" t="str">
        <f ca="1">IFERROR(__xludf.DUMMYFUNCTION("""COMPUTED_VALUE"""),"22SDSCE01069")</f>
        <v>22SDSCE01069</v>
      </c>
      <c r="B316" s="19" t="str">
        <f ca="1">IFERROR(__xludf.DUMMYFUNCTION("""COMPUTED_VALUE"""),"MENDPARA JEEL KAUSHIKBHAI")</f>
        <v>MENDPARA JEEL KAUSHIKBHAI</v>
      </c>
      <c r="C316" s="18" t="str">
        <f ca="1">IFERROR(__xludf.DUMMYFUNCTION("""COMPUTED_VALUE"""),"SDS")</f>
        <v>SDS</v>
      </c>
      <c r="D316" s="18" t="str">
        <f ca="1">IFERROR(__xludf.DUMMYFUNCTION("""COMPUTED_VALUE"""),"DCE")</f>
        <v>DCE</v>
      </c>
      <c r="E316" s="25">
        <f ca="1">IFERROR(__xludf.DUMMYFUNCTION("""COMPUTED_VALUE"""),4)</f>
        <v>4</v>
      </c>
      <c r="F316" s="18" t="str">
        <f ca="1">IFERROR(__xludf.DUMMYFUNCTION("""COMPUTED_VALUE"""),"9624070070
9879434751")</f>
        <v>9624070070
9879434751</v>
      </c>
      <c r="G316" s="18" t="str">
        <f ca="1">IFERROR(__xludf.DUMMYFUNCTION("""COMPUTED_VALUE"""),"9624070070
9879434751")</f>
        <v>9624070070
9879434751</v>
      </c>
      <c r="H316" s="6" t="str">
        <f ca="1">IFERROR(__xludf.DUMMYFUNCTION("""COMPUTED_VALUE"""),"DCE_2022-25")</f>
        <v>DCE_2022-25</v>
      </c>
      <c r="I316" s="20"/>
      <c r="J316" s="21">
        <f ca="1">IFERROR(__xludf.DUMMYFUNCTION("""COMPUTED_VALUE"""),25000)</f>
        <v>25000</v>
      </c>
      <c r="K316" s="21">
        <f ca="1">IFERROR(__xludf.DUMMYFUNCTION("""COMPUTED_VALUE"""),25000)</f>
        <v>25000</v>
      </c>
      <c r="L316" s="21">
        <f ca="1">IFERROR(__xludf.DUMMYFUNCTION("""COMPUTED_VALUE"""),0)</f>
        <v>0</v>
      </c>
      <c r="M316" s="23">
        <f ca="1">IFERROR(__xludf.DUMMYFUNCTION("""COMPUTED_VALUE"""),0)</f>
        <v>0</v>
      </c>
      <c r="N316" s="21">
        <f ca="1">IFERROR(__xludf.DUMMYFUNCTION("""COMPUTED_VALUE"""),0)</f>
        <v>0</v>
      </c>
      <c r="O316" s="21">
        <f ca="1">IFERROR(__xludf.DUMMYFUNCTION("""COMPUTED_VALUE"""),3000)</f>
        <v>3000</v>
      </c>
      <c r="P316" s="21">
        <f ca="1">IFERROR(__xludf.DUMMYFUNCTION("""COMPUTED_VALUE"""),3000)</f>
        <v>3000</v>
      </c>
      <c r="Q316" s="23">
        <f ca="1">IFERROR(__xludf.DUMMYFUNCTION("""COMPUTED_VALUE"""),0)</f>
        <v>0</v>
      </c>
      <c r="R316" s="24">
        <f ca="1">IFERROR(__xludf.DUMMYFUNCTION("""COMPUTED_VALUE"""),0)</f>
        <v>0</v>
      </c>
      <c r="S316" s="23">
        <f ca="1">IFERROR(__xludf.DUMMYFUNCTION("""COMPUTED_VALUE"""),0)</f>
        <v>0</v>
      </c>
      <c r="T316" s="24">
        <f ca="1">IFERROR(__xludf.DUMMYFUNCTION("""COMPUTED_VALUE"""),0)</f>
        <v>0</v>
      </c>
      <c r="U316" s="23">
        <f ca="1">IFERROR(__xludf.DUMMYFUNCTION("""COMPUTED_VALUE"""),0)</f>
        <v>0</v>
      </c>
      <c r="V316" s="23">
        <f ca="1">IFERROR(__xludf.DUMMYFUNCTION("""COMPUTED_VALUE"""),0)</f>
        <v>0</v>
      </c>
      <c r="W316" s="23">
        <f ca="1">IFERROR(__xludf.DUMMYFUNCTION("""COMPUTED_VALUE"""),0)</f>
        <v>0</v>
      </c>
      <c r="X316" s="23">
        <f ca="1">IFERROR(__xludf.DUMMYFUNCTION("""COMPUTED_VALUE"""),0)</f>
        <v>0</v>
      </c>
      <c r="Y316" s="25">
        <f ca="1">IFERROR(__xludf.DUMMYFUNCTION("""COMPUTED_VALUE"""),0)</f>
        <v>0</v>
      </c>
      <c r="Z316" s="25">
        <f ca="1">IFERROR(__xludf.DUMMYFUNCTION("""COMPUTED_VALUE"""),0)</f>
        <v>0</v>
      </c>
      <c r="AA316" s="25">
        <f ca="1">IFERROR(__xludf.DUMMYFUNCTION("""COMPUTED_VALUE"""),0)</f>
        <v>0</v>
      </c>
      <c r="AB316" s="25">
        <f ca="1">IFERROR(__xludf.DUMMYFUNCTION("""COMPUTED_VALUE"""),0)</f>
        <v>0</v>
      </c>
      <c r="AC316" s="23">
        <f ca="1">IFERROR(__xludf.DUMMYFUNCTION("""COMPUTED_VALUE"""),0)</f>
        <v>0</v>
      </c>
      <c r="AD316" s="26"/>
      <c r="AE316" s="27"/>
    </row>
    <row r="317" spans="1:31" ht="14.3">
      <c r="A317" s="18" t="str">
        <f ca="1">IFERROR(__xludf.DUMMYFUNCTION("""COMPUTED_VALUE"""),"22SDSCE01070")</f>
        <v>22SDSCE01070</v>
      </c>
      <c r="B317" s="19" t="str">
        <f ca="1">IFERROR(__xludf.DUMMYFUNCTION("""COMPUTED_VALUE"""),"MER PIYUSH BIPINBHAI")</f>
        <v>MER PIYUSH BIPINBHAI</v>
      </c>
      <c r="C317" s="18" t="str">
        <f ca="1">IFERROR(__xludf.DUMMYFUNCTION("""COMPUTED_VALUE"""),"SDS")</f>
        <v>SDS</v>
      </c>
      <c r="D317" s="18" t="str">
        <f ca="1">IFERROR(__xludf.DUMMYFUNCTION("""COMPUTED_VALUE"""),"DCE")</f>
        <v>DCE</v>
      </c>
      <c r="E317" s="25">
        <f ca="1">IFERROR(__xludf.DUMMYFUNCTION("""COMPUTED_VALUE"""),4)</f>
        <v>4</v>
      </c>
      <c r="F317" s="18" t="str">
        <f ca="1">IFERROR(__xludf.DUMMYFUNCTION("""COMPUTED_VALUE"""),"9328120545 9904991965")</f>
        <v>9328120545 9904991965</v>
      </c>
      <c r="G317" s="18" t="str">
        <f ca="1">IFERROR(__xludf.DUMMYFUNCTION("""COMPUTED_VALUE"""),"9328120545 9904991965")</f>
        <v>9328120545 9904991965</v>
      </c>
      <c r="H317" s="6" t="str">
        <f ca="1">IFERROR(__xludf.DUMMYFUNCTION("""COMPUTED_VALUE"""),"DCE_2022-25")</f>
        <v>DCE_2022-25</v>
      </c>
      <c r="I317" s="20" t="str">
        <f ca="1">IFERROR(__xludf.DUMMYFUNCTION("""COMPUTED_VALUE"""),"MYSY")</f>
        <v>MYSY</v>
      </c>
      <c r="J317" s="21">
        <f ca="1">IFERROR(__xludf.DUMMYFUNCTION("""COMPUTED_VALUE"""),25000)</f>
        <v>25000</v>
      </c>
      <c r="K317" s="21">
        <f ca="1">IFERROR(__xludf.DUMMYFUNCTION("""COMPUTED_VALUE"""),0)</f>
        <v>0</v>
      </c>
      <c r="L317" s="21">
        <f ca="1">IFERROR(__xludf.DUMMYFUNCTION("""COMPUTED_VALUE"""),0)</f>
        <v>0</v>
      </c>
      <c r="M317" s="23">
        <f ca="1">IFERROR(__xludf.DUMMYFUNCTION("""COMPUTED_VALUE"""),0)</f>
        <v>0</v>
      </c>
      <c r="N317" s="21">
        <f ca="1">IFERROR(__xludf.DUMMYFUNCTION("""COMPUTED_VALUE"""),25000)</f>
        <v>25000</v>
      </c>
      <c r="O317" s="21">
        <f ca="1">IFERROR(__xludf.DUMMYFUNCTION("""COMPUTED_VALUE"""),3000)</f>
        <v>3000</v>
      </c>
      <c r="P317" s="21">
        <f ca="1">IFERROR(__xludf.DUMMYFUNCTION("""COMPUTED_VALUE"""),3000)</f>
        <v>3000</v>
      </c>
      <c r="Q317" s="23">
        <f ca="1">IFERROR(__xludf.DUMMYFUNCTION("""COMPUTED_VALUE"""),0)</f>
        <v>0</v>
      </c>
      <c r="R317" s="24">
        <f ca="1">IFERROR(__xludf.DUMMYFUNCTION("""COMPUTED_VALUE"""),0)</f>
        <v>0</v>
      </c>
      <c r="S317" s="23">
        <f ca="1">IFERROR(__xludf.DUMMYFUNCTION("""COMPUTED_VALUE"""),0)</f>
        <v>0</v>
      </c>
      <c r="T317" s="24">
        <f ca="1">IFERROR(__xludf.DUMMYFUNCTION("""COMPUTED_VALUE"""),0)</f>
        <v>0</v>
      </c>
      <c r="U317" s="23">
        <f ca="1">IFERROR(__xludf.DUMMYFUNCTION("""COMPUTED_VALUE"""),0)</f>
        <v>0</v>
      </c>
      <c r="V317" s="23">
        <f ca="1">IFERROR(__xludf.DUMMYFUNCTION("""COMPUTED_VALUE"""),0)</f>
        <v>0</v>
      </c>
      <c r="W317" s="23">
        <f ca="1">IFERROR(__xludf.DUMMYFUNCTION("""COMPUTED_VALUE"""),0)</f>
        <v>0</v>
      </c>
      <c r="X317" s="23">
        <f ca="1">IFERROR(__xludf.DUMMYFUNCTION("""COMPUTED_VALUE"""),0)</f>
        <v>0</v>
      </c>
      <c r="Y317" s="25">
        <f ca="1">IFERROR(__xludf.DUMMYFUNCTION("""COMPUTED_VALUE"""),0)</f>
        <v>0</v>
      </c>
      <c r="Z317" s="25">
        <f ca="1">IFERROR(__xludf.DUMMYFUNCTION("""COMPUTED_VALUE"""),0)</f>
        <v>0</v>
      </c>
      <c r="AA317" s="25">
        <f ca="1">IFERROR(__xludf.DUMMYFUNCTION("""COMPUTED_VALUE"""),0)</f>
        <v>0</v>
      </c>
      <c r="AB317" s="25">
        <f ca="1">IFERROR(__xludf.DUMMYFUNCTION("""COMPUTED_VALUE"""),0)</f>
        <v>0</v>
      </c>
      <c r="AC317" s="23">
        <f ca="1">IFERROR(__xludf.DUMMYFUNCTION("""COMPUTED_VALUE"""),0)</f>
        <v>0</v>
      </c>
      <c r="AD317" s="26" t="str">
        <f ca="1">IFERROR(__xludf.DUMMYFUNCTION("""COMPUTED_VALUE"""),"KSPS(25%) + MYSY(50%) ")</f>
        <v xml:space="preserve">KSPS(25%) + MYSY(50%) </v>
      </c>
      <c r="AE317" s="27"/>
    </row>
    <row r="318" spans="1:31" ht="14.3">
      <c r="A318" s="18" t="str">
        <f ca="1">IFERROR(__xludf.DUMMYFUNCTION("""COMPUTED_VALUE"""),"22SDSCE01071")</f>
        <v>22SDSCE01071</v>
      </c>
      <c r="B318" s="19" t="str">
        <f ca="1">IFERROR(__xludf.DUMMYFUNCTION("""COMPUTED_VALUE"""),"MODHVADIYA HETALBEN RAMBHAI")</f>
        <v>MODHVADIYA HETALBEN RAMBHAI</v>
      </c>
      <c r="C318" s="18" t="str">
        <f ca="1">IFERROR(__xludf.DUMMYFUNCTION("""COMPUTED_VALUE"""),"SDS")</f>
        <v>SDS</v>
      </c>
      <c r="D318" s="18" t="str">
        <f ca="1">IFERROR(__xludf.DUMMYFUNCTION("""COMPUTED_VALUE"""),"DCE")</f>
        <v>DCE</v>
      </c>
      <c r="E318" s="25">
        <f ca="1">IFERROR(__xludf.DUMMYFUNCTION("""COMPUTED_VALUE"""),4)</f>
        <v>4</v>
      </c>
      <c r="F318" s="18" t="str">
        <f ca="1">IFERROR(__xludf.DUMMYFUNCTION("""COMPUTED_VALUE"""),"9879899945 9365236851")</f>
        <v>9879899945 9365236851</v>
      </c>
      <c r="G318" s="18" t="str">
        <f ca="1">IFERROR(__xludf.DUMMYFUNCTION("""COMPUTED_VALUE"""),"9879899945 9365236851")</f>
        <v>9879899945 9365236851</v>
      </c>
      <c r="H318" s="6" t="str">
        <f ca="1">IFERROR(__xludf.DUMMYFUNCTION("""COMPUTED_VALUE"""),"DCE_2022-25")</f>
        <v>DCE_2022-25</v>
      </c>
      <c r="I318" s="20"/>
      <c r="J318" s="21">
        <f ca="1">IFERROR(__xludf.DUMMYFUNCTION("""COMPUTED_VALUE"""),25000)</f>
        <v>25000</v>
      </c>
      <c r="K318" s="21">
        <f ca="1">IFERROR(__xludf.DUMMYFUNCTION("""COMPUTED_VALUE"""),0)</f>
        <v>0</v>
      </c>
      <c r="L318" s="21">
        <f ca="1">IFERROR(__xludf.DUMMYFUNCTION("""COMPUTED_VALUE"""),0)</f>
        <v>0</v>
      </c>
      <c r="M318" s="23">
        <f ca="1">IFERROR(__xludf.DUMMYFUNCTION("""COMPUTED_VALUE"""),0)</f>
        <v>0</v>
      </c>
      <c r="N318" s="21">
        <f ca="1">IFERROR(__xludf.DUMMYFUNCTION("""COMPUTED_VALUE"""),25000)</f>
        <v>25000</v>
      </c>
      <c r="O318" s="21">
        <f ca="1">IFERROR(__xludf.DUMMYFUNCTION("""COMPUTED_VALUE"""),3000)</f>
        <v>3000</v>
      </c>
      <c r="P318" s="21">
        <f ca="1">IFERROR(__xludf.DUMMYFUNCTION("""COMPUTED_VALUE"""),0)</f>
        <v>0</v>
      </c>
      <c r="Q318" s="23">
        <f ca="1">IFERROR(__xludf.DUMMYFUNCTION("""COMPUTED_VALUE"""),0)</f>
        <v>0</v>
      </c>
      <c r="R318" s="24">
        <f ca="1">IFERROR(__xludf.DUMMYFUNCTION("""COMPUTED_VALUE"""),0)</f>
        <v>0</v>
      </c>
      <c r="S318" s="23">
        <f ca="1">IFERROR(__xludf.DUMMYFUNCTION("""COMPUTED_VALUE"""),3000)</f>
        <v>3000</v>
      </c>
      <c r="T318" s="24">
        <f ca="1">IFERROR(__xludf.DUMMYFUNCTION("""COMPUTED_VALUE"""),0)</f>
        <v>0</v>
      </c>
      <c r="U318" s="23">
        <f ca="1">IFERROR(__xludf.DUMMYFUNCTION("""COMPUTED_VALUE"""),0)</f>
        <v>0</v>
      </c>
      <c r="V318" s="23">
        <f ca="1">IFERROR(__xludf.DUMMYFUNCTION("""COMPUTED_VALUE"""),0)</f>
        <v>0</v>
      </c>
      <c r="W318" s="23">
        <f ca="1">IFERROR(__xludf.DUMMYFUNCTION("""COMPUTED_VALUE"""),0)</f>
        <v>0</v>
      </c>
      <c r="X318" s="23">
        <f ca="1">IFERROR(__xludf.DUMMYFUNCTION("""COMPUTED_VALUE"""),0)</f>
        <v>0</v>
      </c>
      <c r="Y318" s="25">
        <f ca="1">IFERROR(__xludf.DUMMYFUNCTION("""COMPUTED_VALUE"""),0)</f>
        <v>0</v>
      </c>
      <c r="Z318" s="25">
        <f ca="1">IFERROR(__xludf.DUMMYFUNCTION("""COMPUTED_VALUE"""),0)</f>
        <v>0</v>
      </c>
      <c r="AA318" s="25">
        <f ca="1">IFERROR(__xludf.DUMMYFUNCTION("""COMPUTED_VALUE"""),0)</f>
        <v>0</v>
      </c>
      <c r="AB318" s="25">
        <f ca="1">IFERROR(__xludf.DUMMYFUNCTION("""COMPUTED_VALUE"""),0)</f>
        <v>0</v>
      </c>
      <c r="AC318" s="23">
        <f ca="1">IFERROR(__xludf.DUMMYFUNCTION("""COMPUTED_VALUE"""),0)</f>
        <v>0</v>
      </c>
      <c r="AD318" s="26"/>
      <c r="AE318" s="27"/>
    </row>
    <row r="319" spans="1:31" ht="14.3">
      <c r="A319" s="18" t="str">
        <f ca="1">IFERROR(__xludf.DUMMYFUNCTION("""COMPUTED_VALUE"""),"22SDSCE01072")</f>
        <v>22SDSCE01072</v>
      </c>
      <c r="B319" s="19" t="str">
        <f ca="1">IFERROR(__xludf.DUMMYFUNCTION("""COMPUTED_VALUE"""),"MOLIYA KRUPA HEMANTKUMAR")</f>
        <v>MOLIYA KRUPA HEMANTKUMAR</v>
      </c>
      <c r="C319" s="18" t="str">
        <f ca="1">IFERROR(__xludf.DUMMYFUNCTION("""COMPUTED_VALUE"""),"SDS")</f>
        <v>SDS</v>
      </c>
      <c r="D319" s="18" t="str">
        <f ca="1">IFERROR(__xludf.DUMMYFUNCTION("""COMPUTED_VALUE"""),"DCE")</f>
        <v>DCE</v>
      </c>
      <c r="E319" s="25">
        <f ca="1">IFERROR(__xludf.DUMMYFUNCTION("""COMPUTED_VALUE"""),4)</f>
        <v>4</v>
      </c>
      <c r="F319" s="18" t="str">
        <f ca="1">IFERROR(__xludf.DUMMYFUNCTION("""COMPUTED_VALUE"""),"9313481869 9664993509")</f>
        <v>9313481869 9664993509</v>
      </c>
      <c r="G319" s="18" t="str">
        <f ca="1">IFERROR(__xludf.DUMMYFUNCTION("""COMPUTED_VALUE"""),"9313481869 9664993509")</f>
        <v>9313481869 9664993509</v>
      </c>
      <c r="H319" s="6" t="str">
        <f ca="1">IFERROR(__xludf.DUMMYFUNCTION("""COMPUTED_VALUE"""),"DCE_2022-25")</f>
        <v>DCE_2022-25</v>
      </c>
      <c r="I319" s="20"/>
      <c r="J319" s="21">
        <f ca="1">IFERROR(__xludf.DUMMYFUNCTION("""COMPUTED_VALUE"""),25000)</f>
        <v>25000</v>
      </c>
      <c r="K319" s="21">
        <f ca="1">IFERROR(__xludf.DUMMYFUNCTION("""COMPUTED_VALUE"""),25000)</f>
        <v>25000</v>
      </c>
      <c r="L319" s="21">
        <f ca="1">IFERROR(__xludf.DUMMYFUNCTION("""COMPUTED_VALUE"""),0)</f>
        <v>0</v>
      </c>
      <c r="M319" s="23">
        <f ca="1">IFERROR(__xludf.DUMMYFUNCTION("""COMPUTED_VALUE"""),0)</f>
        <v>0</v>
      </c>
      <c r="N319" s="21">
        <f ca="1">IFERROR(__xludf.DUMMYFUNCTION("""COMPUTED_VALUE"""),0)</f>
        <v>0</v>
      </c>
      <c r="O319" s="21">
        <f ca="1">IFERROR(__xludf.DUMMYFUNCTION("""COMPUTED_VALUE"""),3000)</f>
        <v>3000</v>
      </c>
      <c r="P319" s="21">
        <f ca="1">IFERROR(__xludf.DUMMYFUNCTION("""COMPUTED_VALUE"""),3000)</f>
        <v>3000</v>
      </c>
      <c r="Q319" s="23">
        <f ca="1">IFERROR(__xludf.DUMMYFUNCTION("""COMPUTED_VALUE"""),0)</f>
        <v>0</v>
      </c>
      <c r="R319" s="24">
        <f ca="1">IFERROR(__xludf.DUMMYFUNCTION("""COMPUTED_VALUE"""),0)</f>
        <v>0</v>
      </c>
      <c r="S319" s="23">
        <f ca="1">IFERROR(__xludf.DUMMYFUNCTION("""COMPUTED_VALUE"""),0)</f>
        <v>0</v>
      </c>
      <c r="T319" s="24">
        <f ca="1">IFERROR(__xludf.DUMMYFUNCTION("""COMPUTED_VALUE"""),0)</f>
        <v>0</v>
      </c>
      <c r="U319" s="23">
        <f ca="1">IFERROR(__xludf.DUMMYFUNCTION("""COMPUTED_VALUE"""),0)</f>
        <v>0</v>
      </c>
      <c r="V319" s="23">
        <f ca="1">IFERROR(__xludf.DUMMYFUNCTION("""COMPUTED_VALUE"""),0)</f>
        <v>0</v>
      </c>
      <c r="W319" s="23">
        <f ca="1">IFERROR(__xludf.DUMMYFUNCTION("""COMPUTED_VALUE"""),0)</f>
        <v>0</v>
      </c>
      <c r="X319" s="23">
        <f ca="1">IFERROR(__xludf.DUMMYFUNCTION("""COMPUTED_VALUE"""),0)</f>
        <v>0</v>
      </c>
      <c r="Y319" s="25">
        <f ca="1">IFERROR(__xludf.DUMMYFUNCTION("""COMPUTED_VALUE"""),0)</f>
        <v>0</v>
      </c>
      <c r="Z319" s="25">
        <f ca="1">IFERROR(__xludf.DUMMYFUNCTION("""COMPUTED_VALUE"""),0)</f>
        <v>0</v>
      </c>
      <c r="AA319" s="25">
        <f ca="1">IFERROR(__xludf.DUMMYFUNCTION("""COMPUTED_VALUE"""),0)</f>
        <v>0</v>
      </c>
      <c r="AB319" s="25">
        <f ca="1">IFERROR(__xludf.DUMMYFUNCTION("""COMPUTED_VALUE"""),0)</f>
        <v>0</v>
      </c>
      <c r="AC319" s="23">
        <f ca="1">IFERROR(__xludf.DUMMYFUNCTION("""COMPUTED_VALUE"""),0)</f>
        <v>0</v>
      </c>
      <c r="AD319" s="26"/>
      <c r="AE319" s="27"/>
    </row>
    <row r="320" spans="1:31" ht="14.3">
      <c r="A320" s="18" t="str">
        <f ca="1">IFERROR(__xludf.DUMMYFUNCTION("""COMPUTED_VALUE"""),"22SDSCE01073")</f>
        <v>22SDSCE01073</v>
      </c>
      <c r="B320" s="19" t="str">
        <f ca="1">IFERROR(__xludf.DUMMYFUNCTION("""COMPUTED_VALUE"""),"MORADIYA MOKSH MEHULKUMAR")</f>
        <v>MORADIYA MOKSH MEHULKUMAR</v>
      </c>
      <c r="C320" s="18" t="str">
        <f ca="1">IFERROR(__xludf.DUMMYFUNCTION("""COMPUTED_VALUE"""),"SDS")</f>
        <v>SDS</v>
      </c>
      <c r="D320" s="18" t="str">
        <f ca="1">IFERROR(__xludf.DUMMYFUNCTION("""COMPUTED_VALUE"""),"DCE")</f>
        <v>DCE</v>
      </c>
      <c r="E320" s="25">
        <f ca="1">IFERROR(__xludf.DUMMYFUNCTION("""COMPUTED_VALUE"""),4)</f>
        <v>4</v>
      </c>
      <c r="F320" s="18" t="str">
        <f ca="1">IFERROR(__xludf.DUMMYFUNCTION("""COMPUTED_VALUE"""),"9426141300 9426141300")</f>
        <v>9426141300 9426141300</v>
      </c>
      <c r="G320" s="18" t="str">
        <f ca="1">IFERROR(__xludf.DUMMYFUNCTION("""COMPUTED_VALUE"""),"9426141300 9426141300")</f>
        <v>9426141300 9426141300</v>
      </c>
      <c r="H320" s="6" t="str">
        <f ca="1">IFERROR(__xludf.DUMMYFUNCTION("""COMPUTED_VALUE"""),"DCE_2022-25")</f>
        <v>DCE_2022-25</v>
      </c>
      <c r="I320" s="20" t="str">
        <f ca="1">IFERROR(__xludf.DUMMYFUNCTION("""COMPUTED_VALUE"""),"MYSY")</f>
        <v>MYSY</v>
      </c>
      <c r="J320" s="21">
        <f ca="1">IFERROR(__xludf.DUMMYFUNCTION("""COMPUTED_VALUE"""),25000)</f>
        <v>25000</v>
      </c>
      <c r="K320" s="21">
        <f ca="1">IFERROR(__xludf.DUMMYFUNCTION("""COMPUTED_VALUE"""),0)</f>
        <v>0</v>
      </c>
      <c r="L320" s="21">
        <f ca="1">IFERROR(__xludf.DUMMYFUNCTION("""COMPUTED_VALUE"""),0)</f>
        <v>0</v>
      </c>
      <c r="M320" s="23">
        <f ca="1">IFERROR(__xludf.DUMMYFUNCTION("""COMPUTED_VALUE"""),0)</f>
        <v>0</v>
      </c>
      <c r="N320" s="21">
        <f ca="1">IFERROR(__xludf.DUMMYFUNCTION("""COMPUTED_VALUE"""),25000)</f>
        <v>25000</v>
      </c>
      <c r="O320" s="21">
        <f ca="1">IFERROR(__xludf.DUMMYFUNCTION("""COMPUTED_VALUE"""),3000)</f>
        <v>3000</v>
      </c>
      <c r="P320" s="21">
        <f ca="1">IFERROR(__xludf.DUMMYFUNCTION("""COMPUTED_VALUE"""),3000)</f>
        <v>3000</v>
      </c>
      <c r="Q320" s="23">
        <f ca="1">IFERROR(__xludf.DUMMYFUNCTION("""COMPUTED_VALUE"""),0)</f>
        <v>0</v>
      </c>
      <c r="R320" s="24">
        <f ca="1">IFERROR(__xludf.DUMMYFUNCTION("""COMPUTED_VALUE"""),0)</f>
        <v>0</v>
      </c>
      <c r="S320" s="23">
        <f ca="1">IFERROR(__xludf.DUMMYFUNCTION("""COMPUTED_VALUE"""),0)</f>
        <v>0</v>
      </c>
      <c r="T320" s="24">
        <f ca="1">IFERROR(__xludf.DUMMYFUNCTION("""COMPUTED_VALUE"""),0)</f>
        <v>0</v>
      </c>
      <c r="U320" s="23">
        <f ca="1">IFERROR(__xludf.DUMMYFUNCTION("""COMPUTED_VALUE"""),0)</f>
        <v>0</v>
      </c>
      <c r="V320" s="23">
        <f ca="1">IFERROR(__xludf.DUMMYFUNCTION("""COMPUTED_VALUE"""),0)</f>
        <v>0</v>
      </c>
      <c r="W320" s="23">
        <f ca="1">IFERROR(__xludf.DUMMYFUNCTION("""COMPUTED_VALUE"""),0)</f>
        <v>0</v>
      </c>
      <c r="X320" s="23">
        <f ca="1">IFERROR(__xludf.DUMMYFUNCTION("""COMPUTED_VALUE"""),0)</f>
        <v>0</v>
      </c>
      <c r="Y320" s="25">
        <f ca="1">IFERROR(__xludf.DUMMYFUNCTION("""COMPUTED_VALUE"""),0)</f>
        <v>0</v>
      </c>
      <c r="Z320" s="25">
        <f ca="1">IFERROR(__xludf.DUMMYFUNCTION("""COMPUTED_VALUE"""),0)</f>
        <v>0</v>
      </c>
      <c r="AA320" s="25">
        <f ca="1">IFERROR(__xludf.DUMMYFUNCTION("""COMPUTED_VALUE"""),0)</f>
        <v>0</v>
      </c>
      <c r="AB320" s="25">
        <f ca="1">IFERROR(__xludf.DUMMYFUNCTION("""COMPUTED_VALUE"""),0)</f>
        <v>0</v>
      </c>
      <c r="AC320" s="23">
        <f ca="1">IFERROR(__xludf.DUMMYFUNCTION("""COMPUTED_VALUE"""),0)</f>
        <v>0</v>
      </c>
      <c r="AD320" s="26" t="str">
        <f ca="1">IFERROR(__xludf.DUMMYFUNCTION("""COMPUTED_VALUE"""),"KSPS(25%) + MYSY(50%) ")</f>
        <v xml:space="preserve">KSPS(25%) + MYSY(50%) </v>
      </c>
      <c r="AE320" s="27"/>
    </row>
    <row r="321" spans="1:31" ht="14.3">
      <c r="A321" s="18" t="str">
        <f ca="1">IFERROR(__xludf.DUMMYFUNCTION("""COMPUTED_VALUE"""),"22SDSCE01075")</f>
        <v>22SDSCE01075</v>
      </c>
      <c r="B321" s="19" t="str">
        <f ca="1">IFERROR(__xludf.DUMMYFUNCTION("""COMPUTED_VALUE"""),"MUNGRA JIGAR SURESHBHAI")</f>
        <v>MUNGRA JIGAR SURESHBHAI</v>
      </c>
      <c r="C321" s="18" t="str">
        <f ca="1">IFERROR(__xludf.DUMMYFUNCTION("""COMPUTED_VALUE"""),"SDS")</f>
        <v>SDS</v>
      </c>
      <c r="D321" s="18" t="str">
        <f ca="1">IFERROR(__xludf.DUMMYFUNCTION("""COMPUTED_VALUE"""),"DCE")</f>
        <v>DCE</v>
      </c>
      <c r="E321" s="25">
        <f ca="1">IFERROR(__xludf.DUMMYFUNCTION("""COMPUTED_VALUE"""),4)</f>
        <v>4</v>
      </c>
      <c r="F321" s="18" t="str">
        <f ca="1">IFERROR(__xludf.DUMMYFUNCTION("""COMPUTED_VALUE"""),"8401180700
9924404924")</f>
        <v>8401180700
9924404924</v>
      </c>
      <c r="G321" s="18" t="str">
        <f ca="1">IFERROR(__xludf.DUMMYFUNCTION("""COMPUTED_VALUE"""),"8401180700
9924404924")</f>
        <v>8401180700
9924404924</v>
      </c>
      <c r="H321" s="6" t="str">
        <f ca="1">IFERROR(__xludf.DUMMYFUNCTION("""COMPUTED_VALUE"""),"DCE_2022-25")</f>
        <v>DCE_2022-25</v>
      </c>
      <c r="I321" s="20" t="str">
        <f ca="1">IFERROR(__xludf.DUMMYFUNCTION("""COMPUTED_VALUE"""),"TFW")</f>
        <v>TFW</v>
      </c>
      <c r="J321" s="21">
        <f ca="1">IFERROR(__xludf.DUMMYFUNCTION("""COMPUTED_VALUE"""),25000)</f>
        <v>25000</v>
      </c>
      <c r="K321" s="21">
        <f ca="1">IFERROR(__xludf.DUMMYFUNCTION("""COMPUTED_VALUE"""),0)</f>
        <v>0</v>
      </c>
      <c r="L321" s="21">
        <f ca="1">IFERROR(__xludf.DUMMYFUNCTION("""COMPUTED_VALUE"""),0)</f>
        <v>0</v>
      </c>
      <c r="M321" s="23">
        <f ca="1">IFERROR(__xludf.DUMMYFUNCTION("""COMPUTED_VALUE"""),25000)</f>
        <v>25000</v>
      </c>
      <c r="N321" s="21">
        <f ca="1">IFERROR(__xludf.DUMMYFUNCTION("""COMPUTED_VALUE"""),0)</f>
        <v>0</v>
      </c>
      <c r="O321" s="21">
        <f ca="1">IFERROR(__xludf.DUMMYFUNCTION("""COMPUTED_VALUE"""),3000)</f>
        <v>3000</v>
      </c>
      <c r="P321" s="21">
        <f ca="1">IFERROR(__xludf.DUMMYFUNCTION("""COMPUTED_VALUE"""),3000)</f>
        <v>3000</v>
      </c>
      <c r="Q321" s="23">
        <f ca="1">IFERROR(__xludf.DUMMYFUNCTION("""COMPUTED_VALUE"""),0)</f>
        <v>0</v>
      </c>
      <c r="R321" s="24">
        <f ca="1">IFERROR(__xludf.DUMMYFUNCTION("""COMPUTED_VALUE"""),0)</f>
        <v>0</v>
      </c>
      <c r="S321" s="23">
        <f ca="1">IFERROR(__xludf.DUMMYFUNCTION("""COMPUTED_VALUE"""),0)</f>
        <v>0</v>
      </c>
      <c r="T321" s="24">
        <f ca="1">IFERROR(__xludf.DUMMYFUNCTION("""COMPUTED_VALUE"""),0)</f>
        <v>0</v>
      </c>
      <c r="U321" s="23">
        <f ca="1">IFERROR(__xludf.DUMMYFUNCTION("""COMPUTED_VALUE"""),0)</f>
        <v>0</v>
      </c>
      <c r="V321" s="23">
        <f ca="1">IFERROR(__xludf.DUMMYFUNCTION("""COMPUTED_VALUE"""),0)</f>
        <v>0</v>
      </c>
      <c r="W321" s="23">
        <f ca="1">IFERROR(__xludf.DUMMYFUNCTION("""COMPUTED_VALUE"""),0)</f>
        <v>0</v>
      </c>
      <c r="X321" s="23">
        <f ca="1">IFERROR(__xludf.DUMMYFUNCTION("""COMPUTED_VALUE"""),0)</f>
        <v>0</v>
      </c>
      <c r="Y321" s="25">
        <f ca="1">IFERROR(__xludf.DUMMYFUNCTION("""COMPUTED_VALUE"""),0)</f>
        <v>0</v>
      </c>
      <c r="Z321" s="25">
        <f ca="1">IFERROR(__xludf.DUMMYFUNCTION("""COMPUTED_VALUE"""),0)</f>
        <v>0</v>
      </c>
      <c r="AA321" s="25">
        <f ca="1">IFERROR(__xludf.DUMMYFUNCTION("""COMPUTED_VALUE"""),0)</f>
        <v>0</v>
      </c>
      <c r="AB321" s="25">
        <f ca="1">IFERROR(__xludf.DUMMYFUNCTION("""COMPUTED_VALUE"""),0)</f>
        <v>0</v>
      </c>
      <c r="AC321" s="23">
        <f ca="1">IFERROR(__xludf.DUMMYFUNCTION("""COMPUTED_VALUE"""),0)</f>
        <v>0</v>
      </c>
      <c r="AD321" s="26"/>
      <c r="AE321" s="27"/>
    </row>
    <row r="322" spans="1:31" ht="23.1">
      <c r="A322" s="18" t="str">
        <f ca="1">IFERROR(__xludf.DUMMYFUNCTION("""COMPUTED_VALUE"""),"22SDSCE01077")</f>
        <v>22SDSCE01077</v>
      </c>
      <c r="B322" s="19" t="str">
        <f ca="1">IFERROR(__xludf.DUMMYFUNCTION("""COMPUTED_VALUE"""),"NASHIT AAYUSH ASHVINBHAI")</f>
        <v>NASHIT AAYUSH ASHVINBHAI</v>
      </c>
      <c r="C322" s="18" t="str">
        <f ca="1">IFERROR(__xludf.DUMMYFUNCTION("""COMPUTED_VALUE"""),"SDS")</f>
        <v>SDS</v>
      </c>
      <c r="D322" s="18" t="str">
        <f ca="1">IFERROR(__xludf.DUMMYFUNCTION("""COMPUTED_VALUE"""),"DCE")</f>
        <v>DCE</v>
      </c>
      <c r="E322" s="25">
        <f ca="1">IFERROR(__xludf.DUMMYFUNCTION("""COMPUTED_VALUE"""),4)</f>
        <v>4</v>
      </c>
      <c r="F322" s="18" t="str">
        <f ca="1">IFERROR(__xludf.DUMMYFUNCTION("""COMPUTED_VALUE"""),"6353979810 9313542835")</f>
        <v>6353979810 9313542835</v>
      </c>
      <c r="G322" s="18" t="str">
        <f ca="1">IFERROR(__xludf.DUMMYFUNCTION("""COMPUTED_VALUE"""),"6353979810 9313542835")</f>
        <v>6353979810 9313542835</v>
      </c>
      <c r="H322" s="6" t="str">
        <f ca="1">IFERROR(__xludf.DUMMYFUNCTION("""COMPUTED_VALUE"""),"DCE_2022-25")</f>
        <v>DCE_2022-25</v>
      </c>
      <c r="I322" s="20" t="str">
        <f ca="1">IFERROR(__xludf.DUMMYFUNCTION("""COMPUTED_VALUE"""),"KSP")</f>
        <v>KSP</v>
      </c>
      <c r="J322" s="21">
        <f ca="1">IFERROR(__xludf.DUMMYFUNCTION("""COMPUTED_VALUE"""),25000)</f>
        <v>25000</v>
      </c>
      <c r="K322" s="21">
        <f ca="1">IFERROR(__xludf.DUMMYFUNCTION("""COMPUTED_VALUE"""),12500)</f>
        <v>12500</v>
      </c>
      <c r="L322" s="21">
        <f ca="1">IFERROR(__xludf.DUMMYFUNCTION("""COMPUTED_VALUE"""),0)</f>
        <v>0</v>
      </c>
      <c r="M322" s="23">
        <f ca="1">IFERROR(__xludf.DUMMYFUNCTION("""COMPUTED_VALUE"""),12500)</f>
        <v>12500</v>
      </c>
      <c r="N322" s="21">
        <f ca="1">IFERROR(__xludf.DUMMYFUNCTION("""COMPUTED_VALUE"""),0)</f>
        <v>0</v>
      </c>
      <c r="O322" s="21">
        <f ca="1">IFERROR(__xludf.DUMMYFUNCTION("""COMPUTED_VALUE"""),3000)</f>
        <v>3000</v>
      </c>
      <c r="P322" s="21">
        <f ca="1">IFERROR(__xludf.DUMMYFUNCTION("""COMPUTED_VALUE"""),3000)</f>
        <v>3000</v>
      </c>
      <c r="Q322" s="23">
        <f ca="1">IFERROR(__xludf.DUMMYFUNCTION("""COMPUTED_VALUE"""),0)</f>
        <v>0</v>
      </c>
      <c r="R322" s="24">
        <f ca="1">IFERROR(__xludf.DUMMYFUNCTION("""COMPUTED_VALUE"""),0)</f>
        <v>0</v>
      </c>
      <c r="S322" s="23">
        <f ca="1">IFERROR(__xludf.DUMMYFUNCTION("""COMPUTED_VALUE"""),0)</f>
        <v>0</v>
      </c>
      <c r="T322" s="24">
        <f ca="1">IFERROR(__xludf.DUMMYFUNCTION("""COMPUTED_VALUE"""),0)</f>
        <v>0</v>
      </c>
      <c r="U322" s="23">
        <f ca="1">IFERROR(__xludf.DUMMYFUNCTION("""COMPUTED_VALUE"""),0)</f>
        <v>0</v>
      </c>
      <c r="V322" s="23">
        <f ca="1">IFERROR(__xludf.DUMMYFUNCTION("""COMPUTED_VALUE"""),0)</f>
        <v>0</v>
      </c>
      <c r="W322" s="23">
        <f ca="1">IFERROR(__xludf.DUMMYFUNCTION("""COMPUTED_VALUE"""),0)</f>
        <v>0</v>
      </c>
      <c r="X322" s="23">
        <f ca="1">IFERROR(__xludf.DUMMYFUNCTION("""COMPUTED_VALUE"""),0)</f>
        <v>0</v>
      </c>
      <c r="Y322" s="25">
        <f ca="1">IFERROR(__xludf.DUMMYFUNCTION("""COMPUTED_VALUE"""),0)</f>
        <v>0</v>
      </c>
      <c r="Z322" s="25">
        <f ca="1">IFERROR(__xludf.DUMMYFUNCTION("""COMPUTED_VALUE"""),0)</f>
        <v>0</v>
      </c>
      <c r="AA322" s="25">
        <f ca="1">IFERROR(__xludf.DUMMYFUNCTION("""COMPUTED_VALUE"""),0)</f>
        <v>0</v>
      </c>
      <c r="AB322" s="25">
        <f ca="1">IFERROR(__xludf.DUMMYFUNCTION("""COMPUTED_VALUE"""),0)</f>
        <v>0</v>
      </c>
      <c r="AC322" s="23">
        <f ca="1">IFERROR(__xludf.DUMMYFUNCTION("""COMPUTED_VALUE"""),0)</f>
        <v>0</v>
      </c>
      <c r="AD322" s="26" t="str">
        <f ca="1">IFERROR(__xludf.DUMMYFUNCTION("""COMPUTED_VALUE"""),"KSPS 50 %
12500 PER SEM")</f>
        <v>KSPS 50 %
12500 PER SEM</v>
      </c>
      <c r="AE322" s="27"/>
    </row>
    <row r="323" spans="1:31" ht="14.3">
      <c r="A323" s="18" t="str">
        <f ca="1">IFERROR(__xludf.DUMMYFUNCTION("""COMPUTED_VALUE"""),"22SDSCE01078")</f>
        <v>22SDSCE01078</v>
      </c>
      <c r="B323" s="19" t="str">
        <f ca="1">IFERROR(__xludf.DUMMYFUNCTION("""COMPUTED_VALUE"""),"HARVI NASIT")</f>
        <v>HARVI NASIT</v>
      </c>
      <c r="C323" s="18" t="str">
        <f ca="1">IFERROR(__xludf.DUMMYFUNCTION("""COMPUTED_VALUE"""),"SDS")</f>
        <v>SDS</v>
      </c>
      <c r="D323" s="18" t="str">
        <f ca="1">IFERROR(__xludf.DUMMYFUNCTION("""COMPUTED_VALUE"""),"DCE")</f>
        <v>DCE</v>
      </c>
      <c r="E323" s="25">
        <f ca="1">IFERROR(__xludf.DUMMYFUNCTION("""COMPUTED_VALUE"""),4)</f>
        <v>4</v>
      </c>
      <c r="F323" s="18" t="str">
        <f ca="1">IFERROR(__xludf.DUMMYFUNCTION("""COMPUTED_VALUE"""),"8866085830 
8320482183")</f>
        <v>8866085830 
8320482183</v>
      </c>
      <c r="G323" s="18" t="str">
        <f ca="1">IFERROR(__xludf.DUMMYFUNCTION("""COMPUTED_VALUE"""),"8866085830 
8320482183")</f>
        <v>8866085830 
8320482183</v>
      </c>
      <c r="H323" s="6" t="str">
        <f ca="1">IFERROR(__xludf.DUMMYFUNCTION("""COMPUTED_VALUE"""),"DCE_2022-25")</f>
        <v>DCE_2022-25</v>
      </c>
      <c r="I323" s="20" t="str">
        <f ca="1">IFERROR(__xludf.DUMMYFUNCTION("""COMPUTED_VALUE"""),"KSP")</f>
        <v>KSP</v>
      </c>
      <c r="J323" s="21">
        <f ca="1">IFERROR(__xludf.DUMMYFUNCTION("""COMPUTED_VALUE"""),25000)</f>
        <v>25000</v>
      </c>
      <c r="K323" s="21">
        <f ca="1">IFERROR(__xludf.DUMMYFUNCTION("""COMPUTED_VALUE"""),12500)</f>
        <v>12500</v>
      </c>
      <c r="L323" s="21">
        <f ca="1">IFERROR(__xludf.DUMMYFUNCTION("""COMPUTED_VALUE"""),0)</f>
        <v>0</v>
      </c>
      <c r="M323" s="23">
        <f ca="1">IFERROR(__xludf.DUMMYFUNCTION("""COMPUTED_VALUE"""),12500)</f>
        <v>12500</v>
      </c>
      <c r="N323" s="21">
        <f ca="1">IFERROR(__xludf.DUMMYFUNCTION("""COMPUTED_VALUE"""),0)</f>
        <v>0</v>
      </c>
      <c r="O323" s="21">
        <f ca="1">IFERROR(__xludf.DUMMYFUNCTION("""COMPUTED_VALUE"""),3000)</f>
        <v>3000</v>
      </c>
      <c r="P323" s="21">
        <f ca="1">IFERROR(__xludf.DUMMYFUNCTION("""COMPUTED_VALUE"""),3000)</f>
        <v>3000</v>
      </c>
      <c r="Q323" s="23">
        <f ca="1">IFERROR(__xludf.DUMMYFUNCTION("""COMPUTED_VALUE"""),0)</f>
        <v>0</v>
      </c>
      <c r="R323" s="24">
        <f ca="1">IFERROR(__xludf.DUMMYFUNCTION("""COMPUTED_VALUE"""),0)</f>
        <v>0</v>
      </c>
      <c r="S323" s="23">
        <f ca="1">IFERROR(__xludf.DUMMYFUNCTION("""COMPUTED_VALUE"""),0)</f>
        <v>0</v>
      </c>
      <c r="T323" s="24">
        <f ca="1">IFERROR(__xludf.DUMMYFUNCTION("""COMPUTED_VALUE"""),0)</f>
        <v>0</v>
      </c>
      <c r="U323" s="23">
        <f ca="1">IFERROR(__xludf.DUMMYFUNCTION("""COMPUTED_VALUE"""),0)</f>
        <v>0</v>
      </c>
      <c r="V323" s="23">
        <f ca="1">IFERROR(__xludf.DUMMYFUNCTION("""COMPUTED_VALUE"""),0)</f>
        <v>0</v>
      </c>
      <c r="W323" s="23">
        <f ca="1">IFERROR(__xludf.DUMMYFUNCTION("""COMPUTED_VALUE"""),0)</f>
        <v>0</v>
      </c>
      <c r="X323" s="23">
        <f ca="1">IFERROR(__xludf.DUMMYFUNCTION("""COMPUTED_VALUE"""),0)</f>
        <v>0</v>
      </c>
      <c r="Y323" s="25">
        <f ca="1">IFERROR(__xludf.DUMMYFUNCTION("""COMPUTED_VALUE"""),0)</f>
        <v>0</v>
      </c>
      <c r="Z323" s="25">
        <f ca="1">IFERROR(__xludf.DUMMYFUNCTION("""COMPUTED_VALUE"""),0)</f>
        <v>0</v>
      </c>
      <c r="AA323" s="25">
        <f ca="1">IFERROR(__xludf.DUMMYFUNCTION("""COMPUTED_VALUE"""),0)</f>
        <v>0</v>
      </c>
      <c r="AB323" s="25">
        <f ca="1">IFERROR(__xludf.DUMMYFUNCTION("""COMPUTED_VALUE"""),0)</f>
        <v>0</v>
      </c>
      <c r="AC323" s="23">
        <f ca="1">IFERROR(__xludf.DUMMYFUNCTION("""COMPUTED_VALUE"""),0)</f>
        <v>0</v>
      </c>
      <c r="AD323" s="26" t="str">
        <f ca="1">IFERROR(__xludf.DUMMYFUNCTION("""COMPUTED_VALUE"""),"12500 PER SEM SCHOLARSHIP")</f>
        <v>12500 PER SEM SCHOLARSHIP</v>
      </c>
      <c r="AE323" s="27"/>
    </row>
    <row r="324" spans="1:31" ht="14.3">
      <c r="A324" s="18" t="str">
        <f ca="1">IFERROR(__xludf.DUMMYFUNCTION("""COMPUTED_VALUE"""),"22SDSCE01079")</f>
        <v>22SDSCE01079</v>
      </c>
      <c r="B324" s="19" t="str">
        <f ca="1">IFERROR(__xludf.DUMMYFUNCTION("""COMPUTED_VALUE"""),"NASIT MEET HASMUKHBHAI")</f>
        <v>NASIT MEET HASMUKHBHAI</v>
      </c>
      <c r="C324" s="18" t="str">
        <f ca="1">IFERROR(__xludf.DUMMYFUNCTION("""COMPUTED_VALUE"""),"SDS")</f>
        <v>SDS</v>
      </c>
      <c r="D324" s="18" t="str">
        <f ca="1">IFERROR(__xludf.DUMMYFUNCTION("""COMPUTED_VALUE"""),"DCE")</f>
        <v>DCE</v>
      </c>
      <c r="E324" s="25">
        <f ca="1">IFERROR(__xludf.DUMMYFUNCTION("""COMPUTED_VALUE"""),4)</f>
        <v>4</v>
      </c>
      <c r="F324" s="18" t="str">
        <f ca="1">IFERROR(__xludf.DUMMYFUNCTION("""COMPUTED_VALUE"""),"7600680576 9879917361")</f>
        <v>7600680576 9879917361</v>
      </c>
      <c r="G324" s="18" t="str">
        <f ca="1">IFERROR(__xludf.DUMMYFUNCTION("""COMPUTED_VALUE"""),"7600680576 9879917361")</f>
        <v>7600680576 9879917361</v>
      </c>
      <c r="H324" s="6" t="str">
        <f ca="1">IFERROR(__xludf.DUMMYFUNCTION("""COMPUTED_VALUE"""),"DCE_2022-25")</f>
        <v>DCE_2022-25</v>
      </c>
      <c r="I324" s="20" t="str">
        <f ca="1">IFERROR(__xludf.DUMMYFUNCTION("""COMPUTED_VALUE"""),"KSP")</f>
        <v>KSP</v>
      </c>
      <c r="J324" s="21">
        <f ca="1">IFERROR(__xludf.DUMMYFUNCTION("""COMPUTED_VALUE"""),25000)</f>
        <v>25000</v>
      </c>
      <c r="K324" s="21">
        <f ca="1">IFERROR(__xludf.DUMMYFUNCTION("""COMPUTED_VALUE"""),18750)</f>
        <v>18750</v>
      </c>
      <c r="L324" s="21">
        <f ca="1">IFERROR(__xludf.DUMMYFUNCTION("""COMPUTED_VALUE"""),0)</f>
        <v>0</v>
      </c>
      <c r="M324" s="23">
        <f ca="1">IFERROR(__xludf.DUMMYFUNCTION("""COMPUTED_VALUE"""),6250)</f>
        <v>6250</v>
      </c>
      <c r="N324" s="21">
        <f ca="1">IFERROR(__xludf.DUMMYFUNCTION("""COMPUTED_VALUE"""),0)</f>
        <v>0</v>
      </c>
      <c r="O324" s="21">
        <f ca="1">IFERROR(__xludf.DUMMYFUNCTION("""COMPUTED_VALUE"""),3000)</f>
        <v>3000</v>
      </c>
      <c r="P324" s="21">
        <f ca="1">IFERROR(__xludf.DUMMYFUNCTION("""COMPUTED_VALUE"""),3000)</f>
        <v>3000</v>
      </c>
      <c r="Q324" s="23">
        <f ca="1">IFERROR(__xludf.DUMMYFUNCTION("""COMPUTED_VALUE"""),0)</f>
        <v>0</v>
      </c>
      <c r="R324" s="24">
        <f ca="1">IFERROR(__xludf.DUMMYFUNCTION("""COMPUTED_VALUE"""),0)</f>
        <v>0</v>
      </c>
      <c r="S324" s="23">
        <f ca="1">IFERROR(__xludf.DUMMYFUNCTION("""COMPUTED_VALUE"""),0)</f>
        <v>0</v>
      </c>
      <c r="T324" s="24">
        <f ca="1">IFERROR(__xludf.DUMMYFUNCTION("""COMPUTED_VALUE"""),0)</f>
        <v>0</v>
      </c>
      <c r="U324" s="23">
        <f ca="1">IFERROR(__xludf.DUMMYFUNCTION("""COMPUTED_VALUE"""),0)</f>
        <v>0</v>
      </c>
      <c r="V324" s="23">
        <f ca="1">IFERROR(__xludf.DUMMYFUNCTION("""COMPUTED_VALUE"""),0)</f>
        <v>0</v>
      </c>
      <c r="W324" s="23">
        <f ca="1">IFERROR(__xludf.DUMMYFUNCTION("""COMPUTED_VALUE"""),0)</f>
        <v>0</v>
      </c>
      <c r="X324" s="23">
        <f ca="1">IFERROR(__xludf.DUMMYFUNCTION("""COMPUTED_VALUE"""),0)</f>
        <v>0</v>
      </c>
      <c r="Y324" s="25">
        <f ca="1">IFERROR(__xludf.DUMMYFUNCTION("""COMPUTED_VALUE"""),0)</f>
        <v>0</v>
      </c>
      <c r="Z324" s="25">
        <f ca="1">IFERROR(__xludf.DUMMYFUNCTION("""COMPUTED_VALUE"""),0)</f>
        <v>0</v>
      </c>
      <c r="AA324" s="25">
        <f ca="1">IFERROR(__xludf.DUMMYFUNCTION("""COMPUTED_VALUE"""),0)</f>
        <v>0</v>
      </c>
      <c r="AB324" s="25">
        <f ca="1">IFERROR(__xludf.DUMMYFUNCTION("""COMPUTED_VALUE"""),0)</f>
        <v>0</v>
      </c>
      <c r="AC324" s="23">
        <f ca="1">IFERROR(__xludf.DUMMYFUNCTION("""COMPUTED_VALUE"""),0)</f>
        <v>0</v>
      </c>
      <c r="AD324" s="26" t="str">
        <f ca="1">IFERROR(__xludf.DUMMYFUNCTION("""COMPUTED_VALUE"""),"RS 6250 PER SEM SCHOLARSHIP")</f>
        <v>RS 6250 PER SEM SCHOLARSHIP</v>
      </c>
      <c r="AE324" s="27"/>
    </row>
    <row r="325" spans="1:31" ht="14.3">
      <c r="A325" s="18" t="str">
        <f ca="1">IFERROR(__xludf.DUMMYFUNCTION("""COMPUTED_VALUE"""),"22SDSCE01080")</f>
        <v>22SDSCE01080</v>
      </c>
      <c r="B325" s="19" t="str">
        <f ca="1">IFERROR(__xludf.DUMMYFUNCTION("""COMPUTED_VALUE"""),"NIRANJANI PRASHANTKUMAR RAJESHBHAI")</f>
        <v>NIRANJANI PRASHANTKUMAR RAJESHBHAI</v>
      </c>
      <c r="C325" s="18" t="str">
        <f ca="1">IFERROR(__xludf.DUMMYFUNCTION("""COMPUTED_VALUE"""),"SDS")</f>
        <v>SDS</v>
      </c>
      <c r="D325" s="18" t="str">
        <f ca="1">IFERROR(__xludf.DUMMYFUNCTION("""COMPUTED_VALUE"""),"DCE")</f>
        <v>DCE</v>
      </c>
      <c r="E325" s="25">
        <f ca="1">IFERROR(__xludf.DUMMYFUNCTION("""COMPUTED_VALUE"""),4)</f>
        <v>4</v>
      </c>
      <c r="F325" s="18" t="str">
        <f ca="1">IFERROR(__xludf.DUMMYFUNCTION("""COMPUTED_VALUE"""),"9712058519 8155943353")</f>
        <v>9712058519 8155943353</v>
      </c>
      <c r="G325" s="18" t="str">
        <f ca="1">IFERROR(__xludf.DUMMYFUNCTION("""COMPUTED_VALUE"""),"9712058519 8155943353")</f>
        <v>9712058519 8155943353</v>
      </c>
      <c r="H325" s="6" t="str">
        <f ca="1">IFERROR(__xludf.DUMMYFUNCTION("""COMPUTED_VALUE"""),"DCE_2022-25")</f>
        <v>DCE_2022-25</v>
      </c>
      <c r="I325" s="20" t="str">
        <f ca="1">IFERROR(__xludf.DUMMYFUNCTION("""COMPUTED_VALUE"""),"MYSY")</f>
        <v>MYSY</v>
      </c>
      <c r="J325" s="21">
        <f ca="1">IFERROR(__xludf.DUMMYFUNCTION("""COMPUTED_VALUE"""),25000)</f>
        <v>25000</v>
      </c>
      <c r="K325" s="21">
        <f ca="1">IFERROR(__xludf.DUMMYFUNCTION("""COMPUTED_VALUE"""),0)</f>
        <v>0</v>
      </c>
      <c r="L325" s="21">
        <f ca="1">IFERROR(__xludf.DUMMYFUNCTION("""COMPUTED_VALUE"""),0)</f>
        <v>0</v>
      </c>
      <c r="M325" s="23">
        <f ca="1">IFERROR(__xludf.DUMMYFUNCTION("""COMPUTED_VALUE"""),0)</f>
        <v>0</v>
      </c>
      <c r="N325" s="21">
        <f ca="1">IFERROR(__xludf.DUMMYFUNCTION("""COMPUTED_VALUE"""),25000)</f>
        <v>25000</v>
      </c>
      <c r="O325" s="21">
        <f ca="1">IFERROR(__xludf.DUMMYFUNCTION("""COMPUTED_VALUE"""),3000)</f>
        <v>3000</v>
      </c>
      <c r="P325" s="21">
        <f ca="1">IFERROR(__xludf.DUMMYFUNCTION("""COMPUTED_VALUE"""),3000)</f>
        <v>3000</v>
      </c>
      <c r="Q325" s="23">
        <f ca="1">IFERROR(__xludf.DUMMYFUNCTION("""COMPUTED_VALUE"""),0)</f>
        <v>0</v>
      </c>
      <c r="R325" s="24">
        <f ca="1">IFERROR(__xludf.DUMMYFUNCTION("""COMPUTED_VALUE"""),0)</f>
        <v>0</v>
      </c>
      <c r="S325" s="23">
        <f ca="1">IFERROR(__xludf.DUMMYFUNCTION("""COMPUTED_VALUE"""),0)</f>
        <v>0</v>
      </c>
      <c r="T325" s="24">
        <f ca="1">IFERROR(__xludf.DUMMYFUNCTION("""COMPUTED_VALUE"""),0)</f>
        <v>0</v>
      </c>
      <c r="U325" s="23">
        <f ca="1">IFERROR(__xludf.DUMMYFUNCTION("""COMPUTED_VALUE"""),0)</f>
        <v>0</v>
      </c>
      <c r="V325" s="23">
        <f ca="1">IFERROR(__xludf.DUMMYFUNCTION("""COMPUTED_VALUE"""),0)</f>
        <v>0</v>
      </c>
      <c r="W325" s="23">
        <f ca="1">IFERROR(__xludf.DUMMYFUNCTION("""COMPUTED_VALUE"""),0)</f>
        <v>0</v>
      </c>
      <c r="X325" s="23">
        <f ca="1">IFERROR(__xludf.DUMMYFUNCTION("""COMPUTED_VALUE"""),0)</f>
        <v>0</v>
      </c>
      <c r="Y325" s="25">
        <f ca="1">IFERROR(__xludf.DUMMYFUNCTION("""COMPUTED_VALUE"""),0)</f>
        <v>0</v>
      </c>
      <c r="Z325" s="25">
        <f ca="1">IFERROR(__xludf.DUMMYFUNCTION("""COMPUTED_VALUE"""),0)</f>
        <v>0</v>
      </c>
      <c r="AA325" s="25">
        <f ca="1">IFERROR(__xludf.DUMMYFUNCTION("""COMPUTED_VALUE"""),0)</f>
        <v>0</v>
      </c>
      <c r="AB325" s="25">
        <f ca="1">IFERROR(__xludf.DUMMYFUNCTION("""COMPUTED_VALUE"""),0)</f>
        <v>0</v>
      </c>
      <c r="AC325" s="23">
        <f ca="1">IFERROR(__xludf.DUMMYFUNCTION("""COMPUTED_VALUE"""),0)</f>
        <v>0</v>
      </c>
      <c r="AD325" s="26" t="str">
        <f ca="1">IFERROR(__xludf.DUMMYFUNCTION("""COMPUTED_VALUE"""),"KSPS(25%) + MYSY(50%) ")</f>
        <v xml:space="preserve">KSPS(25%) + MYSY(50%) </v>
      </c>
      <c r="AE325" s="27"/>
    </row>
    <row r="326" spans="1:31" ht="14.3">
      <c r="A326" s="18" t="str">
        <f ca="1">IFERROR(__xludf.DUMMYFUNCTION("""COMPUTED_VALUE"""),"22SDSCE01081")</f>
        <v>22SDSCE01081</v>
      </c>
      <c r="B326" s="19" t="str">
        <f ca="1">IFERROR(__xludf.DUMMYFUNCTION("""COMPUTED_VALUE"""),"PAMBHAR KUSH DINESHBHAI")</f>
        <v>PAMBHAR KUSH DINESHBHAI</v>
      </c>
      <c r="C326" s="18" t="str">
        <f ca="1">IFERROR(__xludf.DUMMYFUNCTION("""COMPUTED_VALUE"""),"SDS")</f>
        <v>SDS</v>
      </c>
      <c r="D326" s="18" t="str">
        <f ca="1">IFERROR(__xludf.DUMMYFUNCTION("""COMPUTED_VALUE"""),"DCE")</f>
        <v>DCE</v>
      </c>
      <c r="E326" s="25">
        <f ca="1">IFERROR(__xludf.DUMMYFUNCTION("""COMPUTED_VALUE"""),4)</f>
        <v>4</v>
      </c>
      <c r="F326" s="18" t="str">
        <f ca="1">IFERROR(__xludf.DUMMYFUNCTION("""COMPUTED_VALUE"""),"9408832292 8200721024")</f>
        <v>9408832292 8200721024</v>
      </c>
      <c r="G326" s="18" t="str">
        <f ca="1">IFERROR(__xludf.DUMMYFUNCTION("""COMPUTED_VALUE"""),"9408832292 8200721024")</f>
        <v>9408832292 8200721024</v>
      </c>
      <c r="H326" s="6" t="str">
        <f ca="1">IFERROR(__xludf.DUMMYFUNCTION("""COMPUTED_VALUE"""),"DCE_2022-25")</f>
        <v>DCE_2022-25</v>
      </c>
      <c r="I326" s="20" t="str">
        <f ca="1">IFERROR(__xludf.DUMMYFUNCTION("""COMPUTED_VALUE"""),"KSP")</f>
        <v>KSP</v>
      </c>
      <c r="J326" s="21">
        <f ca="1">IFERROR(__xludf.DUMMYFUNCTION("""COMPUTED_VALUE"""),25000)</f>
        <v>25000</v>
      </c>
      <c r="K326" s="21">
        <f ca="1">IFERROR(__xludf.DUMMYFUNCTION("""COMPUTED_VALUE"""),18750)</f>
        <v>18750</v>
      </c>
      <c r="L326" s="21">
        <f ca="1">IFERROR(__xludf.DUMMYFUNCTION("""COMPUTED_VALUE"""),0)</f>
        <v>0</v>
      </c>
      <c r="M326" s="23">
        <f ca="1">IFERROR(__xludf.DUMMYFUNCTION("""COMPUTED_VALUE"""),6250)</f>
        <v>6250</v>
      </c>
      <c r="N326" s="21">
        <f ca="1">IFERROR(__xludf.DUMMYFUNCTION("""COMPUTED_VALUE"""),0)</f>
        <v>0</v>
      </c>
      <c r="O326" s="21">
        <f ca="1">IFERROR(__xludf.DUMMYFUNCTION("""COMPUTED_VALUE"""),3000)</f>
        <v>3000</v>
      </c>
      <c r="P326" s="21">
        <f ca="1">IFERROR(__xludf.DUMMYFUNCTION("""COMPUTED_VALUE"""),3000)</f>
        <v>3000</v>
      </c>
      <c r="Q326" s="23">
        <f ca="1">IFERROR(__xludf.DUMMYFUNCTION("""COMPUTED_VALUE"""),0)</f>
        <v>0</v>
      </c>
      <c r="R326" s="24">
        <f ca="1">IFERROR(__xludf.DUMMYFUNCTION("""COMPUTED_VALUE"""),0)</f>
        <v>0</v>
      </c>
      <c r="S326" s="23">
        <f ca="1">IFERROR(__xludf.DUMMYFUNCTION("""COMPUTED_VALUE"""),0)</f>
        <v>0</v>
      </c>
      <c r="T326" s="24">
        <f ca="1">IFERROR(__xludf.DUMMYFUNCTION("""COMPUTED_VALUE"""),0)</f>
        <v>0</v>
      </c>
      <c r="U326" s="23">
        <f ca="1">IFERROR(__xludf.DUMMYFUNCTION("""COMPUTED_VALUE"""),0)</f>
        <v>0</v>
      </c>
      <c r="V326" s="23">
        <f ca="1">IFERROR(__xludf.DUMMYFUNCTION("""COMPUTED_VALUE"""),0)</f>
        <v>0</v>
      </c>
      <c r="W326" s="23">
        <f ca="1">IFERROR(__xludf.DUMMYFUNCTION("""COMPUTED_VALUE"""),0)</f>
        <v>0</v>
      </c>
      <c r="X326" s="23">
        <f ca="1">IFERROR(__xludf.DUMMYFUNCTION("""COMPUTED_VALUE"""),0)</f>
        <v>0</v>
      </c>
      <c r="Y326" s="25">
        <f ca="1">IFERROR(__xludf.DUMMYFUNCTION("""COMPUTED_VALUE"""),0)</f>
        <v>0</v>
      </c>
      <c r="Z326" s="25">
        <f ca="1">IFERROR(__xludf.DUMMYFUNCTION("""COMPUTED_VALUE"""),0)</f>
        <v>0</v>
      </c>
      <c r="AA326" s="25">
        <f ca="1">IFERROR(__xludf.DUMMYFUNCTION("""COMPUTED_VALUE"""),0)</f>
        <v>0</v>
      </c>
      <c r="AB326" s="25">
        <f ca="1">IFERROR(__xludf.DUMMYFUNCTION("""COMPUTED_VALUE"""),0)</f>
        <v>0</v>
      </c>
      <c r="AC326" s="23">
        <f ca="1">IFERROR(__xludf.DUMMYFUNCTION("""COMPUTED_VALUE"""),0)</f>
        <v>0</v>
      </c>
      <c r="AD326" s="26" t="str">
        <f ca="1">IFERROR(__xludf.DUMMYFUNCTION("""COMPUTED_VALUE"""),"RS 6250 PER SEM SCHOLARSHIP")</f>
        <v>RS 6250 PER SEM SCHOLARSHIP</v>
      </c>
      <c r="AE326" s="27"/>
    </row>
    <row r="327" spans="1:31" ht="14.3">
      <c r="A327" s="18" t="str">
        <f ca="1">IFERROR(__xludf.DUMMYFUNCTION("""COMPUTED_VALUE"""),"22SDSCE01082")</f>
        <v>22SDSCE01082</v>
      </c>
      <c r="B327" s="19" t="str">
        <f ca="1">IFERROR(__xludf.DUMMYFUNCTION("""COMPUTED_VALUE"""),"PAMBHAR SMIT")</f>
        <v>PAMBHAR SMIT</v>
      </c>
      <c r="C327" s="18" t="str">
        <f ca="1">IFERROR(__xludf.DUMMYFUNCTION("""COMPUTED_VALUE"""),"SDS")</f>
        <v>SDS</v>
      </c>
      <c r="D327" s="18" t="str">
        <f ca="1">IFERROR(__xludf.DUMMYFUNCTION("""COMPUTED_VALUE"""),"DCE")</f>
        <v>DCE</v>
      </c>
      <c r="E327" s="25">
        <f ca="1">IFERROR(__xludf.DUMMYFUNCTION("""COMPUTED_VALUE"""),4)</f>
        <v>4</v>
      </c>
      <c r="F327" s="18" t="str">
        <f ca="1">IFERROR(__xludf.DUMMYFUNCTION("""COMPUTED_VALUE"""),"9824590491 9909404963")</f>
        <v>9824590491 9909404963</v>
      </c>
      <c r="G327" s="18" t="str">
        <f ca="1">IFERROR(__xludf.DUMMYFUNCTION("""COMPUTED_VALUE"""),"9824590491 9909404963")</f>
        <v>9824590491 9909404963</v>
      </c>
      <c r="H327" s="6" t="str">
        <f ca="1">IFERROR(__xludf.DUMMYFUNCTION("""COMPUTED_VALUE"""),"DCE_2022-25")</f>
        <v>DCE_2022-25</v>
      </c>
      <c r="I327" s="20"/>
      <c r="J327" s="21">
        <f ca="1">IFERROR(__xludf.DUMMYFUNCTION("""COMPUTED_VALUE"""),25000)</f>
        <v>25000</v>
      </c>
      <c r="K327" s="21">
        <f ca="1">IFERROR(__xludf.DUMMYFUNCTION("""COMPUTED_VALUE"""),25000)</f>
        <v>25000</v>
      </c>
      <c r="L327" s="21">
        <f ca="1">IFERROR(__xludf.DUMMYFUNCTION("""COMPUTED_VALUE"""),0)</f>
        <v>0</v>
      </c>
      <c r="M327" s="23">
        <f ca="1">IFERROR(__xludf.DUMMYFUNCTION("""COMPUTED_VALUE"""),0)</f>
        <v>0</v>
      </c>
      <c r="N327" s="21">
        <f ca="1">IFERROR(__xludf.DUMMYFUNCTION("""COMPUTED_VALUE"""),0)</f>
        <v>0</v>
      </c>
      <c r="O327" s="21">
        <f ca="1">IFERROR(__xludf.DUMMYFUNCTION("""COMPUTED_VALUE"""),3000)</f>
        <v>3000</v>
      </c>
      <c r="P327" s="21">
        <f ca="1">IFERROR(__xludf.DUMMYFUNCTION("""COMPUTED_VALUE"""),3000)</f>
        <v>3000</v>
      </c>
      <c r="Q327" s="23">
        <f ca="1">IFERROR(__xludf.DUMMYFUNCTION("""COMPUTED_VALUE"""),0)</f>
        <v>0</v>
      </c>
      <c r="R327" s="24">
        <f ca="1">IFERROR(__xludf.DUMMYFUNCTION("""COMPUTED_VALUE"""),0)</f>
        <v>0</v>
      </c>
      <c r="S327" s="23">
        <f ca="1">IFERROR(__xludf.DUMMYFUNCTION("""COMPUTED_VALUE"""),0)</f>
        <v>0</v>
      </c>
      <c r="T327" s="24">
        <f ca="1">IFERROR(__xludf.DUMMYFUNCTION("""COMPUTED_VALUE"""),0)</f>
        <v>0</v>
      </c>
      <c r="U327" s="23">
        <f ca="1">IFERROR(__xludf.DUMMYFUNCTION("""COMPUTED_VALUE"""),0)</f>
        <v>0</v>
      </c>
      <c r="V327" s="23">
        <f ca="1">IFERROR(__xludf.DUMMYFUNCTION("""COMPUTED_VALUE"""),0)</f>
        <v>0</v>
      </c>
      <c r="W327" s="23">
        <f ca="1">IFERROR(__xludf.DUMMYFUNCTION("""COMPUTED_VALUE"""),0)</f>
        <v>0</v>
      </c>
      <c r="X327" s="23">
        <f ca="1">IFERROR(__xludf.DUMMYFUNCTION("""COMPUTED_VALUE"""),0)</f>
        <v>0</v>
      </c>
      <c r="Y327" s="25">
        <f ca="1">IFERROR(__xludf.DUMMYFUNCTION("""COMPUTED_VALUE"""),0)</f>
        <v>0</v>
      </c>
      <c r="Z327" s="25">
        <f ca="1">IFERROR(__xludf.DUMMYFUNCTION("""COMPUTED_VALUE"""),0)</f>
        <v>0</v>
      </c>
      <c r="AA327" s="25">
        <f ca="1">IFERROR(__xludf.DUMMYFUNCTION("""COMPUTED_VALUE"""),0)</f>
        <v>0</v>
      </c>
      <c r="AB327" s="25">
        <f ca="1">IFERROR(__xludf.DUMMYFUNCTION("""COMPUTED_VALUE"""),0)</f>
        <v>0</v>
      </c>
      <c r="AC327" s="23">
        <f ca="1">IFERROR(__xludf.DUMMYFUNCTION("""COMPUTED_VALUE"""),0)</f>
        <v>0</v>
      </c>
      <c r="AD327" s="26"/>
      <c r="AE327" s="27"/>
    </row>
    <row r="328" spans="1:31" ht="14.3">
      <c r="A328" s="18" t="str">
        <f ca="1">IFERROR(__xludf.DUMMYFUNCTION("""COMPUTED_VALUE"""),"22SDSCE01083")</f>
        <v>22SDSCE01083</v>
      </c>
      <c r="B328" s="19" t="str">
        <f ca="1">IFERROR(__xludf.DUMMYFUNCTION("""COMPUTED_VALUE"""),"PANDYA SMITKUMAR BHAVESHBHAI")</f>
        <v>PANDYA SMITKUMAR BHAVESHBHAI</v>
      </c>
      <c r="C328" s="18" t="str">
        <f ca="1">IFERROR(__xludf.DUMMYFUNCTION("""COMPUTED_VALUE"""),"SDS")</f>
        <v>SDS</v>
      </c>
      <c r="D328" s="18" t="str">
        <f ca="1">IFERROR(__xludf.DUMMYFUNCTION("""COMPUTED_VALUE"""),"DCE")</f>
        <v>DCE</v>
      </c>
      <c r="E328" s="25">
        <f ca="1">IFERROR(__xludf.DUMMYFUNCTION("""COMPUTED_VALUE"""),4)</f>
        <v>4</v>
      </c>
      <c r="F328" s="18" t="str">
        <f ca="1">IFERROR(__xludf.DUMMYFUNCTION("""COMPUTED_VALUE"""),"7486892425 8866193894")</f>
        <v>7486892425 8866193894</v>
      </c>
      <c r="G328" s="18" t="str">
        <f ca="1">IFERROR(__xludf.DUMMYFUNCTION("""COMPUTED_VALUE"""),"7486892425 8866193894")</f>
        <v>7486892425 8866193894</v>
      </c>
      <c r="H328" s="6" t="str">
        <f ca="1">IFERROR(__xludf.DUMMYFUNCTION("""COMPUTED_VALUE"""),"DCE_2022-25")</f>
        <v>DCE_2022-25</v>
      </c>
      <c r="I328" s="20"/>
      <c r="J328" s="21">
        <f ca="1">IFERROR(__xludf.DUMMYFUNCTION("""COMPUTED_VALUE"""),25000)</f>
        <v>25000</v>
      </c>
      <c r="K328" s="21">
        <f ca="1">IFERROR(__xludf.DUMMYFUNCTION("""COMPUTED_VALUE"""),0)</f>
        <v>0</v>
      </c>
      <c r="L328" s="21">
        <f ca="1">IFERROR(__xludf.DUMMYFUNCTION("""COMPUTED_VALUE"""),0)</f>
        <v>0</v>
      </c>
      <c r="M328" s="23">
        <f ca="1">IFERROR(__xludf.DUMMYFUNCTION("""COMPUTED_VALUE"""),0)</f>
        <v>0</v>
      </c>
      <c r="N328" s="21">
        <f ca="1">IFERROR(__xludf.DUMMYFUNCTION("""COMPUTED_VALUE"""),25000)</f>
        <v>25000</v>
      </c>
      <c r="O328" s="21">
        <f ca="1">IFERROR(__xludf.DUMMYFUNCTION("""COMPUTED_VALUE"""),3000)</f>
        <v>3000</v>
      </c>
      <c r="P328" s="21">
        <f ca="1">IFERROR(__xludf.DUMMYFUNCTION("""COMPUTED_VALUE"""),0)</f>
        <v>0</v>
      </c>
      <c r="Q328" s="23">
        <f ca="1">IFERROR(__xludf.DUMMYFUNCTION("""COMPUTED_VALUE"""),0)</f>
        <v>0</v>
      </c>
      <c r="R328" s="24">
        <f ca="1">IFERROR(__xludf.DUMMYFUNCTION("""COMPUTED_VALUE"""),0)</f>
        <v>0</v>
      </c>
      <c r="S328" s="23">
        <f ca="1">IFERROR(__xludf.DUMMYFUNCTION("""COMPUTED_VALUE"""),3000)</f>
        <v>3000</v>
      </c>
      <c r="T328" s="24">
        <f ca="1">IFERROR(__xludf.DUMMYFUNCTION("""COMPUTED_VALUE"""),0)</f>
        <v>0</v>
      </c>
      <c r="U328" s="23">
        <f ca="1">IFERROR(__xludf.DUMMYFUNCTION("""COMPUTED_VALUE"""),0)</f>
        <v>0</v>
      </c>
      <c r="V328" s="23">
        <f ca="1">IFERROR(__xludf.DUMMYFUNCTION("""COMPUTED_VALUE"""),0)</f>
        <v>0</v>
      </c>
      <c r="W328" s="23">
        <f ca="1">IFERROR(__xludf.DUMMYFUNCTION("""COMPUTED_VALUE"""),0)</f>
        <v>0</v>
      </c>
      <c r="X328" s="23">
        <f ca="1">IFERROR(__xludf.DUMMYFUNCTION("""COMPUTED_VALUE"""),0)</f>
        <v>0</v>
      </c>
      <c r="Y328" s="25">
        <f ca="1">IFERROR(__xludf.DUMMYFUNCTION("""COMPUTED_VALUE"""),0)</f>
        <v>0</v>
      </c>
      <c r="Z328" s="25">
        <f ca="1">IFERROR(__xludf.DUMMYFUNCTION("""COMPUTED_VALUE"""),0)</f>
        <v>0</v>
      </c>
      <c r="AA328" s="25">
        <f ca="1">IFERROR(__xludf.DUMMYFUNCTION("""COMPUTED_VALUE"""),0)</f>
        <v>0</v>
      </c>
      <c r="AB328" s="25">
        <f ca="1">IFERROR(__xludf.DUMMYFUNCTION("""COMPUTED_VALUE"""),0)</f>
        <v>0</v>
      </c>
      <c r="AC328" s="23">
        <f ca="1">IFERROR(__xludf.DUMMYFUNCTION("""COMPUTED_VALUE"""),0)</f>
        <v>0</v>
      </c>
      <c r="AD328" s="26"/>
      <c r="AE328" s="27"/>
    </row>
    <row r="329" spans="1:31" ht="23.1">
      <c r="A329" s="18" t="str">
        <f ca="1">IFERROR(__xludf.DUMMYFUNCTION("""COMPUTED_VALUE"""),"22SDSCE01084")</f>
        <v>22SDSCE01084</v>
      </c>
      <c r="B329" s="19" t="str">
        <f ca="1">IFERROR(__xludf.DUMMYFUNCTION("""COMPUTED_VALUE"""),"PANSURIYA KHUSHI DHARMESHBHAI")</f>
        <v>PANSURIYA KHUSHI DHARMESHBHAI</v>
      </c>
      <c r="C329" s="18" t="str">
        <f ca="1">IFERROR(__xludf.DUMMYFUNCTION("""COMPUTED_VALUE"""),"SDS")</f>
        <v>SDS</v>
      </c>
      <c r="D329" s="18" t="str">
        <f ca="1">IFERROR(__xludf.DUMMYFUNCTION("""COMPUTED_VALUE"""),"DCE")</f>
        <v>DCE</v>
      </c>
      <c r="E329" s="25">
        <f ca="1">IFERROR(__xludf.DUMMYFUNCTION("""COMPUTED_VALUE"""),4)</f>
        <v>4</v>
      </c>
      <c r="F329" s="18" t="str">
        <f ca="1">IFERROR(__xludf.DUMMYFUNCTION("""COMPUTED_VALUE"""),"9106101047
9426289534")</f>
        <v>9106101047
9426289534</v>
      </c>
      <c r="G329" s="18" t="str">
        <f ca="1">IFERROR(__xludf.DUMMYFUNCTION("""COMPUTED_VALUE"""),"9106101047
9426289534")</f>
        <v>9106101047
9426289534</v>
      </c>
      <c r="H329" s="6" t="str">
        <f ca="1">IFERROR(__xludf.DUMMYFUNCTION("""COMPUTED_VALUE"""),"DCE_2022-25")</f>
        <v>DCE_2022-25</v>
      </c>
      <c r="I329" s="20" t="str">
        <f ca="1">IFERROR(__xludf.DUMMYFUNCTION("""COMPUTED_VALUE"""),"KSP")</f>
        <v>KSP</v>
      </c>
      <c r="J329" s="21">
        <f ca="1">IFERROR(__xludf.DUMMYFUNCTION("""COMPUTED_VALUE"""),25000)</f>
        <v>25000</v>
      </c>
      <c r="K329" s="21">
        <f ca="1">IFERROR(__xludf.DUMMYFUNCTION("""COMPUTED_VALUE"""),12500)</f>
        <v>12500</v>
      </c>
      <c r="L329" s="21">
        <f ca="1">IFERROR(__xludf.DUMMYFUNCTION("""COMPUTED_VALUE"""),0)</f>
        <v>0</v>
      </c>
      <c r="M329" s="23">
        <f ca="1">IFERROR(__xludf.DUMMYFUNCTION("""COMPUTED_VALUE"""),12500)</f>
        <v>12500</v>
      </c>
      <c r="N329" s="21">
        <f ca="1">IFERROR(__xludf.DUMMYFUNCTION("""COMPUTED_VALUE"""),0)</f>
        <v>0</v>
      </c>
      <c r="O329" s="21">
        <f ca="1">IFERROR(__xludf.DUMMYFUNCTION("""COMPUTED_VALUE"""),3000)</f>
        <v>3000</v>
      </c>
      <c r="P329" s="21">
        <f ca="1">IFERROR(__xludf.DUMMYFUNCTION("""COMPUTED_VALUE"""),3000)</f>
        <v>3000</v>
      </c>
      <c r="Q329" s="23">
        <f ca="1">IFERROR(__xludf.DUMMYFUNCTION("""COMPUTED_VALUE"""),0)</f>
        <v>0</v>
      </c>
      <c r="R329" s="24">
        <f ca="1">IFERROR(__xludf.DUMMYFUNCTION("""COMPUTED_VALUE"""),0)</f>
        <v>0</v>
      </c>
      <c r="S329" s="23">
        <f ca="1">IFERROR(__xludf.DUMMYFUNCTION("""COMPUTED_VALUE"""),0)</f>
        <v>0</v>
      </c>
      <c r="T329" s="24">
        <f ca="1">IFERROR(__xludf.DUMMYFUNCTION("""COMPUTED_VALUE"""),0)</f>
        <v>0</v>
      </c>
      <c r="U329" s="23">
        <f ca="1">IFERROR(__xludf.DUMMYFUNCTION("""COMPUTED_VALUE"""),0)</f>
        <v>0</v>
      </c>
      <c r="V329" s="23">
        <f ca="1">IFERROR(__xludf.DUMMYFUNCTION("""COMPUTED_VALUE"""),0)</f>
        <v>0</v>
      </c>
      <c r="W329" s="23">
        <f ca="1">IFERROR(__xludf.DUMMYFUNCTION("""COMPUTED_VALUE"""),0)</f>
        <v>0</v>
      </c>
      <c r="X329" s="23">
        <f ca="1">IFERROR(__xludf.DUMMYFUNCTION("""COMPUTED_VALUE"""),0)</f>
        <v>0</v>
      </c>
      <c r="Y329" s="25">
        <f ca="1">IFERROR(__xludf.DUMMYFUNCTION("""COMPUTED_VALUE"""),0)</f>
        <v>0</v>
      </c>
      <c r="Z329" s="25">
        <f ca="1">IFERROR(__xludf.DUMMYFUNCTION("""COMPUTED_VALUE"""),0)</f>
        <v>0</v>
      </c>
      <c r="AA329" s="25">
        <f ca="1">IFERROR(__xludf.DUMMYFUNCTION("""COMPUTED_VALUE"""),0)</f>
        <v>0</v>
      </c>
      <c r="AB329" s="25">
        <f ca="1">IFERROR(__xludf.DUMMYFUNCTION("""COMPUTED_VALUE"""),0)</f>
        <v>0</v>
      </c>
      <c r="AC329" s="23">
        <f ca="1">IFERROR(__xludf.DUMMYFUNCTION("""COMPUTED_VALUE"""),0)</f>
        <v>0</v>
      </c>
      <c r="AD329" s="26" t="str">
        <f ca="1">IFERROR(__xludf.DUMMYFUNCTION("""COMPUTED_VALUE"""),"KSP 50%
12500 PER SEM SCHOLARSHIP")</f>
        <v>KSP 50%
12500 PER SEM SCHOLARSHIP</v>
      </c>
      <c r="AE329" s="27"/>
    </row>
    <row r="330" spans="1:31" ht="14.3">
      <c r="A330" s="18" t="str">
        <f ca="1">IFERROR(__xludf.DUMMYFUNCTION("""COMPUTED_VALUE"""),"22SDSCE01085")</f>
        <v>22SDSCE01085</v>
      </c>
      <c r="B330" s="19" t="str">
        <f ca="1">IFERROR(__xludf.DUMMYFUNCTION("""COMPUTED_VALUE"""),"PANSURIYA PRIT SANJAYBHAI")</f>
        <v>PANSURIYA PRIT SANJAYBHAI</v>
      </c>
      <c r="C330" s="18" t="str">
        <f ca="1">IFERROR(__xludf.DUMMYFUNCTION("""COMPUTED_VALUE"""),"SDS")</f>
        <v>SDS</v>
      </c>
      <c r="D330" s="18" t="str">
        <f ca="1">IFERROR(__xludf.DUMMYFUNCTION("""COMPUTED_VALUE"""),"DCE")</f>
        <v>DCE</v>
      </c>
      <c r="E330" s="25">
        <f ca="1">IFERROR(__xludf.DUMMYFUNCTION("""COMPUTED_VALUE"""),4)</f>
        <v>4</v>
      </c>
      <c r="F330" s="18" t="str">
        <f ca="1">IFERROR(__xludf.DUMMYFUNCTION("""COMPUTED_VALUE"""),"9726550606
8320096190")</f>
        <v>9726550606
8320096190</v>
      </c>
      <c r="G330" s="18" t="str">
        <f ca="1">IFERROR(__xludf.DUMMYFUNCTION("""COMPUTED_VALUE"""),"9726550606
8320096190")</f>
        <v>9726550606
8320096190</v>
      </c>
      <c r="H330" s="6" t="str">
        <f ca="1">IFERROR(__xludf.DUMMYFUNCTION("""COMPUTED_VALUE"""),"DCE_2022-25")</f>
        <v>DCE_2022-25</v>
      </c>
      <c r="I330" s="20" t="str">
        <f ca="1">IFERROR(__xludf.DUMMYFUNCTION("""COMPUTED_VALUE"""),"TFW")</f>
        <v>TFW</v>
      </c>
      <c r="J330" s="21">
        <f ca="1">IFERROR(__xludf.DUMMYFUNCTION("""COMPUTED_VALUE"""),25000)</f>
        <v>25000</v>
      </c>
      <c r="K330" s="21">
        <f ca="1">IFERROR(__xludf.DUMMYFUNCTION("""COMPUTED_VALUE"""),0)</f>
        <v>0</v>
      </c>
      <c r="L330" s="21">
        <f ca="1">IFERROR(__xludf.DUMMYFUNCTION("""COMPUTED_VALUE"""),0)</f>
        <v>0</v>
      </c>
      <c r="M330" s="23">
        <f ca="1">IFERROR(__xludf.DUMMYFUNCTION("""COMPUTED_VALUE"""),25000)</f>
        <v>25000</v>
      </c>
      <c r="N330" s="21">
        <f ca="1">IFERROR(__xludf.DUMMYFUNCTION("""COMPUTED_VALUE"""),0)</f>
        <v>0</v>
      </c>
      <c r="O330" s="21">
        <f ca="1">IFERROR(__xludf.DUMMYFUNCTION("""COMPUTED_VALUE"""),3000)</f>
        <v>3000</v>
      </c>
      <c r="P330" s="21">
        <f ca="1">IFERROR(__xludf.DUMMYFUNCTION("""COMPUTED_VALUE"""),3000)</f>
        <v>3000</v>
      </c>
      <c r="Q330" s="23">
        <f ca="1">IFERROR(__xludf.DUMMYFUNCTION("""COMPUTED_VALUE"""),0)</f>
        <v>0</v>
      </c>
      <c r="R330" s="24">
        <f ca="1">IFERROR(__xludf.DUMMYFUNCTION("""COMPUTED_VALUE"""),0)</f>
        <v>0</v>
      </c>
      <c r="S330" s="23">
        <f ca="1">IFERROR(__xludf.DUMMYFUNCTION("""COMPUTED_VALUE"""),0)</f>
        <v>0</v>
      </c>
      <c r="T330" s="24">
        <f ca="1">IFERROR(__xludf.DUMMYFUNCTION("""COMPUTED_VALUE"""),0)</f>
        <v>0</v>
      </c>
      <c r="U330" s="23">
        <f ca="1">IFERROR(__xludf.DUMMYFUNCTION("""COMPUTED_VALUE"""),0)</f>
        <v>0</v>
      </c>
      <c r="V330" s="23">
        <f ca="1">IFERROR(__xludf.DUMMYFUNCTION("""COMPUTED_VALUE"""),0)</f>
        <v>0</v>
      </c>
      <c r="W330" s="23">
        <f ca="1">IFERROR(__xludf.DUMMYFUNCTION("""COMPUTED_VALUE"""),0)</f>
        <v>0</v>
      </c>
      <c r="X330" s="23">
        <f ca="1">IFERROR(__xludf.DUMMYFUNCTION("""COMPUTED_VALUE"""),0)</f>
        <v>0</v>
      </c>
      <c r="Y330" s="25">
        <f ca="1">IFERROR(__xludf.DUMMYFUNCTION("""COMPUTED_VALUE"""),0)</f>
        <v>0</v>
      </c>
      <c r="Z330" s="25">
        <f ca="1">IFERROR(__xludf.DUMMYFUNCTION("""COMPUTED_VALUE"""),0)</f>
        <v>0</v>
      </c>
      <c r="AA330" s="25">
        <f ca="1">IFERROR(__xludf.DUMMYFUNCTION("""COMPUTED_VALUE"""),0)</f>
        <v>0</v>
      </c>
      <c r="AB330" s="25">
        <f ca="1">IFERROR(__xludf.DUMMYFUNCTION("""COMPUTED_VALUE"""),0)</f>
        <v>0</v>
      </c>
      <c r="AC330" s="23">
        <f ca="1">IFERROR(__xludf.DUMMYFUNCTION("""COMPUTED_VALUE"""),0)</f>
        <v>0</v>
      </c>
      <c r="AD330" s="26"/>
      <c r="AE330" s="27"/>
    </row>
    <row r="331" spans="1:31" ht="14.3">
      <c r="A331" s="18" t="str">
        <f ca="1">IFERROR(__xludf.DUMMYFUNCTION("""COMPUTED_VALUE"""),"22SDSCE01086")</f>
        <v>22SDSCE01086</v>
      </c>
      <c r="B331" s="19" t="str">
        <f ca="1">IFERROR(__xludf.DUMMYFUNCTION("""COMPUTED_VALUE"""),"PARABIYA DIPALI RAJESHBHAI")</f>
        <v>PARABIYA DIPALI RAJESHBHAI</v>
      </c>
      <c r="C331" s="18" t="str">
        <f ca="1">IFERROR(__xludf.DUMMYFUNCTION("""COMPUTED_VALUE"""),"SDS")</f>
        <v>SDS</v>
      </c>
      <c r="D331" s="18" t="str">
        <f ca="1">IFERROR(__xludf.DUMMYFUNCTION("""COMPUTED_VALUE"""),"DCE")</f>
        <v>DCE</v>
      </c>
      <c r="E331" s="25">
        <f ca="1">IFERROR(__xludf.DUMMYFUNCTION("""COMPUTED_VALUE"""),4)</f>
        <v>4</v>
      </c>
      <c r="F331" s="18" t="str">
        <f ca="1">IFERROR(__xludf.DUMMYFUNCTION("""COMPUTED_VALUE"""),"9714140456 9712197464")</f>
        <v>9714140456 9712197464</v>
      </c>
      <c r="G331" s="18" t="str">
        <f ca="1">IFERROR(__xludf.DUMMYFUNCTION("""COMPUTED_VALUE"""),"9714140456 9712197464")</f>
        <v>9714140456 9712197464</v>
      </c>
      <c r="H331" s="6" t="str">
        <f ca="1">IFERROR(__xludf.DUMMYFUNCTION("""COMPUTED_VALUE"""),"DCE_2022-25")</f>
        <v>DCE_2022-25</v>
      </c>
      <c r="I331" s="20" t="str">
        <f ca="1">IFERROR(__xludf.DUMMYFUNCTION("""COMPUTED_VALUE"""),"MYSY")</f>
        <v>MYSY</v>
      </c>
      <c r="J331" s="21">
        <f ca="1">IFERROR(__xludf.DUMMYFUNCTION("""COMPUTED_VALUE"""),25000)</f>
        <v>25000</v>
      </c>
      <c r="K331" s="21">
        <f ca="1">IFERROR(__xludf.DUMMYFUNCTION("""COMPUTED_VALUE"""),25000)</f>
        <v>25000</v>
      </c>
      <c r="L331" s="21">
        <f ca="1">IFERROR(__xludf.DUMMYFUNCTION("""COMPUTED_VALUE"""),0)</f>
        <v>0</v>
      </c>
      <c r="M331" s="23">
        <f ca="1">IFERROR(__xludf.DUMMYFUNCTION("""COMPUTED_VALUE"""),0)</f>
        <v>0</v>
      </c>
      <c r="N331" s="21">
        <f ca="1">IFERROR(__xludf.DUMMYFUNCTION("""COMPUTED_VALUE"""),0)</f>
        <v>0</v>
      </c>
      <c r="O331" s="21">
        <f ca="1">IFERROR(__xludf.DUMMYFUNCTION("""COMPUTED_VALUE"""),3000)</f>
        <v>3000</v>
      </c>
      <c r="P331" s="21">
        <f ca="1">IFERROR(__xludf.DUMMYFUNCTION("""COMPUTED_VALUE"""),3000)</f>
        <v>3000</v>
      </c>
      <c r="Q331" s="23">
        <f ca="1">IFERROR(__xludf.DUMMYFUNCTION("""COMPUTED_VALUE"""),0)</f>
        <v>0</v>
      </c>
      <c r="R331" s="24">
        <f ca="1">IFERROR(__xludf.DUMMYFUNCTION("""COMPUTED_VALUE"""),0)</f>
        <v>0</v>
      </c>
      <c r="S331" s="23">
        <f ca="1">IFERROR(__xludf.DUMMYFUNCTION("""COMPUTED_VALUE"""),0)</f>
        <v>0</v>
      </c>
      <c r="T331" s="24">
        <f ca="1">IFERROR(__xludf.DUMMYFUNCTION("""COMPUTED_VALUE"""),0)</f>
        <v>0</v>
      </c>
      <c r="U331" s="23">
        <f ca="1">IFERROR(__xludf.DUMMYFUNCTION("""COMPUTED_VALUE"""),0)</f>
        <v>0</v>
      </c>
      <c r="V331" s="23">
        <f ca="1">IFERROR(__xludf.DUMMYFUNCTION("""COMPUTED_VALUE"""),0)</f>
        <v>0</v>
      </c>
      <c r="W331" s="23">
        <f ca="1">IFERROR(__xludf.DUMMYFUNCTION("""COMPUTED_VALUE"""),0)</f>
        <v>0</v>
      </c>
      <c r="X331" s="23">
        <f ca="1">IFERROR(__xludf.DUMMYFUNCTION("""COMPUTED_VALUE"""),0)</f>
        <v>0</v>
      </c>
      <c r="Y331" s="25">
        <f ca="1">IFERROR(__xludf.DUMMYFUNCTION("""COMPUTED_VALUE"""),0)</f>
        <v>0</v>
      </c>
      <c r="Z331" s="25">
        <f ca="1">IFERROR(__xludf.DUMMYFUNCTION("""COMPUTED_VALUE"""),0)</f>
        <v>0</v>
      </c>
      <c r="AA331" s="25">
        <f ca="1">IFERROR(__xludf.DUMMYFUNCTION("""COMPUTED_VALUE"""),0)</f>
        <v>0</v>
      </c>
      <c r="AB331" s="25">
        <f ca="1">IFERROR(__xludf.DUMMYFUNCTION("""COMPUTED_VALUE"""),0)</f>
        <v>0</v>
      </c>
      <c r="AC331" s="23">
        <f ca="1">IFERROR(__xludf.DUMMYFUNCTION("""COMPUTED_VALUE"""),0)</f>
        <v>0</v>
      </c>
      <c r="AD331" s="26" t="str">
        <f ca="1">IFERROR(__xludf.DUMMYFUNCTION("""COMPUTED_VALUE"""),"MYSY(50%) + KSPS (50%)")</f>
        <v>MYSY(50%) + KSPS (50%)</v>
      </c>
      <c r="AE331" s="27"/>
    </row>
    <row r="332" spans="1:31" ht="14.3">
      <c r="A332" s="18" t="str">
        <f ca="1">IFERROR(__xludf.DUMMYFUNCTION("""COMPUTED_VALUE"""),"22SDSCE01087")</f>
        <v>22SDSCE01087</v>
      </c>
      <c r="B332" s="19" t="str">
        <f ca="1">IFERROR(__xludf.DUMMYFUNCTION("""COMPUTED_VALUE"""),"PARMAR DEVENDRASINH ANILSINH")</f>
        <v>PARMAR DEVENDRASINH ANILSINH</v>
      </c>
      <c r="C332" s="18" t="str">
        <f ca="1">IFERROR(__xludf.DUMMYFUNCTION("""COMPUTED_VALUE"""),"SDS")</f>
        <v>SDS</v>
      </c>
      <c r="D332" s="18" t="str">
        <f ca="1">IFERROR(__xludf.DUMMYFUNCTION("""COMPUTED_VALUE"""),"DCE")</f>
        <v>DCE</v>
      </c>
      <c r="E332" s="25">
        <f ca="1">IFERROR(__xludf.DUMMYFUNCTION("""COMPUTED_VALUE"""),4)</f>
        <v>4</v>
      </c>
      <c r="F332" s="18" t="str">
        <f ca="1">IFERROR(__xludf.DUMMYFUNCTION("""COMPUTED_VALUE"""),"7202904718 7016755318")</f>
        <v>7202904718 7016755318</v>
      </c>
      <c r="G332" s="18" t="str">
        <f ca="1">IFERROR(__xludf.DUMMYFUNCTION("""COMPUTED_VALUE"""),"7202904718 7016755318")</f>
        <v>7202904718 7016755318</v>
      </c>
      <c r="H332" s="6" t="str">
        <f ca="1">IFERROR(__xludf.DUMMYFUNCTION("""COMPUTED_VALUE"""),"DCE_2022-25")</f>
        <v>DCE_2022-25</v>
      </c>
      <c r="I332" s="20" t="str">
        <f ca="1">IFERROR(__xludf.DUMMYFUNCTION("""COMPUTED_VALUE"""),"KSP")</f>
        <v>KSP</v>
      </c>
      <c r="J332" s="21">
        <f ca="1">IFERROR(__xludf.DUMMYFUNCTION("""COMPUTED_VALUE"""),25000)</f>
        <v>25000</v>
      </c>
      <c r="K332" s="21">
        <f ca="1">IFERROR(__xludf.DUMMYFUNCTION("""COMPUTED_VALUE"""),12500)</f>
        <v>12500</v>
      </c>
      <c r="L332" s="21">
        <f ca="1">IFERROR(__xludf.DUMMYFUNCTION("""COMPUTED_VALUE"""),0)</f>
        <v>0</v>
      </c>
      <c r="M332" s="23">
        <f ca="1">IFERROR(__xludf.DUMMYFUNCTION("""COMPUTED_VALUE"""),12500)</f>
        <v>12500</v>
      </c>
      <c r="N332" s="21">
        <f ca="1">IFERROR(__xludf.DUMMYFUNCTION("""COMPUTED_VALUE"""),0)</f>
        <v>0</v>
      </c>
      <c r="O332" s="21">
        <f ca="1">IFERROR(__xludf.DUMMYFUNCTION("""COMPUTED_VALUE"""),3000)</f>
        <v>3000</v>
      </c>
      <c r="P332" s="21">
        <f ca="1">IFERROR(__xludf.DUMMYFUNCTION("""COMPUTED_VALUE"""),3000)</f>
        <v>3000</v>
      </c>
      <c r="Q332" s="23">
        <f ca="1">IFERROR(__xludf.DUMMYFUNCTION("""COMPUTED_VALUE"""),0)</f>
        <v>0</v>
      </c>
      <c r="R332" s="24">
        <f ca="1">IFERROR(__xludf.DUMMYFUNCTION("""COMPUTED_VALUE"""),0)</f>
        <v>0</v>
      </c>
      <c r="S332" s="23">
        <f ca="1">IFERROR(__xludf.DUMMYFUNCTION("""COMPUTED_VALUE"""),0)</f>
        <v>0</v>
      </c>
      <c r="T332" s="24">
        <f ca="1">IFERROR(__xludf.DUMMYFUNCTION("""COMPUTED_VALUE"""),0)</f>
        <v>0</v>
      </c>
      <c r="U332" s="23">
        <f ca="1">IFERROR(__xludf.DUMMYFUNCTION("""COMPUTED_VALUE"""),0)</f>
        <v>0</v>
      </c>
      <c r="V332" s="23">
        <f ca="1">IFERROR(__xludf.DUMMYFUNCTION("""COMPUTED_VALUE"""),0)</f>
        <v>0</v>
      </c>
      <c r="W332" s="23">
        <f ca="1">IFERROR(__xludf.DUMMYFUNCTION("""COMPUTED_VALUE"""),0)</f>
        <v>0</v>
      </c>
      <c r="X332" s="23">
        <f ca="1">IFERROR(__xludf.DUMMYFUNCTION("""COMPUTED_VALUE"""),0)</f>
        <v>0</v>
      </c>
      <c r="Y332" s="25">
        <f ca="1">IFERROR(__xludf.DUMMYFUNCTION("""COMPUTED_VALUE"""),0)</f>
        <v>0</v>
      </c>
      <c r="Z332" s="25">
        <f ca="1">IFERROR(__xludf.DUMMYFUNCTION("""COMPUTED_VALUE"""),0)</f>
        <v>0</v>
      </c>
      <c r="AA332" s="25">
        <f ca="1">IFERROR(__xludf.DUMMYFUNCTION("""COMPUTED_VALUE"""),0)</f>
        <v>0</v>
      </c>
      <c r="AB332" s="25">
        <f ca="1">IFERROR(__xludf.DUMMYFUNCTION("""COMPUTED_VALUE"""),0)</f>
        <v>0</v>
      </c>
      <c r="AC332" s="23">
        <f ca="1">IFERROR(__xludf.DUMMYFUNCTION("""COMPUTED_VALUE"""),0)</f>
        <v>0</v>
      </c>
      <c r="AD332" s="26" t="str">
        <f ca="1">IFERROR(__xludf.DUMMYFUNCTION("""COMPUTED_VALUE"""),"12500 PER SEM SCHOLARSHIP")</f>
        <v>12500 PER SEM SCHOLARSHIP</v>
      </c>
      <c r="AE332" s="27"/>
    </row>
    <row r="333" spans="1:31" ht="14.3">
      <c r="A333" s="18" t="str">
        <f ca="1">IFERROR(__xludf.DUMMYFUNCTION("""COMPUTED_VALUE"""),"22SDSCE01088")</f>
        <v>22SDSCE01088</v>
      </c>
      <c r="B333" s="19" t="str">
        <f ca="1">IFERROR(__xludf.DUMMYFUNCTION("""COMPUTED_VALUE"""),"DHRUVI PARSANA")</f>
        <v>DHRUVI PARSANA</v>
      </c>
      <c r="C333" s="18" t="str">
        <f ca="1">IFERROR(__xludf.DUMMYFUNCTION("""COMPUTED_VALUE"""),"SDS")</f>
        <v>SDS</v>
      </c>
      <c r="D333" s="18" t="str">
        <f ca="1">IFERROR(__xludf.DUMMYFUNCTION("""COMPUTED_VALUE"""),"DCE")</f>
        <v>DCE</v>
      </c>
      <c r="E333" s="25">
        <f ca="1">IFERROR(__xludf.DUMMYFUNCTION("""COMPUTED_VALUE"""),4)</f>
        <v>4</v>
      </c>
      <c r="F333" s="18" t="str">
        <f ca="1">IFERROR(__xludf.DUMMYFUNCTION("""COMPUTED_VALUE"""),"9316409367 8780673596")</f>
        <v>9316409367 8780673596</v>
      </c>
      <c r="G333" s="18" t="str">
        <f ca="1">IFERROR(__xludf.DUMMYFUNCTION("""COMPUTED_VALUE"""),"9316409367 8780673596")</f>
        <v>9316409367 8780673596</v>
      </c>
      <c r="H333" s="6" t="str">
        <f ca="1">IFERROR(__xludf.DUMMYFUNCTION("""COMPUTED_VALUE"""),"DCE_2022-25")</f>
        <v>DCE_2022-25</v>
      </c>
      <c r="I333" s="20"/>
      <c r="J333" s="21">
        <f ca="1">IFERROR(__xludf.DUMMYFUNCTION("""COMPUTED_VALUE"""),25000)</f>
        <v>25000</v>
      </c>
      <c r="K333" s="21">
        <f ca="1">IFERROR(__xludf.DUMMYFUNCTION("""COMPUTED_VALUE"""),25000)</f>
        <v>25000</v>
      </c>
      <c r="L333" s="21">
        <f ca="1">IFERROR(__xludf.DUMMYFUNCTION("""COMPUTED_VALUE"""),0)</f>
        <v>0</v>
      </c>
      <c r="M333" s="23">
        <f ca="1">IFERROR(__xludf.DUMMYFUNCTION("""COMPUTED_VALUE"""),0)</f>
        <v>0</v>
      </c>
      <c r="N333" s="21">
        <f ca="1">IFERROR(__xludf.DUMMYFUNCTION("""COMPUTED_VALUE"""),0)</f>
        <v>0</v>
      </c>
      <c r="O333" s="21">
        <f ca="1">IFERROR(__xludf.DUMMYFUNCTION("""COMPUTED_VALUE"""),3000)</f>
        <v>3000</v>
      </c>
      <c r="P333" s="21">
        <f ca="1">IFERROR(__xludf.DUMMYFUNCTION("""COMPUTED_VALUE"""),3000)</f>
        <v>3000</v>
      </c>
      <c r="Q333" s="23">
        <f ca="1">IFERROR(__xludf.DUMMYFUNCTION("""COMPUTED_VALUE"""),0)</f>
        <v>0</v>
      </c>
      <c r="R333" s="24">
        <f ca="1">IFERROR(__xludf.DUMMYFUNCTION("""COMPUTED_VALUE"""),0)</f>
        <v>0</v>
      </c>
      <c r="S333" s="23">
        <f ca="1">IFERROR(__xludf.DUMMYFUNCTION("""COMPUTED_VALUE"""),0)</f>
        <v>0</v>
      </c>
      <c r="T333" s="24">
        <f ca="1">IFERROR(__xludf.DUMMYFUNCTION("""COMPUTED_VALUE"""),0)</f>
        <v>0</v>
      </c>
      <c r="U333" s="23">
        <f ca="1">IFERROR(__xludf.DUMMYFUNCTION("""COMPUTED_VALUE"""),0)</f>
        <v>0</v>
      </c>
      <c r="V333" s="23">
        <f ca="1">IFERROR(__xludf.DUMMYFUNCTION("""COMPUTED_VALUE"""),0)</f>
        <v>0</v>
      </c>
      <c r="W333" s="23">
        <f ca="1">IFERROR(__xludf.DUMMYFUNCTION("""COMPUTED_VALUE"""),0)</f>
        <v>0</v>
      </c>
      <c r="X333" s="23">
        <f ca="1">IFERROR(__xludf.DUMMYFUNCTION("""COMPUTED_VALUE"""),0)</f>
        <v>0</v>
      </c>
      <c r="Y333" s="25">
        <f ca="1">IFERROR(__xludf.DUMMYFUNCTION("""COMPUTED_VALUE"""),0)</f>
        <v>0</v>
      </c>
      <c r="Z333" s="25">
        <f ca="1">IFERROR(__xludf.DUMMYFUNCTION("""COMPUTED_VALUE"""),0)</f>
        <v>0</v>
      </c>
      <c r="AA333" s="25">
        <f ca="1">IFERROR(__xludf.DUMMYFUNCTION("""COMPUTED_VALUE"""),0)</f>
        <v>0</v>
      </c>
      <c r="AB333" s="25">
        <f ca="1">IFERROR(__xludf.DUMMYFUNCTION("""COMPUTED_VALUE"""),0)</f>
        <v>0</v>
      </c>
      <c r="AC333" s="23">
        <f ca="1">IFERROR(__xludf.DUMMYFUNCTION("""COMPUTED_VALUE"""),0)</f>
        <v>0</v>
      </c>
      <c r="AD333" s="26"/>
      <c r="AE333" s="27"/>
    </row>
    <row r="334" spans="1:31" ht="14.3">
      <c r="A334" s="18" t="str">
        <f ca="1">IFERROR(__xludf.DUMMYFUNCTION("""COMPUTED_VALUE"""),"22SDSCE01089")</f>
        <v>22SDSCE01089</v>
      </c>
      <c r="B334" s="19" t="str">
        <f ca="1">IFERROR(__xludf.DUMMYFUNCTION("""COMPUTED_VALUE"""),"PATEL DEV NILESH")</f>
        <v>PATEL DEV NILESH</v>
      </c>
      <c r="C334" s="18" t="str">
        <f ca="1">IFERROR(__xludf.DUMMYFUNCTION("""COMPUTED_VALUE"""),"SDS")</f>
        <v>SDS</v>
      </c>
      <c r="D334" s="18" t="str">
        <f ca="1">IFERROR(__xludf.DUMMYFUNCTION("""COMPUTED_VALUE"""),"DCE")</f>
        <v>DCE</v>
      </c>
      <c r="E334" s="25">
        <f ca="1">IFERROR(__xludf.DUMMYFUNCTION("""COMPUTED_VALUE"""),4)</f>
        <v>4</v>
      </c>
      <c r="F334" s="18" t="str">
        <f ca="1">IFERROR(__xludf.DUMMYFUNCTION("""COMPUTED_VALUE"""),"9712393045
9824603108")</f>
        <v>9712393045
9824603108</v>
      </c>
      <c r="G334" s="18" t="str">
        <f ca="1">IFERROR(__xludf.DUMMYFUNCTION("""COMPUTED_VALUE"""),"9712393045
9824603108")</f>
        <v>9712393045
9824603108</v>
      </c>
      <c r="H334" s="6" t="str">
        <f ca="1">IFERROR(__xludf.DUMMYFUNCTION("""COMPUTED_VALUE"""),"DCE_2022-25")</f>
        <v>DCE_2022-25</v>
      </c>
      <c r="I334" s="20"/>
      <c r="J334" s="21">
        <f ca="1">IFERROR(__xludf.DUMMYFUNCTION("""COMPUTED_VALUE"""),25000)</f>
        <v>25000</v>
      </c>
      <c r="K334" s="21">
        <f ca="1">IFERROR(__xludf.DUMMYFUNCTION("""COMPUTED_VALUE"""),25000)</f>
        <v>25000</v>
      </c>
      <c r="L334" s="21">
        <f ca="1">IFERROR(__xludf.DUMMYFUNCTION("""COMPUTED_VALUE"""),0)</f>
        <v>0</v>
      </c>
      <c r="M334" s="23">
        <f ca="1">IFERROR(__xludf.DUMMYFUNCTION("""COMPUTED_VALUE"""),0)</f>
        <v>0</v>
      </c>
      <c r="N334" s="21">
        <f ca="1">IFERROR(__xludf.DUMMYFUNCTION("""COMPUTED_VALUE"""),0)</f>
        <v>0</v>
      </c>
      <c r="O334" s="21">
        <f ca="1">IFERROR(__xludf.DUMMYFUNCTION("""COMPUTED_VALUE"""),3000)</f>
        <v>3000</v>
      </c>
      <c r="P334" s="21">
        <f ca="1">IFERROR(__xludf.DUMMYFUNCTION("""COMPUTED_VALUE"""),3000)</f>
        <v>3000</v>
      </c>
      <c r="Q334" s="23">
        <f ca="1">IFERROR(__xludf.DUMMYFUNCTION("""COMPUTED_VALUE"""),0)</f>
        <v>0</v>
      </c>
      <c r="R334" s="24">
        <f ca="1">IFERROR(__xludf.DUMMYFUNCTION("""COMPUTED_VALUE"""),0)</f>
        <v>0</v>
      </c>
      <c r="S334" s="23">
        <f ca="1">IFERROR(__xludf.DUMMYFUNCTION("""COMPUTED_VALUE"""),0)</f>
        <v>0</v>
      </c>
      <c r="T334" s="24">
        <f ca="1">IFERROR(__xludf.DUMMYFUNCTION("""COMPUTED_VALUE"""),0)</f>
        <v>0</v>
      </c>
      <c r="U334" s="23">
        <f ca="1">IFERROR(__xludf.DUMMYFUNCTION("""COMPUTED_VALUE"""),0)</f>
        <v>0</v>
      </c>
      <c r="V334" s="23">
        <f ca="1">IFERROR(__xludf.DUMMYFUNCTION("""COMPUTED_VALUE"""),0)</f>
        <v>0</v>
      </c>
      <c r="W334" s="23">
        <f ca="1">IFERROR(__xludf.DUMMYFUNCTION("""COMPUTED_VALUE"""),0)</f>
        <v>0</v>
      </c>
      <c r="X334" s="23">
        <f ca="1">IFERROR(__xludf.DUMMYFUNCTION("""COMPUTED_VALUE"""),0)</f>
        <v>0</v>
      </c>
      <c r="Y334" s="25">
        <f ca="1">IFERROR(__xludf.DUMMYFUNCTION("""COMPUTED_VALUE"""),0)</f>
        <v>0</v>
      </c>
      <c r="Z334" s="25">
        <f ca="1">IFERROR(__xludf.DUMMYFUNCTION("""COMPUTED_VALUE"""),0)</f>
        <v>0</v>
      </c>
      <c r="AA334" s="25">
        <f ca="1">IFERROR(__xludf.DUMMYFUNCTION("""COMPUTED_VALUE"""),0)</f>
        <v>0</v>
      </c>
      <c r="AB334" s="25">
        <f ca="1">IFERROR(__xludf.DUMMYFUNCTION("""COMPUTED_VALUE"""),0)</f>
        <v>0</v>
      </c>
      <c r="AC334" s="23">
        <f ca="1">IFERROR(__xludf.DUMMYFUNCTION("""COMPUTED_VALUE"""),0)</f>
        <v>0</v>
      </c>
      <c r="AD334" s="26"/>
      <c r="AE334" s="27"/>
    </row>
    <row r="335" spans="1:31" ht="14.3">
      <c r="A335" s="18" t="str">
        <f ca="1">IFERROR(__xludf.DUMMYFUNCTION("""COMPUTED_VALUE"""),"22SDSCE01090")</f>
        <v>22SDSCE01090</v>
      </c>
      <c r="B335" s="19" t="str">
        <f ca="1">IFERROR(__xludf.DUMMYFUNCTION("""COMPUTED_VALUE"""),"PATOLIYA SAKSHEE VINODBHAI")</f>
        <v>PATOLIYA SAKSHEE VINODBHAI</v>
      </c>
      <c r="C335" s="18" t="str">
        <f ca="1">IFERROR(__xludf.DUMMYFUNCTION("""COMPUTED_VALUE"""),"SDS")</f>
        <v>SDS</v>
      </c>
      <c r="D335" s="18" t="str">
        <f ca="1">IFERROR(__xludf.DUMMYFUNCTION("""COMPUTED_VALUE"""),"DCE")</f>
        <v>DCE</v>
      </c>
      <c r="E335" s="25">
        <f ca="1">IFERROR(__xludf.DUMMYFUNCTION("""COMPUTED_VALUE"""),4)</f>
        <v>4</v>
      </c>
      <c r="F335" s="18" t="str">
        <f ca="1">IFERROR(__xludf.DUMMYFUNCTION("""COMPUTED_VALUE"""),"8780058844")</f>
        <v>8780058844</v>
      </c>
      <c r="G335" s="18" t="str">
        <f ca="1">IFERROR(__xludf.DUMMYFUNCTION("""COMPUTED_VALUE"""),"8780058844")</f>
        <v>8780058844</v>
      </c>
      <c r="H335" s="6" t="str">
        <f ca="1">IFERROR(__xludf.DUMMYFUNCTION("""COMPUTED_VALUE"""),"DCE_2022-25")</f>
        <v>DCE_2022-25</v>
      </c>
      <c r="I335" s="20"/>
      <c r="J335" s="21">
        <f ca="1">IFERROR(__xludf.DUMMYFUNCTION("""COMPUTED_VALUE"""),25000)</f>
        <v>25000</v>
      </c>
      <c r="K335" s="21">
        <f ca="1">IFERROR(__xludf.DUMMYFUNCTION("""COMPUTED_VALUE"""),0)</f>
        <v>0</v>
      </c>
      <c r="L335" s="21">
        <f ca="1">IFERROR(__xludf.DUMMYFUNCTION("""COMPUTED_VALUE"""),0)</f>
        <v>0</v>
      </c>
      <c r="M335" s="23">
        <f ca="1">IFERROR(__xludf.DUMMYFUNCTION("""COMPUTED_VALUE"""),0)</f>
        <v>0</v>
      </c>
      <c r="N335" s="21">
        <f ca="1">IFERROR(__xludf.DUMMYFUNCTION("""COMPUTED_VALUE"""),25000)</f>
        <v>25000</v>
      </c>
      <c r="O335" s="21">
        <f ca="1">IFERROR(__xludf.DUMMYFUNCTION("""COMPUTED_VALUE"""),3000)</f>
        <v>3000</v>
      </c>
      <c r="P335" s="21">
        <f ca="1">IFERROR(__xludf.DUMMYFUNCTION("""COMPUTED_VALUE"""),3000)</f>
        <v>3000</v>
      </c>
      <c r="Q335" s="23">
        <f ca="1">IFERROR(__xludf.DUMMYFUNCTION("""COMPUTED_VALUE"""),0)</f>
        <v>0</v>
      </c>
      <c r="R335" s="24">
        <f ca="1">IFERROR(__xludf.DUMMYFUNCTION("""COMPUTED_VALUE"""),0)</f>
        <v>0</v>
      </c>
      <c r="S335" s="23">
        <f ca="1">IFERROR(__xludf.DUMMYFUNCTION("""COMPUTED_VALUE"""),0)</f>
        <v>0</v>
      </c>
      <c r="T335" s="24">
        <f ca="1">IFERROR(__xludf.DUMMYFUNCTION("""COMPUTED_VALUE"""),0)</f>
        <v>0</v>
      </c>
      <c r="U335" s="23">
        <f ca="1">IFERROR(__xludf.DUMMYFUNCTION("""COMPUTED_VALUE"""),0)</f>
        <v>0</v>
      </c>
      <c r="V335" s="23">
        <f ca="1">IFERROR(__xludf.DUMMYFUNCTION("""COMPUTED_VALUE"""),0)</f>
        <v>0</v>
      </c>
      <c r="W335" s="23">
        <f ca="1">IFERROR(__xludf.DUMMYFUNCTION("""COMPUTED_VALUE"""),0)</f>
        <v>0</v>
      </c>
      <c r="X335" s="23">
        <f ca="1">IFERROR(__xludf.DUMMYFUNCTION("""COMPUTED_VALUE"""),0)</f>
        <v>0</v>
      </c>
      <c r="Y335" s="25">
        <f ca="1">IFERROR(__xludf.DUMMYFUNCTION("""COMPUTED_VALUE"""),0)</f>
        <v>0</v>
      </c>
      <c r="Z335" s="25">
        <f ca="1">IFERROR(__xludf.DUMMYFUNCTION("""COMPUTED_VALUE"""),0)</f>
        <v>0</v>
      </c>
      <c r="AA335" s="25">
        <f ca="1">IFERROR(__xludf.DUMMYFUNCTION("""COMPUTED_VALUE"""),0)</f>
        <v>0</v>
      </c>
      <c r="AB335" s="25">
        <f ca="1">IFERROR(__xludf.DUMMYFUNCTION("""COMPUTED_VALUE"""),0)</f>
        <v>0</v>
      </c>
      <c r="AC335" s="23">
        <f ca="1">IFERROR(__xludf.DUMMYFUNCTION("""COMPUTED_VALUE"""),0)</f>
        <v>0</v>
      </c>
      <c r="AD335" s="26"/>
      <c r="AE335" s="27"/>
    </row>
    <row r="336" spans="1:31" ht="14.3">
      <c r="A336" s="18" t="str">
        <f ca="1">IFERROR(__xludf.DUMMYFUNCTION("""COMPUTED_VALUE"""),"22SDSCE01091")</f>
        <v>22SDSCE01091</v>
      </c>
      <c r="B336" s="19" t="str">
        <f ca="1">IFERROR(__xludf.DUMMYFUNCTION("""COMPUTED_VALUE"""),"PIPARIYA SARJAK")</f>
        <v>PIPARIYA SARJAK</v>
      </c>
      <c r="C336" s="18" t="str">
        <f ca="1">IFERROR(__xludf.DUMMYFUNCTION("""COMPUTED_VALUE"""),"SDS")</f>
        <v>SDS</v>
      </c>
      <c r="D336" s="18" t="str">
        <f ca="1">IFERROR(__xludf.DUMMYFUNCTION("""COMPUTED_VALUE"""),"DCE")</f>
        <v>DCE</v>
      </c>
      <c r="E336" s="25">
        <f ca="1">IFERROR(__xludf.DUMMYFUNCTION("""COMPUTED_VALUE"""),4)</f>
        <v>4</v>
      </c>
      <c r="F336" s="18" t="str">
        <f ca="1">IFERROR(__xludf.DUMMYFUNCTION("""COMPUTED_VALUE"""),"8490845067 9227148699")</f>
        <v>8490845067 9227148699</v>
      </c>
      <c r="G336" s="18" t="str">
        <f ca="1">IFERROR(__xludf.DUMMYFUNCTION("""COMPUTED_VALUE"""),"8490845067 9227148699")</f>
        <v>8490845067 9227148699</v>
      </c>
      <c r="H336" s="6" t="str">
        <f ca="1">IFERROR(__xludf.DUMMYFUNCTION("""COMPUTED_VALUE"""),"DCE_2022-25")</f>
        <v>DCE_2022-25</v>
      </c>
      <c r="I336" s="20"/>
      <c r="J336" s="21">
        <f ca="1">IFERROR(__xludf.DUMMYFUNCTION("""COMPUTED_VALUE"""),25000)</f>
        <v>25000</v>
      </c>
      <c r="K336" s="21">
        <f ca="1">IFERROR(__xludf.DUMMYFUNCTION("""COMPUTED_VALUE"""),25000)</f>
        <v>25000</v>
      </c>
      <c r="L336" s="21">
        <f ca="1">IFERROR(__xludf.DUMMYFUNCTION("""COMPUTED_VALUE"""),0)</f>
        <v>0</v>
      </c>
      <c r="M336" s="23">
        <f ca="1">IFERROR(__xludf.DUMMYFUNCTION("""COMPUTED_VALUE"""),0)</f>
        <v>0</v>
      </c>
      <c r="N336" s="21">
        <f ca="1">IFERROR(__xludf.DUMMYFUNCTION("""COMPUTED_VALUE"""),0)</f>
        <v>0</v>
      </c>
      <c r="O336" s="21">
        <f ca="1">IFERROR(__xludf.DUMMYFUNCTION("""COMPUTED_VALUE"""),3000)</f>
        <v>3000</v>
      </c>
      <c r="P336" s="21">
        <f ca="1">IFERROR(__xludf.DUMMYFUNCTION("""COMPUTED_VALUE"""),3000)</f>
        <v>3000</v>
      </c>
      <c r="Q336" s="23">
        <f ca="1">IFERROR(__xludf.DUMMYFUNCTION("""COMPUTED_VALUE"""),0)</f>
        <v>0</v>
      </c>
      <c r="R336" s="24">
        <f ca="1">IFERROR(__xludf.DUMMYFUNCTION("""COMPUTED_VALUE"""),0)</f>
        <v>0</v>
      </c>
      <c r="S336" s="23">
        <f ca="1">IFERROR(__xludf.DUMMYFUNCTION("""COMPUTED_VALUE"""),0)</f>
        <v>0</v>
      </c>
      <c r="T336" s="24">
        <f ca="1">IFERROR(__xludf.DUMMYFUNCTION("""COMPUTED_VALUE"""),0)</f>
        <v>0</v>
      </c>
      <c r="U336" s="23">
        <f ca="1">IFERROR(__xludf.DUMMYFUNCTION("""COMPUTED_VALUE"""),0)</f>
        <v>0</v>
      </c>
      <c r="V336" s="23">
        <f ca="1">IFERROR(__xludf.DUMMYFUNCTION("""COMPUTED_VALUE"""),0)</f>
        <v>0</v>
      </c>
      <c r="W336" s="23">
        <f ca="1">IFERROR(__xludf.DUMMYFUNCTION("""COMPUTED_VALUE"""),0)</f>
        <v>0</v>
      </c>
      <c r="X336" s="23">
        <f ca="1">IFERROR(__xludf.DUMMYFUNCTION("""COMPUTED_VALUE"""),0)</f>
        <v>0</v>
      </c>
      <c r="Y336" s="25">
        <f ca="1">IFERROR(__xludf.DUMMYFUNCTION("""COMPUTED_VALUE"""),0)</f>
        <v>0</v>
      </c>
      <c r="Z336" s="25">
        <f ca="1">IFERROR(__xludf.DUMMYFUNCTION("""COMPUTED_VALUE"""),0)</f>
        <v>0</v>
      </c>
      <c r="AA336" s="25">
        <f ca="1">IFERROR(__xludf.DUMMYFUNCTION("""COMPUTED_VALUE"""),0)</f>
        <v>0</v>
      </c>
      <c r="AB336" s="25">
        <f ca="1">IFERROR(__xludf.DUMMYFUNCTION("""COMPUTED_VALUE"""),0)</f>
        <v>0</v>
      </c>
      <c r="AC336" s="23">
        <f ca="1">IFERROR(__xludf.DUMMYFUNCTION("""COMPUTED_VALUE"""),0)</f>
        <v>0</v>
      </c>
      <c r="AD336" s="26"/>
      <c r="AE336" s="27"/>
    </row>
    <row r="337" spans="1:31" ht="23.1">
      <c r="A337" s="18" t="str">
        <f ca="1">IFERROR(__xludf.DUMMYFUNCTION("""COMPUTED_VALUE"""),"22SDSCE01092")</f>
        <v>22SDSCE01092</v>
      </c>
      <c r="B337" s="19" t="str">
        <f ca="1">IFERROR(__xludf.DUMMYFUNCTION("""COMPUTED_VALUE"""),"RADADIYA MIHIR RAMESHBHAI")</f>
        <v>RADADIYA MIHIR RAMESHBHAI</v>
      </c>
      <c r="C337" s="18" t="str">
        <f ca="1">IFERROR(__xludf.DUMMYFUNCTION("""COMPUTED_VALUE"""),"SDS")</f>
        <v>SDS</v>
      </c>
      <c r="D337" s="18" t="str">
        <f ca="1">IFERROR(__xludf.DUMMYFUNCTION("""COMPUTED_VALUE"""),"DCE")</f>
        <v>DCE</v>
      </c>
      <c r="E337" s="25">
        <f ca="1">IFERROR(__xludf.DUMMYFUNCTION("""COMPUTED_VALUE"""),4)</f>
        <v>4</v>
      </c>
      <c r="F337" s="18" t="str">
        <f ca="1">IFERROR(__xludf.DUMMYFUNCTION("""COMPUTED_VALUE"""),"9265043977
9825251548")</f>
        <v>9265043977
9825251548</v>
      </c>
      <c r="G337" s="18" t="str">
        <f ca="1">IFERROR(__xludf.DUMMYFUNCTION("""COMPUTED_VALUE"""),"9265043977
9825251548")</f>
        <v>9265043977
9825251548</v>
      </c>
      <c r="H337" s="6" t="str">
        <f ca="1">IFERROR(__xludf.DUMMYFUNCTION("""COMPUTED_VALUE"""),"DCE_2022-25")</f>
        <v>DCE_2022-25</v>
      </c>
      <c r="I337" s="20" t="str">
        <f ca="1">IFERROR(__xludf.DUMMYFUNCTION("""COMPUTED_VALUE"""),"KSP")</f>
        <v>KSP</v>
      </c>
      <c r="J337" s="21">
        <f ca="1">IFERROR(__xludf.DUMMYFUNCTION("""COMPUTED_VALUE"""),25000)</f>
        <v>25000</v>
      </c>
      <c r="K337" s="21">
        <f ca="1">IFERROR(__xludf.DUMMYFUNCTION("""COMPUTED_VALUE"""),12500)</f>
        <v>12500</v>
      </c>
      <c r="L337" s="21">
        <f ca="1">IFERROR(__xludf.DUMMYFUNCTION("""COMPUTED_VALUE"""),0)</f>
        <v>0</v>
      </c>
      <c r="M337" s="23">
        <f ca="1">IFERROR(__xludf.DUMMYFUNCTION("""COMPUTED_VALUE"""),12500)</f>
        <v>12500</v>
      </c>
      <c r="N337" s="21">
        <f ca="1">IFERROR(__xludf.DUMMYFUNCTION("""COMPUTED_VALUE"""),0)</f>
        <v>0</v>
      </c>
      <c r="O337" s="21">
        <f ca="1">IFERROR(__xludf.DUMMYFUNCTION("""COMPUTED_VALUE"""),3000)</f>
        <v>3000</v>
      </c>
      <c r="P337" s="21">
        <f ca="1">IFERROR(__xludf.DUMMYFUNCTION("""COMPUTED_VALUE"""),3000)</f>
        <v>3000</v>
      </c>
      <c r="Q337" s="23">
        <f ca="1">IFERROR(__xludf.DUMMYFUNCTION("""COMPUTED_VALUE"""),0)</f>
        <v>0</v>
      </c>
      <c r="R337" s="24">
        <f ca="1">IFERROR(__xludf.DUMMYFUNCTION("""COMPUTED_VALUE"""),0)</f>
        <v>0</v>
      </c>
      <c r="S337" s="23">
        <f ca="1">IFERROR(__xludf.DUMMYFUNCTION("""COMPUTED_VALUE"""),0)</f>
        <v>0</v>
      </c>
      <c r="T337" s="24">
        <f ca="1">IFERROR(__xludf.DUMMYFUNCTION("""COMPUTED_VALUE"""),0)</f>
        <v>0</v>
      </c>
      <c r="U337" s="23">
        <f ca="1">IFERROR(__xludf.DUMMYFUNCTION("""COMPUTED_VALUE"""),0)</f>
        <v>0</v>
      </c>
      <c r="V337" s="23">
        <f ca="1">IFERROR(__xludf.DUMMYFUNCTION("""COMPUTED_VALUE"""),0)</f>
        <v>0</v>
      </c>
      <c r="W337" s="23">
        <f ca="1">IFERROR(__xludf.DUMMYFUNCTION("""COMPUTED_VALUE"""),0)</f>
        <v>0</v>
      </c>
      <c r="X337" s="23">
        <f ca="1">IFERROR(__xludf.DUMMYFUNCTION("""COMPUTED_VALUE"""),0)</f>
        <v>0</v>
      </c>
      <c r="Y337" s="25">
        <f ca="1">IFERROR(__xludf.DUMMYFUNCTION("""COMPUTED_VALUE"""),0)</f>
        <v>0</v>
      </c>
      <c r="Z337" s="25">
        <f ca="1">IFERROR(__xludf.DUMMYFUNCTION("""COMPUTED_VALUE"""),0)</f>
        <v>0</v>
      </c>
      <c r="AA337" s="25">
        <f ca="1">IFERROR(__xludf.DUMMYFUNCTION("""COMPUTED_VALUE"""),0)</f>
        <v>0</v>
      </c>
      <c r="AB337" s="25">
        <f ca="1">IFERROR(__xludf.DUMMYFUNCTION("""COMPUTED_VALUE"""),0)</f>
        <v>0</v>
      </c>
      <c r="AC337" s="23">
        <f ca="1">IFERROR(__xludf.DUMMYFUNCTION("""COMPUTED_VALUE"""),0)</f>
        <v>0</v>
      </c>
      <c r="AD337" s="26" t="str">
        <f ca="1">IFERROR(__xludf.DUMMYFUNCTION("""COMPUTED_VALUE"""),"KSPS (50%)
12500 PER SEM SCHOLARSHIP")</f>
        <v>KSPS (50%)
12500 PER SEM SCHOLARSHIP</v>
      </c>
      <c r="AE337" s="27"/>
    </row>
    <row r="338" spans="1:31" ht="14.3">
      <c r="A338" s="18" t="str">
        <f ca="1">IFERROR(__xludf.DUMMYFUNCTION("""COMPUTED_VALUE"""),"22SDSCE01093")</f>
        <v>22SDSCE01093</v>
      </c>
      <c r="B338" s="19" t="str">
        <f ca="1">IFERROR(__xludf.DUMMYFUNCTION("""COMPUTED_VALUE"""),"RAMANI UJJWAL NITINBHAI")</f>
        <v>RAMANI UJJWAL NITINBHAI</v>
      </c>
      <c r="C338" s="18" t="str">
        <f ca="1">IFERROR(__xludf.DUMMYFUNCTION("""COMPUTED_VALUE"""),"SDS")</f>
        <v>SDS</v>
      </c>
      <c r="D338" s="18" t="str">
        <f ca="1">IFERROR(__xludf.DUMMYFUNCTION("""COMPUTED_VALUE"""),"DCE")</f>
        <v>DCE</v>
      </c>
      <c r="E338" s="25">
        <f ca="1">IFERROR(__xludf.DUMMYFUNCTION("""COMPUTED_VALUE"""),4)</f>
        <v>4</v>
      </c>
      <c r="F338" s="18" t="str">
        <f ca="1">IFERROR(__xludf.DUMMYFUNCTION("""COMPUTED_VALUE"""),"8799520502 9825351760")</f>
        <v>8799520502 9825351760</v>
      </c>
      <c r="G338" s="18" t="str">
        <f ca="1">IFERROR(__xludf.DUMMYFUNCTION("""COMPUTED_VALUE"""),"8799520502 9825351760")</f>
        <v>8799520502 9825351760</v>
      </c>
      <c r="H338" s="6" t="str">
        <f ca="1">IFERROR(__xludf.DUMMYFUNCTION("""COMPUTED_VALUE"""),"DCE_2022-25")</f>
        <v>DCE_2022-25</v>
      </c>
      <c r="I338" s="20"/>
      <c r="J338" s="21">
        <f ca="1">IFERROR(__xludf.DUMMYFUNCTION("""COMPUTED_VALUE"""),25000)</f>
        <v>25000</v>
      </c>
      <c r="K338" s="21">
        <f ca="1">IFERROR(__xludf.DUMMYFUNCTION("""COMPUTED_VALUE"""),25000)</f>
        <v>25000</v>
      </c>
      <c r="L338" s="21">
        <f ca="1">IFERROR(__xludf.DUMMYFUNCTION("""COMPUTED_VALUE"""),0)</f>
        <v>0</v>
      </c>
      <c r="M338" s="23">
        <f ca="1">IFERROR(__xludf.DUMMYFUNCTION("""COMPUTED_VALUE"""),0)</f>
        <v>0</v>
      </c>
      <c r="N338" s="21">
        <f ca="1">IFERROR(__xludf.DUMMYFUNCTION("""COMPUTED_VALUE"""),0)</f>
        <v>0</v>
      </c>
      <c r="O338" s="21">
        <f ca="1">IFERROR(__xludf.DUMMYFUNCTION("""COMPUTED_VALUE"""),3000)</f>
        <v>3000</v>
      </c>
      <c r="P338" s="21">
        <f ca="1">IFERROR(__xludf.DUMMYFUNCTION("""COMPUTED_VALUE"""),3000)</f>
        <v>3000</v>
      </c>
      <c r="Q338" s="23">
        <f ca="1">IFERROR(__xludf.DUMMYFUNCTION("""COMPUTED_VALUE"""),0)</f>
        <v>0</v>
      </c>
      <c r="R338" s="24">
        <f ca="1">IFERROR(__xludf.DUMMYFUNCTION("""COMPUTED_VALUE"""),0)</f>
        <v>0</v>
      </c>
      <c r="S338" s="23">
        <f ca="1">IFERROR(__xludf.DUMMYFUNCTION("""COMPUTED_VALUE"""),0)</f>
        <v>0</v>
      </c>
      <c r="T338" s="24">
        <f ca="1">IFERROR(__xludf.DUMMYFUNCTION("""COMPUTED_VALUE"""),0)</f>
        <v>0</v>
      </c>
      <c r="U338" s="23">
        <f ca="1">IFERROR(__xludf.DUMMYFUNCTION("""COMPUTED_VALUE"""),0)</f>
        <v>0</v>
      </c>
      <c r="V338" s="23">
        <f ca="1">IFERROR(__xludf.DUMMYFUNCTION("""COMPUTED_VALUE"""),0)</f>
        <v>0</v>
      </c>
      <c r="W338" s="23">
        <f ca="1">IFERROR(__xludf.DUMMYFUNCTION("""COMPUTED_VALUE"""),0)</f>
        <v>0</v>
      </c>
      <c r="X338" s="23">
        <f ca="1">IFERROR(__xludf.DUMMYFUNCTION("""COMPUTED_VALUE"""),0)</f>
        <v>0</v>
      </c>
      <c r="Y338" s="25">
        <f ca="1">IFERROR(__xludf.DUMMYFUNCTION("""COMPUTED_VALUE"""),0)</f>
        <v>0</v>
      </c>
      <c r="Z338" s="25">
        <f ca="1">IFERROR(__xludf.DUMMYFUNCTION("""COMPUTED_VALUE"""),0)</f>
        <v>0</v>
      </c>
      <c r="AA338" s="25">
        <f ca="1">IFERROR(__xludf.DUMMYFUNCTION("""COMPUTED_VALUE"""),0)</f>
        <v>0</v>
      </c>
      <c r="AB338" s="25">
        <f ca="1">IFERROR(__xludf.DUMMYFUNCTION("""COMPUTED_VALUE"""),0)</f>
        <v>0</v>
      </c>
      <c r="AC338" s="23">
        <f ca="1">IFERROR(__xludf.DUMMYFUNCTION("""COMPUTED_VALUE"""),0)</f>
        <v>0</v>
      </c>
      <c r="AD338" s="26"/>
      <c r="AE338" s="27"/>
    </row>
    <row r="339" spans="1:31" ht="14.3">
      <c r="A339" s="18" t="str">
        <f ca="1">IFERROR(__xludf.DUMMYFUNCTION("""COMPUTED_VALUE"""),"22SDSCE01095")</f>
        <v>22SDSCE01095</v>
      </c>
      <c r="B339" s="19" t="str">
        <f ca="1">IFERROR(__xludf.DUMMYFUNCTION("""COMPUTED_VALUE"""),"RANGANI KAUSHAL PRAVINBHAI")</f>
        <v>RANGANI KAUSHAL PRAVINBHAI</v>
      </c>
      <c r="C339" s="18" t="str">
        <f ca="1">IFERROR(__xludf.DUMMYFUNCTION("""COMPUTED_VALUE"""),"SDS")</f>
        <v>SDS</v>
      </c>
      <c r="D339" s="18" t="str">
        <f ca="1">IFERROR(__xludf.DUMMYFUNCTION("""COMPUTED_VALUE"""),"DCE")</f>
        <v>DCE</v>
      </c>
      <c r="E339" s="25">
        <f ca="1">IFERROR(__xludf.DUMMYFUNCTION("""COMPUTED_VALUE"""),4)</f>
        <v>4</v>
      </c>
      <c r="F339" s="18" t="str">
        <f ca="1">IFERROR(__xludf.DUMMYFUNCTION("""COMPUTED_VALUE"""),"8160346751 9638562280")</f>
        <v>8160346751 9638562280</v>
      </c>
      <c r="G339" s="18" t="str">
        <f ca="1">IFERROR(__xludf.DUMMYFUNCTION("""COMPUTED_VALUE"""),"8160346751 9638562280")</f>
        <v>8160346751 9638562280</v>
      </c>
      <c r="H339" s="6" t="str">
        <f ca="1">IFERROR(__xludf.DUMMYFUNCTION("""COMPUTED_VALUE"""),"DCE_2022-25")</f>
        <v>DCE_2022-25</v>
      </c>
      <c r="I339" s="20" t="str">
        <f ca="1">IFERROR(__xludf.DUMMYFUNCTION("""COMPUTED_VALUE"""),"MYSY")</f>
        <v>MYSY</v>
      </c>
      <c r="J339" s="21">
        <f ca="1">IFERROR(__xludf.DUMMYFUNCTION("""COMPUTED_VALUE"""),25000)</f>
        <v>25000</v>
      </c>
      <c r="K339" s="21">
        <f ca="1">IFERROR(__xludf.DUMMYFUNCTION("""COMPUTED_VALUE"""),25000)</f>
        <v>25000</v>
      </c>
      <c r="L339" s="21">
        <f ca="1">IFERROR(__xludf.DUMMYFUNCTION("""COMPUTED_VALUE"""),0)</f>
        <v>0</v>
      </c>
      <c r="M339" s="23">
        <f ca="1">IFERROR(__xludf.DUMMYFUNCTION("""COMPUTED_VALUE"""),0)</f>
        <v>0</v>
      </c>
      <c r="N339" s="21">
        <f ca="1">IFERROR(__xludf.DUMMYFUNCTION("""COMPUTED_VALUE"""),0)</f>
        <v>0</v>
      </c>
      <c r="O339" s="21">
        <f ca="1">IFERROR(__xludf.DUMMYFUNCTION("""COMPUTED_VALUE"""),3000)</f>
        <v>3000</v>
      </c>
      <c r="P339" s="21">
        <f ca="1">IFERROR(__xludf.DUMMYFUNCTION("""COMPUTED_VALUE"""),3000)</f>
        <v>3000</v>
      </c>
      <c r="Q339" s="23">
        <f ca="1">IFERROR(__xludf.DUMMYFUNCTION("""COMPUTED_VALUE"""),0)</f>
        <v>0</v>
      </c>
      <c r="R339" s="24">
        <f ca="1">IFERROR(__xludf.DUMMYFUNCTION("""COMPUTED_VALUE"""),0)</f>
        <v>0</v>
      </c>
      <c r="S339" s="23">
        <f ca="1">IFERROR(__xludf.DUMMYFUNCTION("""COMPUTED_VALUE"""),0)</f>
        <v>0</v>
      </c>
      <c r="T339" s="24">
        <f ca="1">IFERROR(__xludf.DUMMYFUNCTION("""COMPUTED_VALUE"""),0)</f>
        <v>0</v>
      </c>
      <c r="U339" s="23">
        <f ca="1">IFERROR(__xludf.DUMMYFUNCTION("""COMPUTED_VALUE"""),0)</f>
        <v>0</v>
      </c>
      <c r="V339" s="23">
        <f ca="1">IFERROR(__xludf.DUMMYFUNCTION("""COMPUTED_VALUE"""),0)</f>
        <v>0</v>
      </c>
      <c r="W339" s="23">
        <f ca="1">IFERROR(__xludf.DUMMYFUNCTION("""COMPUTED_VALUE"""),0)</f>
        <v>0</v>
      </c>
      <c r="X339" s="23">
        <f ca="1">IFERROR(__xludf.DUMMYFUNCTION("""COMPUTED_VALUE"""),0)</f>
        <v>0</v>
      </c>
      <c r="Y339" s="25">
        <f ca="1">IFERROR(__xludf.DUMMYFUNCTION("""COMPUTED_VALUE"""),0)</f>
        <v>0</v>
      </c>
      <c r="Z339" s="25">
        <f ca="1">IFERROR(__xludf.DUMMYFUNCTION("""COMPUTED_VALUE"""),0)</f>
        <v>0</v>
      </c>
      <c r="AA339" s="25">
        <f ca="1">IFERROR(__xludf.DUMMYFUNCTION("""COMPUTED_VALUE"""),0)</f>
        <v>0</v>
      </c>
      <c r="AB339" s="25">
        <f ca="1">IFERROR(__xludf.DUMMYFUNCTION("""COMPUTED_VALUE"""),0)</f>
        <v>0</v>
      </c>
      <c r="AC339" s="23">
        <f ca="1">IFERROR(__xludf.DUMMYFUNCTION("""COMPUTED_VALUE"""),0)</f>
        <v>0</v>
      </c>
      <c r="AD339" s="26" t="str">
        <f ca="1">IFERROR(__xludf.DUMMYFUNCTION("""COMPUTED_VALUE"""),"KSPS(25%) + MYSY(50%) ")</f>
        <v xml:space="preserve">KSPS(25%) + MYSY(50%) </v>
      </c>
      <c r="AE339" s="27"/>
    </row>
    <row r="340" spans="1:31" ht="14.3">
      <c r="A340" s="18" t="str">
        <f ca="1">IFERROR(__xludf.DUMMYFUNCTION("""COMPUTED_VALUE"""),"22SDSCE01096")</f>
        <v>22SDSCE01096</v>
      </c>
      <c r="B340" s="19" t="str">
        <f ca="1">IFERROR(__xludf.DUMMYFUNCTION("""COMPUTED_VALUE"""),"RANK SHUBH CHHAGANBHAI")</f>
        <v>RANK SHUBH CHHAGANBHAI</v>
      </c>
      <c r="C340" s="18" t="str">
        <f ca="1">IFERROR(__xludf.DUMMYFUNCTION("""COMPUTED_VALUE"""),"SDS")</f>
        <v>SDS</v>
      </c>
      <c r="D340" s="18" t="str">
        <f ca="1">IFERROR(__xludf.DUMMYFUNCTION("""COMPUTED_VALUE"""),"DCE")</f>
        <v>DCE</v>
      </c>
      <c r="E340" s="25">
        <f ca="1">IFERROR(__xludf.DUMMYFUNCTION("""COMPUTED_VALUE"""),4)</f>
        <v>4</v>
      </c>
      <c r="F340" s="18" t="str">
        <f ca="1">IFERROR(__xludf.DUMMYFUNCTION("""COMPUTED_VALUE"""),"9978775494 9727943606")</f>
        <v>9978775494 9727943606</v>
      </c>
      <c r="G340" s="18" t="str">
        <f ca="1">IFERROR(__xludf.DUMMYFUNCTION("""COMPUTED_VALUE"""),"9978775494 9727943606")</f>
        <v>9978775494 9727943606</v>
      </c>
      <c r="H340" s="6" t="str">
        <f ca="1">IFERROR(__xludf.DUMMYFUNCTION("""COMPUTED_VALUE"""),"DCE_2022-25")</f>
        <v>DCE_2022-25</v>
      </c>
      <c r="I340" s="20" t="str">
        <f ca="1">IFERROR(__xludf.DUMMYFUNCTION("""COMPUTED_VALUE"""),"MYSY")</f>
        <v>MYSY</v>
      </c>
      <c r="J340" s="21">
        <f ca="1">IFERROR(__xludf.DUMMYFUNCTION("""COMPUTED_VALUE"""),25000)</f>
        <v>25000</v>
      </c>
      <c r="K340" s="21">
        <f ca="1">IFERROR(__xludf.DUMMYFUNCTION("""COMPUTED_VALUE"""),0)</f>
        <v>0</v>
      </c>
      <c r="L340" s="21">
        <f ca="1">IFERROR(__xludf.DUMMYFUNCTION("""COMPUTED_VALUE"""),0)</f>
        <v>0</v>
      </c>
      <c r="M340" s="23">
        <f ca="1">IFERROR(__xludf.DUMMYFUNCTION("""COMPUTED_VALUE"""),0)</f>
        <v>0</v>
      </c>
      <c r="N340" s="21">
        <f ca="1">IFERROR(__xludf.DUMMYFUNCTION("""COMPUTED_VALUE"""),25000)</f>
        <v>25000</v>
      </c>
      <c r="O340" s="21">
        <f ca="1">IFERROR(__xludf.DUMMYFUNCTION("""COMPUTED_VALUE"""),3000)</f>
        <v>3000</v>
      </c>
      <c r="P340" s="21">
        <f ca="1">IFERROR(__xludf.DUMMYFUNCTION("""COMPUTED_VALUE"""),0)</f>
        <v>0</v>
      </c>
      <c r="Q340" s="23">
        <f ca="1">IFERROR(__xludf.DUMMYFUNCTION("""COMPUTED_VALUE"""),0)</f>
        <v>0</v>
      </c>
      <c r="R340" s="24">
        <f ca="1">IFERROR(__xludf.DUMMYFUNCTION("""COMPUTED_VALUE"""),0)</f>
        <v>0</v>
      </c>
      <c r="S340" s="23">
        <f ca="1">IFERROR(__xludf.DUMMYFUNCTION("""COMPUTED_VALUE"""),3000)</f>
        <v>3000</v>
      </c>
      <c r="T340" s="24">
        <f ca="1">IFERROR(__xludf.DUMMYFUNCTION("""COMPUTED_VALUE"""),0)</f>
        <v>0</v>
      </c>
      <c r="U340" s="23">
        <f ca="1">IFERROR(__xludf.DUMMYFUNCTION("""COMPUTED_VALUE"""),0)</f>
        <v>0</v>
      </c>
      <c r="V340" s="23">
        <f ca="1">IFERROR(__xludf.DUMMYFUNCTION("""COMPUTED_VALUE"""),0)</f>
        <v>0</v>
      </c>
      <c r="W340" s="23">
        <f ca="1">IFERROR(__xludf.DUMMYFUNCTION("""COMPUTED_VALUE"""),0)</f>
        <v>0</v>
      </c>
      <c r="X340" s="23">
        <f ca="1">IFERROR(__xludf.DUMMYFUNCTION("""COMPUTED_VALUE"""),0)</f>
        <v>0</v>
      </c>
      <c r="Y340" s="25">
        <f ca="1">IFERROR(__xludf.DUMMYFUNCTION("""COMPUTED_VALUE"""),0)</f>
        <v>0</v>
      </c>
      <c r="Z340" s="25">
        <f ca="1">IFERROR(__xludf.DUMMYFUNCTION("""COMPUTED_VALUE"""),0)</f>
        <v>0</v>
      </c>
      <c r="AA340" s="25">
        <f ca="1">IFERROR(__xludf.DUMMYFUNCTION("""COMPUTED_VALUE"""),0)</f>
        <v>0</v>
      </c>
      <c r="AB340" s="25">
        <f ca="1">IFERROR(__xludf.DUMMYFUNCTION("""COMPUTED_VALUE"""),0)</f>
        <v>0</v>
      </c>
      <c r="AC340" s="23">
        <f ca="1">IFERROR(__xludf.DUMMYFUNCTION("""COMPUTED_VALUE"""),0)</f>
        <v>0</v>
      </c>
      <c r="AD340" s="26" t="str">
        <f ca="1">IFERROR(__xludf.DUMMYFUNCTION("""COMPUTED_VALUE"""),"KSPS(50%) + MYSY(50%) ")</f>
        <v xml:space="preserve">KSPS(50%) + MYSY(50%) </v>
      </c>
      <c r="AE340" s="27"/>
    </row>
    <row r="341" spans="1:31" ht="23.1">
      <c r="A341" s="18" t="str">
        <f ca="1">IFERROR(__xludf.DUMMYFUNCTION("""COMPUTED_VALUE"""),"22SDSCE01097")</f>
        <v>22SDSCE01097</v>
      </c>
      <c r="B341" s="19" t="str">
        <f ca="1">IFERROR(__xludf.DUMMYFUNCTION("""COMPUTED_VALUE"""),"RATANPARA NIKHIL ASHOKBHAI")</f>
        <v>RATANPARA NIKHIL ASHOKBHAI</v>
      </c>
      <c r="C341" s="18" t="str">
        <f ca="1">IFERROR(__xludf.DUMMYFUNCTION("""COMPUTED_VALUE"""),"SDS")</f>
        <v>SDS</v>
      </c>
      <c r="D341" s="18" t="str">
        <f ca="1">IFERROR(__xludf.DUMMYFUNCTION("""COMPUTED_VALUE"""),"DCE")</f>
        <v>DCE</v>
      </c>
      <c r="E341" s="25">
        <f ca="1">IFERROR(__xludf.DUMMYFUNCTION("""COMPUTED_VALUE"""),4)</f>
        <v>4</v>
      </c>
      <c r="F341" s="18" t="str">
        <f ca="1">IFERROR(__xludf.DUMMYFUNCTION("""COMPUTED_VALUE"""),"7622981147 7874694054")</f>
        <v>7622981147 7874694054</v>
      </c>
      <c r="G341" s="18" t="str">
        <f ca="1">IFERROR(__xludf.DUMMYFUNCTION("""COMPUTED_VALUE"""),"7622981147 7874694054")</f>
        <v>7622981147 7874694054</v>
      </c>
      <c r="H341" s="6" t="str">
        <f ca="1">IFERROR(__xludf.DUMMYFUNCTION("""COMPUTED_VALUE"""),"DCE_2022-25")</f>
        <v>DCE_2022-25</v>
      </c>
      <c r="I341" s="20" t="str">
        <f ca="1">IFERROR(__xludf.DUMMYFUNCTION("""COMPUTED_VALUE"""),"KSP")</f>
        <v>KSP</v>
      </c>
      <c r="J341" s="41">
        <f ca="1">IFERROR(__xludf.DUMMYFUNCTION("""COMPUTED_VALUE"""),25000)</f>
        <v>25000</v>
      </c>
      <c r="K341" s="21">
        <f ca="1">IFERROR(__xludf.DUMMYFUNCTION("""COMPUTED_VALUE"""),12500)</f>
        <v>12500</v>
      </c>
      <c r="L341" s="21">
        <f ca="1">IFERROR(__xludf.DUMMYFUNCTION("""COMPUTED_VALUE"""),0)</f>
        <v>0</v>
      </c>
      <c r="M341" s="23">
        <f ca="1">IFERROR(__xludf.DUMMYFUNCTION("""COMPUTED_VALUE"""),12500)</f>
        <v>12500</v>
      </c>
      <c r="N341" s="41">
        <f ca="1">IFERROR(__xludf.DUMMYFUNCTION("""COMPUTED_VALUE"""),0)</f>
        <v>0</v>
      </c>
      <c r="O341" s="21">
        <f ca="1">IFERROR(__xludf.DUMMYFUNCTION("""COMPUTED_VALUE"""),3000)</f>
        <v>3000</v>
      </c>
      <c r="P341" s="21">
        <f ca="1">IFERROR(__xludf.DUMMYFUNCTION("""COMPUTED_VALUE"""),3000)</f>
        <v>3000</v>
      </c>
      <c r="Q341" s="23">
        <f ca="1">IFERROR(__xludf.DUMMYFUNCTION("""COMPUTED_VALUE"""),0)</f>
        <v>0</v>
      </c>
      <c r="R341" s="24">
        <f ca="1">IFERROR(__xludf.DUMMYFUNCTION("""COMPUTED_VALUE"""),0)</f>
        <v>0</v>
      </c>
      <c r="S341" s="23">
        <f ca="1">IFERROR(__xludf.DUMMYFUNCTION("""COMPUTED_VALUE"""),0)</f>
        <v>0</v>
      </c>
      <c r="T341" s="24">
        <f ca="1">IFERROR(__xludf.DUMMYFUNCTION("""COMPUTED_VALUE"""),0)</f>
        <v>0</v>
      </c>
      <c r="U341" s="23">
        <f ca="1">IFERROR(__xludf.DUMMYFUNCTION("""COMPUTED_VALUE"""),0)</f>
        <v>0</v>
      </c>
      <c r="V341" s="23">
        <f ca="1">IFERROR(__xludf.DUMMYFUNCTION("""COMPUTED_VALUE"""),0)</f>
        <v>0</v>
      </c>
      <c r="W341" s="23">
        <f ca="1">IFERROR(__xludf.DUMMYFUNCTION("""COMPUTED_VALUE"""),0)</f>
        <v>0</v>
      </c>
      <c r="X341" s="23">
        <f ca="1">IFERROR(__xludf.DUMMYFUNCTION("""COMPUTED_VALUE"""),0)</f>
        <v>0</v>
      </c>
      <c r="Y341" s="25">
        <f ca="1">IFERROR(__xludf.DUMMYFUNCTION("""COMPUTED_VALUE"""),0)</f>
        <v>0</v>
      </c>
      <c r="Z341" s="25">
        <f ca="1">IFERROR(__xludf.DUMMYFUNCTION("""COMPUTED_VALUE"""),0)</f>
        <v>0</v>
      </c>
      <c r="AA341" s="25">
        <f ca="1">IFERROR(__xludf.DUMMYFUNCTION("""COMPUTED_VALUE"""),0)</f>
        <v>0</v>
      </c>
      <c r="AB341" s="25">
        <f ca="1">IFERROR(__xludf.DUMMYFUNCTION("""COMPUTED_VALUE"""),0)</f>
        <v>0</v>
      </c>
      <c r="AC341" s="23">
        <f ca="1">IFERROR(__xludf.DUMMYFUNCTION("""COMPUTED_VALUE"""),0)</f>
        <v>0</v>
      </c>
      <c r="AD341" s="26" t="str">
        <f ca="1">IFERROR(__xludf.DUMMYFUNCTION("""COMPUTED_VALUE"""),"RS 12500 PER SEM SCHOLARSHIP")</f>
        <v>RS 12500 PER SEM SCHOLARSHIP</v>
      </c>
      <c r="AE341" s="27"/>
    </row>
    <row r="342" spans="1:31" ht="14.3">
      <c r="A342" s="18" t="str">
        <f ca="1">IFERROR(__xludf.DUMMYFUNCTION("""COMPUTED_VALUE"""),"22SDSCE01099")</f>
        <v>22SDSCE01099</v>
      </c>
      <c r="B342" s="19" t="str">
        <f ca="1">IFERROR(__xludf.DUMMYFUNCTION("""COMPUTED_VALUE"""),"SAKHIYA SMIT VINODBHAI")</f>
        <v>SAKHIYA SMIT VINODBHAI</v>
      </c>
      <c r="C342" s="18" t="str">
        <f ca="1">IFERROR(__xludf.DUMMYFUNCTION("""COMPUTED_VALUE"""),"SDS")</f>
        <v>SDS</v>
      </c>
      <c r="D342" s="18" t="str">
        <f ca="1">IFERROR(__xludf.DUMMYFUNCTION("""COMPUTED_VALUE"""),"DCE")</f>
        <v>DCE</v>
      </c>
      <c r="E342" s="25">
        <f ca="1">IFERROR(__xludf.DUMMYFUNCTION("""COMPUTED_VALUE"""),4)</f>
        <v>4</v>
      </c>
      <c r="F342" s="18" t="str">
        <f ca="1">IFERROR(__xludf.DUMMYFUNCTION("""COMPUTED_VALUE"""),"9879018989
9825624670")</f>
        <v>9879018989
9825624670</v>
      </c>
      <c r="G342" s="18" t="str">
        <f ca="1">IFERROR(__xludf.DUMMYFUNCTION("""COMPUTED_VALUE"""),"9879018989
9825624670")</f>
        <v>9879018989
9825624670</v>
      </c>
      <c r="H342" s="6" t="str">
        <f ca="1">IFERROR(__xludf.DUMMYFUNCTION("""COMPUTED_VALUE"""),"DCE_2022-25")</f>
        <v>DCE_2022-25</v>
      </c>
      <c r="I342" s="20" t="str">
        <f ca="1">IFERROR(__xludf.DUMMYFUNCTION("""COMPUTED_VALUE"""),"KSP")</f>
        <v>KSP</v>
      </c>
      <c r="J342" s="41">
        <f ca="1">IFERROR(__xludf.DUMMYFUNCTION("""COMPUTED_VALUE"""),25000)</f>
        <v>25000</v>
      </c>
      <c r="K342" s="21">
        <f ca="1">IFERROR(__xludf.DUMMYFUNCTION("""COMPUTED_VALUE"""),0)</f>
        <v>0</v>
      </c>
      <c r="L342" s="21">
        <f ca="1">IFERROR(__xludf.DUMMYFUNCTION("""COMPUTED_VALUE"""),0)</f>
        <v>0</v>
      </c>
      <c r="M342" s="23">
        <f ca="1">IFERROR(__xludf.DUMMYFUNCTION("""COMPUTED_VALUE"""),6250)</f>
        <v>6250</v>
      </c>
      <c r="N342" s="41">
        <f ca="1">IFERROR(__xludf.DUMMYFUNCTION("""COMPUTED_VALUE"""),18750)</f>
        <v>18750</v>
      </c>
      <c r="O342" s="21">
        <f ca="1">IFERROR(__xludf.DUMMYFUNCTION("""COMPUTED_VALUE"""),3000)</f>
        <v>3000</v>
      </c>
      <c r="P342" s="21">
        <f ca="1">IFERROR(__xludf.DUMMYFUNCTION("""COMPUTED_VALUE"""),0)</f>
        <v>0</v>
      </c>
      <c r="Q342" s="23">
        <f ca="1">IFERROR(__xludf.DUMMYFUNCTION("""COMPUTED_VALUE"""),0)</f>
        <v>0</v>
      </c>
      <c r="R342" s="24">
        <f ca="1">IFERROR(__xludf.DUMMYFUNCTION("""COMPUTED_VALUE"""),0)</f>
        <v>0</v>
      </c>
      <c r="S342" s="23">
        <f ca="1">IFERROR(__xludf.DUMMYFUNCTION("""COMPUTED_VALUE"""),3000)</f>
        <v>3000</v>
      </c>
      <c r="T342" s="24">
        <f ca="1">IFERROR(__xludf.DUMMYFUNCTION("""COMPUTED_VALUE"""),0)</f>
        <v>0</v>
      </c>
      <c r="U342" s="23">
        <f ca="1">IFERROR(__xludf.DUMMYFUNCTION("""COMPUTED_VALUE"""),0)</f>
        <v>0</v>
      </c>
      <c r="V342" s="23">
        <f ca="1">IFERROR(__xludf.DUMMYFUNCTION("""COMPUTED_VALUE"""),0)</f>
        <v>0</v>
      </c>
      <c r="W342" s="23">
        <f ca="1">IFERROR(__xludf.DUMMYFUNCTION("""COMPUTED_VALUE"""),0)</f>
        <v>0</v>
      </c>
      <c r="X342" s="23">
        <f ca="1">IFERROR(__xludf.DUMMYFUNCTION("""COMPUTED_VALUE"""),0)</f>
        <v>0</v>
      </c>
      <c r="Y342" s="25">
        <f ca="1">IFERROR(__xludf.DUMMYFUNCTION("""COMPUTED_VALUE"""),0)</f>
        <v>0</v>
      </c>
      <c r="Z342" s="25">
        <f ca="1">IFERROR(__xludf.DUMMYFUNCTION("""COMPUTED_VALUE"""),0)</f>
        <v>0</v>
      </c>
      <c r="AA342" s="25">
        <f ca="1">IFERROR(__xludf.DUMMYFUNCTION("""COMPUTED_VALUE"""),0)</f>
        <v>0</v>
      </c>
      <c r="AB342" s="25">
        <f ca="1">IFERROR(__xludf.DUMMYFUNCTION("""COMPUTED_VALUE"""),0)</f>
        <v>0</v>
      </c>
      <c r="AC342" s="23">
        <f ca="1">IFERROR(__xludf.DUMMYFUNCTION("""COMPUTED_VALUE"""),0)</f>
        <v>0</v>
      </c>
      <c r="AD342" s="26" t="str">
        <f ca="1">IFERROR(__xludf.DUMMYFUNCTION("""COMPUTED_VALUE"""),"6250 PER SEM SCHOLARSHIP")</f>
        <v>6250 PER SEM SCHOLARSHIP</v>
      </c>
      <c r="AE342" s="27"/>
    </row>
    <row r="343" spans="1:31" ht="14.3">
      <c r="A343" s="18" t="str">
        <f ca="1">IFERROR(__xludf.DUMMYFUNCTION("""COMPUTED_VALUE"""),"22SDSCE01100")</f>
        <v>22SDSCE01100</v>
      </c>
      <c r="B343" s="19" t="str">
        <f ca="1">IFERROR(__xludf.DUMMYFUNCTION("""COMPUTED_VALUE"""),"SANTOKI JAY JITENDRABHAI")</f>
        <v>SANTOKI JAY JITENDRABHAI</v>
      </c>
      <c r="C343" s="18" t="str">
        <f ca="1">IFERROR(__xludf.DUMMYFUNCTION("""COMPUTED_VALUE"""),"SDS")</f>
        <v>SDS</v>
      </c>
      <c r="D343" s="18" t="str">
        <f ca="1">IFERROR(__xludf.DUMMYFUNCTION("""COMPUTED_VALUE"""),"DCE")</f>
        <v>DCE</v>
      </c>
      <c r="E343" s="25">
        <f ca="1">IFERROR(__xludf.DUMMYFUNCTION("""COMPUTED_VALUE"""),4)</f>
        <v>4</v>
      </c>
      <c r="F343" s="18" t="str">
        <f ca="1">IFERROR(__xludf.DUMMYFUNCTION("""COMPUTED_VALUE"""),"9904472697 9924340435")</f>
        <v>9904472697 9924340435</v>
      </c>
      <c r="G343" s="18" t="str">
        <f ca="1">IFERROR(__xludf.DUMMYFUNCTION("""COMPUTED_VALUE"""),"9904472697 9924340435")</f>
        <v>9904472697 9924340435</v>
      </c>
      <c r="H343" s="6" t="str">
        <f ca="1">IFERROR(__xludf.DUMMYFUNCTION("""COMPUTED_VALUE"""),"DCE_2022-25")</f>
        <v>DCE_2022-25</v>
      </c>
      <c r="I343" s="20"/>
      <c r="J343" s="41">
        <f ca="1">IFERROR(__xludf.DUMMYFUNCTION("""COMPUTED_VALUE"""),25000)</f>
        <v>25000</v>
      </c>
      <c r="K343" s="21">
        <f ca="1">IFERROR(__xludf.DUMMYFUNCTION("""COMPUTED_VALUE"""),25000)</f>
        <v>25000</v>
      </c>
      <c r="L343" s="21">
        <f ca="1">IFERROR(__xludf.DUMMYFUNCTION("""COMPUTED_VALUE"""),0)</f>
        <v>0</v>
      </c>
      <c r="M343" s="23">
        <f ca="1">IFERROR(__xludf.DUMMYFUNCTION("""COMPUTED_VALUE"""),0)</f>
        <v>0</v>
      </c>
      <c r="N343" s="41">
        <f ca="1">IFERROR(__xludf.DUMMYFUNCTION("""COMPUTED_VALUE"""),0)</f>
        <v>0</v>
      </c>
      <c r="O343" s="21">
        <f ca="1">IFERROR(__xludf.DUMMYFUNCTION("""COMPUTED_VALUE"""),3000)</f>
        <v>3000</v>
      </c>
      <c r="P343" s="21">
        <f ca="1">IFERROR(__xludf.DUMMYFUNCTION("""COMPUTED_VALUE"""),3000)</f>
        <v>3000</v>
      </c>
      <c r="Q343" s="23">
        <f ca="1">IFERROR(__xludf.DUMMYFUNCTION("""COMPUTED_VALUE"""),0)</f>
        <v>0</v>
      </c>
      <c r="R343" s="24">
        <f ca="1">IFERROR(__xludf.DUMMYFUNCTION("""COMPUTED_VALUE"""),0)</f>
        <v>0</v>
      </c>
      <c r="S343" s="23">
        <f ca="1">IFERROR(__xludf.DUMMYFUNCTION("""COMPUTED_VALUE"""),0)</f>
        <v>0</v>
      </c>
      <c r="T343" s="24">
        <f ca="1">IFERROR(__xludf.DUMMYFUNCTION("""COMPUTED_VALUE"""),0)</f>
        <v>0</v>
      </c>
      <c r="U343" s="23">
        <f ca="1">IFERROR(__xludf.DUMMYFUNCTION("""COMPUTED_VALUE"""),0)</f>
        <v>0</v>
      </c>
      <c r="V343" s="23">
        <f ca="1">IFERROR(__xludf.DUMMYFUNCTION("""COMPUTED_VALUE"""),0)</f>
        <v>0</v>
      </c>
      <c r="W343" s="23">
        <f ca="1">IFERROR(__xludf.DUMMYFUNCTION("""COMPUTED_VALUE"""),0)</f>
        <v>0</v>
      </c>
      <c r="X343" s="23">
        <f ca="1">IFERROR(__xludf.DUMMYFUNCTION("""COMPUTED_VALUE"""),0)</f>
        <v>0</v>
      </c>
      <c r="Y343" s="25">
        <f ca="1">IFERROR(__xludf.DUMMYFUNCTION("""COMPUTED_VALUE"""),0)</f>
        <v>0</v>
      </c>
      <c r="Z343" s="25">
        <f ca="1">IFERROR(__xludf.DUMMYFUNCTION("""COMPUTED_VALUE"""),0)</f>
        <v>0</v>
      </c>
      <c r="AA343" s="25">
        <f ca="1">IFERROR(__xludf.DUMMYFUNCTION("""COMPUTED_VALUE"""),0)</f>
        <v>0</v>
      </c>
      <c r="AB343" s="25">
        <f ca="1">IFERROR(__xludf.DUMMYFUNCTION("""COMPUTED_VALUE"""),0)</f>
        <v>0</v>
      </c>
      <c r="AC343" s="23">
        <f ca="1">IFERROR(__xludf.DUMMYFUNCTION("""COMPUTED_VALUE"""),0)</f>
        <v>0</v>
      </c>
      <c r="AD343" s="26" t="str">
        <f ca="1">IFERROR(__xludf.DUMMYFUNCTION("""COMPUTED_VALUE"""),"RS 5000 ONE TIME SCHOLARSHIP")</f>
        <v>RS 5000 ONE TIME SCHOLARSHIP</v>
      </c>
      <c r="AE343" s="27"/>
    </row>
    <row r="344" spans="1:31" ht="14.3">
      <c r="A344" s="18" t="str">
        <f ca="1">IFERROR(__xludf.DUMMYFUNCTION("""COMPUTED_VALUE"""),"22SDSCE01101")</f>
        <v>22SDSCE01101</v>
      </c>
      <c r="B344" s="19" t="str">
        <f ca="1">IFERROR(__xludf.DUMMYFUNCTION("""COMPUTED_VALUE"""),"SARDHARA RUSHIT JITENDRABHAI")</f>
        <v>SARDHARA RUSHIT JITENDRABHAI</v>
      </c>
      <c r="C344" s="18" t="str">
        <f ca="1">IFERROR(__xludf.DUMMYFUNCTION("""COMPUTED_VALUE"""),"SDS")</f>
        <v>SDS</v>
      </c>
      <c r="D344" s="18" t="str">
        <f ca="1">IFERROR(__xludf.DUMMYFUNCTION("""COMPUTED_VALUE"""),"DCE")</f>
        <v>DCE</v>
      </c>
      <c r="E344" s="25">
        <f ca="1">IFERROR(__xludf.DUMMYFUNCTION("""COMPUTED_VALUE"""),4)</f>
        <v>4</v>
      </c>
      <c r="F344" s="18" t="str">
        <f ca="1">IFERROR(__xludf.DUMMYFUNCTION("""COMPUTED_VALUE"""),"9016736367 9924023833")</f>
        <v>9016736367 9924023833</v>
      </c>
      <c r="G344" s="18" t="str">
        <f ca="1">IFERROR(__xludf.DUMMYFUNCTION("""COMPUTED_VALUE"""),"9016736367 9924023833")</f>
        <v>9016736367 9924023833</v>
      </c>
      <c r="H344" s="6" t="str">
        <f ca="1">IFERROR(__xludf.DUMMYFUNCTION("""COMPUTED_VALUE"""),"DCE_2022-25")</f>
        <v>DCE_2022-25</v>
      </c>
      <c r="I344" s="20" t="str">
        <f ca="1">IFERROR(__xludf.DUMMYFUNCTION("""COMPUTED_VALUE"""),"KSP")</f>
        <v>KSP</v>
      </c>
      <c r="J344" s="41">
        <f ca="1">IFERROR(__xludf.DUMMYFUNCTION("""COMPUTED_VALUE"""),25000)</f>
        <v>25000</v>
      </c>
      <c r="K344" s="21">
        <f ca="1">IFERROR(__xludf.DUMMYFUNCTION("""COMPUTED_VALUE"""),18750)</f>
        <v>18750</v>
      </c>
      <c r="L344" s="21">
        <f ca="1">IFERROR(__xludf.DUMMYFUNCTION("""COMPUTED_VALUE"""),0)</f>
        <v>0</v>
      </c>
      <c r="M344" s="23">
        <f ca="1">IFERROR(__xludf.DUMMYFUNCTION("""COMPUTED_VALUE"""),6250)</f>
        <v>6250</v>
      </c>
      <c r="N344" s="41">
        <f ca="1">IFERROR(__xludf.DUMMYFUNCTION("""COMPUTED_VALUE"""),0)</f>
        <v>0</v>
      </c>
      <c r="O344" s="21">
        <f ca="1">IFERROR(__xludf.DUMMYFUNCTION("""COMPUTED_VALUE"""),3000)</f>
        <v>3000</v>
      </c>
      <c r="P344" s="21">
        <f ca="1">IFERROR(__xludf.DUMMYFUNCTION("""COMPUTED_VALUE"""),3000)</f>
        <v>3000</v>
      </c>
      <c r="Q344" s="23">
        <f ca="1">IFERROR(__xludf.DUMMYFUNCTION("""COMPUTED_VALUE"""),0)</f>
        <v>0</v>
      </c>
      <c r="R344" s="24">
        <f ca="1">IFERROR(__xludf.DUMMYFUNCTION("""COMPUTED_VALUE"""),0)</f>
        <v>0</v>
      </c>
      <c r="S344" s="23">
        <f ca="1">IFERROR(__xludf.DUMMYFUNCTION("""COMPUTED_VALUE"""),0)</f>
        <v>0</v>
      </c>
      <c r="T344" s="24">
        <f ca="1">IFERROR(__xludf.DUMMYFUNCTION("""COMPUTED_VALUE"""),0)</f>
        <v>0</v>
      </c>
      <c r="U344" s="23">
        <f ca="1">IFERROR(__xludf.DUMMYFUNCTION("""COMPUTED_VALUE"""),0)</f>
        <v>0</v>
      </c>
      <c r="V344" s="23">
        <f ca="1">IFERROR(__xludf.DUMMYFUNCTION("""COMPUTED_VALUE"""),0)</f>
        <v>0</v>
      </c>
      <c r="W344" s="23">
        <f ca="1">IFERROR(__xludf.DUMMYFUNCTION("""COMPUTED_VALUE"""),0)</f>
        <v>0</v>
      </c>
      <c r="X344" s="23">
        <f ca="1">IFERROR(__xludf.DUMMYFUNCTION("""COMPUTED_VALUE"""),0)</f>
        <v>0</v>
      </c>
      <c r="Y344" s="25">
        <f ca="1">IFERROR(__xludf.DUMMYFUNCTION("""COMPUTED_VALUE"""),0)</f>
        <v>0</v>
      </c>
      <c r="Z344" s="25">
        <f ca="1">IFERROR(__xludf.DUMMYFUNCTION("""COMPUTED_VALUE"""),0)</f>
        <v>0</v>
      </c>
      <c r="AA344" s="25">
        <f ca="1">IFERROR(__xludf.DUMMYFUNCTION("""COMPUTED_VALUE"""),0)</f>
        <v>0</v>
      </c>
      <c r="AB344" s="25">
        <f ca="1">IFERROR(__xludf.DUMMYFUNCTION("""COMPUTED_VALUE"""),0)</f>
        <v>0</v>
      </c>
      <c r="AC344" s="23">
        <f ca="1">IFERROR(__xludf.DUMMYFUNCTION("""COMPUTED_VALUE"""),0)</f>
        <v>0</v>
      </c>
      <c r="AD344" s="26" t="str">
        <f ca="1">IFERROR(__xludf.DUMMYFUNCTION("""COMPUTED_VALUE"""),"6250 PER SEM SCHOLARSHIP")</f>
        <v>6250 PER SEM SCHOLARSHIP</v>
      </c>
      <c r="AE344" s="27"/>
    </row>
    <row r="345" spans="1:31" ht="14.3">
      <c r="A345" s="18" t="str">
        <f ca="1">IFERROR(__xludf.DUMMYFUNCTION("""COMPUTED_VALUE"""),"22SDSCE01103")</f>
        <v>22SDSCE01103</v>
      </c>
      <c r="B345" s="19" t="str">
        <f ca="1">IFERROR(__xludf.DUMMYFUNCTION("""COMPUTED_VALUE"""),"SHERASIYA ANSH RAJESHBHAI")</f>
        <v>SHERASIYA ANSH RAJESHBHAI</v>
      </c>
      <c r="C345" s="18" t="str">
        <f ca="1">IFERROR(__xludf.DUMMYFUNCTION("""COMPUTED_VALUE"""),"SDS")</f>
        <v>SDS</v>
      </c>
      <c r="D345" s="18" t="str">
        <f ca="1">IFERROR(__xludf.DUMMYFUNCTION("""COMPUTED_VALUE"""),"DCE")</f>
        <v>DCE</v>
      </c>
      <c r="E345" s="25">
        <f ca="1">IFERROR(__xludf.DUMMYFUNCTION("""COMPUTED_VALUE"""),4)</f>
        <v>4</v>
      </c>
      <c r="F345" s="18" t="str">
        <f ca="1">IFERROR(__xludf.DUMMYFUNCTION("""COMPUTED_VALUE"""),"7859955749 9601681145")</f>
        <v>7859955749 9601681145</v>
      </c>
      <c r="G345" s="18" t="str">
        <f ca="1">IFERROR(__xludf.DUMMYFUNCTION("""COMPUTED_VALUE"""),"7859955749 9601681145")</f>
        <v>7859955749 9601681145</v>
      </c>
      <c r="H345" s="6" t="str">
        <f ca="1">IFERROR(__xludf.DUMMYFUNCTION("""COMPUTED_VALUE"""),"DCE_2022-25")</f>
        <v>DCE_2022-25</v>
      </c>
      <c r="I345" s="20" t="str">
        <f ca="1">IFERROR(__xludf.DUMMYFUNCTION("""COMPUTED_VALUE"""),"MYSY")</f>
        <v>MYSY</v>
      </c>
      <c r="J345" s="41">
        <f ca="1">IFERROR(__xludf.DUMMYFUNCTION("""COMPUTED_VALUE"""),25000)</f>
        <v>25000</v>
      </c>
      <c r="K345" s="21">
        <f ca="1">IFERROR(__xludf.DUMMYFUNCTION("""COMPUTED_VALUE"""),0)</f>
        <v>0</v>
      </c>
      <c r="L345" s="21">
        <f ca="1">IFERROR(__xludf.DUMMYFUNCTION("""COMPUTED_VALUE"""),0)</f>
        <v>0</v>
      </c>
      <c r="M345" s="23">
        <f ca="1">IFERROR(__xludf.DUMMYFUNCTION("""COMPUTED_VALUE"""),0)</f>
        <v>0</v>
      </c>
      <c r="N345" s="41">
        <f ca="1">IFERROR(__xludf.DUMMYFUNCTION("""COMPUTED_VALUE"""),25000)</f>
        <v>25000</v>
      </c>
      <c r="O345" s="21">
        <f ca="1">IFERROR(__xludf.DUMMYFUNCTION("""COMPUTED_VALUE"""),3000)</f>
        <v>3000</v>
      </c>
      <c r="P345" s="21">
        <f ca="1">IFERROR(__xludf.DUMMYFUNCTION("""COMPUTED_VALUE"""),3000)</f>
        <v>3000</v>
      </c>
      <c r="Q345" s="23">
        <f ca="1">IFERROR(__xludf.DUMMYFUNCTION("""COMPUTED_VALUE"""),0)</f>
        <v>0</v>
      </c>
      <c r="R345" s="24">
        <f ca="1">IFERROR(__xludf.DUMMYFUNCTION("""COMPUTED_VALUE"""),0)</f>
        <v>0</v>
      </c>
      <c r="S345" s="23">
        <f ca="1">IFERROR(__xludf.DUMMYFUNCTION("""COMPUTED_VALUE"""),0)</f>
        <v>0</v>
      </c>
      <c r="T345" s="24">
        <f ca="1">IFERROR(__xludf.DUMMYFUNCTION("""COMPUTED_VALUE"""),0)</f>
        <v>0</v>
      </c>
      <c r="U345" s="23">
        <f ca="1">IFERROR(__xludf.DUMMYFUNCTION("""COMPUTED_VALUE"""),0)</f>
        <v>0</v>
      </c>
      <c r="V345" s="23">
        <f ca="1">IFERROR(__xludf.DUMMYFUNCTION("""COMPUTED_VALUE"""),0)</f>
        <v>0</v>
      </c>
      <c r="W345" s="23">
        <f ca="1">IFERROR(__xludf.DUMMYFUNCTION("""COMPUTED_VALUE"""),0)</f>
        <v>0</v>
      </c>
      <c r="X345" s="23">
        <f ca="1">IFERROR(__xludf.DUMMYFUNCTION("""COMPUTED_VALUE"""),0)</f>
        <v>0</v>
      </c>
      <c r="Y345" s="25">
        <f ca="1">IFERROR(__xludf.DUMMYFUNCTION("""COMPUTED_VALUE"""),0)</f>
        <v>0</v>
      </c>
      <c r="Z345" s="25">
        <f ca="1">IFERROR(__xludf.DUMMYFUNCTION("""COMPUTED_VALUE"""),0)</f>
        <v>0</v>
      </c>
      <c r="AA345" s="25">
        <f ca="1">IFERROR(__xludf.DUMMYFUNCTION("""COMPUTED_VALUE"""),0)</f>
        <v>0</v>
      </c>
      <c r="AB345" s="25">
        <f ca="1">IFERROR(__xludf.DUMMYFUNCTION("""COMPUTED_VALUE"""),0)</f>
        <v>0</v>
      </c>
      <c r="AC345" s="23">
        <f ca="1">IFERROR(__xludf.DUMMYFUNCTION("""COMPUTED_VALUE"""),0)</f>
        <v>0</v>
      </c>
      <c r="AD345" s="26" t="str">
        <f ca="1">IFERROR(__xludf.DUMMYFUNCTION("""COMPUTED_VALUE"""),"KSPS(25%) + MYSY(50%) ")</f>
        <v xml:space="preserve">KSPS(25%) + MYSY(50%) </v>
      </c>
      <c r="AE345" s="27"/>
    </row>
    <row r="346" spans="1:31" ht="23.1">
      <c r="A346" s="18" t="str">
        <f ca="1">IFERROR(__xludf.DUMMYFUNCTION("""COMPUTED_VALUE"""),"22SDSCE01104")</f>
        <v>22SDSCE01104</v>
      </c>
      <c r="B346" s="19" t="str">
        <f ca="1">IFERROR(__xludf.DUMMYFUNCTION("""COMPUTED_VALUE"""),"SHIRA MANAV CHANDUBHAI")</f>
        <v>SHIRA MANAV CHANDUBHAI</v>
      </c>
      <c r="C346" s="18" t="str">
        <f ca="1">IFERROR(__xludf.DUMMYFUNCTION("""COMPUTED_VALUE"""),"SDS")</f>
        <v>SDS</v>
      </c>
      <c r="D346" s="18" t="str">
        <f ca="1">IFERROR(__xludf.DUMMYFUNCTION("""COMPUTED_VALUE"""),"DCE")</f>
        <v>DCE</v>
      </c>
      <c r="E346" s="25">
        <f ca="1">IFERROR(__xludf.DUMMYFUNCTION("""COMPUTED_VALUE"""),4)</f>
        <v>4</v>
      </c>
      <c r="F346" s="18" t="str">
        <f ca="1">IFERROR(__xludf.DUMMYFUNCTION("""COMPUTED_VALUE"""),"8866347815 9099774773")</f>
        <v>8866347815 9099774773</v>
      </c>
      <c r="G346" s="18" t="str">
        <f ca="1">IFERROR(__xludf.DUMMYFUNCTION("""COMPUTED_VALUE"""),"8866347815 9099774773")</f>
        <v>8866347815 9099774773</v>
      </c>
      <c r="H346" s="6" t="str">
        <f ca="1">IFERROR(__xludf.DUMMYFUNCTION("""COMPUTED_VALUE"""),"DCE_2022-25")</f>
        <v>DCE_2022-25</v>
      </c>
      <c r="I346" s="20" t="str">
        <f ca="1">IFERROR(__xludf.DUMMYFUNCTION("""COMPUTED_VALUE"""),"KSP")</f>
        <v>KSP</v>
      </c>
      <c r="J346" s="41">
        <f ca="1">IFERROR(__xludf.DUMMYFUNCTION("""COMPUTED_VALUE"""),25000)</f>
        <v>25000</v>
      </c>
      <c r="K346" s="21">
        <f ca="1">IFERROR(__xludf.DUMMYFUNCTION("""COMPUTED_VALUE"""),12500)</f>
        <v>12500</v>
      </c>
      <c r="L346" s="21">
        <f ca="1">IFERROR(__xludf.DUMMYFUNCTION("""COMPUTED_VALUE"""),0)</f>
        <v>0</v>
      </c>
      <c r="M346" s="23">
        <f ca="1">IFERROR(__xludf.DUMMYFUNCTION("""COMPUTED_VALUE"""),12500)</f>
        <v>12500</v>
      </c>
      <c r="N346" s="41">
        <f ca="1">IFERROR(__xludf.DUMMYFUNCTION("""COMPUTED_VALUE"""),0)</f>
        <v>0</v>
      </c>
      <c r="O346" s="21">
        <f ca="1">IFERROR(__xludf.DUMMYFUNCTION("""COMPUTED_VALUE"""),3000)</f>
        <v>3000</v>
      </c>
      <c r="P346" s="21">
        <f ca="1">IFERROR(__xludf.DUMMYFUNCTION("""COMPUTED_VALUE"""),3000)</f>
        <v>3000</v>
      </c>
      <c r="Q346" s="23">
        <f ca="1">IFERROR(__xludf.DUMMYFUNCTION("""COMPUTED_VALUE"""),0)</f>
        <v>0</v>
      </c>
      <c r="R346" s="24">
        <f ca="1">IFERROR(__xludf.DUMMYFUNCTION("""COMPUTED_VALUE"""),0)</f>
        <v>0</v>
      </c>
      <c r="S346" s="23">
        <f ca="1">IFERROR(__xludf.DUMMYFUNCTION("""COMPUTED_VALUE"""),0)</f>
        <v>0</v>
      </c>
      <c r="T346" s="24">
        <f ca="1">IFERROR(__xludf.DUMMYFUNCTION("""COMPUTED_VALUE"""),0)</f>
        <v>0</v>
      </c>
      <c r="U346" s="23">
        <f ca="1">IFERROR(__xludf.DUMMYFUNCTION("""COMPUTED_VALUE"""),0)</f>
        <v>0</v>
      </c>
      <c r="V346" s="23">
        <f ca="1">IFERROR(__xludf.DUMMYFUNCTION("""COMPUTED_VALUE"""),0)</f>
        <v>0</v>
      </c>
      <c r="W346" s="23">
        <f ca="1">IFERROR(__xludf.DUMMYFUNCTION("""COMPUTED_VALUE"""),0)</f>
        <v>0</v>
      </c>
      <c r="X346" s="23">
        <f ca="1">IFERROR(__xludf.DUMMYFUNCTION("""COMPUTED_VALUE"""),0)</f>
        <v>0</v>
      </c>
      <c r="Y346" s="25">
        <f ca="1">IFERROR(__xludf.DUMMYFUNCTION("""COMPUTED_VALUE"""),0)</f>
        <v>0</v>
      </c>
      <c r="Z346" s="25">
        <f ca="1">IFERROR(__xludf.DUMMYFUNCTION("""COMPUTED_VALUE"""),0)</f>
        <v>0</v>
      </c>
      <c r="AA346" s="25">
        <f ca="1">IFERROR(__xludf.DUMMYFUNCTION("""COMPUTED_VALUE"""),0)</f>
        <v>0</v>
      </c>
      <c r="AB346" s="25">
        <f ca="1">IFERROR(__xludf.DUMMYFUNCTION("""COMPUTED_VALUE"""),0)</f>
        <v>0</v>
      </c>
      <c r="AC346" s="23">
        <f ca="1">IFERROR(__xludf.DUMMYFUNCTION("""COMPUTED_VALUE"""),0)</f>
        <v>0</v>
      </c>
      <c r="AD346" s="26" t="str">
        <f ca="1">IFERROR(__xludf.DUMMYFUNCTION("""COMPUTED_VALUE"""),"RS 12500 PER SEM SCHOLARSHIP")</f>
        <v>RS 12500 PER SEM SCHOLARSHIP</v>
      </c>
      <c r="AE346" s="27"/>
    </row>
    <row r="347" spans="1:31" ht="14.3">
      <c r="A347" s="18" t="str">
        <f ca="1">IFERROR(__xludf.DUMMYFUNCTION("""COMPUTED_VALUE"""),"22SDSCE01105")</f>
        <v>22SDSCE01105</v>
      </c>
      <c r="B347" s="19" t="str">
        <f ca="1">IFERROR(__xludf.DUMMYFUNCTION("""COMPUTED_VALUE"""),"SIDDHAPURA NAIMISH DIPAKBHAI")</f>
        <v>SIDDHAPURA NAIMISH DIPAKBHAI</v>
      </c>
      <c r="C347" s="18" t="str">
        <f ca="1">IFERROR(__xludf.DUMMYFUNCTION("""COMPUTED_VALUE"""),"SDS")</f>
        <v>SDS</v>
      </c>
      <c r="D347" s="18" t="str">
        <f ca="1">IFERROR(__xludf.DUMMYFUNCTION("""COMPUTED_VALUE"""),"DCE")</f>
        <v>DCE</v>
      </c>
      <c r="E347" s="25">
        <f ca="1">IFERROR(__xludf.DUMMYFUNCTION("""COMPUTED_VALUE"""),4)</f>
        <v>4</v>
      </c>
      <c r="F347" s="18" t="str">
        <f ca="1">IFERROR(__xludf.DUMMYFUNCTION("""COMPUTED_VALUE"""),"9313439875 9824838129")</f>
        <v>9313439875 9824838129</v>
      </c>
      <c r="G347" s="18" t="str">
        <f ca="1">IFERROR(__xludf.DUMMYFUNCTION("""COMPUTED_VALUE"""),"9313439875 9824838129")</f>
        <v>9313439875 9824838129</v>
      </c>
      <c r="H347" s="6" t="str">
        <f ca="1">IFERROR(__xludf.DUMMYFUNCTION("""COMPUTED_VALUE"""),"DCE_2022-25")</f>
        <v>DCE_2022-25</v>
      </c>
      <c r="I347" s="20"/>
      <c r="J347" s="41">
        <f ca="1">IFERROR(__xludf.DUMMYFUNCTION("""COMPUTED_VALUE"""),25000)</f>
        <v>25000</v>
      </c>
      <c r="K347" s="21">
        <f ca="1">IFERROR(__xludf.DUMMYFUNCTION("""COMPUTED_VALUE"""),25000)</f>
        <v>25000</v>
      </c>
      <c r="L347" s="21">
        <f ca="1">IFERROR(__xludf.DUMMYFUNCTION("""COMPUTED_VALUE"""),0)</f>
        <v>0</v>
      </c>
      <c r="M347" s="23">
        <f ca="1">IFERROR(__xludf.DUMMYFUNCTION("""COMPUTED_VALUE"""),0)</f>
        <v>0</v>
      </c>
      <c r="N347" s="41">
        <f ca="1">IFERROR(__xludf.DUMMYFUNCTION("""COMPUTED_VALUE"""),0)</f>
        <v>0</v>
      </c>
      <c r="O347" s="21">
        <f ca="1">IFERROR(__xludf.DUMMYFUNCTION("""COMPUTED_VALUE"""),3000)</f>
        <v>3000</v>
      </c>
      <c r="P347" s="21">
        <f ca="1">IFERROR(__xludf.DUMMYFUNCTION("""COMPUTED_VALUE"""),3000)</f>
        <v>3000</v>
      </c>
      <c r="Q347" s="23">
        <f ca="1">IFERROR(__xludf.DUMMYFUNCTION("""COMPUTED_VALUE"""),0)</f>
        <v>0</v>
      </c>
      <c r="R347" s="24">
        <f ca="1">IFERROR(__xludf.DUMMYFUNCTION("""COMPUTED_VALUE"""),0)</f>
        <v>0</v>
      </c>
      <c r="S347" s="23">
        <f ca="1">IFERROR(__xludf.DUMMYFUNCTION("""COMPUTED_VALUE"""),0)</f>
        <v>0</v>
      </c>
      <c r="T347" s="24">
        <f ca="1">IFERROR(__xludf.DUMMYFUNCTION("""COMPUTED_VALUE"""),0)</f>
        <v>0</v>
      </c>
      <c r="U347" s="23">
        <f ca="1">IFERROR(__xludf.DUMMYFUNCTION("""COMPUTED_VALUE"""),0)</f>
        <v>0</v>
      </c>
      <c r="V347" s="23">
        <f ca="1">IFERROR(__xludf.DUMMYFUNCTION("""COMPUTED_VALUE"""),0)</f>
        <v>0</v>
      </c>
      <c r="W347" s="23">
        <f ca="1">IFERROR(__xludf.DUMMYFUNCTION("""COMPUTED_VALUE"""),0)</f>
        <v>0</v>
      </c>
      <c r="X347" s="23">
        <f ca="1">IFERROR(__xludf.DUMMYFUNCTION("""COMPUTED_VALUE"""),0)</f>
        <v>0</v>
      </c>
      <c r="Y347" s="25">
        <f ca="1">IFERROR(__xludf.DUMMYFUNCTION("""COMPUTED_VALUE"""),0)</f>
        <v>0</v>
      </c>
      <c r="Z347" s="25">
        <f ca="1">IFERROR(__xludf.DUMMYFUNCTION("""COMPUTED_VALUE"""),0)</f>
        <v>0</v>
      </c>
      <c r="AA347" s="25">
        <f ca="1">IFERROR(__xludf.DUMMYFUNCTION("""COMPUTED_VALUE"""),0)</f>
        <v>0</v>
      </c>
      <c r="AB347" s="25">
        <f ca="1">IFERROR(__xludf.DUMMYFUNCTION("""COMPUTED_VALUE"""),0)</f>
        <v>0</v>
      </c>
      <c r="AC347" s="23">
        <f ca="1">IFERROR(__xludf.DUMMYFUNCTION("""COMPUTED_VALUE"""),0)</f>
        <v>0</v>
      </c>
      <c r="AD347" s="26"/>
      <c r="AE347" s="27"/>
    </row>
    <row r="348" spans="1:31" ht="23.1">
      <c r="A348" s="18" t="str">
        <f ca="1">IFERROR(__xludf.DUMMYFUNCTION("""COMPUTED_VALUE"""),"22SDSCE01106")</f>
        <v>22SDSCE01106</v>
      </c>
      <c r="B348" s="19" t="str">
        <f ca="1">IFERROR(__xludf.DUMMYFUNCTION("""COMPUTED_VALUE"""),"SIDPARA KRISH BHAVESHBHAI")</f>
        <v>SIDPARA KRISH BHAVESHBHAI</v>
      </c>
      <c r="C348" s="18" t="str">
        <f ca="1">IFERROR(__xludf.DUMMYFUNCTION("""COMPUTED_VALUE"""),"SDS")</f>
        <v>SDS</v>
      </c>
      <c r="D348" s="18" t="str">
        <f ca="1">IFERROR(__xludf.DUMMYFUNCTION("""COMPUTED_VALUE"""),"DCE")</f>
        <v>DCE</v>
      </c>
      <c r="E348" s="25">
        <f ca="1">IFERROR(__xludf.DUMMYFUNCTION("""COMPUTED_VALUE"""),4)</f>
        <v>4</v>
      </c>
      <c r="F348" s="18" t="str">
        <f ca="1">IFERROR(__xludf.DUMMYFUNCTION("""COMPUTED_VALUE"""),"9537374760 9924277538")</f>
        <v>9537374760 9924277538</v>
      </c>
      <c r="G348" s="18" t="str">
        <f ca="1">IFERROR(__xludf.DUMMYFUNCTION("""COMPUTED_VALUE"""),"9537374760 9924277538")</f>
        <v>9537374760 9924277538</v>
      </c>
      <c r="H348" s="6" t="str">
        <f ca="1">IFERROR(__xludf.DUMMYFUNCTION("""COMPUTED_VALUE"""),"DCE_2022-25")</f>
        <v>DCE_2022-25</v>
      </c>
      <c r="I348" s="20" t="str">
        <f ca="1">IFERROR(__xludf.DUMMYFUNCTION("""COMPUTED_VALUE"""),"KSP")</f>
        <v>KSP</v>
      </c>
      <c r="J348" s="41">
        <f ca="1">IFERROR(__xludf.DUMMYFUNCTION("""COMPUTED_VALUE"""),25000)</f>
        <v>25000</v>
      </c>
      <c r="K348" s="21">
        <f ca="1">IFERROR(__xludf.DUMMYFUNCTION("""COMPUTED_VALUE"""),12500)</f>
        <v>12500</v>
      </c>
      <c r="L348" s="21">
        <f ca="1">IFERROR(__xludf.DUMMYFUNCTION("""COMPUTED_VALUE"""),0)</f>
        <v>0</v>
      </c>
      <c r="M348" s="23">
        <f ca="1">IFERROR(__xludf.DUMMYFUNCTION("""COMPUTED_VALUE"""),12500)</f>
        <v>12500</v>
      </c>
      <c r="N348" s="41">
        <f ca="1">IFERROR(__xludf.DUMMYFUNCTION("""COMPUTED_VALUE"""),0)</f>
        <v>0</v>
      </c>
      <c r="O348" s="21">
        <f ca="1">IFERROR(__xludf.DUMMYFUNCTION("""COMPUTED_VALUE"""),3000)</f>
        <v>3000</v>
      </c>
      <c r="P348" s="21">
        <f ca="1">IFERROR(__xludf.DUMMYFUNCTION("""COMPUTED_VALUE"""),3000)</f>
        <v>3000</v>
      </c>
      <c r="Q348" s="23">
        <f ca="1">IFERROR(__xludf.DUMMYFUNCTION("""COMPUTED_VALUE"""),0)</f>
        <v>0</v>
      </c>
      <c r="R348" s="24">
        <f ca="1">IFERROR(__xludf.DUMMYFUNCTION("""COMPUTED_VALUE"""),0)</f>
        <v>0</v>
      </c>
      <c r="S348" s="23">
        <f ca="1">IFERROR(__xludf.DUMMYFUNCTION("""COMPUTED_VALUE"""),0)</f>
        <v>0</v>
      </c>
      <c r="T348" s="24">
        <f ca="1">IFERROR(__xludf.DUMMYFUNCTION("""COMPUTED_VALUE"""),0)</f>
        <v>0</v>
      </c>
      <c r="U348" s="23">
        <f ca="1">IFERROR(__xludf.DUMMYFUNCTION("""COMPUTED_VALUE"""),0)</f>
        <v>0</v>
      </c>
      <c r="V348" s="23">
        <f ca="1">IFERROR(__xludf.DUMMYFUNCTION("""COMPUTED_VALUE"""),0)</f>
        <v>0</v>
      </c>
      <c r="W348" s="23">
        <f ca="1">IFERROR(__xludf.DUMMYFUNCTION("""COMPUTED_VALUE"""),0)</f>
        <v>0</v>
      </c>
      <c r="X348" s="23">
        <f ca="1">IFERROR(__xludf.DUMMYFUNCTION("""COMPUTED_VALUE"""),0)</f>
        <v>0</v>
      </c>
      <c r="Y348" s="25">
        <f ca="1">IFERROR(__xludf.DUMMYFUNCTION("""COMPUTED_VALUE"""),0)</f>
        <v>0</v>
      </c>
      <c r="Z348" s="25">
        <f ca="1">IFERROR(__xludf.DUMMYFUNCTION("""COMPUTED_VALUE"""),0)</f>
        <v>0</v>
      </c>
      <c r="AA348" s="25">
        <f ca="1">IFERROR(__xludf.DUMMYFUNCTION("""COMPUTED_VALUE"""),0)</f>
        <v>0</v>
      </c>
      <c r="AB348" s="25">
        <f ca="1">IFERROR(__xludf.DUMMYFUNCTION("""COMPUTED_VALUE"""),0)</f>
        <v>0</v>
      </c>
      <c r="AC348" s="23">
        <f ca="1">IFERROR(__xludf.DUMMYFUNCTION("""COMPUTED_VALUE"""),0)</f>
        <v>0</v>
      </c>
      <c r="AD348" s="26" t="str">
        <f ca="1">IFERROR(__xludf.DUMMYFUNCTION("""COMPUTED_VALUE"""),"RS 12500 PER SEM SCHOLARSHIP")</f>
        <v>RS 12500 PER SEM SCHOLARSHIP</v>
      </c>
      <c r="AE348" s="27"/>
    </row>
    <row r="349" spans="1:31" ht="14.3">
      <c r="A349" s="18" t="str">
        <f ca="1">IFERROR(__xludf.DUMMYFUNCTION("""COMPUTED_VALUE"""),"22SDSCE01108")</f>
        <v>22SDSCE01108</v>
      </c>
      <c r="B349" s="19" t="str">
        <f ca="1">IFERROR(__xludf.DUMMYFUNCTION("""COMPUTED_VALUE"""),"SURANI VANSH CHETANBHAI")</f>
        <v>SURANI VANSH CHETANBHAI</v>
      </c>
      <c r="C349" s="18" t="str">
        <f ca="1">IFERROR(__xludf.DUMMYFUNCTION("""COMPUTED_VALUE"""),"SDS")</f>
        <v>SDS</v>
      </c>
      <c r="D349" s="18" t="str">
        <f ca="1">IFERROR(__xludf.DUMMYFUNCTION("""COMPUTED_VALUE"""),"DCE")</f>
        <v>DCE</v>
      </c>
      <c r="E349" s="25">
        <f ca="1">IFERROR(__xludf.DUMMYFUNCTION("""COMPUTED_VALUE"""),4)</f>
        <v>4</v>
      </c>
      <c r="F349" s="18" t="str">
        <f ca="1">IFERROR(__xludf.DUMMYFUNCTION("""COMPUTED_VALUE"""),"9313306473 9825764293")</f>
        <v>9313306473 9825764293</v>
      </c>
      <c r="G349" s="18" t="str">
        <f ca="1">IFERROR(__xludf.DUMMYFUNCTION("""COMPUTED_VALUE"""),"9313306473 9825764293")</f>
        <v>9313306473 9825764293</v>
      </c>
      <c r="H349" s="6" t="str">
        <f ca="1">IFERROR(__xludf.DUMMYFUNCTION("""COMPUTED_VALUE"""),"DCE_2022-25")</f>
        <v>DCE_2022-25</v>
      </c>
      <c r="I349" s="20"/>
      <c r="J349" s="41">
        <f ca="1">IFERROR(__xludf.DUMMYFUNCTION("""COMPUTED_VALUE"""),25000)</f>
        <v>25000</v>
      </c>
      <c r="K349" s="21">
        <f ca="1">IFERROR(__xludf.DUMMYFUNCTION("""COMPUTED_VALUE"""),25000)</f>
        <v>25000</v>
      </c>
      <c r="L349" s="21">
        <f ca="1">IFERROR(__xludf.DUMMYFUNCTION("""COMPUTED_VALUE"""),0)</f>
        <v>0</v>
      </c>
      <c r="M349" s="23">
        <f ca="1">IFERROR(__xludf.DUMMYFUNCTION("""COMPUTED_VALUE"""),0)</f>
        <v>0</v>
      </c>
      <c r="N349" s="41">
        <f ca="1">IFERROR(__xludf.DUMMYFUNCTION("""COMPUTED_VALUE"""),0)</f>
        <v>0</v>
      </c>
      <c r="O349" s="21">
        <f ca="1">IFERROR(__xludf.DUMMYFUNCTION("""COMPUTED_VALUE"""),3000)</f>
        <v>3000</v>
      </c>
      <c r="P349" s="21">
        <f ca="1">IFERROR(__xludf.DUMMYFUNCTION("""COMPUTED_VALUE"""),3000)</f>
        <v>3000</v>
      </c>
      <c r="Q349" s="23">
        <f ca="1">IFERROR(__xludf.DUMMYFUNCTION("""COMPUTED_VALUE"""),0)</f>
        <v>0</v>
      </c>
      <c r="R349" s="24">
        <f ca="1">IFERROR(__xludf.DUMMYFUNCTION("""COMPUTED_VALUE"""),0)</f>
        <v>0</v>
      </c>
      <c r="S349" s="23">
        <f ca="1">IFERROR(__xludf.DUMMYFUNCTION("""COMPUTED_VALUE"""),0)</f>
        <v>0</v>
      </c>
      <c r="T349" s="24">
        <f ca="1">IFERROR(__xludf.DUMMYFUNCTION("""COMPUTED_VALUE"""),0)</f>
        <v>0</v>
      </c>
      <c r="U349" s="23">
        <f ca="1">IFERROR(__xludf.DUMMYFUNCTION("""COMPUTED_VALUE"""),0)</f>
        <v>0</v>
      </c>
      <c r="V349" s="23">
        <f ca="1">IFERROR(__xludf.DUMMYFUNCTION("""COMPUTED_VALUE"""),0)</f>
        <v>0</v>
      </c>
      <c r="W349" s="23">
        <f ca="1">IFERROR(__xludf.DUMMYFUNCTION("""COMPUTED_VALUE"""),0)</f>
        <v>0</v>
      </c>
      <c r="X349" s="23">
        <f ca="1">IFERROR(__xludf.DUMMYFUNCTION("""COMPUTED_VALUE"""),0)</f>
        <v>0</v>
      </c>
      <c r="Y349" s="25">
        <f ca="1">IFERROR(__xludf.DUMMYFUNCTION("""COMPUTED_VALUE"""),0)</f>
        <v>0</v>
      </c>
      <c r="Z349" s="25">
        <f ca="1">IFERROR(__xludf.DUMMYFUNCTION("""COMPUTED_VALUE"""),0)</f>
        <v>0</v>
      </c>
      <c r="AA349" s="25">
        <f ca="1">IFERROR(__xludf.DUMMYFUNCTION("""COMPUTED_VALUE"""),0)</f>
        <v>0</v>
      </c>
      <c r="AB349" s="25">
        <f ca="1">IFERROR(__xludf.DUMMYFUNCTION("""COMPUTED_VALUE"""),0)</f>
        <v>0</v>
      </c>
      <c r="AC349" s="23">
        <f ca="1">IFERROR(__xludf.DUMMYFUNCTION("""COMPUTED_VALUE"""),0)</f>
        <v>0</v>
      </c>
      <c r="AD349" s="26"/>
      <c r="AE349" s="27"/>
    </row>
    <row r="350" spans="1:31" ht="14.3">
      <c r="A350" s="18" t="str">
        <f ca="1">IFERROR(__xludf.DUMMYFUNCTION("""COMPUTED_VALUE"""),"22SDSCE01109")</f>
        <v>22SDSCE01109</v>
      </c>
      <c r="B350" s="19" t="str">
        <f ca="1">IFERROR(__xludf.DUMMYFUNCTION("""COMPUTED_VALUE"""),"TANK SAHIL ASHOKBHAI")</f>
        <v>TANK SAHIL ASHOKBHAI</v>
      </c>
      <c r="C350" s="18" t="str">
        <f ca="1">IFERROR(__xludf.DUMMYFUNCTION("""COMPUTED_VALUE"""),"SDS")</f>
        <v>SDS</v>
      </c>
      <c r="D350" s="18" t="str">
        <f ca="1">IFERROR(__xludf.DUMMYFUNCTION("""COMPUTED_VALUE"""),"DCE")</f>
        <v>DCE</v>
      </c>
      <c r="E350" s="25">
        <f ca="1">IFERROR(__xludf.DUMMYFUNCTION("""COMPUTED_VALUE"""),4)</f>
        <v>4</v>
      </c>
      <c r="F350" s="18" t="str">
        <f ca="1">IFERROR(__xludf.DUMMYFUNCTION("""COMPUTED_VALUE"""),"7623045838 9106365829")</f>
        <v>7623045838 9106365829</v>
      </c>
      <c r="G350" s="18" t="str">
        <f ca="1">IFERROR(__xludf.DUMMYFUNCTION("""COMPUTED_VALUE"""),"7623045838 9106365829")</f>
        <v>7623045838 9106365829</v>
      </c>
      <c r="H350" s="6" t="str">
        <f ca="1">IFERROR(__xludf.DUMMYFUNCTION("""COMPUTED_VALUE"""),"DCE_2022-25")</f>
        <v>DCE_2022-25</v>
      </c>
      <c r="I350" s="20" t="str">
        <f ca="1">IFERROR(__xludf.DUMMYFUNCTION("""COMPUTED_VALUE"""),"MYSY")</f>
        <v>MYSY</v>
      </c>
      <c r="J350" s="41">
        <f ca="1">IFERROR(__xludf.DUMMYFUNCTION("""COMPUTED_VALUE"""),25000)</f>
        <v>25000</v>
      </c>
      <c r="K350" s="21">
        <f ca="1">IFERROR(__xludf.DUMMYFUNCTION("""COMPUTED_VALUE"""),0)</f>
        <v>0</v>
      </c>
      <c r="L350" s="21">
        <f ca="1">IFERROR(__xludf.DUMMYFUNCTION("""COMPUTED_VALUE"""),0)</f>
        <v>0</v>
      </c>
      <c r="M350" s="23">
        <f ca="1">IFERROR(__xludf.DUMMYFUNCTION("""COMPUTED_VALUE"""),0)</f>
        <v>0</v>
      </c>
      <c r="N350" s="41">
        <f ca="1">IFERROR(__xludf.DUMMYFUNCTION("""COMPUTED_VALUE"""),25000)</f>
        <v>25000</v>
      </c>
      <c r="O350" s="21">
        <f ca="1">IFERROR(__xludf.DUMMYFUNCTION("""COMPUTED_VALUE"""),3000)</f>
        <v>3000</v>
      </c>
      <c r="P350" s="21">
        <f ca="1">IFERROR(__xludf.DUMMYFUNCTION("""COMPUTED_VALUE"""),3000)</f>
        <v>3000</v>
      </c>
      <c r="Q350" s="23">
        <f ca="1">IFERROR(__xludf.DUMMYFUNCTION("""COMPUTED_VALUE"""),0)</f>
        <v>0</v>
      </c>
      <c r="R350" s="24">
        <f ca="1">IFERROR(__xludf.DUMMYFUNCTION("""COMPUTED_VALUE"""),0)</f>
        <v>0</v>
      </c>
      <c r="S350" s="23">
        <f ca="1">IFERROR(__xludf.DUMMYFUNCTION("""COMPUTED_VALUE"""),0)</f>
        <v>0</v>
      </c>
      <c r="T350" s="24">
        <f ca="1">IFERROR(__xludf.DUMMYFUNCTION("""COMPUTED_VALUE"""),0)</f>
        <v>0</v>
      </c>
      <c r="U350" s="23">
        <f ca="1">IFERROR(__xludf.DUMMYFUNCTION("""COMPUTED_VALUE"""),0)</f>
        <v>0</v>
      </c>
      <c r="V350" s="23">
        <f ca="1">IFERROR(__xludf.DUMMYFUNCTION("""COMPUTED_VALUE"""),0)</f>
        <v>0</v>
      </c>
      <c r="W350" s="23">
        <f ca="1">IFERROR(__xludf.DUMMYFUNCTION("""COMPUTED_VALUE"""),0)</f>
        <v>0</v>
      </c>
      <c r="X350" s="23">
        <f ca="1">IFERROR(__xludf.DUMMYFUNCTION("""COMPUTED_VALUE"""),0)</f>
        <v>0</v>
      </c>
      <c r="Y350" s="25">
        <f ca="1">IFERROR(__xludf.DUMMYFUNCTION("""COMPUTED_VALUE"""),0)</f>
        <v>0</v>
      </c>
      <c r="Z350" s="25">
        <f ca="1">IFERROR(__xludf.DUMMYFUNCTION("""COMPUTED_VALUE"""),0)</f>
        <v>0</v>
      </c>
      <c r="AA350" s="25">
        <f ca="1">IFERROR(__xludf.DUMMYFUNCTION("""COMPUTED_VALUE"""),0)</f>
        <v>0</v>
      </c>
      <c r="AB350" s="25">
        <f ca="1">IFERROR(__xludf.DUMMYFUNCTION("""COMPUTED_VALUE"""),0)</f>
        <v>0</v>
      </c>
      <c r="AC350" s="23">
        <f ca="1">IFERROR(__xludf.DUMMYFUNCTION("""COMPUTED_VALUE"""),0)</f>
        <v>0</v>
      </c>
      <c r="AD350" s="26" t="str">
        <f ca="1">IFERROR(__xludf.DUMMYFUNCTION("""COMPUTED_VALUE"""),"KSPS (50%) + MYSY(50%) ")</f>
        <v xml:space="preserve">KSPS (50%) + MYSY(50%) </v>
      </c>
      <c r="AE350" s="27"/>
    </row>
    <row r="351" spans="1:31" ht="14.3">
      <c r="A351" s="18" t="str">
        <f ca="1">IFERROR(__xludf.DUMMYFUNCTION("""COMPUTED_VALUE"""),"22SDSCE01110")</f>
        <v>22SDSCE01110</v>
      </c>
      <c r="B351" s="19" t="str">
        <f ca="1">IFERROR(__xludf.DUMMYFUNCTION("""COMPUTED_VALUE"""),"TARPADA MANALI")</f>
        <v>TARPADA MANALI</v>
      </c>
      <c r="C351" s="18" t="str">
        <f ca="1">IFERROR(__xludf.DUMMYFUNCTION("""COMPUTED_VALUE"""),"SDS")</f>
        <v>SDS</v>
      </c>
      <c r="D351" s="18" t="str">
        <f ca="1">IFERROR(__xludf.DUMMYFUNCTION("""COMPUTED_VALUE"""),"DCE")</f>
        <v>DCE</v>
      </c>
      <c r="E351" s="25">
        <f ca="1">IFERROR(__xludf.DUMMYFUNCTION("""COMPUTED_VALUE"""),4)</f>
        <v>4</v>
      </c>
      <c r="F351" s="18" t="str">
        <f ca="1">IFERROR(__xludf.DUMMYFUNCTION("""COMPUTED_VALUE"""),"9825315448 9727715448")</f>
        <v>9825315448 9727715448</v>
      </c>
      <c r="G351" s="18" t="str">
        <f ca="1">IFERROR(__xludf.DUMMYFUNCTION("""COMPUTED_VALUE"""),"9825315448 9727715448")</f>
        <v>9825315448 9727715448</v>
      </c>
      <c r="H351" s="6" t="str">
        <f ca="1">IFERROR(__xludf.DUMMYFUNCTION("""COMPUTED_VALUE"""),"DCE_2022-25")</f>
        <v>DCE_2022-25</v>
      </c>
      <c r="I351" s="20"/>
      <c r="J351" s="41">
        <f ca="1">IFERROR(__xludf.DUMMYFUNCTION("""COMPUTED_VALUE"""),25000)</f>
        <v>25000</v>
      </c>
      <c r="K351" s="21">
        <f ca="1">IFERROR(__xludf.DUMMYFUNCTION("""COMPUTED_VALUE"""),25000)</f>
        <v>25000</v>
      </c>
      <c r="L351" s="21">
        <f ca="1">IFERROR(__xludf.DUMMYFUNCTION("""COMPUTED_VALUE"""),0)</f>
        <v>0</v>
      </c>
      <c r="M351" s="23">
        <f ca="1">IFERROR(__xludf.DUMMYFUNCTION("""COMPUTED_VALUE"""),0)</f>
        <v>0</v>
      </c>
      <c r="N351" s="41">
        <f ca="1">IFERROR(__xludf.DUMMYFUNCTION("""COMPUTED_VALUE"""),0)</f>
        <v>0</v>
      </c>
      <c r="O351" s="21">
        <f ca="1">IFERROR(__xludf.DUMMYFUNCTION("""COMPUTED_VALUE"""),3000)</f>
        <v>3000</v>
      </c>
      <c r="P351" s="21">
        <f ca="1">IFERROR(__xludf.DUMMYFUNCTION("""COMPUTED_VALUE"""),3000)</f>
        <v>3000</v>
      </c>
      <c r="Q351" s="23">
        <f ca="1">IFERROR(__xludf.DUMMYFUNCTION("""COMPUTED_VALUE"""),0)</f>
        <v>0</v>
      </c>
      <c r="R351" s="24">
        <f ca="1">IFERROR(__xludf.DUMMYFUNCTION("""COMPUTED_VALUE"""),0)</f>
        <v>0</v>
      </c>
      <c r="S351" s="23">
        <f ca="1">IFERROR(__xludf.DUMMYFUNCTION("""COMPUTED_VALUE"""),0)</f>
        <v>0</v>
      </c>
      <c r="T351" s="24">
        <f ca="1">IFERROR(__xludf.DUMMYFUNCTION("""COMPUTED_VALUE"""),0)</f>
        <v>0</v>
      </c>
      <c r="U351" s="23">
        <f ca="1">IFERROR(__xludf.DUMMYFUNCTION("""COMPUTED_VALUE"""),0)</f>
        <v>0</v>
      </c>
      <c r="V351" s="23">
        <f ca="1">IFERROR(__xludf.DUMMYFUNCTION("""COMPUTED_VALUE"""),0)</f>
        <v>0</v>
      </c>
      <c r="W351" s="23">
        <f ca="1">IFERROR(__xludf.DUMMYFUNCTION("""COMPUTED_VALUE"""),0)</f>
        <v>0</v>
      </c>
      <c r="X351" s="23">
        <f ca="1">IFERROR(__xludf.DUMMYFUNCTION("""COMPUTED_VALUE"""),0)</f>
        <v>0</v>
      </c>
      <c r="Y351" s="25">
        <f ca="1">IFERROR(__xludf.DUMMYFUNCTION("""COMPUTED_VALUE"""),0)</f>
        <v>0</v>
      </c>
      <c r="Z351" s="25">
        <f ca="1">IFERROR(__xludf.DUMMYFUNCTION("""COMPUTED_VALUE"""),0)</f>
        <v>0</v>
      </c>
      <c r="AA351" s="25">
        <f ca="1">IFERROR(__xludf.DUMMYFUNCTION("""COMPUTED_VALUE"""),0)</f>
        <v>0</v>
      </c>
      <c r="AB351" s="25">
        <f ca="1">IFERROR(__xludf.DUMMYFUNCTION("""COMPUTED_VALUE"""),0)</f>
        <v>0</v>
      </c>
      <c r="AC351" s="23">
        <f ca="1">IFERROR(__xludf.DUMMYFUNCTION("""COMPUTED_VALUE"""),0)</f>
        <v>0</v>
      </c>
      <c r="AD351" s="26"/>
      <c r="AE351" s="27"/>
    </row>
    <row r="352" spans="1:31" ht="23.1">
      <c r="A352" s="18" t="str">
        <f ca="1">IFERROR(__xludf.DUMMYFUNCTION("""COMPUTED_VALUE"""),"22SDSCE01111")</f>
        <v>22SDSCE01111</v>
      </c>
      <c r="B352" s="19" t="str">
        <f ca="1">IFERROR(__xludf.DUMMYFUNCTION("""COMPUTED_VALUE"""),"TILALA YASH DILIPBHAI")</f>
        <v>TILALA YASH DILIPBHAI</v>
      </c>
      <c r="C352" s="18" t="str">
        <f ca="1">IFERROR(__xludf.DUMMYFUNCTION("""COMPUTED_VALUE"""),"SDS")</f>
        <v>SDS</v>
      </c>
      <c r="D352" s="18" t="str">
        <f ca="1">IFERROR(__xludf.DUMMYFUNCTION("""COMPUTED_VALUE"""),"DCE")</f>
        <v>DCE</v>
      </c>
      <c r="E352" s="25">
        <f ca="1">IFERROR(__xludf.DUMMYFUNCTION("""COMPUTED_VALUE"""),4)</f>
        <v>4</v>
      </c>
      <c r="F352" s="18" t="str">
        <f ca="1">IFERROR(__xludf.DUMMYFUNCTION("""COMPUTED_VALUE"""),"7203937386 8469996017")</f>
        <v>7203937386 8469996017</v>
      </c>
      <c r="G352" s="18" t="str">
        <f ca="1">IFERROR(__xludf.DUMMYFUNCTION("""COMPUTED_VALUE"""),"7203937386 8469996017")</f>
        <v>7203937386 8469996017</v>
      </c>
      <c r="H352" s="6" t="str">
        <f ca="1">IFERROR(__xludf.DUMMYFUNCTION("""COMPUTED_VALUE"""),"DCE_2022-25")</f>
        <v>DCE_2022-25</v>
      </c>
      <c r="I352" s="20" t="str">
        <f ca="1">IFERROR(__xludf.DUMMYFUNCTION("""COMPUTED_VALUE"""),"KSP")</f>
        <v>KSP</v>
      </c>
      <c r="J352" s="41">
        <f ca="1">IFERROR(__xludf.DUMMYFUNCTION("""COMPUTED_VALUE"""),25000)</f>
        <v>25000</v>
      </c>
      <c r="K352" s="21">
        <f ca="1">IFERROR(__xludf.DUMMYFUNCTION("""COMPUTED_VALUE"""),12500)</f>
        <v>12500</v>
      </c>
      <c r="L352" s="21">
        <f ca="1">IFERROR(__xludf.DUMMYFUNCTION("""COMPUTED_VALUE"""),0)</f>
        <v>0</v>
      </c>
      <c r="M352" s="23">
        <f ca="1">IFERROR(__xludf.DUMMYFUNCTION("""COMPUTED_VALUE"""),12500)</f>
        <v>12500</v>
      </c>
      <c r="N352" s="41">
        <f ca="1">IFERROR(__xludf.DUMMYFUNCTION("""COMPUTED_VALUE"""),0)</f>
        <v>0</v>
      </c>
      <c r="O352" s="21">
        <f ca="1">IFERROR(__xludf.DUMMYFUNCTION("""COMPUTED_VALUE"""),3000)</f>
        <v>3000</v>
      </c>
      <c r="P352" s="21">
        <f ca="1">IFERROR(__xludf.DUMMYFUNCTION("""COMPUTED_VALUE"""),3000)</f>
        <v>3000</v>
      </c>
      <c r="Q352" s="23">
        <f ca="1">IFERROR(__xludf.DUMMYFUNCTION("""COMPUTED_VALUE"""),0)</f>
        <v>0</v>
      </c>
      <c r="R352" s="24">
        <f ca="1">IFERROR(__xludf.DUMMYFUNCTION("""COMPUTED_VALUE"""),0)</f>
        <v>0</v>
      </c>
      <c r="S352" s="23">
        <f ca="1">IFERROR(__xludf.DUMMYFUNCTION("""COMPUTED_VALUE"""),0)</f>
        <v>0</v>
      </c>
      <c r="T352" s="24">
        <f ca="1">IFERROR(__xludf.DUMMYFUNCTION("""COMPUTED_VALUE"""),0)</f>
        <v>0</v>
      </c>
      <c r="U352" s="23">
        <f ca="1">IFERROR(__xludf.DUMMYFUNCTION("""COMPUTED_VALUE"""),0)</f>
        <v>0</v>
      </c>
      <c r="V352" s="23">
        <f ca="1">IFERROR(__xludf.DUMMYFUNCTION("""COMPUTED_VALUE"""),0)</f>
        <v>0</v>
      </c>
      <c r="W352" s="23">
        <f ca="1">IFERROR(__xludf.DUMMYFUNCTION("""COMPUTED_VALUE"""),0)</f>
        <v>0</v>
      </c>
      <c r="X352" s="23">
        <f ca="1">IFERROR(__xludf.DUMMYFUNCTION("""COMPUTED_VALUE"""),0)</f>
        <v>0</v>
      </c>
      <c r="Y352" s="25">
        <f ca="1">IFERROR(__xludf.DUMMYFUNCTION("""COMPUTED_VALUE"""),0)</f>
        <v>0</v>
      </c>
      <c r="Z352" s="25">
        <f ca="1">IFERROR(__xludf.DUMMYFUNCTION("""COMPUTED_VALUE"""),0)</f>
        <v>0</v>
      </c>
      <c r="AA352" s="25">
        <f ca="1">IFERROR(__xludf.DUMMYFUNCTION("""COMPUTED_VALUE"""),0)</f>
        <v>0</v>
      </c>
      <c r="AB352" s="25">
        <f ca="1">IFERROR(__xludf.DUMMYFUNCTION("""COMPUTED_VALUE"""),0)</f>
        <v>0</v>
      </c>
      <c r="AC352" s="23">
        <f ca="1">IFERROR(__xludf.DUMMYFUNCTION("""COMPUTED_VALUE"""),0)</f>
        <v>0</v>
      </c>
      <c r="AD352" s="26" t="str">
        <f ca="1">IFERROR(__xludf.DUMMYFUNCTION("""COMPUTED_VALUE"""),"KSPS (50%)
12500 PER SEM SCHOLARSHIP")</f>
        <v>KSPS (50%)
12500 PER SEM SCHOLARSHIP</v>
      </c>
      <c r="AE352" s="27"/>
    </row>
    <row r="353" spans="1:31" ht="14.3">
      <c r="A353" s="18" t="str">
        <f ca="1">IFERROR(__xludf.DUMMYFUNCTION("""COMPUTED_VALUE"""),"22SDSCE01112")</f>
        <v>22SDSCE01112</v>
      </c>
      <c r="B353" s="19" t="str">
        <f ca="1">IFERROR(__xludf.DUMMYFUNCTION("""COMPUTED_VALUE"""),"TILVA VIRAJ SURESHBHAI")</f>
        <v>TILVA VIRAJ SURESHBHAI</v>
      </c>
      <c r="C353" s="18" t="str">
        <f ca="1">IFERROR(__xludf.DUMMYFUNCTION("""COMPUTED_VALUE"""),"SDS")</f>
        <v>SDS</v>
      </c>
      <c r="D353" s="18" t="str">
        <f ca="1">IFERROR(__xludf.DUMMYFUNCTION("""COMPUTED_VALUE"""),"DCE")</f>
        <v>DCE</v>
      </c>
      <c r="E353" s="25">
        <f ca="1">IFERROR(__xludf.DUMMYFUNCTION("""COMPUTED_VALUE"""),4)</f>
        <v>4</v>
      </c>
      <c r="F353" s="18" t="str">
        <f ca="1">IFERROR(__xludf.DUMMYFUNCTION("""COMPUTED_VALUE"""),"9924093850
9313056003")</f>
        <v>9924093850
9313056003</v>
      </c>
      <c r="G353" s="18" t="str">
        <f ca="1">IFERROR(__xludf.DUMMYFUNCTION("""COMPUTED_VALUE"""),"9924093850
9313056003")</f>
        <v>9924093850
9313056003</v>
      </c>
      <c r="H353" s="6" t="str">
        <f ca="1">IFERROR(__xludf.DUMMYFUNCTION("""COMPUTED_VALUE"""),"DCE_2022-25")</f>
        <v>DCE_2022-25</v>
      </c>
      <c r="I353" s="20" t="str">
        <f ca="1">IFERROR(__xludf.DUMMYFUNCTION("""COMPUTED_VALUE"""),"TFW")</f>
        <v>TFW</v>
      </c>
      <c r="J353" s="41">
        <f ca="1">IFERROR(__xludf.DUMMYFUNCTION("""COMPUTED_VALUE"""),25000)</f>
        <v>25000</v>
      </c>
      <c r="K353" s="21">
        <f ca="1">IFERROR(__xludf.DUMMYFUNCTION("""COMPUTED_VALUE"""),0)</f>
        <v>0</v>
      </c>
      <c r="L353" s="21">
        <f ca="1">IFERROR(__xludf.DUMMYFUNCTION("""COMPUTED_VALUE"""),0)</f>
        <v>0</v>
      </c>
      <c r="M353" s="23">
        <f ca="1">IFERROR(__xludf.DUMMYFUNCTION("""COMPUTED_VALUE"""),25000)</f>
        <v>25000</v>
      </c>
      <c r="N353" s="41">
        <f ca="1">IFERROR(__xludf.DUMMYFUNCTION("""COMPUTED_VALUE"""),0)</f>
        <v>0</v>
      </c>
      <c r="O353" s="21">
        <f ca="1">IFERROR(__xludf.DUMMYFUNCTION("""COMPUTED_VALUE"""),3000)</f>
        <v>3000</v>
      </c>
      <c r="P353" s="21">
        <f ca="1">IFERROR(__xludf.DUMMYFUNCTION("""COMPUTED_VALUE"""),3000)</f>
        <v>3000</v>
      </c>
      <c r="Q353" s="23">
        <f ca="1">IFERROR(__xludf.DUMMYFUNCTION("""COMPUTED_VALUE"""),0)</f>
        <v>0</v>
      </c>
      <c r="R353" s="24">
        <f ca="1">IFERROR(__xludf.DUMMYFUNCTION("""COMPUTED_VALUE"""),0)</f>
        <v>0</v>
      </c>
      <c r="S353" s="23">
        <f ca="1">IFERROR(__xludf.DUMMYFUNCTION("""COMPUTED_VALUE"""),0)</f>
        <v>0</v>
      </c>
      <c r="T353" s="24">
        <f ca="1">IFERROR(__xludf.DUMMYFUNCTION("""COMPUTED_VALUE"""),0)</f>
        <v>0</v>
      </c>
      <c r="U353" s="23">
        <f ca="1">IFERROR(__xludf.DUMMYFUNCTION("""COMPUTED_VALUE"""),0)</f>
        <v>0</v>
      </c>
      <c r="V353" s="23">
        <f ca="1">IFERROR(__xludf.DUMMYFUNCTION("""COMPUTED_VALUE"""),0)</f>
        <v>0</v>
      </c>
      <c r="W353" s="23">
        <f ca="1">IFERROR(__xludf.DUMMYFUNCTION("""COMPUTED_VALUE"""),0)</f>
        <v>0</v>
      </c>
      <c r="X353" s="23">
        <f ca="1">IFERROR(__xludf.DUMMYFUNCTION("""COMPUTED_VALUE"""),0)</f>
        <v>0</v>
      </c>
      <c r="Y353" s="25">
        <f ca="1">IFERROR(__xludf.DUMMYFUNCTION("""COMPUTED_VALUE"""),0)</f>
        <v>0</v>
      </c>
      <c r="Z353" s="25">
        <f ca="1">IFERROR(__xludf.DUMMYFUNCTION("""COMPUTED_VALUE"""),0)</f>
        <v>0</v>
      </c>
      <c r="AA353" s="25">
        <f ca="1">IFERROR(__xludf.DUMMYFUNCTION("""COMPUTED_VALUE"""),0)</f>
        <v>0</v>
      </c>
      <c r="AB353" s="25">
        <f ca="1">IFERROR(__xludf.DUMMYFUNCTION("""COMPUTED_VALUE"""),0)</f>
        <v>0</v>
      </c>
      <c r="AC353" s="23">
        <f ca="1">IFERROR(__xludf.DUMMYFUNCTION("""COMPUTED_VALUE"""),0)</f>
        <v>0</v>
      </c>
      <c r="AD353" s="26"/>
      <c r="AE353" s="27"/>
    </row>
    <row r="354" spans="1:31" ht="14.3">
      <c r="A354" s="18" t="str">
        <f ca="1">IFERROR(__xludf.DUMMYFUNCTION("""COMPUTED_VALUE"""),"22SDSCE01113")</f>
        <v>22SDSCE01113</v>
      </c>
      <c r="B354" s="19" t="str">
        <f ca="1">IFERROR(__xludf.DUMMYFUNCTION("""COMPUTED_VALUE"""),"TRIVEDI JAIMIL KAMAL")</f>
        <v>TRIVEDI JAIMIL KAMAL</v>
      </c>
      <c r="C354" s="18" t="str">
        <f ca="1">IFERROR(__xludf.DUMMYFUNCTION("""COMPUTED_VALUE"""),"SDS")</f>
        <v>SDS</v>
      </c>
      <c r="D354" s="18" t="str">
        <f ca="1">IFERROR(__xludf.DUMMYFUNCTION("""COMPUTED_VALUE"""),"DCE")</f>
        <v>DCE</v>
      </c>
      <c r="E354" s="25">
        <f ca="1">IFERROR(__xludf.DUMMYFUNCTION("""COMPUTED_VALUE"""),4)</f>
        <v>4</v>
      </c>
      <c r="F354" s="18" t="str">
        <f ca="1">IFERROR(__xludf.DUMMYFUNCTION("""COMPUTED_VALUE"""),"9427317570
9824416860")</f>
        <v>9427317570
9824416860</v>
      </c>
      <c r="G354" s="18" t="str">
        <f ca="1">IFERROR(__xludf.DUMMYFUNCTION("""COMPUTED_VALUE"""),"9427317570
9824416860")</f>
        <v>9427317570
9824416860</v>
      </c>
      <c r="H354" s="6" t="str">
        <f ca="1">IFERROR(__xludf.DUMMYFUNCTION("""COMPUTED_VALUE"""),"DCE_2022-25")</f>
        <v>DCE_2022-25</v>
      </c>
      <c r="I354" s="20" t="str">
        <f ca="1">IFERROR(__xludf.DUMMYFUNCTION("""COMPUTED_VALUE"""),"KSP")</f>
        <v>KSP</v>
      </c>
      <c r="J354" s="41">
        <f ca="1">IFERROR(__xludf.DUMMYFUNCTION("""COMPUTED_VALUE"""),25000)</f>
        <v>25000</v>
      </c>
      <c r="K354" s="21">
        <f ca="1">IFERROR(__xludf.DUMMYFUNCTION("""COMPUTED_VALUE"""),18750)</f>
        <v>18750</v>
      </c>
      <c r="L354" s="21">
        <f ca="1">IFERROR(__xludf.DUMMYFUNCTION("""COMPUTED_VALUE"""),0)</f>
        <v>0</v>
      </c>
      <c r="M354" s="23">
        <f ca="1">IFERROR(__xludf.DUMMYFUNCTION("""COMPUTED_VALUE"""),6250)</f>
        <v>6250</v>
      </c>
      <c r="N354" s="41">
        <f ca="1">IFERROR(__xludf.DUMMYFUNCTION("""COMPUTED_VALUE"""),0)</f>
        <v>0</v>
      </c>
      <c r="O354" s="21">
        <f ca="1">IFERROR(__xludf.DUMMYFUNCTION("""COMPUTED_VALUE"""),3000)</f>
        <v>3000</v>
      </c>
      <c r="P354" s="21">
        <f ca="1">IFERROR(__xludf.DUMMYFUNCTION("""COMPUTED_VALUE"""),0)</f>
        <v>0</v>
      </c>
      <c r="Q354" s="23">
        <f ca="1">IFERROR(__xludf.DUMMYFUNCTION("""COMPUTED_VALUE"""),0)</f>
        <v>0</v>
      </c>
      <c r="R354" s="24">
        <f ca="1">IFERROR(__xludf.DUMMYFUNCTION("""COMPUTED_VALUE"""),0)</f>
        <v>0</v>
      </c>
      <c r="S354" s="23">
        <f ca="1">IFERROR(__xludf.DUMMYFUNCTION("""COMPUTED_VALUE"""),3000)</f>
        <v>3000</v>
      </c>
      <c r="T354" s="24">
        <f ca="1">IFERROR(__xludf.DUMMYFUNCTION("""COMPUTED_VALUE"""),0)</f>
        <v>0</v>
      </c>
      <c r="U354" s="23">
        <f ca="1">IFERROR(__xludf.DUMMYFUNCTION("""COMPUTED_VALUE"""),0)</f>
        <v>0</v>
      </c>
      <c r="V354" s="23">
        <f ca="1">IFERROR(__xludf.DUMMYFUNCTION("""COMPUTED_VALUE"""),0)</f>
        <v>0</v>
      </c>
      <c r="W354" s="23">
        <f ca="1">IFERROR(__xludf.DUMMYFUNCTION("""COMPUTED_VALUE"""),0)</f>
        <v>0</v>
      </c>
      <c r="X354" s="23">
        <f ca="1">IFERROR(__xludf.DUMMYFUNCTION("""COMPUTED_VALUE"""),0)</f>
        <v>0</v>
      </c>
      <c r="Y354" s="25">
        <f ca="1">IFERROR(__xludf.DUMMYFUNCTION("""COMPUTED_VALUE"""),0)</f>
        <v>0</v>
      </c>
      <c r="Z354" s="25">
        <f ca="1">IFERROR(__xludf.DUMMYFUNCTION("""COMPUTED_VALUE"""),0)</f>
        <v>0</v>
      </c>
      <c r="AA354" s="25">
        <f ca="1">IFERROR(__xludf.DUMMYFUNCTION("""COMPUTED_VALUE"""),0)</f>
        <v>0</v>
      </c>
      <c r="AB354" s="25">
        <f ca="1">IFERROR(__xludf.DUMMYFUNCTION("""COMPUTED_VALUE"""),0)</f>
        <v>0</v>
      </c>
      <c r="AC354" s="23">
        <f ca="1">IFERROR(__xludf.DUMMYFUNCTION("""COMPUTED_VALUE"""),0)</f>
        <v>0</v>
      </c>
      <c r="AD354" s="26" t="str">
        <f ca="1">IFERROR(__xludf.DUMMYFUNCTION("""COMPUTED_VALUE"""),"6250 per sem scholarship")</f>
        <v>6250 per sem scholarship</v>
      </c>
      <c r="AE354" s="27"/>
    </row>
    <row r="355" spans="1:31" ht="14.3">
      <c r="A355" s="18" t="str">
        <f ca="1">IFERROR(__xludf.DUMMYFUNCTION("""COMPUTED_VALUE"""),"22SDSCE01114")</f>
        <v>22SDSCE01114</v>
      </c>
      <c r="B355" s="19" t="str">
        <f ca="1">IFERROR(__xludf.DUMMYFUNCTION("""COMPUTED_VALUE"""),"UNADKAT YASHVI MANOJBHAI")</f>
        <v>UNADKAT YASHVI MANOJBHAI</v>
      </c>
      <c r="C355" s="18" t="str">
        <f ca="1">IFERROR(__xludf.DUMMYFUNCTION("""COMPUTED_VALUE"""),"SDS")</f>
        <v>SDS</v>
      </c>
      <c r="D355" s="18" t="str">
        <f ca="1">IFERROR(__xludf.DUMMYFUNCTION("""COMPUTED_VALUE"""),"DCE")</f>
        <v>DCE</v>
      </c>
      <c r="E355" s="25">
        <f ca="1">IFERROR(__xludf.DUMMYFUNCTION("""COMPUTED_VALUE"""),4)</f>
        <v>4</v>
      </c>
      <c r="F355" s="18" t="str">
        <f ca="1">IFERROR(__xludf.DUMMYFUNCTION("""COMPUTED_VALUE"""),"9426666985 7878989830")</f>
        <v>9426666985 7878989830</v>
      </c>
      <c r="G355" s="18" t="str">
        <f ca="1">IFERROR(__xludf.DUMMYFUNCTION("""COMPUTED_VALUE"""),"9426666985 7878989830")</f>
        <v>9426666985 7878989830</v>
      </c>
      <c r="H355" s="6" t="str">
        <f ca="1">IFERROR(__xludf.DUMMYFUNCTION("""COMPUTED_VALUE"""),"DCE_2022-25")</f>
        <v>DCE_2022-25</v>
      </c>
      <c r="I355" s="20"/>
      <c r="J355" s="21">
        <f ca="1">IFERROR(__xludf.DUMMYFUNCTION("""COMPUTED_VALUE"""),25000)</f>
        <v>25000</v>
      </c>
      <c r="K355" s="21">
        <f ca="1">IFERROR(__xludf.DUMMYFUNCTION("""COMPUTED_VALUE"""),25000)</f>
        <v>25000</v>
      </c>
      <c r="L355" s="21">
        <f ca="1">IFERROR(__xludf.DUMMYFUNCTION("""COMPUTED_VALUE"""),0)</f>
        <v>0</v>
      </c>
      <c r="M355" s="23">
        <f ca="1">IFERROR(__xludf.DUMMYFUNCTION("""COMPUTED_VALUE"""),0)</f>
        <v>0</v>
      </c>
      <c r="N355" s="21">
        <f ca="1">IFERROR(__xludf.DUMMYFUNCTION("""COMPUTED_VALUE"""),0)</f>
        <v>0</v>
      </c>
      <c r="O355" s="21">
        <f ca="1">IFERROR(__xludf.DUMMYFUNCTION("""COMPUTED_VALUE"""),3000)</f>
        <v>3000</v>
      </c>
      <c r="P355" s="21">
        <f ca="1">IFERROR(__xludf.DUMMYFUNCTION("""COMPUTED_VALUE"""),3000)</f>
        <v>3000</v>
      </c>
      <c r="Q355" s="23">
        <f ca="1">IFERROR(__xludf.DUMMYFUNCTION("""COMPUTED_VALUE"""),0)</f>
        <v>0</v>
      </c>
      <c r="R355" s="24">
        <f ca="1">IFERROR(__xludf.DUMMYFUNCTION("""COMPUTED_VALUE"""),0)</f>
        <v>0</v>
      </c>
      <c r="S355" s="23">
        <f ca="1">IFERROR(__xludf.DUMMYFUNCTION("""COMPUTED_VALUE"""),0)</f>
        <v>0</v>
      </c>
      <c r="T355" s="24">
        <f ca="1">IFERROR(__xludf.DUMMYFUNCTION("""COMPUTED_VALUE"""),0)</f>
        <v>0</v>
      </c>
      <c r="U355" s="23">
        <f ca="1">IFERROR(__xludf.DUMMYFUNCTION("""COMPUTED_VALUE"""),0)</f>
        <v>0</v>
      </c>
      <c r="V355" s="23">
        <f ca="1">IFERROR(__xludf.DUMMYFUNCTION("""COMPUTED_VALUE"""),0)</f>
        <v>0</v>
      </c>
      <c r="W355" s="23">
        <f ca="1">IFERROR(__xludf.DUMMYFUNCTION("""COMPUTED_VALUE"""),0)</f>
        <v>0</v>
      </c>
      <c r="X355" s="23">
        <f ca="1">IFERROR(__xludf.DUMMYFUNCTION("""COMPUTED_VALUE"""),0)</f>
        <v>0</v>
      </c>
      <c r="Y355" s="25">
        <f ca="1">IFERROR(__xludf.DUMMYFUNCTION("""COMPUTED_VALUE"""),0)</f>
        <v>0</v>
      </c>
      <c r="Z355" s="25">
        <f ca="1">IFERROR(__xludf.DUMMYFUNCTION("""COMPUTED_VALUE"""),0)</f>
        <v>0</v>
      </c>
      <c r="AA355" s="25">
        <f ca="1">IFERROR(__xludf.DUMMYFUNCTION("""COMPUTED_VALUE"""),0)</f>
        <v>0</v>
      </c>
      <c r="AB355" s="25">
        <f ca="1">IFERROR(__xludf.DUMMYFUNCTION("""COMPUTED_VALUE"""),0)</f>
        <v>0</v>
      </c>
      <c r="AC355" s="23">
        <f ca="1">IFERROR(__xludf.DUMMYFUNCTION("""COMPUTED_VALUE"""),0)</f>
        <v>0</v>
      </c>
      <c r="AD355" s="26"/>
      <c r="AE355" s="27"/>
    </row>
    <row r="356" spans="1:31" ht="14.3">
      <c r="A356" s="18" t="str">
        <f ca="1">IFERROR(__xludf.DUMMYFUNCTION("""COMPUTED_VALUE"""),"22SDSCE01115")</f>
        <v>22SDSCE01115</v>
      </c>
      <c r="B356" s="19" t="str">
        <f ca="1">IFERROR(__xludf.DUMMYFUNCTION("""COMPUTED_VALUE"""),"UNDHAD OM PARESHBHAI")</f>
        <v>UNDHAD OM PARESHBHAI</v>
      </c>
      <c r="C356" s="18" t="str">
        <f ca="1">IFERROR(__xludf.DUMMYFUNCTION("""COMPUTED_VALUE"""),"SDS")</f>
        <v>SDS</v>
      </c>
      <c r="D356" s="18" t="str">
        <f ca="1">IFERROR(__xludf.DUMMYFUNCTION("""COMPUTED_VALUE"""),"DCE")</f>
        <v>DCE</v>
      </c>
      <c r="E356" s="25">
        <f ca="1">IFERROR(__xludf.DUMMYFUNCTION("""COMPUTED_VALUE"""),4)</f>
        <v>4</v>
      </c>
      <c r="F356" s="18" t="str">
        <f ca="1">IFERROR(__xludf.DUMMYFUNCTION("""COMPUTED_VALUE"""),"7096328370 8511744617")</f>
        <v>7096328370 8511744617</v>
      </c>
      <c r="G356" s="18" t="str">
        <f ca="1">IFERROR(__xludf.DUMMYFUNCTION("""COMPUTED_VALUE"""),"7096328370 8511744617")</f>
        <v>7096328370 8511744617</v>
      </c>
      <c r="H356" s="6" t="str">
        <f ca="1">IFERROR(__xludf.DUMMYFUNCTION("""COMPUTED_VALUE"""),"DCE_2022-25")</f>
        <v>DCE_2022-25</v>
      </c>
      <c r="I356" s="20" t="str">
        <f ca="1">IFERROR(__xludf.DUMMYFUNCTION("""COMPUTED_VALUE"""),"MYSY")</f>
        <v>MYSY</v>
      </c>
      <c r="J356" s="21">
        <f ca="1">IFERROR(__xludf.DUMMYFUNCTION("""COMPUTED_VALUE"""),25000)</f>
        <v>25000</v>
      </c>
      <c r="K356" s="21">
        <f ca="1">IFERROR(__xludf.DUMMYFUNCTION("""COMPUTED_VALUE"""),25000)</f>
        <v>25000</v>
      </c>
      <c r="L356" s="21">
        <f ca="1">IFERROR(__xludf.DUMMYFUNCTION("""COMPUTED_VALUE"""),0)</f>
        <v>0</v>
      </c>
      <c r="M356" s="23">
        <f ca="1">IFERROR(__xludf.DUMMYFUNCTION("""COMPUTED_VALUE"""),0)</f>
        <v>0</v>
      </c>
      <c r="N356" s="21">
        <f ca="1">IFERROR(__xludf.DUMMYFUNCTION("""COMPUTED_VALUE"""),0)</f>
        <v>0</v>
      </c>
      <c r="O356" s="21">
        <f ca="1">IFERROR(__xludf.DUMMYFUNCTION("""COMPUTED_VALUE"""),3000)</f>
        <v>3000</v>
      </c>
      <c r="P356" s="21">
        <f ca="1">IFERROR(__xludf.DUMMYFUNCTION("""COMPUTED_VALUE"""),3000)</f>
        <v>3000</v>
      </c>
      <c r="Q356" s="23">
        <f ca="1">IFERROR(__xludf.DUMMYFUNCTION("""COMPUTED_VALUE"""),0)</f>
        <v>0</v>
      </c>
      <c r="R356" s="24">
        <f ca="1">IFERROR(__xludf.DUMMYFUNCTION("""COMPUTED_VALUE"""),0)</f>
        <v>0</v>
      </c>
      <c r="S356" s="23">
        <f ca="1">IFERROR(__xludf.DUMMYFUNCTION("""COMPUTED_VALUE"""),0)</f>
        <v>0</v>
      </c>
      <c r="T356" s="24">
        <f ca="1">IFERROR(__xludf.DUMMYFUNCTION("""COMPUTED_VALUE"""),0)</f>
        <v>0</v>
      </c>
      <c r="U356" s="23">
        <f ca="1">IFERROR(__xludf.DUMMYFUNCTION("""COMPUTED_VALUE"""),0)</f>
        <v>0</v>
      </c>
      <c r="V356" s="23">
        <f ca="1">IFERROR(__xludf.DUMMYFUNCTION("""COMPUTED_VALUE"""),0)</f>
        <v>0</v>
      </c>
      <c r="W356" s="23">
        <f ca="1">IFERROR(__xludf.DUMMYFUNCTION("""COMPUTED_VALUE"""),0)</f>
        <v>0</v>
      </c>
      <c r="X356" s="23">
        <f ca="1">IFERROR(__xludf.DUMMYFUNCTION("""COMPUTED_VALUE"""),0)</f>
        <v>0</v>
      </c>
      <c r="Y356" s="25">
        <f ca="1">IFERROR(__xludf.DUMMYFUNCTION("""COMPUTED_VALUE"""),0)</f>
        <v>0</v>
      </c>
      <c r="Z356" s="25">
        <f ca="1">IFERROR(__xludf.DUMMYFUNCTION("""COMPUTED_VALUE"""),0)</f>
        <v>0</v>
      </c>
      <c r="AA356" s="25">
        <f ca="1">IFERROR(__xludf.DUMMYFUNCTION("""COMPUTED_VALUE"""),0)</f>
        <v>0</v>
      </c>
      <c r="AB356" s="25">
        <f ca="1">IFERROR(__xludf.DUMMYFUNCTION("""COMPUTED_VALUE"""),0)</f>
        <v>0</v>
      </c>
      <c r="AC356" s="23">
        <f ca="1">IFERROR(__xludf.DUMMYFUNCTION("""COMPUTED_VALUE"""),0)</f>
        <v>0</v>
      </c>
      <c r="AD356" s="26" t="str">
        <f ca="1">IFERROR(__xludf.DUMMYFUNCTION("""COMPUTED_VALUE"""),"MYSY(50%) + KSPS(25%)")</f>
        <v>MYSY(50%) + KSPS(25%)</v>
      </c>
      <c r="AE356" s="27"/>
    </row>
    <row r="357" spans="1:31" ht="14.3">
      <c r="A357" s="18" t="str">
        <f ca="1">IFERROR(__xludf.DUMMYFUNCTION("""COMPUTED_VALUE"""),"22SDSCE01117")</f>
        <v>22SDSCE01117</v>
      </c>
      <c r="B357" s="19" t="str">
        <f ca="1">IFERROR(__xludf.DUMMYFUNCTION("""COMPUTED_VALUE"""),"VAGHASIYA MITUL SANJAYBHAI")</f>
        <v>VAGHASIYA MITUL SANJAYBHAI</v>
      </c>
      <c r="C357" s="18" t="str">
        <f ca="1">IFERROR(__xludf.DUMMYFUNCTION("""COMPUTED_VALUE"""),"SDS")</f>
        <v>SDS</v>
      </c>
      <c r="D357" s="18" t="str">
        <f ca="1">IFERROR(__xludf.DUMMYFUNCTION("""COMPUTED_VALUE"""),"DCE")</f>
        <v>DCE</v>
      </c>
      <c r="E357" s="25">
        <f ca="1">IFERROR(__xludf.DUMMYFUNCTION("""COMPUTED_VALUE"""),4)</f>
        <v>4</v>
      </c>
      <c r="F357" s="18" t="str">
        <f ca="1">IFERROR(__xludf.DUMMYFUNCTION("""COMPUTED_VALUE"""),"6352434440 9824816738")</f>
        <v>6352434440 9824816738</v>
      </c>
      <c r="G357" s="18" t="str">
        <f ca="1">IFERROR(__xludf.DUMMYFUNCTION("""COMPUTED_VALUE"""),"6352434440 9824816738")</f>
        <v>6352434440 9824816738</v>
      </c>
      <c r="H357" s="6" t="str">
        <f ca="1">IFERROR(__xludf.DUMMYFUNCTION("""COMPUTED_VALUE"""),"DCE_2022-25")</f>
        <v>DCE_2022-25</v>
      </c>
      <c r="I357" s="20" t="str">
        <f ca="1">IFERROR(__xludf.DUMMYFUNCTION("""COMPUTED_VALUE"""),"MYSY")</f>
        <v>MYSY</v>
      </c>
      <c r="J357" s="21">
        <f ca="1">IFERROR(__xludf.DUMMYFUNCTION("""COMPUTED_VALUE"""),25000)</f>
        <v>25000</v>
      </c>
      <c r="K357" s="21">
        <f ca="1">IFERROR(__xludf.DUMMYFUNCTION("""COMPUTED_VALUE"""),25000)</f>
        <v>25000</v>
      </c>
      <c r="L357" s="21">
        <f ca="1">IFERROR(__xludf.DUMMYFUNCTION("""COMPUTED_VALUE"""),0)</f>
        <v>0</v>
      </c>
      <c r="M357" s="23">
        <f ca="1">IFERROR(__xludf.DUMMYFUNCTION("""COMPUTED_VALUE"""),0)</f>
        <v>0</v>
      </c>
      <c r="N357" s="21">
        <f ca="1">IFERROR(__xludf.DUMMYFUNCTION("""COMPUTED_VALUE"""),0)</f>
        <v>0</v>
      </c>
      <c r="O357" s="21">
        <f ca="1">IFERROR(__xludf.DUMMYFUNCTION("""COMPUTED_VALUE"""),3000)</f>
        <v>3000</v>
      </c>
      <c r="P357" s="21">
        <f ca="1">IFERROR(__xludf.DUMMYFUNCTION("""COMPUTED_VALUE"""),3000)</f>
        <v>3000</v>
      </c>
      <c r="Q357" s="23">
        <f ca="1">IFERROR(__xludf.DUMMYFUNCTION("""COMPUTED_VALUE"""),0)</f>
        <v>0</v>
      </c>
      <c r="R357" s="24">
        <f ca="1">IFERROR(__xludf.DUMMYFUNCTION("""COMPUTED_VALUE"""),0)</f>
        <v>0</v>
      </c>
      <c r="S357" s="23">
        <f ca="1">IFERROR(__xludf.DUMMYFUNCTION("""COMPUTED_VALUE"""),0)</f>
        <v>0</v>
      </c>
      <c r="T357" s="24">
        <f ca="1">IFERROR(__xludf.DUMMYFUNCTION("""COMPUTED_VALUE"""),0)</f>
        <v>0</v>
      </c>
      <c r="U357" s="23">
        <f ca="1">IFERROR(__xludf.DUMMYFUNCTION("""COMPUTED_VALUE"""),0)</f>
        <v>0</v>
      </c>
      <c r="V357" s="23">
        <f ca="1">IFERROR(__xludf.DUMMYFUNCTION("""COMPUTED_VALUE"""),0)</f>
        <v>0</v>
      </c>
      <c r="W357" s="23">
        <f ca="1">IFERROR(__xludf.DUMMYFUNCTION("""COMPUTED_VALUE"""),0)</f>
        <v>0</v>
      </c>
      <c r="X357" s="23">
        <f ca="1">IFERROR(__xludf.DUMMYFUNCTION("""COMPUTED_VALUE"""),0)</f>
        <v>0</v>
      </c>
      <c r="Y357" s="25">
        <f ca="1">IFERROR(__xludf.DUMMYFUNCTION("""COMPUTED_VALUE"""),0)</f>
        <v>0</v>
      </c>
      <c r="Z357" s="25">
        <f ca="1">IFERROR(__xludf.DUMMYFUNCTION("""COMPUTED_VALUE"""),0)</f>
        <v>0</v>
      </c>
      <c r="AA357" s="25">
        <f ca="1">IFERROR(__xludf.DUMMYFUNCTION("""COMPUTED_VALUE"""),0)</f>
        <v>0</v>
      </c>
      <c r="AB357" s="25">
        <f ca="1">IFERROR(__xludf.DUMMYFUNCTION("""COMPUTED_VALUE"""),0)</f>
        <v>0</v>
      </c>
      <c r="AC357" s="23">
        <f ca="1">IFERROR(__xludf.DUMMYFUNCTION("""COMPUTED_VALUE"""),0)</f>
        <v>0</v>
      </c>
      <c r="AD357" s="26" t="str">
        <f ca="1">IFERROR(__xludf.DUMMYFUNCTION("""COMPUTED_VALUE"""),"MYSY(50%) + KSPS(50%)")</f>
        <v>MYSY(50%) + KSPS(50%)</v>
      </c>
      <c r="AE357" s="27"/>
    </row>
    <row r="358" spans="1:31" ht="28.55">
      <c r="A358" s="18" t="str">
        <f ca="1">IFERROR(__xludf.DUMMYFUNCTION("""COMPUTED_VALUE"""),"22SDSCE01118")</f>
        <v>22SDSCE01118</v>
      </c>
      <c r="B358" s="19" t="str">
        <f ca="1">IFERROR(__xludf.DUMMYFUNCTION("""COMPUTED_VALUE"""),"VARAN AYUSH PRAFULBHAI")</f>
        <v>VARAN AYUSH PRAFULBHAI</v>
      </c>
      <c r="C358" s="18" t="str">
        <f ca="1">IFERROR(__xludf.DUMMYFUNCTION("""COMPUTED_VALUE"""),"SDS")</f>
        <v>SDS</v>
      </c>
      <c r="D358" s="18" t="str">
        <f ca="1">IFERROR(__xludf.DUMMYFUNCTION("""COMPUTED_VALUE"""),"DCE")</f>
        <v>DCE</v>
      </c>
      <c r="E358" s="25">
        <f ca="1">IFERROR(__xludf.DUMMYFUNCTION("""COMPUTED_VALUE"""),4)</f>
        <v>4</v>
      </c>
      <c r="F358" s="18" t="str">
        <f ca="1">IFERROR(__xludf.DUMMYFUNCTION("""COMPUTED_VALUE"""),"7698986756
9898750627")</f>
        <v>7698986756
9898750627</v>
      </c>
      <c r="G358" s="18" t="str">
        <f ca="1">IFERROR(__xludf.DUMMYFUNCTION("""COMPUTED_VALUE"""),"7698986756
9898750627")</f>
        <v>7698986756
9898750627</v>
      </c>
      <c r="H358" s="6" t="str">
        <f ca="1">IFERROR(__xludf.DUMMYFUNCTION("""COMPUTED_VALUE"""),"DCE_2022-25")</f>
        <v>DCE_2022-25</v>
      </c>
      <c r="I358" s="20" t="str">
        <f ca="1">IFERROR(__xludf.DUMMYFUNCTION("""COMPUTED_VALUE"""),"FREESHIP CARD")</f>
        <v>FREESHIP CARD</v>
      </c>
      <c r="J358" s="21">
        <f ca="1">IFERROR(__xludf.DUMMYFUNCTION("""COMPUTED_VALUE"""),25000)</f>
        <v>25000</v>
      </c>
      <c r="K358" s="21">
        <f ca="1">IFERROR(__xludf.DUMMYFUNCTION("""COMPUTED_VALUE"""),0)</f>
        <v>0</v>
      </c>
      <c r="L358" s="21">
        <f ca="1">IFERROR(__xludf.DUMMYFUNCTION("""COMPUTED_VALUE"""),0)</f>
        <v>0</v>
      </c>
      <c r="M358" s="23">
        <f ca="1">IFERROR(__xludf.DUMMYFUNCTION("""COMPUTED_VALUE"""),0)</f>
        <v>0</v>
      </c>
      <c r="N358" s="21">
        <f ca="1">IFERROR(__xludf.DUMMYFUNCTION("""COMPUTED_VALUE"""),25000)</f>
        <v>25000</v>
      </c>
      <c r="O358" s="21">
        <f ca="1">IFERROR(__xludf.DUMMYFUNCTION("""COMPUTED_VALUE"""),3000)</f>
        <v>3000</v>
      </c>
      <c r="P358" s="21">
        <f ca="1">IFERROR(__xludf.DUMMYFUNCTION("""COMPUTED_VALUE"""),3000)</f>
        <v>3000</v>
      </c>
      <c r="Q358" s="23">
        <f ca="1">IFERROR(__xludf.DUMMYFUNCTION("""COMPUTED_VALUE"""),0)</f>
        <v>0</v>
      </c>
      <c r="R358" s="24">
        <f ca="1">IFERROR(__xludf.DUMMYFUNCTION("""COMPUTED_VALUE"""),0)</f>
        <v>0</v>
      </c>
      <c r="S358" s="23">
        <f ca="1">IFERROR(__xludf.DUMMYFUNCTION("""COMPUTED_VALUE"""),0)</f>
        <v>0</v>
      </c>
      <c r="T358" s="24">
        <f ca="1">IFERROR(__xludf.DUMMYFUNCTION("""COMPUTED_VALUE"""),0)</f>
        <v>0</v>
      </c>
      <c r="U358" s="23">
        <f ca="1">IFERROR(__xludf.DUMMYFUNCTION("""COMPUTED_VALUE"""),0)</f>
        <v>0</v>
      </c>
      <c r="V358" s="23">
        <f ca="1">IFERROR(__xludf.DUMMYFUNCTION("""COMPUTED_VALUE"""),0)</f>
        <v>0</v>
      </c>
      <c r="W358" s="23">
        <f ca="1">IFERROR(__xludf.DUMMYFUNCTION("""COMPUTED_VALUE"""),0)</f>
        <v>0</v>
      </c>
      <c r="X358" s="23">
        <f ca="1">IFERROR(__xludf.DUMMYFUNCTION("""COMPUTED_VALUE"""),0)</f>
        <v>0</v>
      </c>
      <c r="Y358" s="25">
        <f ca="1">IFERROR(__xludf.DUMMYFUNCTION("""COMPUTED_VALUE"""),0)</f>
        <v>0</v>
      </c>
      <c r="Z358" s="25">
        <f ca="1">IFERROR(__xludf.DUMMYFUNCTION("""COMPUTED_VALUE"""),0)</f>
        <v>0</v>
      </c>
      <c r="AA358" s="25">
        <f ca="1">IFERROR(__xludf.DUMMYFUNCTION("""COMPUTED_VALUE"""),0)</f>
        <v>0</v>
      </c>
      <c r="AB358" s="25">
        <f ca="1">IFERROR(__xludf.DUMMYFUNCTION("""COMPUTED_VALUE"""),0)</f>
        <v>0</v>
      </c>
      <c r="AC358" s="23">
        <f ca="1">IFERROR(__xludf.DUMMYFUNCTION("""COMPUTED_VALUE"""),0)</f>
        <v>0</v>
      </c>
      <c r="AD358" s="26" t="str">
        <f ca="1">IFERROR(__xludf.DUMMYFUNCTION("""COMPUTED_VALUE"""),"FREESHIP CARD")</f>
        <v>FREESHIP CARD</v>
      </c>
      <c r="AE358" s="27"/>
    </row>
    <row r="359" spans="1:31" ht="14.3">
      <c r="A359" s="18" t="str">
        <f ca="1">IFERROR(__xludf.DUMMYFUNCTION("""COMPUTED_VALUE"""),"22SDSCE01119")</f>
        <v>22SDSCE01119</v>
      </c>
      <c r="B359" s="19" t="str">
        <f ca="1">IFERROR(__xludf.DUMMYFUNCTION("""COMPUTED_VALUE"""),"VARSANI NANDISH NILESH")</f>
        <v>VARSANI NANDISH NILESH</v>
      </c>
      <c r="C359" s="18" t="str">
        <f ca="1">IFERROR(__xludf.DUMMYFUNCTION("""COMPUTED_VALUE"""),"SDS")</f>
        <v>SDS</v>
      </c>
      <c r="D359" s="18" t="str">
        <f ca="1">IFERROR(__xludf.DUMMYFUNCTION("""COMPUTED_VALUE"""),"DCE")</f>
        <v>DCE</v>
      </c>
      <c r="E359" s="25">
        <f ca="1">IFERROR(__xludf.DUMMYFUNCTION("""COMPUTED_VALUE"""),4)</f>
        <v>4</v>
      </c>
      <c r="F359" s="18" t="str">
        <f ca="1">IFERROR(__xludf.DUMMYFUNCTION("""COMPUTED_VALUE"""),"8511160195 9978220775")</f>
        <v>8511160195 9978220775</v>
      </c>
      <c r="G359" s="18" t="str">
        <f ca="1">IFERROR(__xludf.DUMMYFUNCTION("""COMPUTED_VALUE"""),"8511160195 9978220775")</f>
        <v>8511160195 9978220775</v>
      </c>
      <c r="H359" s="6" t="str">
        <f ca="1">IFERROR(__xludf.DUMMYFUNCTION("""COMPUTED_VALUE"""),"DCE_2022-25")</f>
        <v>DCE_2022-25</v>
      </c>
      <c r="I359" s="20"/>
      <c r="J359" s="21">
        <f ca="1">IFERROR(__xludf.DUMMYFUNCTION("""COMPUTED_VALUE"""),25000)</f>
        <v>25000</v>
      </c>
      <c r="K359" s="21">
        <f ca="1">IFERROR(__xludf.DUMMYFUNCTION("""COMPUTED_VALUE"""),0)</f>
        <v>0</v>
      </c>
      <c r="L359" s="21">
        <f ca="1">IFERROR(__xludf.DUMMYFUNCTION("""COMPUTED_VALUE"""),0)</f>
        <v>0</v>
      </c>
      <c r="M359" s="23">
        <f ca="1">IFERROR(__xludf.DUMMYFUNCTION("""COMPUTED_VALUE"""),0)</f>
        <v>0</v>
      </c>
      <c r="N359" s="21">
        <f ca="1">IFERROR(__xludf.DUMMYFUNCTION("""COMPUTED_VALUE"""),25000)</f>
        <v>25000</v>
      </c>
      <c r="O359" s="21">
        <f ca="1">IFERROR(__xludf.DUMMYFUNCTION("""COMPUTED_VALUE"""),3000)</f>
        <v>3000</v>
      </c>
      <c r="P359" s="21">
        <f ca="1">IFERROR(__xludf.DUMMYFUNCTION("""COMPUTED_VALUE"""),0)</f>
        <v>0</v>
      </c>
      <c r="Q359" s="23">
        <f ca="1">IFERROR(__xludf.DUMMYFUNCTION("""COMPUTED_VALUE"""),0)</f>
        <v>0</v>
      </c>
      <c r="R359" s="24">
        <f ca="1">IFERROR(__xludf.DUMMYFUNCTION("""COMPUTED_VALUE"""),0)</f>
        <v>0</v>
      </c>
      <c r="S359" s="23">
        <f ca="1">IFERROR(__xludf.DUMMYFUNCTION("""COMPUTED_VALUE"""),3000)</f>
        <v>3000</v>
      </c>
      <c r="T359" s="24">
        <f ca="1">IFERROR(__xludf.DUMMYFUNCTION("""COMPUTED_VALUE"""),0)</f>
        <v>0</v>
      </c>
      <c r="U359" s="23">
        <f ca="1">IFERROR(__xludf.DUMMYFUNCTION("""COMPUTED_VALUE"""),0)</f>
        <v>0</v>
      </c>
      <c r="V359" s="23">
        <f ca="1">IFERROR(__xludf.DUMMYFUNCTION("""COMPUTED_VALUE"""),0)</f>
        <v>0</v>
      </c>
      <c r="W359" s="23">
        <f ca="1">IFERROR(__xludf.DUMMYFUNCTION("""COMPUTED_VALUE"""),0)</f>
        <v>0</v>
      </c>
      <c r="X359" s="23">
        <f ca="1">IFERROR(__xludf.DUMMYFUNCTION("""COMPUTED_VALUE"""),0)</f>
        <v>0</v>
      </c>
      <c r="Y359" s="25">
        <f ca="1">IFERROR(__xludf.DUMMYFUNCTION("""COMPUTED_VALUE"""),0)</f>
        <v>0</v>
      </c>
      <c r="Z359" s="25">
        <f ca="1">IFERROR(__xludf.DUMMYFUNCTION("""COMPUTED_VALUE"""),0)</f>
        <v>0</v>
      </c>
      <c r="AA359" s="25">
        <f ca="1">IFERROR(__xludf.DUMMYFUNCTION("""COMPUTED_VALUE"""),0)</f>
        <v>0</v>
      </c>
      <c r="AB359" s="25">
        <f ca="1">IFERROR(__xludf.DUMMYFUNCTION("""COMPUTED_VALUE"""),0)</f>
        <v>0</v>
      </c>
      <c r="AC359" s="23">
        <f ca="1">IFERROR(__xludf.DUMMYFUNCTION("""COMPUTED_VALUE"""),0)</f>
        <v>0</v>
      </c>
      <c r="AD359" s="26"/>
      <c r="AE359" s="27"/>
    </row>
    <row r="360" spans="1:31" ht="14.3">
      <c r="A360" s="18" t="str">
        <f ca="1">IFERROR(__xludf.DUMMYFUNCTION("""COMPUTED_VALUE"""),"22SDSCE01120")</f>
        <v>22SDSCE01120</v>
      </c>
      <c r="B360" s="19" t="str">
        <f ca="1">IFERROR(__xludf.DUMMYFUNCTION("""COMPUTED_VALUE"""),"VASANI UTSAV LAKHAMANBHAI")</f>
        <v>VASANI UTSAV LAKHAMANBHAI</v>
      </c>
      <c r="C360" s="18" t="str">
        <f ca="1">IFERROR(__xludf.DUMMYFUNCTION("""COMPUTED_VALUE"""),"SDS")</f>
        <v>SDS</v>
      </c>
      <c r="D360" s="18" t="str">
        <f ca="1">IFERROR(__xludf.DUMMYFUNCTION("""COMPUTED_VALUE"""),"DCE")</f>
        <v>DCE</v>
      </c>
      <c r="E360" s="25">
        <f ca="1">IFERROR(__xludf.DUMMYFUNCTION("""COMPUTED_VALUE"""),4)</f>
        <v>4</v>
      </c>
      <c r="F360" s="18" t="str">
        <f ca="1">IFERROR(__xludf.DUMMYFUNCTION("""COMPUTED_VALUE"""),"8200388858 9428469375")</f>
        <v>8200388858 9428469375</v>
      </c>
      <c r="G360" s="18" t="str">
        <f ca="1">IFERROR(__xludf.DUMMYFUNCTION("""COMPUTED_VALUE"""),"8200388858 9428469375")</f>
        <v>8200388858 9428469375</v>
      </c>
      <c r="H360" s="6" t="str">
        <f ca="1">IFERROR(__xludf.DUMMYFUNCTION("""COMPUTED_VALUE"""),"DCE_2022-25")</f>
        <v>DCE_2022-25</v>
      </c>
      <c r="I360" s="20" t="str">
        <f ca="1">IFERROR(__xludf.DUMMYFUNCTION("""COMPUTED_VALUE"""),"MYSY")</f>
        <v>MYSY</v>
      </c>
      <c r="J360" s="21">
        <f ca="1">IFERROR(__xludf.DUMMYFUNCTION("""COMPUTED_VALUE"""),25000)</f>
        <v>25000</v>
      </c>
      <c r="K360" s="21">
        <f ca="1">IFERROR(__xludf.DUMMYFUNCTION("""COMPUTED_VALUE"""),0)</f>
        <v>0</v>
      </c>
      <c r="L360" s="21">
        <f ca="1">IFERROR(__xludf.DUMMYFUNCTION("""COMPUTED_VALUE"""),0)</f>
        <v>0</v>
      </c>
      <c r="M360" s="23">
        <f ca="1">IFERROR(__xludf.DUMMYFUNCTION("""COMPUTED_VALUE"""),0)</f>
        <v>0</v>
      </c>
      <c r="N360" s="21">
        <f ca="1">IFERROR(__xludf.DUMMYFUNCTION("""COMPUTED_VALUE"""),25000)</f>
        <v>25000</v>
      </c>
      <c r="O360" s="21">
        <f ca="1">IFERROR(__xludf.DUMMYFUNCTION("""COMPUTED_VALUE"""),3000)</f>
        <v>3000</v>
      </c>
      <c r="P360" s="21">
        <f ca="1">IFERROR(__xludf.DUMMYFUNCTION("""COMPUTED_VALUE"""),3000)</f>
        <v>3000</v>
      </c>
      <c r="Q360" s="23">
        <f ca="1">IFERROR(__xludf.DUMMYFUNCTION("""COMPUTED_VALUE"""),0)</f>
        <v>0</v>
      </c>
      <c r="R360" s="24">
        <f ca="1">IFERROR(__xludf.DUMMYFUNCTION("""COMPUTED_VALUE"""),0)</f>
        <v>0</v>
      </c>
      <c r="S360" s="23">
        <f ca="1">IFERROR(__xludf.DUMMYFUNCTION("""COMPUTED_VALUE"""),0)</f>
        <v>0</v>
      </c>
      <c r="T360" s="24">
        <f ca="1">IFERROR(__xludf.DUMMYFUNCTION("""COMPUTED_VALUE"""),0)</f>
        <v>0</v>
      </c>
      <c r="U360" s="23">
        <f ca="1">IFERROR(__xludf.DUMMYFUNCTION("""COMPUTED_VALUE"""),0)</f>
        <v>0</v>
      </c>
      <c r="V360" s="23">
        <f ca="1">IFERROR(__xludf.DUMMYFUNCTION("""COMPUTED_VALUE"""),0)</f>
        <v>0</v>
      </c>
      <c r="W360" s="23">
        <f ca="1">IFERROR(__xludf.DUMMYFUNCTION("""COMPUTED_VALUE"""),0)</f>
        <v>0</v>
      </c>
      <c r="X360" s="23">
        <f ca="1">IFERROR(__xludf.DUMMYFUNCTION("""COMPUTED_VALUE"""),0)</f>
        <v>0</v>
      </c>
      <c r="Y360" s="25">
        <f ca="1">IFERROR(__xludf.DUMMYFUNCTION("""COMPUTED_VALUE"""),0)</f>
        <v>0</v>
      </c>
      <c r="Z360" s="25">
        <f ca="1">IFERROR(__xludf.DUMMYFUNCTION("""COMPUTED_VALUE"""),0)</f>
        <v>0</v>
      </c>
      <c r="AA360" s="25">
        <f ca="1">IFERROR(__xludf.DUMMYFUNCTION("""COMPUTED_VALUE"""),0)</f>
        <v>0</v>
      </c>
      <c r="AB360" s="25">
        <f ca="1">IFERROR(__xludf.DUMMYFUNCTION("""COMPUTED_VALUE"""),0)</f>
        <v>0</v>
      </c>
      <c r="AC360" s="23">
        <f ca="1">IFERROR(__xludf.DUMMYFUNCTION("""COMPUTED_VALUE"""),0)</f>
        <v>0</v>
      </c>
      <c r="AD360" s="26" t="str">
        <f ca="1">IFERROR(__xludf.DUMMYFUNCTION("""COMPUTED_VALUE"""),"MYSY(50%)")</f>
        <v>MYSY(50%)</v>
      </c>
      <c r="AE360" s="27"/>
    </row>
    <row r="361" spans="1:31" ht="23.1">
      <c r="A361" s="18" t="str">
        <f ca="1">IFERROR(__xludf.DUMMYFUNCTION("""COMPUTED_VALUE"""),"22SDSCE01121")</f>
        <v>22SDSCE01121</v>
      </c>
      <c r="B361" s="19" t="str">
        <f ca="1">IFERROR(__xludf.DUMMYFUNCTION("""COMPUTED_VALUE"""),"VASOYA MALAY PRAFULBHAI")</f>
        <v>VASOYA MALAY PRAFULBHAI</v>
      </c>
      <c r="C361" s="18" t="str">
        <f ca="1">IFERROR(__xludf.DUMMYFUNCTION("""COMPUTED_VALUE"""),"SDS")</f>
        <v>SDS</v>
      </c>
      <c r="D361" s="18" t="str">
        <f ca="1">IFERROR(__xludf.DUMMYFUNCTION("""COMPUTED_VALUE"""),"DCE")</f>
        <v>DCE</v>
      </c>
      <c r="E361" s="25">
        <f ca="1">IFERROR(__xludf.DUMMYFUNCTION("""COMPUTED_VALUE"""),4)</f>
        <v>4</v>
      </c>
      <c r="F361" s="18" t="str">
        <f ca="1">IFERROR(__xludf.DUMMYFUNCTION("""COMPUTED_VALUE"""),"8160708699 6353259386")</f>
        <v>8160708699 6353259386</v>
      </c>
      <c r="G361" s="18" t="str">
        <f ca="1">IFERROR(__xludf.DUMMYFUNCTION("""COMPUTED_VALUE"""),"8160708699 6353259386")</f>
        <v>8160708699 6353259386</v>
      </c>
      <c r="H361" s="6" t="str">
        <f ca="1">IFERROR(__xludf.DUMMYFUNCTION("""COMPUTED_VALUE"""),"DCE_2022-25")</f>
        <v>DCE_2022-25</v>
      </c>
      <c r="I361" s="20" t="str">
        <f ca="1">IFERROR(__xludf.DUMMYFUNCTION("""COMPUTED_VALUE"""),"KSP")</f>
        <v>KSP</v>
      </c>
      <c r="J361" s="21">
        <f ca="1">IFERROR(__xludf.DUMMYFUNCTION("""COMPUTED_VALUE"""),25000)</f>
        <v>25000</v>
      </c>
      <c r="K361" s="21">
        <f ca="1">IFERROR(__xludf.DUMMYFUNCTION("""COMPUTED_VALUE"""),12500)</f>
        <v>12500</v>
      </c>
      <c r="L361" s="21">
        <f ca="1">IFERROR(__xludf.DUMMYFUNCTION("""COMPUTED_VALUE"""),0)</f>
        <v>0</v>
      </c>
      <c r="M361" s="23">
        <f ca="1">IFERROR(__xludf.DUMMYFUNCTION("""COMPUTED_VALUE"""),12500)</f>
        <v>12500</v>
      </c>
      <c r="N361" s="21">
        <f ca="1">IFERROR(__xludf.DUMMYFUNCTION("""COMPUTED_VALUE"""),0)</f>
        <v>0</v>
      </c>
      <c r="O361" s="21">
        <f ca="1">IFERROR(__xludf.DUMMYFUNCTION("""COMPUTED_VALUE"""),3000)</f>
        <v>3000</v>
      </c>
      <c r="P361" s="21">
        <f ca="1">IFERROR(__xludf.DUMMYFUNCTION("""COMPUTED_VALUE"""),3000)</f>
        <v>3000</v>
      </c>
      <c r="Q361" s="23">
        <f ca="1">IFERROR(__xludf.DUMMYFUNCTION("""COMPUTED_VALUE"""),0)</f>
        <v>0</v>
      </c>
      <c r="R361" s="24">
        <f ca="1">IFERROR(__xludf.DUMMYFUNCTION("""COMPUTED_VALUE"""),0)</f>
        <v>0</v>
      </c>
      <c r="S361" s="23">
        <f ca="1">IFERROR(__xludf.DUMMYFUNCTION("""COMPUTED_VALUE"""),0)</f>
        <v>0</v>
      </c>
      <c r="T361" s="24">
        <f ca="1">IFERROR(__xludf.DUMMYFUNCTION("""COMPUTED_VALUE"""),0)</f>
        <v>0</v>
      </c>
      <c r="U361" s="23">
        <f ca="1">IFERROR(__xludf.DUMMYFUNCTION("""COMPUTED_VALUE"""),0)</f>
        <v>0</v>
      </c>
      <c r="V361" s="23">
        <f ca="1">IFERROR(__xludf.DUMMYFUNCTION("""COMPUTED_VALUE"""),0)</f>
        <v>0</v>
      </c>
      <c r="W361" s="23">
        <f ca="1">IFERROR(__xludf.DUMMYFUNCTION("""COMPUTED_VALUE"""),0)</f>
        <v>0</v>
      </c>
      <c r="X361" s="23">
        <f ca="1">IFERROR(__xludf.DUMMYFUNCTION("""COMPUTED_VALUE"""),0)</f>
        <v>0</v>
      </c>
      <c r="Y361" s="25">
        <f ca="1">IFERROR(__xludf.DUMMYFUNCTION("""COMPUTED_VALUE"""),0)</f>
        <v>0</v>
      </c>
      <c r="Z361" s="25">
        <f ca="1">IFERROR(__xludf.DUMMYFUNCTION("""COMPUTED_VALUE"""),0)</f>
        <v>0</v>
      </c>
      <c r="AA361" s="25">
        <f ca="1">IFERROR(__xludf.DUMMYFUNCTION("""COMPUTED_VALUE"""),0)</f>
        <v>0</v>
      </c>
      <c r="AB361" s="25">
        <f ca="1">IFERROR(__xludf.DUMMYFUNCTION("""COMPUTED_VALUE"""),0)</f>
        <v>0</v>
      </c>
      <c r="AC361" s="23">
        <f ca="1">IFERROR(__xludf.DUMMYFUNCTION("""COMPUTED_VALUE"""),0)</f>
        <v>0</v>
      </c>
      <c r="AD361" s="26" t="str">
        <f ca="1">IFERROR(__xludf.DUMMYFUNCTION("""COMPUTED_VALUE"""),"12500 PER SEM SCHOLARSHIP
KSPS (50%)")</f>
        <v>12500 PER SEM SCHOLARSHIP
KSPS (50%)</v>
      </c>
      <c r="AE361" s="27"/>
    </row>
    <row r="362" spans="1:31" ht="14.3">
      <c r="A362" s="18" t="str">
        <f ca="1">IFERROR(__xludf.DUMMYFUNCTION("""COMPUTED_VALUE"""),"22SDSCE01122")</f>
        <v>22SDSCE01122</v>
      </c>
      <c r="B362" s="19" t="str">
        <f ca="1">IFERROR(__xludf.DUMMYFUNCTION("""COMPUTED_VALUE"""),"VASOYA UTSAV BAKULBHAI")</f>
        <v>VASOYA UTSAV BAKULBHAI</v>
      </c>
      <c r="C362" s="18" t="str">
        <f ca="1">IFERROR(__xludf.DUMMYFUNCTION("""COMPUTED_VALUE"""),"SDS")</f>
        <v>SDS</v>
      </c>
      <c r="D362" s="18" t="str">
        <f ca="1">IFERROR(__xludf.DUMMYFUNCTION("""COMPUTED_VALUE"""),"DCE")</f>
        <v>DCE</v>
      </c>
      <c r="E362" s="25">
        <f ca="1">IFERROR(__xludf.DUMMYFUNCTION("""COMPUTED_VALUE"""),4)</f>
        <v>4</v>
      </c>
      <c r="F362" s="18" t="str">
        <f ca="1">IFERROR(__xludf.DUMMYFUNCTION("""COMPUTED_VALUE"""),"9712027139 9737310324")</f>
        <v>9712027139 9737310324</v>
      </c>
      <c r="G362" s="18" t="str">
        <f ca="1">IFERROR(__xludf.DUMMYFUNCTION("""COMPUTED_VALUE"""),"9712027139 9737310324")</f>
        <v>9712027139 9737310324</v>
      </c>
      <c r="H362" s="6" t="str">
        <f ca="1">IFERROR(__xludf.DUMMYFUNCTION("""COMPUTED_VALUE"""),"DCE_2022-25")</f>
        <v>DCE_2022-25</v>
      </c>
      <c r="I362" s="20" t="str">
        <f ca="1">IFERROR(__xludf.DUMMYFUNCTION("""COMPUTED_VALUE"""),"MYSY")</f>
        <v>MYSY</v>
      </c>
      <c r="J362" s="21">
        <f ca="1">IFERROR(__xludf.DUMMYFUNCTION("""COMPUTED_VALUE"""),25000)</f>
        <v>25000</v>
      </c>
      <c r="K362" s="21">
        <f ca="1">IFERROR(__xludf.DUMMYFUNCTION("""COMPUTED_VALUE"""),25000)</f>
        <v>25000</v>
      </c>
      <c r="L362" s="21">
        <f ca="1">IFERROR(__xludf.DUMMYFUNCTION("""COMPUTED_VALUE"""),0)</f>
        <v>0</v>
      </c>
      <c r="M362" s="23">
        <f ca="1">IFERROR(__xludf.DUMMYFUNCTION("""COMPUTED_VALUE"""),0)</f>
        <v>0</v>
      </c>
      <c r="N362" s="21">
        <f ca="1">IFERROR(__xludf.DUMMYFUNCTION("""COMPUTED_VALUE"""),0)</f>
        <v>0</v>
      </c>
      <c r="O362" s="21">
        <f ca="1">IFERROR(__xludf.DUMMYFUNCTION("""COMPUTED_VALUE"""),3000)</f>
        <v>3000</v>
      </c>
      <c r="P362" s="21">
        <f ca="1">IFERROR(__xludf.DUMMYFUNCTION("""COMPUTED_VALUE"""),3000)</f>
        <v>3000</v>
      </c>
      <c r="Q362" s="23">
        <f ca="1">IFERROR(__xludf.DUMMYFUNCTION("""COMPUTED_VALUE"""),0)</f>
        <v>0</v>
      </c>
      <c r="R362" s="24">
        <f ca="1">IFERROR(__xludf.DUMMYFUNCTION("""COMPUTED_VALUE"""),0)</f>
        <v>0</v>
      </c>
      <c r="S362" s="23">
        <f ca="1">IFERROR(__xludf.DUMMYFUNCTION("""COMPUTED_VALUE"""),0)</f>
        <v>0</v>
      </c>
      <c r="T362" s="24">
        <f ca="1">IFERROR(__xludf.DUMMYFUNCTION("""COMPUTED_VALUE"""),0)</f>
        <v>0</v>
      </c>
      <c r="U362" s="23">
        <f ca="1">IFERROR(__xludf.DUMMYFUNCTION("""COMPUTED_VALUE"""),0)</f>
        <v>0</v>
      </c>
      <c r="V362" s="23">
        <f ca="1">IFERROR(__xludf.DUMMYFUNCTION("""COMPUTED_VALUE"""),0)</f>
        <v>0</v>
      </c>
      <c r="W362" s="23">
        <f ca="1">IFERROR(__xludf.DUMMYFUNCTION("""COMPUTED_VALUE"""),0)</f>
        <v>0</v>
      </c>
      <c r="X362" s="23">
        <f ca="1">IFERROR(__xludf.DUMMYFUNCTION("""COMPUTED_VALUE"""),0)</f>
        <v>0</v>
      </c>
      <c r="Y362" s="25">
        <f ca="1">IFERROR(__xludf.DUMMYFUNCTION("""COMPUTED_VALUE"""),0)</f>
        <v>0</v>
      </c>
      <c r="Z362" s="25">
        <f ca="1">IFERROR(__xludf.DUMMYFUNCTION("""COMPUTED_VALUE"""),0)</f>
        <v>0</v>
      </c>
      <c r="AA362" s="25">
        <f ca="1">IFERROR(__xludf.DUMMYFUNCTION("""COMPUTED_VALUE"""),0)</f>
        <v>0</v>
      </c>
      <c r="AB362" s="25">
        <f ca="1">IFERROR(__xludf.DUMMYFUNCTION("""COMPUTED_VALUE"""),0)</f>
        <v>0</v>
      </c>
      <c r="AC362" s="23">
        <f ca="1">IFERROR(__xludf.DUMMYFUNCTION("""COMPUTED_VALUE"""),0)</f>
        <v>0</v>
      </c>
      <c r="AD362" s="26" t="str">
        <f ca="1">IFERROR(__xludf.DUMMYFUNCTION("""COMPUTED_VALUE"""),"KSPS(25%) + MYSY(50%)")</f>
        <v>KSPS(25%) + MYSY(50%)</v>
      </c>
      <c r="AE362" s="27"/>
    </row>
    <row r="363" spans="1:31" ht="14.3">
      <c r="A363" s="18" t="str">
        <f ca="1">IFERROR(__xludf.DUMMYFUNCTION("""COMPUTED_VALUE"""),"22SDSCE01123")</f>
        <v>22SDSCE01123</v>
      </c>
      <c r="B363" s="19" t="str">
        <f ca="1">IFERROR(__xludf.DUMMYFUNCTION("""COMPUTED_VALUE"""),"VEKARIYA BRIJESH MAHESHBHAI")</f>
        <v>VEKARIYA BRIJESH MAHESHBHAI</v>
      </c>
      <c r="C363" s="18" t="str">
        <f ca="1">IFERROR(__xludf.DUMMYFUNCTION("""COMPUTED_VALUE"""),"SDS")</f>
        <v>SDS</v>
      </c>
      <c r="D363" s="18" t="str">
        <f ca="1">IFERROR(__xludf.DUMMYFUNCTION("""COMPUTED_VALUE"""),"DCE")</f>
        <v>DCE</v>
      </c>
      <c r="E363" s="25">
        <f ca="1">IFERROR(__xludf.DUMMYFUNCTION("""COMPUTED_VALUE"""),4)</f>
        <v>4</v>
      </c>
      <c r="F363" s="18" t="str">
        <f ca="1">IFERROR(__xludf.DUMMYFUNCTION("""COMPUTED_VALUE"""),"9313206488 8511204415")</f>
        <v>9313206488 8511204415</v>
      </c>
      <c r="G363" s="18" t="str">
        <f ca="1">IFERROR(__xludf.DUMMYFUNCTION("""COMPUTED_VALUE"""),"9313206488 8511204415")</f>
        <v>9313206488 8511204415</v>
      </c>
      <c r="H363" s="6" t="str">
        <f ca="1">IFERROR(__xludf.DUMMYFUNCTION("""COMPUTED_VALUE"""),"DCE_2022-25")</f>
        <v>DCE_2022-25</v>
      </c>
      <c r="I363" s="20" t="str">
        <f ca="1">IFERROR(__xludf.DUMMYFUNCTION("""COMPUTED_VALUE"""),"MYSY")</f>
        <v>MYSY</v>
      </c>
      <c r="J363" s="21">
        <f ca="1">IFERROR(__xludf.DUMMYFUNCTION("""COMPUTED_VALUE"""),25000)</f>
        <v>25000</v>
      </c>
      <c r="K363" s="21">
        <f ca="1">IFERROR(__xludf.DUMMYFUNCTION("""COMPUTED_VALUE"""),0)</f>
        <v>0</v>
      </c>
      <c r="L363" s="21">
        <f ca="1">IFERROR(__xludf.DUMMYFUNCTION("""COMPUTED_VALUE"""),0)</f>
        <v>0</v>
      </c>
      <c r="M363" s="23">
        <f ca="1">IFERROR(__xludf.DUMMYFUNCTION("""COMPUTED_VALUE"""),0)</f>
        <v>0</v>
      </c>
      <c r="N363" s="21">
        <f ca="1">IFERROR(__xludf.DUMMYFUNCTION("""COMPUTED_VALUE"""),25000)</f>
        <v>25000</v>
      </c>
      <c r="O363" s="21">
        <f ca="1">IFERROR(__xludf.DUMMYFUNCTION("""COMPUTED_VALUE"""),3000)</f>
        <v>3000</v>
      </c>
      <c r="P363" s="21">
        <f ca="1">IFERROR(__xludf.DUMMYFUNCTION("""COMPUTED_VALUE"""),0)</f>
        <v>0</v>
      </c>
      <c r="Q363" s="23">
        <f ca="1">IFERROR(__xludf.DUMMYFUNCTION("""COMPUTED_VALUE"""),0)</f>
        <v>0</v>
      </c>
      <c r="R363" s="24">
        <f ca="1">IFERROR(__xludf.DUMMYFUNCTION("""COMPUTED_VALUE"""),0)</f>
        <v>0</v>
      </c>
      <c r="S363" s="23">
        <f ca="1">IFERROR(__xludf.DUMMYFUNCTION("""COMPUTED_VALUE"""),3000)</f>
        <v>3000</v>
      </c>
      <c r="T363" s="24">
        <f ca="1">IFERROR(__xludf.DUMMYFUNCTION("""COMPUTED_VALUE"""),0)</f>
        <v>0</v>
      </c>
      <c r="U363" s="23">
        <f ca="1">IFERROR(__xludf.DUMMYFUNCTION("""COMPUTED_VALUE"""),0)</f>
        <v>0</v>
      </c>
      <c r="V363" s="23">
        <f ca="1">IFERROR(__xludf.DUMMYFUNCTION("""COMPUTED_VALUE"""),0)</f>
        <v>0</v>
      </c>
      <c r="W363" s="23">
        <f ca="1">IFERROR(__xludf.DUMMYFUNCTION("""COMPUTED_VALUE"""),0)</f>
        <v>0</v>
      </c>
      <c r="X363" s="23">
        <f ca="1">IFERROR(__xludf.DUMMYFUNCTION("""COMPUTED_VALUE"""),0)</f>
        <v>0</v>
      </c>
      <c r="Y363" s="25">
        <f ca="1">IFERROR(__xludf.DUMMYFUNCTION("""COMPUTED_VALUE"""),0)</f>
        <v>0</v>
      </c>
      <c r="Z363" s="25">
        <f ca="1">IFERROR(__xludf.DUMMYFUNCTION("""COMPUTED_VALUE"""),0)</f>
        <v>0</v>
      </c>
      <c r="AA363" s="25">
        <f ca="1">IFERROR(__xludf.DUMMYFUNCTION("""COMPUTED_VALUE"""),0)</f>
        <v>0</v>
      </c>
      <c r="AB363" s="25">
        <f ca="1">IFERROR(__xludf.DUMMYFUNCTION("""COMPUTED_VALUE"""),0)</f>
        <v>0</v>
      </c>
      <c r="AC363" s="23">
        <f ca="1">IFERROR(__xludf.DUMMYFUNCTION("""COMPUTED_VALUE"""),0)</f>
        <v>0</v>
      </c>
      <c r="AD363" s="26" t="str">
        <f ca="1">IFERROR(__xludf.DUMMYFUNCTION("""COMPUTED_VALUE"""),"MYSY(50%) + KSPS(50%)")</f>
        <v>MYSY(50%) + KSPS(50%)</v>
      </c>
      <c r="AE363" s="27"/>
    </row>
    <row r="364" spans="1:31" ht="14.3">
      <c r="A364" s="18" t="str">
        <f ca="1">IFERROR(__xludf.DUMMYFUNCTION("""COMPUTED_VALUE"""),"22SDSCE01124")</f>
        <v>22SDSCE01124</v>
      </c>
      <c r="B364" s="19" t="str">
        <f ca="1">IFERROR(__xludf.DUMMYFUNCTION("""COMPUTED_VALUE"""),"VISANI AKHIL ATULBHAI")</f>
        <v>VISANI AKHIL ATULBHAI</v>
      </c>
      <c r="C364" s="18" t="str">
        <f ca="1">IFERROR(__xludf.DUMMYFUNCTION("""COMPUTED_VALUE"""),"SDS")</f>
        <v>SDS</v>
      </c>
      <c r="D364" s="18" t="str">
        <f ca="1">IFERROR(__xludf.DUMMYFUNCTION("""COMPUTED_VALUE"""),"DCE")</f>
        <v>DCE</v>
      </c>
      <c r="E364" s="25">
        <f ca="1">IFERROR(__xludf.DUMMYFUNCTION("""COMPUTED_VALUE"""),4)</f>
        <v>4</v>
      </c>
      <c r="F364" s="18" t="str">
        <f ca="1">IFERROR(__xludf.DUMMYFUNCTION("""COMPUTED_VALUE"""),"9313527026 9898361412")</f>
        <v>9313527026 9898361412</v>
      </c>
      <c r="G364" s="18" t="str">
        <f ca="1">IFERROR(__xludf.DUMMYFUNCTION("""COMPUTED_VALUE"""),"9313527026 9898361412")</f>
        <v>9313527026 9898361412</v>
      </c>
      <c r="H364" s="6" t="str">
        <f ca="1">IFERROR(__xludf.DUMMYFUNCTION("""COMPUTED_VALUE"""),"DCE_2022-25")</f>
        <v>DCE_2022-25</v>
      </c>
      <c r="I364" s="20" t="str">
        <f ca="1">IFERROR(__xludf.DUMMYFUNCTION("""COMPUTED_VALUE"""),"MYSY")</f>
        <v>MYSY</v>
      </c>
      <c r="J364" s="21">
        <f ca="1">IFERROR(__xludf.DUMMYFUNCTION("""COMPUTED_VALUE"""),25000)</f>
        <v>25000</v>
      </c>
      <c r="K364" s="21">
        <f ca="1">IFERROR(__xludf.DUMMYFUNCTION("""COMPUTED_VALUE"""),0)</f>
        <v>0</v>
      </c>
      <c r="L364" s="21">
        <f ca="1">IFERROR(__xludf.DUMMYFUNCTION("""COMPUTED_VALUE"""),0)</f>
        <v>0</v>
      </c>
      <c r="M364" s="23">
        <f ca="1">IFERROR(__xludf.DUMMYFUNCTION("""COMPUTED_VALUE"""),0)</f>
        <v>0</v>
      </c>
      <c r="N364" s="21">
        <f ca="1">IFERROR(__xludf.DUMMYFUNCTION("""COMPUTED_VALUE"""),25000)</f>
        <v>25000</v>
      </c>
      <c r="O364" s="21">
        <f ca="1">IFERROR(__xludf.DUMMYFUNCTION("""COMPUTED_VALUE"""),3000)</f>
        <v>3000</v>
      </c>
      <c r="P364" s="21">
        <f ca="1">IFERROR(__xludf.DUMMYFUNCTION("""COMPUTED_VALUE"""),3000)</f>
        <v>3000</v>
      </c>
      <c r="Q364" s="23">
        <f ca="1">IFERROR(__xludf.DUMMYFUNCTION("""COMPUTED_VALUE"""),0)</f>
        <v>0</v>
      </c>
      <c r="R364" s="24">
        <f ca="1">IFERROR(__xludf.DUMMYFUNCTION("""COMPUTED_VALUE"""),0)</f>
        <v>0</v>
      </c>
      <c r="S364" s="23">
        <f ca="1">IFERROR(__xludf.DUMMYFUNCTION("""COMPUTED_VALUE"""),0)</f>
        <v>0</v>
      </c>
      <c r="T364" s="24">
        <f ca="1">IFERROR(__xludf.DUMMYFUNCTION("""COMPUTED_VALUE"""),0)</f>
        <v>0</v>
      </c>
      <c r="U364" s="23">
        <f ca="1">IFERROR(__xludf.DUMMYFUNCTION("""COMPUTED_VALUE"""),0)</f>
        <v>0</v>
      </c>
      <c r="V364" s="23">
        <f ca="1">IFERROR(__xludf.DUMMYFUNCTION("""COMPUTED_VALUE"""),0)</f>
        <v>0</v>
      </c>
      <c r="W364" s="23">
        <f ca="1">IFERROR(__xludf.DUMMYFUNCTION("""COMPUTED_VALUE"""),0)</f>
        <v>0</v>
      </c>
      <c r="X364" s="23">
        <f ca="1">IFERROR(__xludf.DUMMYFUNCTION("""COMPUTED_VALUE"""),0)</f>
        <v>0</v>
      </c>
      <c r="Y364" s="25">
        <f ca="1">IFERROR(__xludf.DUMMYFUNCTION("""COMPUTED_VALUE"""),0)</f>
        <v>0</v>
      </c>
      <c r="Z364" s="25">
        <f ca="1">IFERROR(__xludf.DUMMYFUNCTION("""COMPUTED_VALUE"""),0)</f>
        <v>0</v>
      </c>
      <c r="AA364" s="25">
        <f ca="1">IFERROR(__xludf.DUMMYFUNCTION("""COMPUTED_VALUE"""),0)</f>
        <v>0</v>
      </c>
      <c r="AB364" s="25">
        <f ca="1">IFERROR(__xludf.DUMMYFUNCTION("""COMPUTED_VALUE"""),0)</f>
        <v>0</v>
      </c>
      <c r="AC364" s="23">
        <f ca="1">IFERROR(__xludf.DUMMYFUNCTION("""COMPUTED_VALUE"""),0)</f>
        <v>0</v>
      </c>
      <c r="AD364" s="26" t="str">
        <f ca="1">IFERROR(__xludf.DUMMYFUNCTION("""COMPUTED_VALUE"""),"KSPS(25%) + MYSY(50%) ")</f>
        <v xml:space="preserve">KSPS(25%) + MYSY(50%) </v>
      </c>
      <c r="AE364" s="27"/>
    </row>
    <row r="365" spans="1:31" ht="14.3">
      <c r="A365" s="18" t="str">
        <f ca="1">IFERROR(__xludf.DUMMYFUNCTION("""COMPUTED_VALUE"""),"22SDSCE01125")</f>
        <v>22SDSCE01125</v>
      </c>
      <c r="B365" s="19" t="str">
        <f ca="1">IFERROR(__xludf.DUMMYFUNCTION("""COMPUTED_VALUE"""),"VYAS BANSI YOGESHKUMAR")</f>
        <v>VYAS BANSI YOGESHKUMAR</v>
      </c>
      <c r="C365" s="18" t="str">
        <f ca="1">IFERROR(__xludf.DUMMYFUNCTION("""COMPUTED_VALUE"""),"SDS")</f>
        <v>SDS</v>
      </c>
      <c r="D365" s="18" t="str">
        <f ca="1">IFERROR(__xludf.DUMMYFUNCTION("""COMPUTED_VALUE"""),"DCE")</f>
        <v>DCE</v>
      </c>
      <c r="E365" s="25">
        <f ca="1">IFERROR(__xludf.DUMMYFUNCTION("""COMPUTED_VALUE"""),4)</f>
        <v>4</v>
      </c>
      <c r="F365" s="18" t="str">
        <f ca="1">IFERROR(__xludf.DUMMYFUNCTION("""COMPUTED_VALUE"""),"9408153706 9429096730")</f>
        <v>9408153706 9429096730</v>
      </c>
      <c r="G365" s="18" t="str">
        <f ca="1">IFERROR(__xludf.DUMMYFUNCTION("""COMPUTED_VALUE"""),"9408153706 9429096730")</f>
        <v>9408153706 9429096730</v>
      </c>
      <c r="H365" s="6" t="str">
        <f ca="1">IFERROR(__xludf.DUMMYFUNCTION("""COMPUTED_VALUE"""),"DCE_2022-25")</f>
        <v>DCE_2022-25</v>
      </c>
      <c r="I365" s="20" t="str">
        <f ca="1">IFERROR(__xludf.DUMMYFUNCTION("""COMPUTED_VALUE"""),"MYSY")</f>
        <v>MYSY</v>
      </c>
      <c r="J365" s="21">
        <f ca="1">IFERROR(__xludf.DUMMYFUNCTION("""COMPUTED_VALUE"""),25000)</f>
        <v>25000</v>
      </c>
      <c r="K365" s="21">
        <f ca="1">IFERROR(__xludf.DUMMYFUNCTION("""COMPUTED_VALUE"""),0)</f>
        <v>0</v>
      </c>
      <c r="L365" s="21">
        <f ca="1">IFERROR(__xludf.DUMMYFUNCTION("""COMPUTED_VALUE"""),0)</f>
        <v>0</v>
      </c>
      <c r="M365" s="23">
        <f ca="1">IFERROR(__xludf.DUMMYFUNCTION("""COMPUTED_VALUE"""),0)</f>
        <v>0</v>
      </c>
      <c r="N365" s="21">
        <f ca="1">IFERROR(__xludf.DUMMYFUNCTION("""COMPUTED_VALUE"""),25000)</f>
        <v>25000</v>
      </c>
      <c r="O365" s="21">
        <f ca="1">IFERROR(__xludf.DUMMYFUNCTION("""COMPUTED_VALUE"""),3000)</f>
        <v>3000</v>
      </c>
      <c r="P365" s="21">
        <f ca="1">IFERROR(__xludf.DUMMYFUNCTION("""COMPUTED_VALUE"""),3000)</f>
        <v>3000</v>
      </c>
      <c r="Q365" s="23">
        <f ca="1">IFERROR(__xludf.DUMMYFUNCTION("""COMPUTED_VALUE"""),0)</f>
        <v>0</v>
      </c>
      <c r="R365" s="24">
        <f ca="1">IFERROR(__xludf.DUMMYFUNCTION("""COMPUTED_VALUE"""),0)</f>
        <v>0</v>
      </c>
      <c r="S365" s="23">
        <f ca="1">IFERROR(__xludf.DUMMYFUNCTION("""COMPUTED_VALUE"""),0)</f>
        <v>0</v>
      </c>
      <c r="T365" s="24">
        <f ca="1">IFERROR(__xludf.DUMMYFUNCTION("""COMPUTED_VALUE"""),0)</f>
        <v>0</v>
      </c>
      <c r="U365" s="23">
        <f ca="1">IFERROR(__xludf.DUMMYFUNCTION("""COMPUTED_VALUE"""),0)</f>
        <v>0</v>
      </c>
      <c r="V365" s="23">
        <f ca="1">IFERROR(__xludf.DUMMYFUNCTION("""COMPUTED_VALUE"""),0)</f>
        <v>0</v>
      </c>
      <c r="W365" s="23">
        <f ca="1">IFERROR(__xludf.DUMMYFUNCTION("""COMPUTED_VALUE"""),0)</f>
        <v>0</v>
      </c>
      <c r="X365" s="23">
        <f ca="1">IFERROR(__xludf.DUMMYFUNCTION("""COMPUTED_VALUE"""),0)</f>
        <v>0</v>
      </c>
      <c r="Y365" s="25">
        <f ca="1">IFERROR(__xludf.DUMMYFUNCTION("""COMPUTED_VALUE"""),0)</f>
        <v>0</v>
      </c>
      <c r="Z365" s="25">
        <f ca="1">IFERROR(__xludf.DUMMYFUNCTION("""COMPUTED_VALUE"""),0)</f>
        <v>0</v>
      </c>
      <c r="AA365" s="25">
        <f ca="1">IFERROR(__xludf.DUMMYFUNCTION("""COMPUTED_VALUE"""),0)</f>
        <v>0</v>
      </c>
      <c r="AB365" s="25">
        <f ca="1">IFERROR(__xludf.DUMMYFUNCTION("""COMPUTED_VALUE"""),0)</f>
        <v>0</v>
      </c>
      <c r="AC365" s="23">
        <f ca="1">IFERROR(__xludf.DUMMYFUNCTION("""COMPUTED_VALUE"""),0)</f>
        <v>0</v>
      </c>
      <c r="AD365" s="26" t="str">
        <f ca="1">IFERROR(__xludf.DUMMYFUNCTION("""COMPUTED_VALUE"""),"MYSY(50%) + KSPS(50%)")</f>
        <v>MYSY(50%) + KSPS(50%)</v>
      </c>
      <c r="AE365" s="27"/>
    </row>
    <row r="366" spans="1:31" ht="14.3">
      <c r="A366" s="18" t="str">
        <f ca="1">IFERROR(__xludf.DUMMYFUNCTION("""COMPUTED_VALUE"""),"22SDSCE01126")</f>
        <v>22SDSCE01126</v>
      </c>
      <c r="B366" s="19" t="str">
        <f ca="1">IFERROR(__xludf.DUMMYFUNCTION("""COMPUTED_VALUE"""),"VYAS BHAVARTH VIPULKUMAR")</f>
        <v>VYAS BHAVARTH VIPULKUMAR</v>
      </c>
      <c r="C366" s="18" t="str">
        <f ca="1">IFERROR(__xludf.DUMMYFUNCTION("""COMPUTED_VALUE"""),"SDS")</f>
        <v>SDS</v>
      </c>
      <c r="D366" s="18" t="str">
        <f ca="1">IFERROR(__xludf.DUMMYFUNCTION("""COMPUTED_VALUE"""),"DCE")</f>
        <v>DCE</v>
      </c>
      <c r="E366" s="25">
        <f ca="1">IFERROR(__xludf.DUMMYFUNCTION("""COMPUTED_VALUE"""),4)</f>
        <v>4</v>
      </c>
      <c r="F366" s="18" t="str">
        <f ca="1">IFERROR(__xludf.DUMMYFUNCTION("""COMPUTED_VALUE"""),"9428970772
9426965344")</f>
        <v>9428970772
9426965344</v>
      </c>
      <c r="G366" s="18" t="str">
        <f ca="1">IFERROR(__xludf.DUMMYFUNCTION("""COMPUTED_VALUE"""),"9428970772
9426965344")</f>
        <v>9428970772
9426965344</v>
      </c>
      <c r="H366" s="6" t="str">
        <f ca="1">IFERROR(__xludf.DUMMYFUNCTION("""COMPUTED_VALUE"""),"DCE_2022-25")</f>
        <v>DCE_2022-25</v>
      </c>
      <c r="I366" s="20" t="str">
        <f ca="1">IFERROR(__xludf.DUMMYFUNCTION("""COMPUTED_VALUE"""),"MYSY")</f>
        <v>MYSY</v>
      </c>
      <c r="J366" s="21">
        <f ca="1">IFERROR(__xludf.DUMMYFUNCTION("""COMPUTED_VALUE"""),25000)</f>
        <v>25000</v>
      </c>
      <c r="K366" s="21">
        <f ca="1">IFERROR(__xludf.DUMMYFUNCTION("""COMPUTED_VALUE"""),0)</f>
        <v>0</v>
      </c>
      <c r="L366" s="21">
        <f ca="1">IFERROR(__xludf.DUMMYFUNCTION("""COMPUTED_VALUE"""),0)</f>
        <v>0</v>
      </c>
      <c r="M366" s="23">
        <f ca="1">IFERROR(__xludf.DUMMYFUNCTION("""COMPUTED_VALUE"""),0)</f>
        <v>0</v>
      </c>
      <c r="N366" s="21">
        <f ca="1">IFERROR(__xludf.DUMMYFUNCTION("""COMPUTED_VALUE"""),25000)</f>
        <v>25000</v>
      </c>
      <c r="O366" s="21">
        <f ca="1">IFERROR(__xludf.DUMMYFUNCTION("""COMPUTED_VALUE"""),3000)</f>
        <v>3000</v>
      </c>
      <c r="P366" s="21">
        <f ca="1">IFERROR(__xludf.DUMMYFUNCTION("""COMPUTED_VALUE"""),3000)</f>
        <v>3000</v>
      </c>
      <c r="Q366" s="23">
        <f ca="1">IFERROR(__xludf.DUMMYFUNCTION("""COMPUTED_VALUE"""),0)</f>
        <v>0</v>
      </c>
      <c r="R366" s="24">
        <f ca="1">IFERROR(__xludf.DUMMYFUNCTION("""COMPUTED_VALUE"""),0)</f>
        <v>0</v>
      </c>
      <c r="S366" s="23">
        <f ca="1">IFERROR(__xludf.DUMMYFUNCTION("""COMPUTED_VALUE"""),0)</f>
        <v>0</v>
      </c>
      <c r="T366" s="24">
        <f ca="1">IFERROR(__xludf.DUMMYFUNCTION("""COMPUTED_VALUE"""),0)</f>
        <v>0</v>
      </c>
      <c r="U366" s="23">
        <f ca="1">IFERROR(__xludf.DUMMYFUNCTION("""COMPUTED_VALUE"""),0)</f>
        <v>0</v>
      </c>
      <c r="V366" s="23">
        <f ca="1">IFERROR(__xludf.DUMMYFUNCTION("""COMPUTED_VALUE"""),0)</f>
        <v>0</v>
      </c>
      <c r="W366" s="23">
        <f ca="1">IFERROR(__xludf.DUMMYFUNCTION("""COMPUTED_VALUE"""),0)</f>
        <v>0</v>
      </c>
      <c r="X366" s="23">
        <f ca="1">IFERROR(__xludf.DUMMYFUNCTION("""COMPUTED_VALUE"""),0)</f>
        <v>0</v>
      </c>
      <c r="Y366" s="25">
        <f ca="1">IFERROR(__xludf.DUMMYFUNCTION("""COMPUTED_VALUE"""),0)</f>
        <v>0</v>
      </c>
      <c r="Z366" s="25">
        <f ca="1">IFERROR(__xludf.DUMMYFUNCTION("""COMPUTED_VALUE"""),0)</f>
        <v>0</v>
      </c>
      <c r="AA366" s="25">
        <f ca="1">IFERROR(__xludf.DUMMYFUNCTION("""COMPUTED_VALUE"""),0)</f>
        <v>0</v>
      </c>
      <c r="AB366" s="25">
        <f ca="1">IFERROR(__xludf.DUMMYFUNCTION("""COMPUTED_VALUE"""),0)</f>
        <v>0</v>
      </c>
      <c r="AC366" s="23">
        <f ca="1">IFERROR(__xludf.DUMMYFUNCTION("""COMPUTED_VALUE"""),0)</f>
        <v>0</v>
      </c>
      <c r="AD366" s="26" t="str">
        <f ca="1">IFERROR(__xludf.DUMMYFUNCTION("""COMPUTED_VALUE""")," KSPS(25%) + MYSY(50%) ")</f>
        <v xml:space="preserve"> KSPS(25%) + MYSY(50%) </v>
      </c>
      <c r="AE366" s="27"/>
    </row>
    <row r="367" spans="1:31" ht="23.1">
      <c r="A367" s="18" t="str">
        <f ca="1">IFERROR(__xludf.DUMMYFUNCTION("""COMPUTED_VALUE"""),"22SDSCE01127")</f>
        <v>22SDSCE01127</v>
      </c>
      <c r="B367" s="19" t="str">
        <f ca="1">IFERROR(__xludf.DUMMYFUNCTION("""COMPUTED_VALUE"""),"VYAS PARAM NAYANKUMAR")</f>
        <v>VYAS PARAM NAYANKUMAR</v>
      </c>
      <c r="C367" s="18" t="str">
        <f ca="1">IFERROR(__xludf.DUMMYFUNCTION("""COMPUTED_VALUE"""),"SDS")</f>
        <v>SDS</v>
      </c>
      <c r="D367" s="18" t="str">
        <f ca="1">IFERROR(__xludf.DUMMYFUNCTION("""COMPUTED_VALUE"""),"DCE")</f>
        <v>DCE</v>
      </c>
      <c r="E367" s="25">
        <f ca="1">IFERROR(__xludf.DUMMYFUNCTION("""COMPUTED_VALUE"""),4)</f>
        <v>4</v>
      </c>
      <c r="F367" s="18" t="str">
        <f ca="1">IFERROR(__xludf.DUMMYFUNCTION("""COMPUTED_VALUE"""),"9924514299 9824822033")</f>
        <v>9924514299 9824822033</v>
      </c>
      <c r="G367" s="18" t="str">
        <f ca="1">IFERROR(__xludf.DUMMYFUNCTION("""COMPUTED_VALUE"""),"9924514299 9824822033")</f>
        <v>9924514299 9824822033</v>
      </c>
      <c r="H367" s="6" t="str">
        <f ca="1">IFERROR(__xludf.DUMMYFUNCTION("""COMPUTED_VALUE"""),"DCE_2022-25")</f>
        <v>DCE_2022-25</v>
      </c>
      <c r="I367" s="20" t="str">
        <f ca="1">IFERROR(__xludf.DUMMYFUNCTION("""COMPUTED_VALUE"""),"KSP")</f>
        <v>KSP</v>
      </c>
      <c r="J367" s="21">
        <f ca="1">IFERROR(__xludf.DUMMYFUNCTION("""COMPUTED_VALUE"""),25000)</f>
        <v>25000</v>
      </c>
      <c r="K367" s="21">
        <f ca="1">IFERROR(__xludf.DUMMYFUNCTION("""COMPUTED_VALUE"""),12500)</f>
        <v>12500</v>
      </c>
      <c r="L367" s="21">
        <f ca="1">IFERROR(__xludf.DUMMYFUNCTION("""COMPUTED_VALUE"""),0)</f>
        <v>0</v>
      </c>
      <c r="M367" s="23">
        <f ca="1">IFERROR(__xludf.DUMMYFUNCTION("""COMPUTED_VALUE"""),12500)</f>
        <v>12500</v>
      </c>
      <c r="N367" s="21">
        <f ca="1">IFERROR(__xludf.DUMMYFUNCTION("""COMPUTED_VALUE"""),0)</f>
        <v>0</v>
      </c>
      <c r="O367" s="21">
        <f ca="1">IFERROR(__xludf.DUMMYFUNCTION("""COMPUTED_VALUE"""),3000)</f>
        <v>3000</v>
      </c>
      <c r="P367" s="21">
        <f ca="1">IFERROR(__xludf.DUMMYFUNCTION("""COMPUTED_VALUE"""),3000)</f>
        <v>3000</v>
      </c>
      <c r="Q367" s="23">
        <f ca="1">IFERROR(__xludf.DUMMYFUNCTION("""COMPUTED_VALUE"""),0)</f>
        <v>0</v>
      </c>
      <c r="R367" s="24">
        <f ca="1">IFERROR(__xludf.DUMMYFUNCTION("""COMPUTED_VALUE"""),0)</f>
        <v>0</v>
      </c>
      <c r="S367" s="23">
        <f ca="1">IFERROR(__xludf.DUMMYFUNCTION("""COMPUTED_VALUE"""),0)</f>
        <v>0</v>
      </c>
      <c r="T367" s="24">
        <f ca="1">IFERROR(__xludf.DUMMYFUNCTION("""COMPUTED_VALUE"""),0)</f>
        <v>0</v>
      </c>
      <c r="U367" s="23">
        <f ca="1">IFERROR(__xludf.DUMMYFUNCTION("""COMPUTED_VALUE"""),0)</f>
        <v>0</v>
      </c>
      <c r="V367" s="23">
        <f ca="1">IFERROR(__xludf.DUMMYFUNCTION("""COMPUTED_VALUE"""),0)</f>
        <v>0</v>
      </c>
      <c r="W367" s="23">
        <f ca="1">IFERROR(__xludf.DUMMYFUNCTION("""COMPUTED_VALUE"""),0)</f>
        <v>0</v>
      </c>
      <c r="X367" s="23">
        <f ca="1">IFERROR(__xludf.DUMMYFUNCTION("""COMPUTED_VALUE"""),0)</f>
        <v>0</v>
      </c>
      <c r="Y367" s="25">
        <f ca="1">IFERROR(__xludf.DUMMYFUNCTION("""COMPUTED_VALUE"""),0)</f>
        <v>0</v>
      </c>
      <c r="Z367" s="25">
        <f ca="1">IFERROR(__xludf.DUMMYFUNCTION("""COMPUTED_VALUE"""),0)</f>
        <v>0</v>
      </c>
      <c r="AA367" s="25">
        <f ca="1">IFERROR(__xludf.DUMMYFUNCTION("""COMPUTED_VALUE"""),0)</f>
        <v>0</v>
      </c>
      <c r="AB367" s="25">
        <f ca="1">IFERROR(__xludf.DUMMYFUNCTION("""COMPUTED_VALUE"""),0)</f>
        <v>0</v>
      </c>
      <c r="AC367" s="23">
        <f ca="1">IFERROR(__xludf.DUMMYFUNCTION("""COMPUTED_VALUE"""),0)</f>
        <v>0</v>
      </c>
      <c r="AD367" s="26" t="str">
        <f ca="1">IFERROR(__xludf.DUMMYFUNCTION("""COMPUTED_VALUE"""),"12500 PER SEM SCHOLARSHIP
KSPS (50%)")</f>
        <v>12500 PER SEM SCHOLARSHIP
KSPS (50%)</v>
      </c>
      <c r="AE367" s="27"/>
    </row>
    <row r="368" spans="1:31" ht="14.3">
      <c r="A368" s="18" t="str">
        <f ca="1">IFERROR(__xludf.DUMMYFUNCTION("""COMPUTED_VALUE"""),"22SDSCE01215")</f>
        <v>22SDSCE01215</v>
      </c>
      <c r="B368" s="19" t="str">
        <f ca="1">IFERROR(__xludf.DUMMYFUNCTION("""COMPUTED_VALUE"""),"PANSURIYA ANSH PARESHBHAI")</f>
        <v>PANSURIYA ANSH PARESHBHAI</v>
      </c>
      <c r="C368" s="18" t="str">
        <f ca="1">IFERROR(__xludf.DUMMYFUNCTION("""COMPUTED_VALUE"""),"SDS")</f>
        <v>SDS</v>
      </c>
      <c r="D368" s="18" t="str">
        <f ca="1">IFERROR(__xludf.DUMMYFUNCTION("""COMPUTED_VALUE"""),"DCE")</f>
        <v>DCE</v>
      </c>
      <c r="E368" s="25">
        <f ca="1">IFERROR(__xludf.DUMMYFUNCTION("""COMPUTED_VALUE"""),4)</f>
        <v>4</v>
      </c>
      <c r="F368" s="18" t="str">
        <f ca="1">IFERROR(__xludf.DUMMYFUNCTION("""COMPUTED_VALUE"""),"8128689921 9825182009")</f>
        <v>8128689921 9825182009</v>
      </c>
      <c r="G368" s="18" t="str">
        <f ca="1">IFERROR(__xludf.DUMMYFUNCTION("""COMPUTED_VALUE"""),"8128689921 9825182009")</f>
        <v>8128689921 9825182009</v>
      </c>
      <c r="H368" s="6" t="str">
        <f ca="1">IFERROR(__xludf.DUMMYFUNCTION("""COMPUTED_VALUE"""),"DCE_2022-25")</f>
        <v>DCE_2022-25</v>
      </c>
      <c r="I368" s="20"/>
      <c r="J368" s="21">
        <f ca="1">IFERROR(__xludf.DUMMYFUNCTION("""COMPUTED_VALUE"""),25000)</f>
        <v>25000</v>
      </c>
      <c r="K368" s="21">
        <f ca="1">IFERROR(__xludf.DUMMYFUNCTION("""COMPUTED_VALUE"""),0)</f>
        <v>0</v>
      </c>
      <c r="L368" s="21">
        <f ca="1">IFERROR(__xludf.DUMMYFUNCTION("""COMPUTED_VALUE"""),0)</f>
        <v>0</v>
      </c>
      <c r="M368" s="23">
        <f ca="1">IFERROR(__xludf.DUMMYFUNCTION("""COMPUTED_VALUE"""),0)</f>
        <v>0</v>
      </c>
      <c r="N368" s="21">
        <f ca="1">IFERROR(__xludf.DUMMYFUNCTION("""COMPUTED_VALUE"""),25000)</f>
        <v>25000</v>
      </c>
      <c r="O368" s="21">
        <f ca="1">IFERROR(__xludf.DUMMYFUNCTION("""COMPUTED_VALUE"""),3000)</f>
        <v>3000</v>
      </c>
      <c r="P368" s="21">
        <f ca="1">IFERROR(__xludf.DUMMYFUNCTION("""COMPUTED_VALUE"""),0)</f>
        <v>0</v>
      </c>
      <c r="Q368" s="23">
        <f ca="1">IFERROR(__xludf.DUMMYFUNCTION("""COMPUTED_VALUE"""),0)</f>
        <v>0</v>
      </c>
      <c r="R368" s="24">
        <f ca="1">IFERROR(__xludf.DUMMYFUNCTION("""COMPUTED_VALUE"""),0)</f>
        <v>0</v>
      </c>
      <c r="S368" s="23">
        <f ca="1">IFERROR(__xludf.DUMMYFUNCTION("""COMPUTED_VALUE"""),3000)</f>
        <v>3000</v>
      </c>
      <c r="T368" s="24">
        <f ca="1">IFERROR(__xludf.DUMMYFUNCTION("""COMPUTED_VALUE"""),0)</f>
        <v>0</v>
      </c>
      <c r="U368" s="23">
        <f ca="1">IFERROR(__xludf.DUMMYFUNCTION("""COMPUTED_VALUE"""),0)</f>
        <v>0</v>
      </c>
      <c r="V368" s="23">
        <f ca="1">IFERROR(__xludf.DUMMYFUNCTION("""COMPUTED_VALUE"""),0)</f>
        <v>0</v>
      </c>
      <c r="W368" s="23">
        <f ca="1">IFERROR(__xludf.DUMMYFUNCTION("""COMPUTED_VALUE"""),0)</f>
        <v>0</v>
      </c>
      <c r="X368" s="23">
        <f ca="1">IFERROR(__xludf.DUMMYFUNCTION("""COMPUTED_VALUE"""),0)</f>
        <v>0</v>
      </c>
      <c r="Y368" s="25">
        <f ca="1">IFERROR(__xludf.DUMMYFUNCTION("""COMPUTED_VALUE"""),0)</f>
        <v>0</v>
      </c>
      <c r="Z368" s="25">
        <f ca="1">IFERROR(__xludf.DUMMYFUNCTION("""COMPUTED_VALUE"""),0)</f>
        <v>0</v>
      </c>
      <c r="AA368" s="25">
        <f ca="1">IFERROR(__xludf.DUMMYFUNCTION("""COMPUTED_VALUE"""),0)</f>
        <v>0</v>
      </c>
      <c r="AB368" s="25">
        <f ca="1">IFERROR(__xludf.DUMMYFUNCTION("""COMPUTED_VALUE"""),0)</f>
        <v>0</v>
      </c>
      <c r="AC368" s="23">
        <f ca="1">IFERROR(__xludf.DUMMYFUNCTION("""COMPUTED_VALUE"""),0)</f>
        <v>0</v>
      </c>
      <c r="AD368" s="26"/>
      <c r="AE368" s="27"/>
    </row>
    <row r="369" spans="1:31" ht="14.3">
      <c r="A369" s="18" t="str">
        <f ca="1">IFERROR(__xludf.DUMMYFUNCTION("""COMPUTED_VALUE"""),"22SDSCE01217")</f>
        <v>22SDSCE01217</v>
      </c>
      <c r="B369" s="19" t="str">
        <f ca="1">IFERROR(__xludf.DUMMYFUNCTION("""COMPUTED_VALUE"""),"POPAT HENISH BRIJESHBHAI")</f>
        <v>POPAT HENISH BRIJESHBHAI</v>
      </c>
      <c r="C369" s="18" t="str">
        <f ca="1">IFERROR(__xludf.DUMMYFUNCTION("""COMPUTED_VALUE"""),"SDS")</f>
        <v>SDS</v>
      </c>
      <c r="D369" s="18" t="str">
        <f ca="1">IFERROR(__xludf.DUMMYFUNCTION("""COMPUTED_VALUE"""),"DCE")</f>
        <v>DCE</v>
      </c>
      <c r="E369" s="25">
        <f ca="1">IFERROR(__xludf.DUMMYFUNCTION("""COMPUTED_VALUE"""),4)</f>
        <v>4</v>
      </c>
      <c r="F369" s="18" t="str">
        <f ca="1">IFERROR(__xludf.DUMMYFUNCTION("""COMPUTED_VALUE"""),"7863824849 9825653808")</f>
        <v>7863824849 9825653808</v>
      </c>
      <c r="G369" s="18" t="str">
        <f ca="1">IFERROR(__xludf.DUMMYFUNCTION("""COMPUTED_VALUE"""),"7863824849 9825653808")</f>
        <v>7863824849 9825653808</v>
      </c>
      <c r="H369" s="6" t="str">
        <f ca="1">IFERROR(__xludf.DUMMYFUNCTION("""COMPUTED_VALUE"""),"DCE_2022-25")</f>
        <v>DCE_2022-25</v>
      </c>
      <c r="I369" s="20"/>
      <c r="J369" s="21">
        <f ca="1">IFERROR(__xludf.DUMMYFUNCTION("""COMPUTED_VALUE"""),25000)</f>
        <v>25000</v>
      </c>
      <c r="K369" s="21">
        <f ca="1">IFERROR(__xludf.DUMMYFUNCTION("""COMPUTED_VALUE"""),25000)</f>
        <v>25000</v>
      </c>
      <c r="L369" s="21">
        <f ca="1">IFERROR(__xludf.DUMMYFUNCTION("""COMPUTED_VALUE"""),0)</f>
        <v>0</v>
      </c>
      <c r="M369" s="23">
        <f ca="1">IFERROR(__xludf.DUMMYFUNCTION("""COMPUTED_VALUE"""),0)</f>
        <v>0</v>
      </c>
      <c r="N369" s="21">
        <f ca="1">IFERROR(__xludf.DUMMYFUNCTION("""COMPUTED_VALUE"""),0)</f>
        <v>0</v>
      </c>
      <c r="O369" s="21">
        <f ca="1">IFERROR(__xludf.DUMMYFUNCTION("""COMPUTED_VALUE"""),3000)</f>
        <v>3000</v>
      </c>
      <c r="P369" s="21">
        <f ca="1">IFERROR(__xludf.DUMMYFUNCTION("""COMPUTED_VALUE"""),3000)</f>
        <v>3000</v>
      </c>
      <c r="Q369" s="23">
        <f ca="1">IFERROR(__xludf.DUMMYFUNCTION("""COMPUTED_VALUE"""),0)</f>
        <v>0</v>
      </c>
      <c r="R369" s="24">
        <f ca="1">IFERROR(__xludf.DUMMYFUNCTION("""COMPUTED_VALUE"""),0)</f>
        <v>0</v>
      </c>
      <c r="S369" s="23">
        <f ca="1">IFERROR(__xludf.DUMMYFUNCTION("""COMPUTED_VALUE"""),0)</f>
        <v>0</v>
      </c>
      <c r="T369" s="24">
        <f ca="1">IFERROR(__xludf.DUMMYFUNCTION("""COMPUTED_VALUE"""),0)</f>
        <v>0</v>
      </c>
      <c r="U369" s="23">
        <f ca="1">IFERROR(__xludf.DUMMYFUNCTION("""COMPUTED_VALUE"""),0)</f>
        <v>0</v>
      </c>
      <c r="V369" s="23">
        <f ca="1">IFERROR(__xludf.DUMMYFUNCTION("""COMPUTED_VALUE"""),0)</f>
        <v>0</v>
      </c>
      <c r="W369" s="23">
        <f ca="1">IFERROR(__xludf.DUMMYFUNCTION("""COMPUTED_VALUE"""),0)</f>
        <v>0</v>
      </c>
      <c r="X369" s="23">
        <f ca="1">IFERROR(__xludf.DUMMYFUNCTION("""COMPUTED_VALUE"""),0)</f>
        <v>0</v>
      </c>
      <c r="Y369" s="25">
        <f ca="1">IFERROR(__xludf.DUMMYFUNCTION("""COMPUTED_VALUE"""),0)</f>
        <v>0</v>
      </c>
      <c r="Z369" s="25">
        <f ca="1">IFERROR(__xludf.DUMMYFUNCTION("""COMPUTED_VALUE"""),0)</f>
        <v>0</v>
      </c>
      <c r="AA369" s="25">
        <f ca="1">IFERROR(__xludf.DUMMYFUNCTION("""COMPUTED_VALUE"""),0)</f>
        <v>0</v>
      </c>
      <c r="AB369" s="25">
        <f ca="1">IFERROR(__xludf.DUMMYFUNCTION("""COMPUTED_VALUE"""),0)</f>
        <v>0</v>
      </c>
      <c r="AC369" s="23">
        <f ca="1">IFERROR(__xludf.DUMMYFUNCTION("""COMPUTED_VALUE"""),0)</f>
        <v>0</v>
      </c>
      <c r="AD369" s="26"/>
      <c r="AE369" s="27"/>
    </row>
    <row r="370" spans="1:31" ht="14.3">
      <c r="A370" s="18" t="str">
        <f ca="1">IFERROR(__xludf.DUMMYFUNCTION("""COMPUTED_VALUE"""),"22SDSCE01219")</f>
        <v>22SDSCE01219</v>
      </c>
      <c r="B370" s="19" t="str">
        <f ca="1">IFERROR(__xludf.DUMMYFUNCTION("""COMPUTED_VALUE"""),"SORATHIYA MANAV KISHORBHAI")</f>
        <v>SORATHIYA MANAV KISHORBHAI</v>
      </c>
      <c r="C370" s="18" t="str">
        <f ca="1">IFERROR(__xludf.DUMMYFUNCTION("""COMPUTED_VALUE"""),"SDS")</f>
        <v>SDS</v>
      </c>
      <c r="D370" s="18" t="str">
        <f ca="1">IFERROR(__xludf.DUMMYFUNCTION("""COMPUTED_VALUE"""),"DCE")</f>
        <v>DCE</v>
      </c>
      <c r="E370" s="25">
        <f ca="1">IFERROR(__xludf.DUMMYFUNCTION("""COMPUTED_VALUE"""),4)</f>
        <v>4</v>
      </c>
      <c r="F370" s="18" t="str">
        <f ca="1">IFERROR(__xludf.DUMMYFUNCTION("""COMPUTED_VALUE"""),"7859959596 9727054101")</f>
        <v>7859959596 9727054101</v>
      </c>
      <c r="G370" s="18" t="str">
        <f ca="1">IFERROR(__xludf.DUMMYFUNCTION("""COMPUTED_VALUE"""),"7859959596 9727054101")</f>
        <v>7859959596 9727054101</v>
      </c>
      <c r="H370" s="6" t="str">
        <f ca="1">IFERROR(__xludf.DUMMYFUNCTION("""COMPUTED_VALUE"""),"DCE_2022-25")</f>
        <v>DCE_2022-25</v>
      </c>
      <c r="I370" s="20"/>
      <c r="J370" s="21">
        <f ca="1">IFERROR(__xludf.DUMMYFUNCTION("""COMPUTED_VALUE"""),25000)</f>
        <v>25000</v>
      </c>
      <c r="K370" s="21">
        <f ca="1">IFERROR(__xludf.DUMMYFUNCTION("""COMPUTED_VALUE"""),25000)</f>
        <v>25000</v>
      </c>
      <c r="L370" s="21">
        <f ca="1">IFERROR(__xludf.DUMMYFUNCTION("""COMPUTED_VALUE"""),0)</f>
        <v>0</v>
      </c>
      <c r="M370" s="23">
        <f ca="1">IFERROR(__xludf.DUMMYFUNCTION("""COMPUTED_VALUE"""),0)</f>
        <v>0</v>
      </c>
      <c r="N370" s="21">
        <f ca="1">IFERROR(__xludf.DUMMYFUNCTION("""COMPUTED_VALUE"""),0)</f>
        <v>0</v>
      </c>
      <c r="O370" s="21">
        <f ca="1">IFERROR(__xludf.DUMMYFUNCTION("""COMPUTED_VALUE"""),3000)</f>
        <v>3000</v>
      </c>
      <c r="P370" s="21">
        <f ca="1">IFERROR(__xludf.DUMMYFUNCTION("""COMPUTED_VALUE"""),3000)</f>
        <v>3000</v>
      </c>
      <c r="Q370" s="23">
        <f ca="1">IFERROR(__xludf.DUMMYFUNCTION("""COMPUTED_VALUE"""),0)</f>
        <v>0</v>
      </c>
      <c r="R370" s="24">
        <f ca="1">IFERROR(__xludf.DUMMYFUNCTION("""COMPUTED_VALUE"""),0)</f>
        <v>0</v>
      </c>
      <c r="S370" s="23">
        <f ca="1">IFERROR(__xludf.DUMMYFUNCTION("""COMPUTED_VALUE"""),0)</f>
        <v>0</v>
      </c>
      <c r="T370" s="24">
        <f ca="1">IFERROR(__xludf.DUMMYFUNCTION("""COMPUTED_VALUE"""),0)</f>
        <v>0</v>
      </c>
      <c r="U370" s="23">
        <f ca="1">IFERROR(__xludf.DUMMYFUNCTION("""COMPUTED_VALUE"""),0)</f>
        <v>0</v>
      </c>
      <c r="V370" s="23">
        <f ca="1">IFERROR(__xludf.DUMMYFUNCTION("""COMPUTED_VALUE"""),0)</f>
        <v>0</v>
      </c>
      <c r="W370" s="23">
        <f ca="1">IFERROR(__xludf.DUMMYFUNCTION("""COMPUTED_VALUE"""),0)</f>
        <v>0</v>
      </c>
      <c r="X370" s="23">
        <f ca="1">IFERROR(__xludf.DUMMYFUNCTION("""COMPUTED_VALUE"""),0)</f>
        <v>0</v>
      </c>
      <c r="Y370" s="25">
        <f ca="1">IFERROR(__xludf.DUMMYFUNCTION("""COMPUTED_VALUE"""),0)</f>
        <v>0</v>
      </c>
      <c r="Z370" s="25">
        <f ca="1">IFERROR(__xludf.DUMMYFUNCTION("""COMPUTED_VALUE"""),0)</f>
        <v>0</v>
      </c>
      <c r="AA370" s="25">
        <f ca="1">IFERROR(__xludf.DUMMYFUNCTION("""COMPUTED_VALUE"""),0)</f>
        <v>0</v>
      </c>
      <c r="AB370" s="25">
        <f ca="1">IFERROR(__xludf.DUMMYFUNCTION("""COMPUTED_VALUE"""),0)</f>
        <v>0</v>
      </c>
      <c r="AC370" s="23">
        <f ca="1">IFERROR(__xludf.DUMMYFUNCTION("""COMPUTED_VALUE"""),0)</f>
        <v>0</v>
      </c>
      <c r="AD370" s="26"/>
      <c r="AE370" s="27"/>
    </row>
    <row r="371" spans="1:31" ht="14.3">
      <c r="A371" s="18" t="str">
        <f ca="1">IFERROR(__xludf.DUMMYFUNCTION("""COMPUTED_VALUE"""),"22SDSCE01128")</f>
        <v>22SDSCE01128</v>
      </c>
      <c r="B371" s="19" t="str">
        <f ca="1">IFERROR(__xludf.DUMMYFUNCTION("""COMPUTED_VALUE"""),"ASODARIYA DHRUVIL JAGDISHBHAI")</f>
        <v>ASODARIYA DHRUVIL JAGDISHBHAI</v>
      </c>
      <c r="C371" s="18" t="str">
        <f ca="1">IFERROR(__xludf.DUMMYFUNCTION("""COMPUTED_VALUE"""),"SDS")</f>
        <v>SDS</v>
      </c>
      <c r="D371" s="18" t="str">
        <f ca="1">IFERROR(__xludf.DUMMYFUNCTION("""COMPUTED_VALUE"""),"DCE")</f>
        <v>DCE</v>
      </c>
      <c r="E371" s="25">
        <f ca="1">IFERROR(__xludf.DUMMYFUNCTION("""COMPUTED_VALUE"""),4)</f>
        <v>4</v>
      </c>
      <c r="F371" s="18" t="str">
        <f ca="1">IFERROR(__xludf.DUMMYFUNCTION("""COMPUTED_VALUE"""),"8200606297 9879242740")</f>
        <v>8200606297 9879242740</v>
      </c>
      <c r="G371" s="18" t="str">
        <f ca="1">IFERROR(__xludf.DUMMYFUNCTION("""COMPUTED_VALUE"""),"8200606297 9879242740")</f>
        <v>8200606297 9879242740</v>
      </c>
      <c r="H371" s="6" t="str">
        <f ca="1">IFERROR(__xludf.DUMMYFUNCTION("""COMPUTED_VALUE"""),"DCE_2022-25")</f>
        <v>DCE_2022-25</v>
      </c>
      <c r="I371" s="20" t="str">
        <f ca="1">IFERROR(__xludf.DUMMYFUNCTION("""COMPUTED_VALUE"""),"MYSY")</f>
        <v>MYSY</v>
      </c>
      <c r="J371" s="21">
        <f ca="1">IFERROR(__xludf.DUMMYFUNCTION("""COMPUTED_VALUE"""),25000)</f>
        <v>25000</v>
      </c>
      <c r="K371" s="21">
        <f ca="1">IFERROR(__xludf.DUMMYFUNCTION("""COMPUTED_VALUE"""),25000)</f>
        <v>25000</v>
      </c>
      <c r="L371" s="21">
        <f ca="1">IFERROR(__xludf.DUMMYFUNCTION("""COMPUTED_VALUE"""),0)</f>
        <v>0</v>
      </c>
      <c r="M371" s="23">
        <f ca="1">IFERROR(__xludf.DUMMYFUNCTION("""COMPUTED_VALUE"""),0)</f>
        <v>0</v>
      </c>
      <c r="N371" s="21">
        <f ca="1">IFERROR(__xludf.DUMMYFUNCTION("""COMPUTED_VALUE"""),0)</f>
        <v>0</v>
      </c>
      <c r="O371" s="21">
        <f ca="1">IFERROR(__xludf.DUMMYFUNCTION("""COMPUTED_VALUE"""),3000)</f>
        <v>3000</v>
      </c>
      <c r="P371" s="21">
        <f ca="1">IFERROR(__xludf.DUMMYFUNCTION("""COMPUTED_VALUE"""),3000)</f>
        <v>3000</v>
      </c>
      <c r="Q371" s="23">
        <f ca="1">IFERROR(__xludf.DUMMYFUNCTION("""COMPUTED_VALUE"""),0)</f>
        <v>0</v>
      </c>
      <c r="R371" s="24">
        <f ca="1">IFERROR(__xludf.DUMMYFUNCTION("""COMPUTED_VALUE"""),0)</f>
        <v>0</v>
      </c>
      <c r="S371" s="23">
        <f ca="1">IFERROR(__xludf.DUMMYFUNCTION("""COMPUTED_VALUE"""),0)</f>
        <v>0</v>
      </c>
      <c r="T371" s="24">
        <f ca="1">IFERROR(__xludf.DUMMYFUNCTION("""COMPUTED_VALUE"""),0)</f>
        <v>0</v>
      </c>
      <c r="U371" s="23">
        <f ca="1">IFERROR(__xludf.DUMMYFUNCTION("""COMPUTED_VALUE"""),0)</f>
        <v>0</v>
      </c>
      <c r="V371" s="23">
        <f ca="1">IFERROR(__xludf.DUMMYFUNCTION("""COMPUTED_VALUE"""),0)</f>
        <v>0</v>
      </c>
      <c r="W371" s="23">
        <f ca="1">IFERROR(__xludf.DUMMYFUNCTION("""COMPUTED_VALUE"""),0)</f>
        <v>0</v>
      </c>
      <c r="X371" s="23">
        <f ca="1">IFERROR(__xludf.DUMMYFUNCTION("""COMPUTED_VALUE"""),0)</f>
        <v>0</v>
      </c>
      <c r="Y371" s="25">
        <f ca="1">IFERROR(__xludf.DUMMYFUNCTION("""COMPUTED_VALUE"""),0)</f>
        <v>0</v>
      </c>
      <c r="Z371" s="25">
        <f ca="1">IFERROR(__xludf.DUMMYFUNCTION("""COMPUTED_VALUE"""),0)</f>
        <v>0</v>
      </c>
      <c r="AA371" s="25">
        <f ca="1">IFERROR(__xludf.DUMMYFUNCTION("""COMPUTED_VALUE"""),0)</f>
        <v>0</v>
      </c>
      <c r="AB371" s="25">
        <f ca="1">IFERROR(__xludf.DUMMYFUNCTION("""COMPUTED_VALUE"""),0)</f>
        <v>0</v>
      </c>
      <c r="AC371" s="23">
        <f ca="1">IFERROR(__xludf.DUMMYFUNCTION("""COMPUTED_VALUE"""),0)</f>
        <v>0</v>
      </c>
      <c r="AD371" s="26" t="str">
        <f ca="1">IFERROR(__xludf.DUMMYFUNCTION("""COMPUTED_VALUE""")," KSPS (50%) + MYSY(50%) ")</f>
        <v xml:space="preserve"> KSPS (50%) + MYSY(50%) </v>
      </c>
      <c r="AE371" s="27"/>
    </row>
    <row r="372" spans="1:31" ht="14.3">
      <c r="A372" s="18" t="str">
        <f ca="1">IFERROR(__xludf.DUMMYFUNCTION("""COMPUTED_VALUE"""),"22SDSCE01129")</f>
        <v>22SDSCE01129</v>
      </c>
      <c r="B372" s="19" t="str">
        <f ca="1">IFERROR(__xludf.DUMMYFUNCTION("""COMPUTED_VALUE"""),"ASODARIYA MEET BHAVESHBHAI")</f>
        <v>ASODARIYA MEET BHAVESHBHAI</v>
      </c>
      <c r="C372" s="18" t="str">
        <f ca="1">IFERROR(__xludf.DUMMYFUNCTION("""COMPUTED_VALUE"""),"SDS")</f>
        <v>SDS</v>
      </c>
      <c r="D372" s="18" t="str">
        <f ca="1">IFERROR(__xludf.DUMMYFUNCTION("""COMPUTED_VALUE"""),"DCE")</f>
        <v>DCE</v>
      </c>
      <c r="E372" s="25">
        <f ca="1">IFERROR(__xludf.DUMMYFUNCTION("""COMPUTED_VALUE"""),4)</f>
        <v>4</v>
      </c>
      <c r="F372" s="18" t="str">
        <f ca="1">IFERROR(__xludf.DUMMYFUNCTION("""COMPUTED_VALUE"""),"7229065367 9978775297")</f>
        <v>7229065367 9978775297</v>
      </c>
      <c r="G372" s="18" t="str">
        <f ca="1">IFERROR(__xludf.DUMMYFUNCTION("""COMPUTED_VALUE"""),"7229065367 9978775297")</f>
        <v>7229065367 9978775297</v>
      </c>
      <c r="H372" s="6" t="str">
        <f ca="1">IFERROR(__xludf.DUMMYFUNCTION("""COMPUTED_VALUE"""),"DCE_2022-25")</f>
        <v>DCE_2022-25</v>
      </c>
      <c r="I372" s="20" t="str">
        <f ca="1">IFERROR(__xludf.DUMMYFUNCTION("""COMPUTED_VALUE"""),"MYSY")</f>
        <v>MYSY</v>
      </c>
      <c r="J372" s="21">
        <f ca="1">IFERROR(__xludf.DUMMYFUNCTION("""COMPUTED_VALUE"""),25000)</f>
        <v>25000</v>
      </c>
      <c r="K372" s="21">
        <f ca="1">IFERROR(__xludf.DUMMYFUNCTION("""COMPUTED_VALUE"""),25000)</f>
        <v>25000</v>
      </c>
      <c r="L372" s="21">
        <f ca="1">IFERROR(__xludf.DUMMYFUNCTION("""COMPUTED_VALUE"""),0)</f>
        <v>0</v>
      </c>
      <c r="M372" s="23">
        <f ca="1">IFERROR(__xludf.DUMMYFUNCTION("""COMPUTED_VALUE"""),0)</f>
        <v>0</v>
      </c>
      <c r="N372" s="21">
        <f ca="1">IFERROR(__xludf.DUMMYFUNCTION("""COMPUTED_VALUE"""),0)</f>
        <v>0</v>
      </c>
      <c r="O372" s="21">
        <f ca="1">IFERROR(__xludf.DUMMYFUNCTION("""COMPUTED_VALUE"""),3000)</f>
        <v>3000</v>
      </c>
      <c r="P372" s="21">
        <f ca="1">IFERROR(__xludf.DUMMYFUNCTION("""COMPUTED_VALUE"""),3000)</f>
        <v>3000</v>
      </c>
      <c r="Q372" s="23">
        <f ca="1">IFERROR(__xludf.DUMMYFUNCTION("""COMPUTED_VALUE"""),0)</f>
        <v>0</v>
      </c>
      <c r="R372" s="24">
        <f ca="1">IFERROR(__xludf.DUMMYFUNCTION("""COMPUTED_VALUE"""),0)</f>
        <v>0</v>
      </c>
      <c r="S372" s="23">
        <f ca="1">IFERROR(__xludf.DUMMYFUNCTION("""COMPUTED_VALUE"""),0)</f>
        <v>0</v>
      </c>
      <c r="T372" s="24">
        <f ca="1">IFERROR(__xludf.DUMMYFUNCTION("""COMPUTED_VALUE"""),0)</f>
        <v>0</v>
      </c>
      <c r="U372" s="23">
        <f ca="1">IFERROR(__xludf.DUMMYFUNCTION("""COMPUTED_VALUE"""),0)</f>
        <v>0</v>
      </c>
      <c r="V372" s="23">
        <f ca="1">IFERROR(__xludf.DUMMYFUNCTION("""COMPUTED_VALUE"""),0)</f>
        <v>0</v>
      </c>
      <c r="W372" s="23">
        <f ca="1">IFERROR(__xludf.DUMMYFUNCTION("""COMPUTED_VALUE"""),0)</f>
        <v>0</v>
      </c>
      <c r="X372" s="23">
        <f ca="1">IFERROR(__xludf.DUMMYFUNCTION("""COMPUTED_VALUE"""),0)</f>
        <v>0</v>
      </c>
      <c r="Y372" s="25">
        <f ca="1">IFERROR(__xludf.DUMMYFUNCTION("""COMPUTED_VALUE"""),0)</f>
        <v>0</v>
      </c>
      <c r="Z372" s="25">
        <f ca="1">IFERROR(__xludf.DUMMYFUNCTION("""COMPUTED_VALUE"""),0)</f>
        <v>0</v>
      </c>
      <c r="AA372" s="25">
        <f ca="1">IFERROR(__xludf.DUMMYFUNCTION("""COMPUTED_VALUE"""),0)</f>
        <v>0</v>
      </c>
      <c r="AB372" s="25">
        <f ca="1">IFERROR(__xludf.DUMMYFUNCTION("""COMPUTED_VALUE"""),0)</f>
        <v>0</v>
      </c>
      <c r="AC372" s="23">
        <f ca="1">IFERROR(__xludf.DUMMYFUNCTION("""COMPUTED_VALUE"""),0)</f>
        <v>0</v>
      </c>
      <c r="AD372" s="26" t="str">
        <f ca="1">IFERROR(__xludf.DUMMYFUNCTION("""COMPUTED_VALUE"""),"KSPS(25%) + MYSY(50%)")</f>
        <v>KSPS(25%) + MYSY(50%)</v>
      </c>
      <c r="AE372" s="27"/>
    </row>
    <row r="373" spans="1:31" ht="14.3">
      <c r="A373" s="18" t="str">
        <f ca="1">IFERROR(__xludf.DUMMYFUNCTION("""COMPUTED_VALUE"""),"22SDSCE01130")</f>
        <v>22SDSCE01130</v>
      </c>
      <c r="B373" s="19" t="str">
        <f ca="1">IFERROR(__xludf.DUMMYFUNCTION("""COMPUTED_VALUE"""),"BAGDA SHREYAS NIRENBHAI")</f>
        <v>BAGDA SHREYAS NIRENBHAI</v>
      </c>
      <c r="C373" s="18" t="str">
        <f ca="1">IFERROR(__xludf.DUMMYFUNCTION("""COMPUTED_VALUE"""),"SDS")</f>
        <v>SDS</v>
      </c>
      <c r="D373" s="18" t="str">
        <f ca="1">IFERROR(__xludf.DUMMYFUNCTION("""COMPUTED_VALUE"""),"DCE")</f>
        <v>DCE</v>
      </c>
      <c r="E373" s="25">
        <f ca="1">IFERROR(__xludf.DUMMYFUNCTION("""COMPUTED_VALUE"""),4)</f>
        <v>4</v>
      </c>
      <c r="F373" s="18" t="str">
        <f ca="1">IFERROR(__xludf.DUMMYFUNCTION("""COMPUTED_VALUE"""),"9016374764 7016408886")</f>
        <v>9016374764 7016408886</v>
      </c>
      <c r="G373" s="18" t="str">
        <f ca="1">IFERROR(__xludf.DUMMYFUNCTION("""COMPUTED_VALUE"""),"9016374764 7016408886")</f>
        <v>9016374764 7016408886</v>
      </c>
      <c r="H373" s="6" t="str">
        <f ca="1">IFERROR(__xludf.DUMMYFUNCTION("""COMPUTED_VALUE"""),"DCE_2022-25")</f>
        <v>DCE_2022-25</v>
      </c>
      <c r="I373" s="20" t="str">
        <f ca="1">IFERROR(__xludf.DUMMYFUNCTION("""COMPUTED_VALUE"""),"KSP")</f>
        <v>KSP</v>
      </c>
      <c r="J373" s="21">
        <f ca="1">IFERROR(__xludf.DUMMYFUNCTION("""COMPUTED_VALUE"""),25000)</f>
        <v>25000</v>
      </c>
      <c r="K373" s="21">
        <f ca="1">IFERROR(__xludf.DUMMYFUNCTION("""COMPUTED_VALUE"""),18750)</f>
        <v>18750</v>
      </c>
      <c r="L373" s="21">
        <f ca="1">IFERROR(__xludf.DUMMYFUNCTION("""COMPUTED_VALUE"""),0)</f>
        <v>0</v>
      </c>
      <c r="M373" s="23">
        <f ca="1">IFERROR(__xludf.DUMMYFUNCTION("""COMPUTED_VALUE"""),6250)</f>
        <v>6250</v>
      </c>
      <c r="N373" s="21">
        <f ca="1">IFERROR(__xludf.DUMMYFUNCTION("""COMPUTED_VALUE"""),0)</f>
        <v>0</v>
      </c>
      <c r="O373" s="21">
        <f ca="1">IFERROR(__xludf.DUMMYFUNCTION("""COMPUTED_VALUE"""),3000)</f>
        <v>3000</v>
      </c>
      <c r="P373" s="21">
        <f ca="1">IFERROR(__xludf.DUMMYFUNCTION("""COMPUTED_VALUE"""),3000)</f>
        <v>3000</v>
      </c>
      <c r="Q373" s="23">
        <f ca="1">IFERROR(__xludf.DUMMYFUNCTION("""COMPUTED_VALUE"""),0)</f>
        <v>0</v>
      </c>
      <c r="R373" s="24">
        <f ca="1">IFERROR(__xludf.DUMMYFUNCTION("""COMPUTED_VALUE"""),0)</f>
        <v>0</v>
      </c>
      <c r="S373" s="23">
        <f ca="1">IFERROR(__xludf.DUMMYFUNCTION("""COMPUTED_VALUE"""),0)</f>
        <v>0</v>
      </c>
      <c r="T373" s="24">
        <f ca="1">IFERROR(__xludf.DUMMYFUNCTION("""COMPUTED_VALUE"""),0)</f>
        <v>0</v>
      </c>
      <c r="U373" s="23">
        <f ca="1">IFERROR(__xludf.DUMMYFUNCTION("""COMPUTED_VALUE"""),0)</f>
        <v>0</v>
      </c>
      <c r="V373" s="23">
        <f ca="1">IFERROR(__xludf.DUMMYFUNCTION("""COMPUTED_VALUE"""),0)</f>
        <v>0</v>
      </c>
      <c r="W373" s="23">
        <f ca="1">IFERROR(__xludf.DUMMYFUNCTION("""COMPUTED_VALUE"""),0)</f>
        <v>0</v>
      </c>
      <c r="X373" s="23">
        <f ca="1">IFERROR(__xludf.DUMMYFUNCTION("""COMPUTED_VALUE"""),0)</f>
        <v>0</v>
      </c>
      <c r="Y373" s="25">
        <f ca="1">IFERROR(__xludf.DUMMYFUNCTION("""COMPUTED_VALUE"""),0)</f>
        <v>0</v>
      </c>
      <c r="Z373" s="25">
        <f ca="1">IFERROR(__xludf.DUMMYFUNCTION("""COMPUTED_VALUE"""),0)</f>
        <v>0</v>
      </c>
      <c r="AA373" s="25">
        <f ca="1">IFERROR(__xludf.DUMMYFUNCTION("""COMPUTED_VALUE"""),0)</f>
        <v>0</v>
      </c>
      <c r="AB373" s="25">
        <f ca="1">IFERROR(__xludf.DUMMYFUNCTION("""COMPUTED_VALUE"""),0)</f>
        <v>0</v>
      </c>
      <c r="AC373" s="23">
        <f ca="1">IFERROR(__xludf.DUMMYFUNCTION("""COMPUTED_VALUE"""),0)</f>
        <v>0</v>
      </c>
      <c r="AD373" s="26" t="str">
        <f ca="1">IFERROR(__xludf.DUMMYFUNCTION("""COMPUTED_VALUE"""),"6250 PER SEM SCHOLARSHIP")</f>
        <v>6250 PER SEM SCHOLARSHIP</v>
      </c>
      <c r="AE373" s="27"/>
    </row>
    <row r="374" spans="1:31" ht="23.1">
      <c r="A374" s="18" t="str">
        <f ca="1">IFERROR(__xludf.DUMMYFUNCTION("""COMPUTED_VALUE"""),"22SDSCE01131")</f>
        <v>22SDSCE01131</v>
      </c>
      <c r="B374" s="19" t="str">
        <f ca="1">IFERROR(__xludf.DUMMYFUNCTION("""COMPUTED_VALUE"""),"BATHANI DAKSHKUMAR RAJESHBHAI")</f>
        <v>BATHANI DAKSHKUMAR RAJESHBHAI</v>
      </c>
      <c r="C374" s="18" t="str">
        <f ca="1">IFERROR(__xludf.DUMMYFUNCTION("""COMPUTED_VALUE"""),"SDS")</f>
        <v>SDS</v>
      </c>
      <c r="D374" s="18" t="str">
        <f ca="1">IFERROR(__xludf.DUMMYFUNCTION("""COMPUTED_VALUE"""),"DCE")</f>
        <v>DCE</v>
      </c>
      <c r="E374" s="25">
        <f ca="1">IFERROR(__xludf.DUMMYFUNCTION("""COMPUTED_VALUE"""),4)</f>
        <v>4</v>
      </c>
      <c r="F374" s="18" t="str">
        <f ca="1">IFERROR(__xludf.DUMMYFUNCTION("""COMPUTED_VALUE"""),"9313338641 7984792757 9429570004")</f>
        <v>9313338641 7984792757 9429570004</v>
      </c>
      <c r="G374" s="18" t="str">
        <f ca="1">IFERROR(__xludf.DUMMYFUNCTION("""COMPUTED_VALUE"""),"9313338641 7984792757 9429570004")</f>
        <v>9313338641 7984792757 9429570004</v>
      </c>
      <c r="H374" s="6" t="str">
        <f ca="1">IFERROR(__xludf.DUMMYFUNCTION("""COMPUTED_VALUE"""),"DCE_2022-25")</f>
        <v>DCE_2022-25</v>
      </c>
      <c r="I374" s="20" t="str">
        <f ca="1">IFERROR(__xludf.DUMMYFUNCTION("""COMPUTED_VALUE"""),"KSP")</f>
        <v>KSP</v>
      </c>
      <c r="J374" s="21">
        <f ca="1">IFERROR(__xludf.DUMMYFUNCTION("""COMPUTED_VALUE"""),25000)</f>
        <v>25000</v>
      </c>
      <c r="K374" s="21">
        <f ca="1">IFERROR(__xludf.DUMMYFUNCTION("""COMPUTED_VALUE"""),12500)</f>
        <v>12500</v>
      </c>
      <c r="L374" s="21">
        <f ca="1">IFERROR(__xludf.DUMMYFUNCTION("""COMPUTED_VALUE"""),0)</f>
        <v>0</v>
      </c>
      <c r="M374" s="23">
        <f ca="1">IFERROR(__xludf.DUMMYFUNCTION("""COMPUTED_VALUE"""),12500)</f>
        <v>12500</v>
      </c>
      <c r="N374" s="21">
        <f ca="1">IFERROR(__xludf.DUMMYFUNCTION("""COMPUTED_VALUE"""),0)</f>
        <v>0</v>
      </c>
      <c r="O374" s="21">
        <f ca="1">IFERROR(__xludf.DUMMYFUNCTION("""COMPUTED_VALUE"""),3000)</f>
        <v>3000</v>
      </c>
      <c r="P374" s="21">
        <f ca="1">IFERROR(__xludf.DUMMYFUNCTION("""COMPUTED_VALUE"""),3000)</f>
        <v>3000</v>
      </c>
      <c r="Q374" s="23">
        <f ca="1">IFERROR(__xludf.DUMMYFUNCTION("""COMPUTED_VALUE"""),0)</f>
        <v>0</v>
      </c>
      <c r="R374" s="24">
        <f ca="1">IFERROR(__xludf.DUMMYFUNCTION("""COMPUTED_VALUE"""),0)</f>
        <v>0</v>
      </c>
      <c r="S374" s="23">
        <f ca="1">IFERROR(__xludf.DUMMYFUNCTION("""COMPUTED_VALUE"""),0)</f>
        <v>0</v>
      </c>
      <c r="T374" s="24">
        <f ca="1">IFERROR(__xludf.DUMMYFUNCTION("""COMPUTED_VALUE"""),0)</f>
        <v>0</v>
      </c>
      <c r="U374" s="23">
        <f ca="1">IFERROR(__xludf.DUMMYFUNCTION("""COMPUTED_VALUE"""),0)</f>
        <v>0</v>
      </c>
      <c r="V374" s="23">
        <f ca="1">IFERROR(__xludf.DUMMYFUNCTION("""COMPUTED_VALUE"""),0)</f>
        <v>0</v>
      </c>
      <c r="W374" s="23">
        <f ca="1">IFERROR(__xludf.DUMMYFUNCTION("""COMPUTED_VALUE"""),0)</f>
        <v>0</v>
      </c>
      <c r="X374" s="23">
        <f ca="1">IFERROR(__xludf.DUMMYFUNCTION("""COMPUTED_VALUE"""),0)</f>
        <v>0</v>
      </c>
      <c r="Y374" s="25">
        <f ca="1">IFERROR(__xludf.DUMMYFUNCTION("""COMPUTED_VALUE"""),0)</f>
        <v>0</v>
      </c>
      <c r="Z374" s="25">
        <f ca="1">IFERROR(__xludf.DUMMYFUNCTION("""COMPUTED_VALUE"""),0)</f>
        <v>0</v>
      </c>
      <c r="AA374" s="25">
        <f ca="1">IFERROR(__xludf.DUMMYFUNCTION("""COMPUTED_VALUE"""),0)</f>
        <v>0</v>
      </c>
      <c r="AB374" s="25">
        <f ca="1">IFERROR(__xludf.DUMMYFUNCTION("""COMPUTED_VALUE"""),0)</f>
        <v>0</v>
      </c>
      <c r="AC374" s="23">
        <f ca="1">IFERROR(__xludf.DUMMYFUNCTION("""COMPUTED_VALUE"""),0)</f>
        <v>0</v>
      </c>
      <c r="AD374" s="26" t="str">
        <f ca="1">IFERROR(__xludf.DUMMYFUNCTION("""COMPUTED_VALUE"""),"RS 12500 PER SEM SCHOLARSHIP")</f>
        <v>RS 12500 PER SEM SCHOLARSHIP</v>
      </c>
      <c r="AE374" s="27"/>
    </row>
    <row r="375" spans="1:31" ht="14.3">
      <c r="A375" s="18" t="str">
        <f ca="1">IFERROR(__xludf.DUMMYFUNCTION("""COMPUTED_VALUE"""),"22SDSCE01132")</f>
        <v>22SDSCE01132</v>
      </c>
      <c r="B375" s="19" t="str">
        <f ca="1">IFERROR(__xludf.DUMMYFUNCTION("""COMPUTED_VALUE"""),"BHAKHAR PRINCE JAYSUKHBHAI")</f>
        <v>BHAKHAR PRINCE JAYSUKHBHAI</v>
      </c>
      <c r="C375" s="18" t="str">
        <f ca="1">IFERROR(__xludf.DUMMYFUNCTION("""COMPUTED_VALUE"""),"SDS")</f>
        <v>SDS</v>
      </c>
      <c r="D375" s="18" t="str">
        <f ca="1">IFERROR(__xludf.DUMMYFUNCTION("""COMPUTED_VALUE"""),"DCE")</f>
        <v>DCE</v>
      </c>
      <c r="E375" s="25">
        <f ca="1">IFERROR(__xludf.DUMMYFUNCTION("""COMPUTED_VALUE"""),4)</f>
        <v>4</v>
      </c>
      <c r="F375" s="18" t="str">
        <f ca="1">IFERROR(__xludf.DUMMYFUNCTION("""COMPUTED_VALUE"""),"9106934165 9023695595")</f>
        <v>9106934165 9023695595</v>
      </c>
      <c r="G375" s="18" t="str">
        <f ca="1">IFERROR(__xludf.DUMMYFUNCTION("""COMPUTED_VALUE"""),"9106934165 9023695595")</f>
        <v>9106934165 9023695595</v>
      </c>
      <c r="H375" s="6" t="str">
        <f ca="1">IFERROR(__xludf.DUMMYFUNCTION("""COMPUTED_VALUE"""),"DCE_2022-25")</f>
        <v>DCE_2022-25</v>
      </c>
      <c r="I375" s="20" t="str">
        <f ca="1">IFERROR(__xludf.DUMMYFUNCTION("""COMPUTED_VALUE"""),"MYSY")</f>
        <v>MYSY</v>
      </c>
      <c r="J375" s="21">
        <f ca="1">IFERROR(__xludf.DUMMYFUNCTION("""COMPUTED_VALUE"""),25000)</f>
        <v>25000</v>
      </c>
      <c r="K375" s="21">
        <f ca="1">IFERROR(__xludf.DUMMYFUNCTION("""COMPUTED_VALUE"""),0)</f>
        <v>0</v>
      </c>
      <c r="L375" s="21">
        <f ca="1">IFERROR(__xludf.DUMMYFUNCTION("""COMPUTED_VALUE"""),0)</f>
        <v>0</v>
      </c>
      <c r="M375" s="23">
        <f ca="1">IFERROR(__xludf.DUMMYFUNCTION("""COMPUTED_VALUE"""),0)</f>
        <v>0</v>
      </c>
      <c r="N375" s="21">
        <f ca="1">IFERROR(__xludf.DUMMYFUNCTION("""COMPUTED_VALUE"""),25000)</f>
        <v>25000</v>
      </c>
      <c r="O375" s="21">
        <f ca="1">IFERROR(__xludf.DUMMYFUNCTION("""COMPUTED_VALUE"""),3000)</f>
        <v>3000</v>
      </c>
      <c r="P375" s="21">
        <f ca="1">IFERROR(__xludf.DUMMYFUNCTION("""COMPUTED_VALUE"""),3000)</f>
        <v>3000</v>
      </c>
      <c r="Q375" s="23">
        <f ca="1">IFERROR(__xludf.DUMMYFUNCTION("""COMPUTED_VALUE"""),0)</f>
        <v>0</v>
      </c>
      <c r="R375" s="24">
        <f ca="1">IFERROR(__xludf.DUMMYFUNCTION("""COMPUTED_VALUE"""),0)</f>
        <v>0</v>
      </c>
      <c r="S375" s="23">
        <f ca="1">IFERROR(__xludf.DUMMYFUNCTION("""COMPUTED_VALUE"""),0)</f>
        <v>0</v>
      </c>
      <c r="T375" s="24">
        <f ca="1">IFERROR(__xludf.DUMMYFUNCTION("""COMPUTED_VALUE"""),0)</f>
        <v>0</v>
      </c>
      <c r="U375" s="23">
        <f ca="1">IFERROR(__xludf.DUMMYFUNCTION("""COMPUTED_VALUE"""),0)</f>
        <v>0</v>
      </c>
      <c r="V375" s="23">
        <f ca="1">IFERROR(__xludf.DUMMYFUNCTION("""COMPUTED_VALUE"""),0)</f>
        <v>0</v>
      </c>
      <c r="W375" s="23">
        <f ca="1">IFERROR(__xludf.DUMMYFUNCTION("""COMPUTED_VALUE"""),0)</f>
        <v>0</v>
      </c>
      <c r="X375" s="23">
        <f ca="1">IFERROR(__xludf.DUMMYFUNCTION("""COMPUTED_VALUE"""),0)</f>
        <v>0</v>
      </c>
      <c r="Y375" s="25">
        <f ca="1">IFERROR(__xludf.DUMMYFUNCTION("""COMPUTED_VALUE"""),0)</f>
        <v>0</v>
      </c>
      <c r="Z375" s="25">
        <f ca="1">IFERROR(__xludf.DUMMYFUNCTION("""COMPUTED_VALUE"""),0)</f>
        <v>0</v>
      </c>
      <c r="AA375" s="25">
        <f ca="1">IFERROR(__xludf.DUMMYFUNCTION("""COMPUTED_VALUE"""),0)</f>
        <v>0</v>
      </c>
      <c r="AB375" s="25">
        <f ca="1">IFERROR(__xludf.DUMMYFUNCTION("""COMPUTED_VALUE"""),0)</f>
        <v>0</v>
      </c>
      <c r="AC375" s="23">
        <f ca="1">IFERROR(__xludf.DUMMYFUNCTION("""COMPUTED_VALUE"""),0)</f>
        <v>0</v>
      </c>
      <c r="AD375" s="26" t="str">
        <f ca="1">IFERROR(__xludf.DUMMYFUNCTION("""COMPUTED_VALUE"""),"MYSY (50%)")</f>
        <v>MYSY (50%)</v>
      </c>
      <c r="AE375" s="27"/>
    </row>
    <row r="376" spans="1:31" ht="14.3">
      <c r="A376" s="18" t="str">
        <f ca="1">IFERROR(__xludf.DUMMYFUNCTION("""COMPUTED_VALUE"""),"22SDSCE01133")</f>
        <v>22SDSCE01133</v>
      </c>
      <c r="B376" s="19" t="str">
        <f ca="1">IFERROR(__xludf.DUMMYFUNCTION("""COMPUTED_VALUE"""),"BHARADWA PRITESH PRAVINBHAI")</f>
        <v>BHARADWA PRITESH PRAVINBHAI</v>
      </c>
      <c r="C376" s="18" t="str">
        <f ca="1">IFERROR(__xludf.DUMMYFUNCTION("""COMPUTED_VALUE"""),"SDS")</f>
        <v>SDS</v>
      </c>
      <c r="D376" s="18" t="str">
        <f ca="1">IFERROR(__xludf.DUMMYFUNCTION("""COMPUTED_VALUE"""),"DCE")</f>
        <v>DCE</v>
      </c>
      <c r="E376" s="25">
        <f ca="1">IFERROR(__xludf.DUMMYFUNCTION("""COMPUTED_VALUE"""),4)</f>
        <v>4</v>
      </c>
      <c r="F376" s="18" t="str">
        <f ca="1">IFERROR(__xludf.DUMMYFUNCTION("""COMPUTED_VALUE"""),"9510304006 7405437207")</f>
        <v>9510304006 7405437207</v>
      </c>
      <c r="G376" s="18" t="str">
        <f ca="1">IFERROR(__xludf.DUMMYFUNCTION("""COMPUTED_VALUE"""),"9510304006 7405437207")</f>
        <v>9510304006 7405437207</v>
      </c>
      <c r="H376" s="6" t="str">
        <f ca="1">IFERROR(__xludf.DUMMYFUNCTION("""COMPUTED_VALUE"""),"DCE_2022-25")</f>
        <v>DCE_2022-25</v>
      </c>
      <c r="I376" s="20"/>
      <c r="J376" s="21">
        <f ca="1">IFERROR(__xludf.DUMMYFUNCTION("""COMPUTED_VALUE"""),25000)</f>
        <v>25000</v>
      </c>
      <c r="K376" s="21">
        <f ca="1">IFERROR(__xludf.DUMMYFUNCTION("""COMPUTED_VALUE"""),25000)</f>
        <v>25000</v>
      </c>
      <c r="L376" s="21">
        <f ca="1">IFERROR(__xludf.DUMMYFUNCTION("""COMPUTED_VALUE"""),0)</f>
        <v>0</v>
      </c>
      <c r="M376" s="23">
        <f ca="1">IFERROR(__xludf.DUMMYFUNCTION("""COMPUTED_VALUE"""),0)</f>
        <v>0</v>
      </c>
      <c r="N376" s="21">
        <f ca="1">IFERROR(__xludf.DUMMYFUNCTION("""COMPUTED_VALUE"""),0)</f>
        <v>0</v>
      </c>
      <c r="O376" s="21">
        <f ca="1">IFERROR(__xludf.DUMMYFUNCTION("""COMPUTED_VALUE"""),3000)</f>
        <v>3000</v>
      </c>
      <c r="P376" s="21">
        <f ca="1">IFERROR(__xludf.DUMMYFUNCTION("""COMPUTED_VALUE"""),3000)</f>
        <v>3000</v>
      </c>
      <c r="Q376" s="23">
        <f ca="1">IFERROR(__xludf.DUMMYFUNCTION("""COMPUTED_VALUE"""),0)</f>
        <v>0</v>
      </c>
      <c r="R376" s="24">
        <f ca="1">IFERROR(__xludf.DUMMYFUNCTION("""COMPUTED_VALUE"""),0)</f>
        <v>0</v>
      </c>
      <c r="S376" s="23">
        <f ca="1">IFERROR(__xludf.DUMMYFUNCTION("""COMPUTED_VALUE"""),0)</f>
        <v>0</v>
      </c>
      <c r="T376" s="24">
        <f ca="1">IFERROR(__xludf.DUMMYFUNCTION("""COMPUTED_VALUE"""),0)</f>
        <v>0</v>
      </c>
      <c r="U376" s="23">
        <f ca="1">IFERROR(__xludf.DUMMYFUNCTION("""COMPUTED_VALUE"""),0)</f>
        <v>0</v>
      </c>
      <c r="V376" s="23">
        <f ca="1">IFERROR(__xludf.DUMMYFUNCTION("""COMPUTED_VALUE"""),0)</f>
        <v>0</v>
      </c>
      <c r="W376" s="23">
        <f ca="1">IFERROR(__xludf.DUMMYFUNCTION("""COMPUTED_VALUE"""),0)</f>
        <v>0</v>
      </c>
      <c r="X376" s="23">
        <f ca="1">IFERROR(__xludf.DUMMYFUNCTION("""COMPUTED_VALUE"""),0)</f>
        <v>0</v>
      </c>
      <c r="Y376" s="25">
        <f ca="1">IFERROR(__xludf.DUMMYFUNCTION("""COMPUTED_VALUE"""),0)</f>
        <v>0</v>
      </c>
      <c r="Z376" s="25">
        <f ca="1">IFERROR(__xludf.DUMMYFUNCTION("""COMPUTED_VALUE"""),0)</f>
        <v>0</v>
      </c>
      <c r="AA376" s="25">
        <f ca="1">IFERROR(__xludf.DUMMYFUNCTION("""COMPUTED_VALUE"""),0)</f>
        <v>0</v>
      </c>
      <c r="AB376" s="25">
        <f ca="1">IFERROR(__xludf.DUMMYFUNCTION("""COMPUTED_VALUE"""),0)</f>
        <v>0</v>
      </c>
      <c r="AC376" s="23">
        <f ca="1">IFERROR(__xludf.DUMMYFUNCTION("""COMPUTED_VALUE"""),0)</f>
        <v>0</v>
      </c>
      <c r="AD376" s="26"/>
      <c r="AE376" s="27"/>
    </row>
    <row r="377" spans="1:31" ht="14.3">
      <c r="A377" s="18" t="str">
        <f ca="1">IFERROR(__xludf.DUMMYFUNCTION("""COMPUTED_VALUE"""),"22SDSCE01134")</f>
        <v>22SDSCE01134</v>
      </c>
      <c r="B377" s="19" t="str">
        <f ca="1">IFERROR(__xludf.DUMMYFUNCTION("""COMPUTED_VALUE"""),"BHIMANI MAHIBEN ASHOKBHAI")</f>
        <v>BHIMANI MAHIBEN ASHOKBHAI</v>
      </c>
      <c r="C377" s="18" t="str">
        <f ca="1">IFERROR(__xludf.DUMMYFUNCTION("""COMPUTED_VALUE"""),"SDS")</f>
        <v>SDS</v>
      </c>
      <c r="D377" s="18" t="str">
        <f ca="1">IFERROR(__xludf.DUMMYFUNCTION("""COMPUTED_VALUE"""),"DCE")</f>
        <v>DCE</v>
      </c>
      <c r="E377" s="25">
        <f ca="1">IFERROR(__xludf.DUMMYFUNCTION("""COMPUTED_VALUE"""),4)</f>
        <v>4</v>
      </c>
      <c r="F377" s="18" t="str">
        <f ca="1">IFERROR(__xludf.DUMMYFUNCTION("""COMPUTED_VALUE"""),"9327493535
6359798267")</f>
        <v>9327493535
6359798267</v>
      </c>
      <c r="G377" s="18" t="str">
        <f ca="1">IFERROR(__xludf.DUMMYFUNCTION("""COMPUTED_VALUE"""),"9327493535
6359798267")</f>
        <v>9327493535
6359798267</v>
      </c>
      <c r="H377" s="6" t="str">
        <f ca="1">IFERROR(__xludf.DUMMYFUNCTION("""COMPUTED_VALUE"""),"DCE_2022-25")</f>
        <v>DCE_2022-25</v>
      </c>
      <c r="I377" s="20"/>
      <c r="J377" s="21">
        <f ca="1">IFERROR(__xludf.DUMMYFUNCTION("""COMPUTED_VALUE"""),25000)</f>
        <v>25000</v>
      </c>
      <c r="K377" s="21">
        <f ca="1">IFERROR(__xludf.DUMMYFUNCTION("""COMPUTED_VALUE"""),25000)</f>
        <v>25000</v>
      </c>
      <c r="L377" s="21">
        <f ca="1">IFERROR(__xludf.DUMMYFUNCTION("""COMPUTED_VALUE"""),0)</f>
        <v>0</v>
      </c>
      <c r="M377" s="23">
        <f ca="1">IFERROR(__xludf.DUMMYFUNCTION("""COMPUTED_VALUE"""),0)</f>
        <v>0</v>
      </c>
      <c r="N377" s="21">
        <f ca="1">IFERROR(__xludf.DUMMYFUNCTION("""COMPUTED_VALUE"""),0)</f>
        <v>0</v>
      </c>
      <c r="O377" s="21">
        <f ca="1">IFERROR(__xludf.DUMMYFUNCTION("""COMPUTED_VALUE"""),3000)</f>
        <v>3000</v>
      </c>
      <c r="P377" s="21">
        <f ca="1">IFERROR(__xludf.DUMMYFUNCTION("""COMPUTED_VALUE"""),3000)</f>
        <v>3000</v>
      </c>
      <c r="Q377" s="23">
        <f ca="1">IFERROR(__xludf.DUMMYFUNCTION("""COMPUTED_VALUE"""),0)</f>
        <v>0</v>
      </c>
      <c r="R377" s="24">
        <f ca="1">IFERROR(__xludf.DUMMYFUNCTION("""COMPUTED_VALUE"""),0)</f>
        <v>0</v>
      </c>
      <c r="S377" s="23">
        <f ca="1">IFERROR(__xludf.DUMMYFUNCTION("""COMPUTED_VALUE"""),0)</f>
        <v>0</v>
      </c>
      <c r="T377" s="24">
        <f ca="1">IFERROR(__xludf.DUMMYFUNCTION("""COMPUTED_VALUE"""),0)</f>
        <v>0</v>
      </c>
      <c r="U377" s="23">
        <f ca="1">IFERROR(__xludf.DUMMYFUNCTION("""COMPUTED_VALUE"""),0)</f>
        <v>0</v>
      </c>
      <c r="V377" s="23">
        <f ca="1">IFERROR(__xludf.DUMMYFUNCTION("""COMPUTED_VALUE"""),0)</f>
        <v>0</v>
      </c>
      <c r="W377" s="23">
        <f ca="1">IFERROR(__xludf.DUMMYFUNCTION("""COMPUTED_VALUE"""),0)</f>
        <v>0</v>
      </c>
      <c r="X377" s="23">
        <f ca="1">IFERROR(__xludf.DUMMYFUNCTION("""COMPUTED_VALUE"""),0)</f>
        <v>0</v>
      </c>
      <c r="Y377" s="25">
        <f ca="1">IFERROR(__xludf.DUMMYFUNCTION("""COMPUTED_VALUE"""),0)</f>
        <v>0</v>
      </c>
      <c r="Z377" s="25">
        <f ca="1">IFERROR(__xludf.DUMMYFUNCTION("""COMPUTED_VALUE"""),0)</f>
        <v>0</v>
      </c>
      <c r="AA377" s="25">
        <f ca="1">IFERROR(__xludf.DUMMYFUNCTION("""COMPUTED_VALUE"""),0)</f>
        <v>0</v>
      </c>
      <c r="AB377" s="25">
        <f ca="1">IFERROR(__xludf.DUMMYFUNCTION("""COMPUTED_VALUE"""),0)</f>
        <v>0</v>
      </c>
      <c r="AC377" s="23">
        <f ca="1">IFERROR(__xludf.DUMMYFUNCTION("""COMPUTED_VALUE"""),0)</f>
        <v>0</v>
      </c>
      <c r="AD377" s="26"/>
      <c r="AE377" s="27"/>
    </row>
    <row r="378" spans="1:31" ht="14.3">
      <c r="A378" s="18" t="str">
        <f ca="1">IFERROR(__xludf.DUMMYFUNCTION("""COMPUTED_VALUE"""),"22SDSCE01135")</f>
        <v>22SDSCE01135</v>
      </c>
      <c r="B378" s="19" t="str">
        <f ca="1">IFERROR(__xludf.DUMMYFUNCTION("""COMPUTED_VALUE"""),"BHUT MILAP BHARATBHAI")</f>
        <v>BHUT MILAP BHARATBHAI</v>
      </c>
      <c r="C378" s="18" t="str">
        <f ca="1">IFERROR(__xludf.DUMMYFUNCTION("""COMPUTED_VALUE"""),"SDS")</f>
        <v>SDS</v>
      </c>
      <c r="D378" s="18" t="str">
        <f ca="1">IFERROR(__xludf.DUMMYFUNCTION("""COMPUTED_VALUE"""),"DCE")</f>
        <v>DCE</v>
      </c>
      <c r="E378" s="25">
        <f ca="1">IFERROR(__xludf.DUMMYFUNCTION("""COMPUTED_VALUE"""),4)</f>
        <v>4</v>
      </c>
      <c r="F378" s="18" t="str">
        <f ca="1">IFERROR(__xludf.DUMMYFUNCTION("""COMPUTED_VALUE"""),"8156027370 9824957615")</f>
        <v>8156027370 9824957615</v>
      </c>
      <c r="G378" s="18" t="str">
        <f ca="1">IFERROR(__xludf.DUMMYFUNCTION("""COMPUTED_VALUE"""),"8156027370 9824957615")</f>
        <v>8156027370 9824957615</v>
      </c>
      <c r="H378" s="6" t="str">
        <f ca="1">IFERROR(__xludf.DUMMYFUNCTION("""COMPUTED_VALUE"""),"DCE_2022-25")</f>
        <v>DCE_2022-25</v>
      </c>
      <c r="I378" s="20" t="str">
        <f ca="1">IFERROR(__xludf.DUMMYFUNCTION("""COMPUTED_VALUE"""),"MYSY")</f>
        <v>MYSY</v>
      </c>
      <c r="J378" s="21">
        <f ca="1">IFERROR(__xludf.DUMMYFUNCTION("""COMPUTED_VALUE"""),25000)</f>
        <v>25000</v>
      </c>
      <c r="K378" s="21">
        <f ca="1">IFERROR(__xludf.DUMMYFUNCTION("""COMPUTED_VALUE"""),0)</f>
        <v>0</v>
      </c>
      <c r="L378" s="21">
        <f ca="1">IFERROR(__xludf.DUMMYFUNCTION("""COMPUTED_VALUE"""),0)</f>
        <v>0</v>
      </c>
      <c r="M378" s="23">
        <f ca="1">IFERROR(__xludf.DUMMYFUNCTION("""COMPUTED_VALUE"""),0)</f>
        <v>0</v>
      </c>
      <c r="N378" s="21">
        <f ca="1">IFERROR(__xludf.DUMMYFUNCTION("""COMPUTED_VALUE"""),25000)</f>
        <v>25000</v>
      </c>
      <c r="O378" s="21">
        <f ca="1">IFERROR(__xludf.DUMMYFUNCTION("""COMPUTED_VALUE"""),3000)</f>
        <v>3000</v>
      </c>
      <c r="P378" s="21">
        <f ca="1">IFERROR(__xludf.DUMMYFUNCTION("""COMPUTED_VALUE"""),3000)</f>
        <v>3000</v>
      </c>
      <c r="Q378" s="23">
        <f ca="1">IFERROR(__xludf.DUMMYFUNCTION("""COMPUTED_VALUE"""),0)</f>
        <v>0</v>
      </c>
      <c r="R378" s="24">
        <f ca="1">IFERROR(__xludf.DUMMYFUNCTION("""COMPUTED_VALUE"""),0)</f>
        <v>0</v>
      </c>
      <c r="S378" s="23">
        <f ca="1">IFERROR(__xludf.DUMMYFUNCTION("""COMPUTED_VALUE"""),0)</f>
        <v>0</v>
      </c>
      <c r="T378" s="24">
        <f ca="1">IFERROR(__xludf.DUMMYFUNCTION("""COMPUTED_VALUE"""),0)</f>
        <v>0</v>
      </c>
      <c r="U378" s="23">
        <f ca="1">IFERROR(__xludf.DUMMYFUNCTION("""COMPUTED_VALUE"""),0)</f>
        <v>0</v>
      </c>
      <c r="V378" s="23">
        <f ca="1">IFERROR(__xludf.DUMMYFUNCTION("""COMPUTED_VALUE"""),0)</f>
        <v>0</v>
      </c>
      <c r="W378" s="23">
        <f ca="1">IFERROR(__xludf.DUMMYFUNCTION("""COMPUTED_VALUE"""),0)</f>
        <v>0</v>
      </c>
      <c r="X378" s="23">
        <f ca="1">IFERROR(__xludf.DUMMYFUNCTION("""COMPUTED_VALUE"""),0)</f>
        <v>0</v>
      </c>
      <c r="Y378" s="25">
        <f ca="1">IFERROR(__xludf.DUMMYFUNCTION("""COMPUTED_VALUE"""),0)</f>
        <v>0</v>
      </c>
      <c r="Z378" s="25">
        <f ca="1">IFERROR(__xludf.DUMMYFUNCTION("""COMPUTED_VALUE"""),0)</f>
        <v>0</v>
      </c>
      <c r="AA378" s="25">
        <f ca="1">IFERROR(__xludf.DUMMYFUNCTION("""COMPUTED_VALUE"""),0)</f>
        <v>0</v>
      </c>
      <c r="AB378" s="25">
        <f ca="1">IFERROR(__xludf.DUMMYFUNCTION("""COMPUTED_VALUE"""),0)</f>
        <v>0</v>
      </c>
      <c r="AC378" s="23">
        <f ca="1">IFERROR(__xludf.DUMMYFUNCTION("""COMPUTED_VALUE"""),0)</f>
        <v>0</v>
      </c>
      <c r="AD378" s="26" t="str">
        <f ca="1">IFERROR(__xludf.DUMMYFUNCTION("""COMPUTED_VALUE"""),"KSPS(25%) + MYSY(50%) ")</f>
        <v xml:space="preserve">KSPS(25%) + MYSY(50%) </v>
      </c>
      <c r="AE378" s="27"/>
    </row>
    <row r="379" spans="1:31" ht="14.3">
      <c r="A379" s="18" t="str">
        <f ca="1">IFERROR(__xludf.DUMMYFUNCTION("""COMPUTED_VALUE"""),"22SDSCE01136")</f>
        <v>22SDSCE01136</v>
      </c>
      <c r="B379" s="19" t="str">
        <f ca="1">IFERROR(__xludf.DUMMYFUNCTION("""COMPUTED_VALUE"""),"BHUVA DAKSH MANOJBHAI")</f>
        <v>BHUVA DAKSH MANOJBHAI</v>
      </c>
      <c r="C379" s="18" t="str">
        <f ca="1">IFERROR(__xludf.DUMMYFUNCTION("""COMPUTED_VALUE"""),"SDS")</f>
        <v>SDS</v>
      </c>
      <c r="D379" s="18" t="str">
        <f ca="1">IFERROR(__xludf.DUMMYFUNCTION("""COMPUTED_VALUE"""),"DCE")</f>
        <v>DCE</v>
      </c>
      <c r="E379" s="25">
        <f ca="1">IFERROR(__xludf.DUMMYFUNCTION("""COMPUTED_VALUE"""),4)</f>
        <v>4</v>
      </c>
      <c r="F379" s="18" t="str">
        <f ca="1">IFERROR(__xludf.DUMMYFUNCTION("""COMPUTED_VALUE"""),"9023721053 9974841979")</f>
        <v>9023721053 9974841979</v>
      </c>
      <c r="G379" s="18" t="str">
        <f ca="1">IFERROR(__xludf.DUMMYFUNCTION("""COMPUTED_VALUE"""),"9023721053 9974841979")</f>
        <v>9023721053 9974841979</v>
      </c>
      <c r="H379" s="6" t="str">
        <f ca="1">IFERROR(__xludf.DUMMYFUNCTION("""COMPUTED_VALUE"""),"DCE_2022-25")</f>
        <v>DCE_2022-25</v>
      </c>
      <c r="I379" s="20"/>
      <c r="J379" s="21">
        <f ca="1">IFERROR(__xludf.DUMMYFUNCTION("""COMPUTED_VALUE"""),25000)</f>
        <v>25000</v>
      </c>
      <c r="K379" s="21">
        <f ca="1">IFERROR(__xludf.DUMMYFUNCTION("""COMPUTED_VALUE"""),25000)</f>
        <v>25000</v>
      </c>
      <c r="L379" s="21">
        <f ca="1">IFERROR(__xludf.DUMMYFUNCTION("""COMPUTED_VALUE"""),0)</f>
        <v>0</v>
      </c>
      <c r="M379" s="23">
        <f ca="1">IFERROR(__xludf.DUMMYFUNCTION("""COMPUTED_VALUE"""),0)</f>
        <v>0</v>
      </c>
      <c r="N379" s="21">
        <f ca="1">IFERROR(__xludf.DUMMYFUNCTION("""COMPUTED_VALUE"""),0)</f>
        <v>0</v>
      </c>
      <c r="O379" s="21">
        <f ca="1">IFERROR(__xludf.DUMMYFUNCTION("""COMPUTED_VALUE"""),3000)</f>
        <v>3000</v>
      </c>
      <c r="P379" s="21">
        <f ca="1">IFERROR(__xludf.DUMMYFUNCTION("""COMPUTED_VALUE"""),3000)</f>
        <v>3000</v>
      </c>
      <c r="Q379" s="23">
        <f ca="1">IFERROR(__xludf.DUMMYFUNCTION("""COMPUTED_VALUE"""),0)</f>
        <v>0</v>
      </c>
      <c r="R379" s="24">
        <f ca="1">IFERROR(__xludf.DUMMYFUNCTION("""COMPUTED_VALUE"""),0)</f>
        <v>0</v>
      </c>
      <c r="S379" s="23">
        <f ca="1">IFERROR(__xludf.DUMMYFUNCTION("""COMPUTED_VALUE"""),0)</f>
        <v>0</v>
      </c>
      <c r="T379" s="24">
        <f ca="1">IFERROR(__xludf.DUMMYFUNCTION("""COMPUTED_VALUE"""),0)</f>
        <v>0</v>
      </c>
      <c r="U379" s="23">
        <f ca="1">IFERROR(__xludf.DUMMYFUNCTION("""COMPUTED_VALUE"""),0)</f>
        <v>0</v>
      </c>
      <c r="V379" s="23">
        <f ca="1">IFERROR(__xludf.DUMMYFUNCTION("""COMPUTED_VALUE"""),0)</f>
        <v>0</v>
      </c>
      <c r="W379" s="23">
        <f ca="1">IFERROR(__xludf.DUMMYFUNCTION("""COMPUTED_VALUE"""),0)</f>
        <v>0</v>
      </c>
      <c r="X379" s="23">
        <f ca="1">IFERROR(__xludf.DUMMYFUNCTION("""COMPUTED_VALUE"""),0)</f>
        <v>0</v>
      </c>
      <c r="Y379" s="25">
        <f ca="1">IFERROR(__xludf.DUMMYFUNCTION("""COMPUTED_VALUE"""),0)</f>
        <v>0</v>
      </c>
      <c r="Z379" s="25">
        <f ca="1">IFERROR(__xludf.DUMMYFUNCTION("""COMPUTED_VALUE"""),0)</f>
        <v>0</v>
      </c>
      <c r="AA379" s="25">
        <f ca="1">IFERROR(__xludf.DUMMYFUNCTION("""COMPUTED_VALUE"""),0)</f>
        <v>0</v>
      </c>
      <c r="AB379" s="25">
        <f ca="1">IFERROR(__xludf.DUMMYFUNCTION("""COMPUTED_VALUE"""),0)</f>
        <v>0</v>
      </c>
      <c r="AC379" s="23">
        <f ca="1">IFERROR(__xludf.DUMMYFUNCTION("""COMPUTED_VALUE"""),0)</f>
        <v>0</v>
      </c>
      <c r="AD379" s="26"/>
      <c r="AE379" s="27"/>
    </row>
    <row r="380" spans="1:31" ht="28.55">
      <c r="A380" s="18" t="str">
        <f ca="1">IFERROR(__xludf.DUMMYFUNCTION("""COMPUTED_VALUE"""),"22SDSCE01137")</f>
        <v>22SDSCE01137</v>
      </c>
      <c r="B380" s="19" t="str">
        <f ca="1">IFERROR(__xludf.DUMMYFUNCTION("""COMPUTED_VALUE"""),"CHAVDA KARTIK BHARATBHAI")</f>
        <v>CHAVDA KARTIK BHARATBHAI</v>
      </c>
      <c r="C380" s="18" t="str">
        <f ca="1">IFERROR(__xludf.DUMMYFUNCTION("""COMPUTED_VALUE"""),"SDS")</f>
        <v>SDS</v>
      </c>
      <c r="D380" s="18" t="str">
        <f ca="1">IFERROR(__xludf.DUMMYFUNCTION("""COMPUTED_VALUE"""),"DCE")</f>
        <v>DCE</v>
      </c>
      <c r="E380" s="25">
        <f ca="1">IFERROR(__xludf.DUMMYFUNCTION("""COMPUTED_VALUE"""),4)</f>
        <v>4</v>
      </c>
      <c r="F380" s="18" t="str">
        <f ca="1">IFERROR(__xludf.DUMMYFUNCTION("""COMPUTED_VALUE"""),"7621081527 
9106660620")</f>
        <v>7621081527 
9106660620</v>
      </c>
      <c r="G380" s="18" t="str">
        <f ca="1">IFERROR(__xludf.DUMMYFUNCTION("""COMPUTED_VALUE"""),"7621081527 
9106660620")</f>
        <v>7621081527 
9106660620</v>
      </c>
      <c r="H380" s="6" t="str">
        <f ca="1">IFERROR(__xludf.DUMMYFUNCTION("""COMPUTED_VALUE"""),"DCE_2022-25")</f>
        <v>DCE_2022-25</v>
      </c>
      <c r="I380" s="20" t="str">
        <f ca="1">IFERROR(__xludf.DUMMYFUNCTION("""COMPUTED_VALUE"""),"FREESHIP CARD")</f>
        <v>FREESHIP CARD</v>
      </c>
      <c r="J380" s="21">
        <f ca="1">IFERROR(__xludf.DUMMYFUNCTION("""COMPUTED_VALUE"""),25000)</f>
        <v>25000</v>
      </c>
      <c r="K380" s="21">
        <f ca="1">IFERROR(__xludf.DUMMYFUNCTION("""COMPUTED_VALUE"""),0)</f>
        <v>0</v>
      </c>
      <c r="L380" s="21">
        <f ca="1">IFERROR(__xludf.DUMMYFUNCTION("""COMPUTED_VALUE"""),0)</f>
        <v>0</v>
      </c>
      <c r="M380" s="23">
        <f ca="1">IFERROR(__xludf.DUMMYFUNCTION("""COMPUTED_VALUE"""),0)</f>
        <v>0</v>
      </c>
      <c r="N380" s="21">
        <f ca="1">IFERROR(__xludf.DUMMYFUNCTION("""COMPUTED_VALUE"""),25000)</f>
        <v>25000</v>
      </c>
      <c r="O380" s="21">
        <f ca="1">IFERROR(__xludf.DUMMYFUNCTION("""COMPUTED_VALUE"""),3000)</f>
        <v>3000</v>
      </c>
      <c r="P380" s="21">
        <f ca="1">IFERROR(__xludf.DUMMYFUNCTION("""COMPUTED_VALUE"""),3000)</f>
        <v>3000</v>
      </c>
      <c r="Q380" s="23">
        <f ca="1">IFERROR(__xludf.DUMMYFUNCTION("""COMPUTED_VALUE"""),0)</f>
        <v>0</v>
      </c>
      <c r="R380" s="24">
        <f ca="1">IFERROR(__xludf.DUMMYFUNCTION("""COMPUTED_VALUE"""),0)</f>
        <v>0</v>
      </c>
      <c r="S380" s="23">
        <f ca="1">IFERROR(__xludf.DUMMYFUNCTION("""COMPUTED_VALUE"""),0)</f>
        <v>0</v>
      </c>
      <c r="T380" s="24">
        <f ca="1">IFERROR(__xludf.DUMMYFUNCTION("""COMPUTED_VALUE"""),0)</f>
        <v>0</v>
      </c>
      <c r="U380" s="23">
        <f ca="1">IFERROR(__xludf.DUMMYFUNCTION("""COMPUTED_VALUE"""),0)</f>
        <v>0</v>
      </c>
      <c r="V380" s="23">
        <f ca="1">IFERROR(__xludf.DUMMYFUNCTION("""COMPUTED_VALUE"""),0)</f>
        <v>0</v>
      </c>
      <c r="W380" s="23">
        <f ca="1">IFERROR(__xludf.DUMMYFUNCTION("""COMPUTED_VALUE"""),0)</f>
        <v>0</v>
      </c>
      <c r="X380" s="23">
        <f ca="1">IFERROR(__xludf.DUMMYFUNCTION("""COMPUTED_VALUE"""),0)</f>
        <v>0</v>
      </c>
      <c r="Y380" s="25">
        <f ca="1">IFERROR(__xludf.DUMMYFUNCTION("""COMPUTED_VALUE"""),0)</f>
        <v>0</v>
      </c>
      <c r="Z380" s="25">
        <f ca="1">IFERROR(__xludf.DUMMYFUNCTION("""COMPUTED_VALUE"""),0)</f>
        <v>0</v>
      </c>
      <c r="AA380" s="25">
        <f ca="1">IFERROR(__xludf.DUMMYFUNCTION("""COMPUTED_VALUE"""),0)</f>
        <v>0</v>
      </c>
      <c r="AB380" s="25">
        <f ca="1">IFERROR(__xludf.DUMMYFUNCTION("""COMPUTED_VALUE"""),0)</f>
        <v>0</v>
      </c>
      <c r="AC380" s="23">
        <f ca="1">IFERROR(__xludf.DUMMYFUNCTION("""COMPUTED_VALUE"""),0)</f>
        <v>0</v>
      </c>
      <c r="AD380" s="26" t="str">
        <f ca="1">IFERROR(__xludf.DUMMYFUNCTION("""COMPUTED_VALUE"""),"FREESHIP CARD")</f>
        <v>FREESHIP CARD</v>
      </c>
      <c r="AE380" s="27"/>
    </row>
    <row r="381" spans="1:31" ht="14.3">
      <c r="A381" s="18" t="str">
        <f ca="1">IFERROR(__xludf.DUMMYFUNCTION("""COMPUTED_VALUE"""),"22SDSCE01138")</f>
        <v>22SDSCE01138</v>
      </c>
      <c r="B381" s="19" t="str">
        <f ca="1">IFERROR(__xludf.DUMMYFUNCTION("""COMPUTED_VALUE"""),"CHAVDA NIKUNJ JAGDISHBHAI")</f>
        <v>CHAVDA NIKUNJ JAGDISHBHAI</v>
      </c>
      <c r="C381" s="18" t="str">
        <f ca="1">IFERROR(__xludf.DUMMYFUNCTION("""COMPUTED_VALUE"""),"SDS")</f>
        <v>SDS</v>
      </c>
      <c r="D381" s="18" t="str">
        <f ca="1">IFERROR(__xludf.DUMMYFUNCTION("""COMPUTED_VALUE"""),"DCE")</f>
        <v>DCE</v>
      </c>
      <c r="E381" s="25">
        <f ca="1">IFERROR(__xludf.DUMMYFUNCTION("""COMPUTED_VALUE"""),4)</f>
        <v>4</v>
      </c>
      <c r="F381" s="18" t="str">
        <f ca="1">IFERROR(__xludf.DUMMYFUNCTION("""COMPUTED_VALUE"""),"9714432687 9714939506")</f>
        <v>9714432687 9714939506</v>
      </c>
      <c r="G381" s="18" t="str">
        <f ca="1">IFERROR(__xludf.DUMMYFUNCTION("""COMPUTED_VALUE"""),"9714432687 9714939506")</f>
        <v>9714432687 9714939506</v>
      </c>
      <c r="H381" s="6" t="str">
        <f ca="1">IFERROR(__xludf.DUMMYFUNCTION("""COMPUTED_VALUE"""),"DCE_2022-25")</f>
        <v>DCE_2022-25</v>
      </c>
      <c r="I381" s="20" t="str">
        <f ca="1">IFERROR(__xludf.DUMMYFUNCTION("""COMPUTED_VALUE"""),"MYSY")</f>
        <v>MYSY</v>
      </c>
      <c r="J381" s="21">
        <f ca="1">IFERROR(__xludf.DUMMYFUNCTION("""COMPUTED_VALUE"""),25000)</f>
        <v>25000</v>
      </c>
      <c r="K381" s="21">
        <f ca="1">IFERROR(__xludf.DUMMYFUNCTION("""COMPUTED_VALUE"""),0)</f>
        <v>0</v>
      </c>
      <c r="L381" s="21">
        <f ca="1">IFERROR(__xludf.DUMMYFUNCTION("""COMPUTED_VALUE"""),0)</f>
        <v>0</v>
      </c>
      <c r="M381" s="23">
        <f ca="1">IFERROR(__xludf.DUMMYFUNCTION("""COMPUTED_VALUE"""),0)</f>
        <v>0</v>
      </c>
      <c r="N381" s="21">
        <f ca="1">IFERROR(__xludf.DUMMYFUNCTION("""COMPUTED_VALUE"""),25000)</f>
        <v>25000</v>
      </c>
      <c r="O381" s="21">
        <f ca="1">IFERROR(__xludf.DUMMYFUNCTION("""COMPUTED_VALUE"""),3000)</f>
        <v>3000</v>
      </c>
      <c r="P381" s="21">
        <f ca="1">IFERROR(__xludf.DUMMYFUNCTION("""COMPUTED_VALUE"""),3000)</f>
        <v>3000</v>
      </c>
      <c r="Q381" s="23">
        <f ca="1">IFERROR(__xludf.DUMMYFUNCTION("""COMPUTED_VALUE"""),0)</f>
        <v>0</v>
      </c>
      <c r="R381" s="24">
        <f ca="1">IFERROR(__xludf.DUMMYFUNCTION("""COMPUTED_VALUE"""),0)</f>
        <v>0</v>
      </c>
      <c r="S381" s="23">
        <f ca="1">IFERROR(__xludf.DUMMYFUNCTION("""COMPUTED_VALUE"""),0)</f>
        <v>0</v>
      </c>
      <c r="T381" s="24">
        <f ca="1">IFERROR(__xludf.DUMMYFUNCTION("""COMPUTED_VALUE"""),0)</f>
        <v>0</v>
      </c>
      <c r="U381" s="23">
        <f ca="1">IFERROR(__xludf.DUMMYFUNCTION("""COMPUTED_VALUE"""),0)</f>
        <v>0</v>
      </c>
      <c r="V381" s="23">
        <f ca="1">IFERROR(__xludf.DUMMYFUNCTION("""COMPUTED_VALUE"""),0)</f>
        <v>0</v>
      </c>
      <c r="W381" s="23">
        <f ca="1">IFERROR(__xludf.DUMMYFUNCTION("""COMPUTED_VALUE"""),0)</f>
        <v>0</v>
      </c>
      <c r="X381" s="23">
        <f ca="1">IFERROR(__xludf.DUMMYFUNCTION("""COMPUTED_VALUE"""),0)</f>
        <v>0</v>
      </c>
      <c r="Y381" s="25">
        <f ca="1">IFERROR(__xludf.DUMMYFUNCTION("""COMPUTED_VALUE"""),0)</f>
        <v>0</v>
      </c>
      <c r="Z381" s="25">
        <f ca="1">IFERROR(__xludf.DUMMYFUNCTION("""COMPUTED_VALUE"""),0)</f>
        <v>0</v>
      </c>
      <c r="AA381" s="25">
        <f ca="1">IFERROR(__xludf.DUMMYFUNCTION("""COMPUTED_VALUE"""),0)</f>
        <v>0</v>
      </c>
      <c r="AB381" s="25">
        <f ca="1">IFERROR(__xludf.DUMMYFUNCTION("""COMPUTED_VALUE"""),0)</f>
        <v>0</v>
      </c>
      <c r="AC381" s="23">
        <f ca="1">IFERROR(__xludf.DUMMYFUNCTION("""COMPUTED_VALUE"""),0)</f>
        <v>0</v>
      </c>
      <c r="AD381" s="26" t="str">
        <f ca="1">IFERROR(__xludf.DUMMYFUNCTION("""COMPUTED_VALUE"""),"KSPS(25%) + MYSY(50%)")</f>
        <v>KSPS(25%) + MYSY(50%)</v>
      </c>
      <c r="AE381" s="27"/>
    </row>
    <row r="382" spans="1:31" ht="14.3">
      <c r="A382" s="18" t="str">
        <f ca="1">IFERROR(__xludf.DUMMYFUNCTION("""COMPUTED_VALUE"""),"22SDSCE01139")</f>
        <v>22SDSCE01139</v>
      </c>
      <c r="B382" s="19" t="str">
        <f ca="1">IFERROR(__xludf.DUMMYFUNCTION("""COMPUTED_VALUE"""),"DHADUK JEET KARSHANBHAI")</f>
        <v>DHADUK JEET KARSHANBHAI</v>
      </c>
      <c r="C382" s="18" t="str">
        <f ca="1">IFERROR(__xludf.DUMMYFUNCTION("""COMPUTED_VALUE"""),"SDS")</f>
        <v>SDS</v>
      </c>
      <c r="D382" s="18" t="str">
        <f ca="1">IFERROR(__xludf.DUMMYFUNCTION("""COMPUTED_VALUE"""),"DCE")</f>
        <v>DCE</v>
      </c>
      <c r="E382" s="25">
        <f ca="1">IFERROR(__xludf.DUMMYFUNCTION("""COMPUTED_VALUE"""),4)</f>
        <v>4</v>
      </c>
      <c r="F382" s="18" t="str">
        <f ca="1">IFERROR(__xludf.DUMMYFUNCTION("""COMPUTED_VALUE"""),"7567209526 9727507066")</f>
        <v>7567209526 9727507066</v>
      </c>
      <c r="G382" s="18" t="str">
        <f ca="1">IFERROR(__xludf.DUMMYFUNCTION("""COMPUTED_VALUE"""),"7567209526 9727507066")</f>
        <v>7567209526 9727507066</v>
      </c>
      <c r="H382" s="6" t="str">
        <f ca="1">IFERROR(__xludf.DUMMYFUNCTION("""COMPUTED_VALUE"""),"DCE_2022-25")</f>
        <v>DCE_2022-25</v>
      </c>
      <c r="I382" s="20"/>
      <c r="J382" s="21">
        <f ca="1">IFERROR(__xludf.DUMMYFUNCTION("""COMPUTED_VALUE"""),25000)</f>
        <v>25000</v>
      </c>
      <c r="K382" s="21">
        <f ca="1">IFERROR(__xludf.DUMMYFUNCTION("""COMPUTED_VALUE"""),25000)</f>
        <v>25000</v>
      </c>
      <c r="L382" s="21">
        <f ca="1">IFERROR(__xludf.DUMMYFUNCTION("""COMPUTED_VALUE"""),0)</f>
        <v>0</v>
      </c>
      <c r="M382" s="23">
        <f ca="1">IFERROR(__xludf.DUMMYFUNCTION("""COMPUTED_VALUE"""),0)</f>
        <v>0</v>
      </c>
      <c r="N382" s="21">
        <f ca="1">IFERROR(__xludf.DUMMYFUNCTION("""COMPUTED_VALUE"""),0)</f>
        <v>0</v>
      </c>
      <c r="O382" s="21">
        <f ca="1">IFERROR(__xludf.DUMMYFUNCTION("""COMPUTED_VALUE"""),3000)</f>
        <v>3000</v>
      </c>
      <c r="P382" s="21">
        <f ca="1">IFERROR(__xludf.DUMMYFUNCTION("""COMPUTED_VALUE"""),3000)</f>
        <v>3000</v>
      </c>
      <c r="Q382" s="23">
        <f ca="1">IFERROR(__xludf.DUMMYFUNCTION("""COMPUTED_VALUE"""),0)</f>
        <v>0</v>
      </c>
      <c r="R382" s="24">
        <f ca="1">IFERROR(__xludf.DUMMYFUNCTION("""COMPUTED_VALUE"""),0)</f>
        <v>0</v>
      </c>
      <c r="S382" s="23">
        <f ca="1">IFERROR(__xludf.DUMMYFUNCTION("""COMPUTED_VALUE"""),0)</f>
        <v>0</v>
      </c>
      <c r="T382" s="24">
        <f ca="1">IFERROR(__xludf.DUMMYFUNCTION("""COMPUTED_VALUE"""),0)</f>
        <v>0</v>
      </c>
      <c r="U382" s="23">
        <f ca="1">IFERROR(__xludf.DUMMYFUNCTION("""COMPUTED_VALUE"""),0)</f>
        <v>0</v>
      </c>
      <c r="V382" s="23">
        <f ca="1">IFERROR(__xludf.DUMMYFUNCTION("""COMPUTED_VALUE"""),0)</f>
        <v>0</v>
      </c>
      <c r="W382" s="23">
        <f ca="1">IFERROR(__xludf.DUMMYFUNCTION("""COMPUTED_VALUE"""),0)</f>
        <v>0</v>
      </c>
      <c r="X382" s="23">
        <f ca="1">IFERROR(__xludf.DUMMYFUNCTION("""COMPUTED_VALUE"""),0)</f>
        <v>0</v>
      </c>
      <c r="Y382" s="25">
        <f ca="1">IFERROR(__xludf.DUMMYFUNCTION("""COMPUTED_VALUE"""),0)</f>
        <v>0</v>
      </c>
      <c r="Z382" s="25">
        <f ca="1">IFERROR(__xludf.DUMMYFUNCTION("""COMPUTED_VALUE"""),0)</f>
        <v>0</v>
      </c>
      <c r="AA382" s="25">
        <f ca="1">IFERROR(__xludf.DUMMYFUNCTION("""COMPUTED_VALUE"""),0)</f>
        <v>0</v>
      </c>
      <c r="AB382" s="25">
        <f ca="1">IFERROR(__xludf.DUMMYFUNCTION("""COMPUTED_VALUE"""),0)</f>
        <v>0</v>
      </c>
      <c r="AC382" s="23">
        <f ca="1">IFERROR(__xludf.DUMMYFUNCTION("""COMPUTED_VALUE"""),0)</f>
        <v>0</v>
      </c>
      <c r="AD382" s="26"/>
      <c r="AE382" s="27"/>
    </row>
    <row r="383" spans="1:31" ht="14.3">
      <c r="A383" s="18" t="str">
        <f ca="1">IFERROR(__xludf.DUMMYFUNCTION("""COMPUTED_VALUE"""),"22SDSCE01140")</f>
        <v>22SDSCE01140</v>
      </c>
      <c r="B383" s="19" t="str">
        <f ca="1">IFERROR(__xludf.DUMMYFUNCTION("""COMPUTED_VALUE"""),"DHADUK KASHYAP SURESHBHAI")</f>
        <v>DHADUK KASHYAP SURESHBHAI</v>
      </c>
      <c r="C383" s="18" t="str">
        <f ca="1">IFERROR(__xludf.DUMMYFUNCTION("""COMPUTED_VALUE"""),"SDS")</f>
        <v>SDS</v>
      </c>
      <c r="D383" s="18" t="str">
        <f ca="1">IFERROR(__xludf.DUMMYFUNCTION("""COMPUTED_VALUE"""),"DCE")</f>
        <v>DCE</v>
      </c>
      <c r="E383" s="25">
        <f ca="1">IFERROR(__xludf.DUMMYFUNCTION("""COMPUTED_VALUE"""),4)</f>
        <v>4</v>
      </c>
      <c r="F383" s="18" t="str">
        <f ca="1">IFERROR(__xludf.DUMMYFUNCTION("""COMPUTED_VALUE"""),"9601658381 9913923293")</f>
        <v>9601658381 9913923293</v>
      </c>
      <c r="G383" s="18" t="str">
        <f ca="1">IFERROR(__xludf.DUMMYFUNCTION("""COMPUTED_VALUE"""),"9601658381 9913923293")</f>
        <v>9601658381 9913923293</v>
      </c>
      <c r="H383" s="6" t="str">
        <f ca="1">IFERROR(__xludf.DUMMYFUNCTION("""COMPUTED_VALUE"""),"DCE_2022-25")</f>
        <v>DCE_2022-25</v>
      </c>
      <c r="I383" s="20" t="str">
        <f ca="1">IFERROR(__xludf.DUMMYFUNCTION("""COMPUTED_VALUE"""),"MYSY")</f>
        <v>MYSY</v>
      </c>
      <c r="J383" s="21">
        <f ca="1">IFERROR(__xludf.DUMMYFUNCTION("""COMPUTED_VALUE"""),25000)</f>
        <v>25000</v>
      </c>
      <c r="K383" s="21">
        <f ca="1">IFERROR(__xludf.DUMMYFUNCTION("""COMPUTED_VALUE"""),25000)</f>
        <v>25000</v>
      </c>
      <c r="L383" s="21">
        <f ca="1">IFERROR(__xludf.DUMMYFUNCTION("""COMPUTED_VALUE"""),0)</f>
        <v>0</v>
      </c>
      <c r="M383" s="23">
        <f ca="1">IFERROR(__xludf.DUMMYFUNCTION("""COMPUTED_VALUE"""),0)</f>
        <v>0</v>
      </c>
      <c r="N383" s="21">
        <f ca="1">IFERROR(__xludf.DUMMYFUNCTION("""COMPUTED_VALUE"""),0)</f>
        <v>0</v>
      </c>
      <c r="O383" s="21">
        <f ca="1">IFERROR(__xludf.DUMMYFUNCTION("""COMPUTED_VALUE"""),3000)</f>
        <v>3000</v>
      </c>
      <c r="P383" s="21">
        <f ca="1">IFERROR(__xludf.DUMMYFUNCTION("""COMPUTED_VALUE"""),3000)</f>
        <v>3000</v>
      </c>
      <c r="Q383" s="23">
        <f ca="1">IFERROR(__xludf.DUMMYFUNCTION("""COMPUTED_VALUE"""),0)</f>
        <v>0</v>
      </c>
      <c r="R383" s="24">
        <f ca="1">IFERROR(__xludf.DUMMYFUNCTION("""COMPUTED_VALUE"""),0)</f>
        <v>0</v>
      </c>
      <c r="S383" s="23">
        <f ca="1">IFERROR(__xludf.DUMMYFUNCTION("""COMPUTED_VALUE"""),0)</f>
        <v>0</v>
      </c>
      <c r="T383" s="24">
        <f ca="1">IFERROR(__xludf.DUMMYFUNCTION("""COMPUTED_VALUE"""),0)</f>
        <v>0</v>
      </c>
      <c r="U383" s="23">
        <f ca="1">IFERROR(__xludf.DUMMYFUNCTION("""COMPUTED_VALUE"""),0)</f>
        <v>0</v>
      </c>
      <c r="V383" s="23">
        <f ca="1">IFERROR(__xludf.DUMMYFUNCTION("""COMPUTED_VALUE"""),0)</f>
        <v>0</v>
      </c>
      <c r="W383" s="23">
        <f ca="1">IFERROR(__xludf.DUMMYFUNCTION("""COMPUTED_VALUE"""),0)</f>
        <v>0</v>
      </c>
      <c r="X383" s="23">
        <f ca="1">IFERROR(__xludf.DUMMYFUNCTION("""COMPUTED_VALUE"""),0)</f>
        <v>0</v>
      </c>
      <c r="Y383" s="25">
        <f ca="1">IFERROR(__xludf.DUMMYFUNCTION("""COMPUTED_VALUE"""),0)</f>
        <v>0</v>
      </c>
      <c r="Z383" s="25">
        <f ca="1">IFERROR(__xludf.DUMMYFUNCTION("""COMPUTED_VALUE"""),0)</f>
        <v>0</v>
      </c>
      <c r="AA383" s="25">
        <f ca="1">IFERROR(__xludf.DUMMYFUNCTION("""COMPUTED_VALUE"""),0)</f>
        <v>0</v>
      </c>
      <c r="AB383" s="25">
        <f ca="1">IFERROR(__xludf.DUMMYFUNCTION("""COMPUTED_VALUE"""),0)</f>
        <v>0</v>
      </c>
      <c r="AC383" s="23">
        <f ca="1">IFERROR(__xludf.DUMMYFUNCTION("""COMPUTED_VALUE"""),0)</f>
        <v>0</v>
      </c>
      <c r="AD383" s="26" t="str">
        <f ca="1">IFERROR(__xludf.DUMMYFUNCTION("""COMPUTED_VALUE"""),"MYSY(50%) + KSPS(25%)")</f>
        <v>MYSY(50%) + KSPS(25%)</v>
      </c>
      <c r="AE383" s="27"/>
    </row>
    <row r="384" spans="1:31" ht="28.55">
      <c r="A384" s="18" t="str">
        <f ca="1">IFERROR(__xludf.DUMMYFUNCTION("""COMPUTED_VALUE"""),"22SDSCE01141")</f>
        <v>22SDSCE01141</v>
      </c>
      <c r="B384" s="19" t="str">
        <f ca="1">IFERROR(__xludf.DUMMYFUNCTION("""COMPUTED_VALUE"""),"DHAMAL HARSHKUMAR HIMMATBHAI")</f>
        <v>DHAMAL HARSHKUMAR HIMMATBHAI</v>
      </c>
      <c r="C384" s="18" t="str">
        <f ca="1">IFERROR(__xludf.DUMMYFUNCTION("""COMPUTED_VALUE"""),"SDS")</f>
        <v>SDS</v>
      </c>
      <c r="D384" s="18" t="str">
        <f ca="1">IFERROR(__xludf.DUMMYFUNCTION("""COMPUTED_VALUE"""),"DCE")</f>
        <v>DCE</v>
      </c>
      <c r="E384" s="25">
        <f ca="1">IFERROR(__xludf.DUMMYFUNCTION("""COMPUTED_VALUE"""),4)</f>
        <v>4</v>
      </c>
      <c r="F384" s="18" t="str">
        <f ca="1">IFERROR(__xludf.DUMMYFUNCTION("""COMPUTED_VALUE"""),"8200966386 9879913105")</f>
        <v>8200966386 9879913105</v>
      </c>
      <c r="G384" s="18" t="str">
        <f ca="1">IFERROR(__xludf.DUMMYFUNCTION("""COMPUTED_VALUE"""),"8200966386 9879913105")</f>
        <v>8200966386 9879913105</v>
      </c>
      <c r="H384" s="6" t="str">
        <f ca="1">IFERROR(__xludf.DUMMYFUNCTION("""COMPUTED_VALUE"""),"DCE_2022-25")</f>
        <v>DCE_2022-25</v>
      </c>
      <c r="I384" s="20" t="str">
        <f ca="1">IFERROR(__xludf.DUMMYFUNCTION("""COMPUTED_VALUE"""),"FREESHIP CARD")</f>
        <v>FREESHIP CARD</v>
      </c>
      <c r="J384" s="21">
        <f ca="1">IFERROR(__xludf.DUMMYFUNCTION("""COMPUTED_VALUE"""),25000)</f>
        <v>25000</v>
      </c>
      <c r="K384" s="21">
        <f ca="1">IFERROR(__xludf.DUMMYFUNCTION("""COMPUTED_VALUE"""),0)</f>
        <v>0</v>
      </c>
      <c r="L384" s="21">
        <f ca="1">IFERROR(__xludf.DUMMYFUNCTION("""COMPUTED_VALUE"""),0)</f>
        <v>0</v>
      </c>
      <c r="M384" s="23">
        <f ca="1">IFERROR(__xludf.DUMMYFUNCTION("""COMPUTED_VALUE"""),0)</f>
        <v>0</v>
      </c>
      <c r="N384" s="21">
        <f ca="1">IFERROR(__xludf.DUMMYFUNCTION("""COMPUTED_VALUE"""),25000)</f>
        <v>25000</v>
      </c>
      <c r="O384" s="21">
        <f ca="1">IFERROR(__xludf.DUMMYFUNCTION("""COMPUTED_VALUE"""),3000)</f>
        <v>3000</v>
      </c>
      <c r="P384" s="21">
        <f ca="1">IFERROR(__xludf.DUMMYFUNCTION("""COMPUTED_VALUE"""),0)</f>
        <v>0</v>
      </c>
      <c r="Q384" s="23">
        <f ca="1">IFERROR(__xludf.DUMMYFUNCTION("""COMPUTED_VALUE"""),0)</f>
        <v>0</v>
      </c>
      <c r="R384" s="24">
        <f ca="1">IFERROR(__xludf.DUMMYFUNCTION("""COMPUTED_VALUE"""),0)</f>
        <v>0</v>
      </c>
      <c r="S384" s="23">
        <f ca="1">IFERROR(__xludf.DUMMYFUNCTION("""COMPUTED_VALUE"""),3000)</f>
        <v>3000</v>
      </c>
      <c r="T384" s="24">
        <f ca="1">IFERROR(__xludf.DUMMYFUNCTION("""COMPUTED_VALUE"""),0)</f>
        <v>0</v>
      </c>
      <c r="U384" s="23">
        <f ca="1">IFERROR(__xludf.DUMMYFUNCTION("""COMPUTED_VALUE"""),0)</f>
        <v>0</v>
      </c>
      <c r="V384" s="23">
        <f ca="1">IFERROR(__xludf.DUMMYFUNCTION("""COMPUTED_VALUE"""),0)</f>
        <v>0</v>
      </c>
      <c r="W384" s="23">
        <f ca="1">IFERROR(__xludf.DUMMYFUNCTION("""COMPUTED_VALUE"""),0)</f>
        <v>0</v>
      </c>
      <c r="X384" s="23">
        <f ca="1">IFERROR(__xludf.DUMMYFUNCTION("""COMPUTED_VALUE"""),0)</f>
        <v>0</v>
      </c>
      <c r="Y384" s="25">
        <f ca="1">IFERROR(__xludf.DUMMYFUNCTION("""COMPUTED_VALUE"""),0)</f>
        <v>0</v>
      </c>
      <c r="Z384" s="25">
        <f ca="1">IFERROR(__xludf.DUMMYFUNCTION("""COMPUTED_VALUE"""),0)</f>
        <v>0</v>
      </c>
      <c r="AA384" s="25">
        <f ca="1">IFERROR(__xludf.DUMMYFUNCTION("""COMPUTED_VALUE"""),0)</f>
        <v>0</v>
      </c>
      <c r="AB384" s="25">
        <f ca="1">IFERROR(__xludf.DUMMYFUNCTION("""COMPUTED_VALUE"""),0)</f>
        <v>0</v>
      </c>
      <c r="AC384" s="23">
        <f ca="1">IFERROR(__xludf.DUMMYFUNCTION("""COMPUTED_VALUE"""),0)</f>
        <v>0</v>
      </c>
      <c r="AD384" s="26" t="str">
        <f ca="1">IFERROR(__xludf.DUMMYFUNCTION("""COMPUTED_VALUE"""),"FREESHIP CARD")</f>
        <v>FREESHIP CARD</v>
      </c>
      <c r="AE384" s="27"/>
    </row>
    <row r="385" spans="1:31" ht="14.3">
      <c r="A385" s="18" t="str">
        <f ca="1">IFERROR(__xludf.DUMMYFUNCTION("""COMPUTED_VALUE"""),"22SDSCE01142")</f>
        <v>22SDSCE01142</v>
      </c>
      <c r="B385" s="19" t="str">
        <f ca="1">IFERROR(__xludf.DUMMYFUNCTION("""COMPUTED_VALUE"""),"DOBARIYA HET NAVNITBHAI")</f>
        <v>DOBARIYA HET NAVNITBHAI</v>
      </c>
      <c r="C385" s="18" t="str">
        <f ca="1">IFERROR(__xludf.DUMMYFUNCTION("""COMPUTED_VALUE"""),"SDS")</f>
        <v>SDS</v>
      </c>
      <c r="D385" s="18" t="str">
        <f ca="1">IFERROR(__xludf.DUMMYFUNCTION("""COMPUTED_VALUE"""),"DCE")</f>
        <v>DCE</v>
      </c>
      <c r="E385" s="25">
        <f ca="1">IFERROR(__xludf.DUMMYFUNCTION("""COMPUTED_VALUE"""),4)</f>
        <v>4</v>
      </c>
      <c r="F385" s="18" t="str">
        <f ca="1">IFERROR(__xludf.DUMMYFUNCTION("""COMPUTED_VALUE"""),"9825984732 9427425362")</f>
        <v>9825984732 9427425362</v>
      </c>
      <c r="G385" s="18" t="str">
        <f ca="1">IFERROR(__xludf.DUMMYFUNCTION("""COMPUTED_VALUE"""),"9825984732 9427425362")</f>
        <v>9825984732 9427425362</v>
      </c>
      <c r="H385" s="6" t="str">
        <f ca="1">IFERROR(__xludf.DUMMYFUNCTION("""COMPUTED_VALUE"""),"DCE_2022-25")</f>
        <v>DCE_2022-25</v>
      </c>
      <c r="I385" s="20" t="str">
        <f ca="1">IFERROR(__xludf.DUMMYFUNCTION("""COMPUTED_VALUE"""),"MYSY")</f>
        <v>MYSY</v>
      </c>
      <c r="J385" s="21">
        <f ca="1">IFERROR(__xludf.DUMMYFUNCTION("""COMPUTED_VALUE"""),25000)</f>
        <v>25000</v>
      </c>
      <c r="K385" s="21">
        <f ca="1">IFERROR(__xludf.DUMMYFUNCTION("""COMPUTED_VALUE"""),25000)</f>
        <v>25000</v>
      </c>
      <c r="L385" s="21">
        <f ca="1">IFERROR(__xludf.DUMMYFUNCTION("""COMPUTED_VALUE"""),0)</f>
        <v>0</v>
      </c>
      <c r="M385" s="23">
        <f ca="1">IFERROR(__xludf.DUMMYFUNCTION("""COMPUTED_VALUE"""),0)</f>
        <v>0</v>
      </c>
      <c r="N385" s="21">
        <f ca="1">IFERROR(__xludf.DUMMYFUNCTION("""COMPUTED_VALUE"""),0)</f>
        <v>0</v>
      </c>
      <c r="O385" s="21">
        <f ca="1">IFERROR(__xludf.DUMMYFUNCTION("""COMPUTED_VALUE"""),3000)</f>
        <v>3000</v>
      </c>
      <c r="P385" s="21">
        <f ca="1">IFERROR(__xludf.DUMMYFUNCTION("""COMPUTED_VALUE"""),3000)</f>
        <v>3000</v>
      </c>
      <c r="Q385" s="23">
        <f ca="1">IFERROR(__xludf.DUMMYFUNCTION("""COMPUTED_VALUE"""),0)</f>
        <v>0</v>
      </c>
      <c r="R385" s="24">
        <f ca="1">IFERROR(__xludf.DUMMYFUNCTION("""COMPUTED_VALUE"""),0)</f>
        <v>0</v>
      </c>
      <c r="S385" s="23">
        <f ca="1">IFERROR(__xludf.DUMMYFUNCTION("""COMPUTED_VALUE"""),0)</f>
        <v>0</v>
      </c>
      <c r="T385" s="24">
        <f ca="1">IFERROR(__xludf.DUMMYFUNCTION("""COMPUTED_VALUE"""),0)</f>
        <v>0</v>
      </c>
      <c r="U385" s="23">
        <f ca="1">IFERROR(__xludf.DUMMYFUNCTION("""COMPUTED_VALUE"""),0)</f>
        <v>0</v>
      </c>
      <c r="V385" s="23">
        <f ca="1">IFERROR(__xludf.DUMMYFUNCTION("""COMPUTED_VALUE"""),0)</f>
        <v>0</v>
      </c>
      <c r="W385" s="23">
        <f ca="1">IFERROR(__xludf.DUMMYFUNCTION("""COMPUTED_VALUE"""),0)</f>
        <v>0</v>
      </c>
      <c r="X385" s="23">
        <f ca="1">IFERROR(__xludf.DUMMYFUNCTION("""COMPUTED_VALUE"""),0)</f>
        <v>0</v>
      </c>
      <c r="Y385" s="25">
        <f ca="1">IFERROR(__xludf.DUMMYFUNCTION("""COMPUTED_VALUE"""),0)</f>
        <v>0</v>
      </c>
      <c r="Z385" s="25">
        <f ca="1">IFERROR(__xludf.DUMMYFUNCTION("""COMPUTED_VALUE"""),0)</f>
        <v>0</v>
      </c>
      <c r="AA385" s="25">
        <f ca="1">IFERROR(__xludf.DUMMYFUNCTION("""COMPUTED_VALUE"""),0)</f>
        <v>0</v>
      </c>
      <c r="AB385" s="25">
        <f ca="1">IFERROR(__xludf.DUMMYFUNCTION("""COMPUTED_VALUE"""),0)</f>
        <v>0</v>
      </c>
      <c r="AC385" s="23">
        <f ca="1">IFERROR(__xludf.DUMMYFUNCTION("""COMPUTED_VALUE"""),0)</f>
        <v>0</v>
      </c>
      <c r="AD385" s="26" t="str">
        <f ca="1">IFERROR(__xludf.DUMMYFUNCTION("""COMPUTED_VALUE"""),"KSPS(25%) + MYSY(50%)")</f>
        <v>KSPS(25%) + MYSY(50%)</v>
      </c>
      <c r="AE385" s="27"/>
    </row>
    <row r="386" spans="1:31" ht="14.3">
      <c r="A386" s="18" t="str">
        <f ca="1">IFERROR(__xludf.DUMMYFUNCTION("""COMPUTED_VALUE"""),"22SDSCE01143")</f>
        <v>22SDSCE01143</v>
      </c>
      <c r="B386" s="19" t="str">
        <f ca="1">IFERROR(__xludf.DUMMYFUNCTION("""COMPUTED_VALUE"""),"DOBARIYA PARTH BHAVESHBHAI")</f>
        <v>DOBARIYA PARTH BHAVESHBHAI</v>
      </c>
      <c r="C386" s="18" t="str">
        <f ca="1">IFERROR(__xludf.DUMMYFUNCTION("""COMPUTED_VALUE"""),"SDS")</f>
        <v>SDS</v>
      </c>
      <c r="D386" s="18" t="str">
        <f ca="1">IFERROR(__xludf.DUMMYFUNCTION("""COMPUTED_VALUE"""),"DCE")</f>
        <v>DCE</v>
      </c>
      <c r="E386" s="25">
        <f ca="1">IFERROR(__xludf.DUMMYFUNCTION("""COMPUTED_VALUE"""),4)</f>
        <v>4</v>
      </c>
      <c r="F386" s="18" t="str">
        <f ca="1">IFERROR(__xludf.DUMMYFUNCTION("""COMPUTED_VALUE"""),"8160298426 6355767055")</f>
        <v>8160298426 6355767055</v>
      </c>
      <c r="G386" s="18" t="str">
        <f ca="1">IFERROR(__xludf.DUMMYFUNCTION("""COMPUTED_VALUE"""),"8160298426 6355767055")</f>
        <v>8160298426 6355767055</v>
      </c>
      <c r="H386" s="6" t="str">
        <f ca="1">IFERROR(__xludf.DUMMYFUNCTION("""COMPUTED_VALUE"""),"DCE_2022-25")</f>
        <v>DCE_2022-25</v>
      </c>
      <c r="I386" s="20"/>
      <c r="J386" s="21">
        <f ca="1">IFERROR(__xludf.DUMMYFUNCTION("""COMPUTED_VALUE"""),25000)</f>
        <v>25000</v>
      </c>
      <c r="K386" s="21">
        <f ca="1">IFERROR(__xludf.DUMMYFUNCTION("""COMPUTED_VALUE"""),25000)</f>
        <v>25000</v>
      </c>
      <c r="L386" s="21">
        <f ca="1">IFERROR(__xludf.DUMMYFUNCTION("""COMPUTED_VALUE"""),0)</f>
        <v>0</v>
      </c>
      <c r="M386" s="23">
        <f ca="1">IFERROR(__xludf.DUMMYFUNCTION("""COMPUTED_VALUE"""),0)</f>
        <v>0</v>
      </c>
      <c r="N386" s="21">
        <f ca="1">IFERROR(__xludf.DUMMYFUNCTION("""COMPUTED_VALUE"""),0)</f>
        <v>0</v>
      </c>
      <c r="O386" s="21">
        <f ca="1">IFERROR(__xludf.DUMMYFUNCTION("""COMPUTED_VALUE"""),3000)</f>
        <v>3000</v>
      </c>
      <c r="P386" s="21">
        <f ca="1">IFERROR(__xludf.DUMMYFUNCTION("""COMPUTED_VALUE"""),3000)</f>
        <v>3000</v>
      </c>
      <c r="Q386" s="23">
        <f ca="1">IFERROR(__xludf.DUMMYFUNCTION("""COMPUTED_VALUE"""),0)</f>
        <v>0</v>
      </c>
      <c r="R386" s="24">
        <f ca="1">IFERROR(__xludf.DUMMYFUNCTION("""COMPUTED_VALUE"""),0)</f>
        <v>0</v>
      </c>
      <c r="S386" s="23">
        <f ca="1">IFERROR(__xludf.DUMMYFUNCTION("""COMPUTED_VALUE"""),0)</f>
        <v>0</v>
      </c>
      <c r="T386" s="24">
        <f ca="1">IFERROR(__xludf.DUMMYFUNCTION("""COMPUTED_VALUE"""),0)</f>
        <v>0</v>
      </c>
      <c r="U386" s="23">
        <f ca="1">IFERROR(__xludf.DUMMYFUNCTION("""COMPUTED_VALUE"""),0)</f>
        <v>0</v>
      </c>
      <c r="V386" s="23">
        <f ca="1">IFERROR(__xludf.DUMMYFUNCTION("""COMPUTED_VALUE"""),0)</f>
        <v>0</v>
      </c>
      <c r="W386" s="23">
        <f ca="1">IFERROR(__xludf.DUMMYFUNCTION("""COMPUTED_VALUE"""),0)</f>
        <v>0</v>
      </c>
      <c r="X386" s="23">
        <f ca="1">IFERROR(__xludf.DUMMYFUNCTION("""COMPUTED_VALUE"""),0)</f>
        <v>0</v>
      </c>
      <c r="Y386" s="25">
        <f ca="1">IFERROR(__xludf.DUMMYFUNCTION("""COMPUTED_VALUE"""),0)</f>
        <v>0</v>
      </c>
      <c r="Z386" s="25">
        <f ca="1">IFERROR(__xludf.DUMMYFUNCTION("""COMPUTED_VALUE"""),0)</f>
        <v>0</v>
      </c>
      <c r="AA386" s="25">
        <f ca="1">IFERROR(__xludf.DUMMYFUNCTION("""COMPUTED_VALUE"""),0)</f>
        <v>0</v>
      </c>
      <c r="AB386" s="25">
        <f ca="1">IFERROR(__xludf.DUMMYFUNCTION("""COMPUTED_VALUE"""),0)</f>
        <v>0</v>
      </c>
      <c r="AC386" s="23">
        <f ca="1">IFERROR(__xludf.DUMMYFUNCTION("""COMPUTED_VALUE"""),0)</f>
        <v>0</v>
      </c>
      <c r="AD386" s="26"/>
      <c r="AE386" s="27"/>
    </row>
    <row r="387" spans="1:31" ht="14.3">
      <c r="A387" s="18" t="str">
        <f ca="1">IFERROR(__xludf.DUMMYFUNCTION("""COMPUTED_VALUE"""),"22SDSCE01144")</f>
        <v>22SDSCE01144</v>
      </c>
      <c r="B387" s="19" t="str">
        <f ca="1">IFERROR(__xludf.DUMMYFUNCTION("""COMPUTED_VALUE"""),"DOBARIYA SUJAL SURESHBHAI")</f>
        <v>DOBARIYA SUJAL SURESHBHAI</v>
      </c>
      <c r="C387" s="18" t="str">
        <f ca="1">IFERROR(__xludf.DUMMYFUNCTION("""COMPUTED_VALUE"""),"SDS")</f>
        <v>SDS</v>
      </c>
      <c r="D387" s="18" t="str">
        <f ca="1">IFERROR(__xludf.DUMMYFUNCTION("""COMPUTED_VALUE"""),"DCE")</f>
        <v>DCE</v>
      </c>
      <c r="E387" s="25">
        <f ca="1">IFERROR(__xludf.DUMMYFUNCTION("""COMPUTED_VALUE"""),4)</f>
        <v>4</v>
      </c>
      <c r="F387" s="18" t="str">
        <f ca="1">IFERROR(__xludf.DUMMYFUNCTION("""COMPUTED_VALUE"""),"9687824812 7284872975")</f>
        <v>9687824812 7284872975</v>
      </c>
      <c r="G387" s="18" t="str">
        <f ca="1">IFERROR(__xludf.DUMMYFUNCTION("""COMPUTED_VALUE"""),"9687824812 7284872975")</f>
        <v>9687824812 7284872975</v>
      </c>
      <c r="H387" s="6" t="str">
        <f ca="1">IFERROR(__xludf.DUMMYFUNCTION("""COMPUTED_VALUE"""),"DCE_2022-25")</f>
        <v>DCE_2022-25</v>
      </c>
      <c r="I387" s="20"/>
      <c r="J387" s="21">
        <f ca="1">IFERROR(__xludf.DUMMYFUNCTION("""COMPUTED_VALUE"""),25000)</f>
        <v>25000</v>
      </c>
      <c r="K387" s="21">
        <f ca="1">IFERROR(__xludf.DUMMYFUNCTION("""COMPUTED_VALUE"""),25000)</f>
        <v>25000</v>
      </c>
      <c r="L387" s="21">
        <f ca="1">IFERROR(__xludf.DUMMYFUNCTION("""COMPUTED_VALUE"""),0)</f>
        <v>0</v>
      </c>
      <c r="M387" s="23">
        <f ca="1">IFERROR(__xludf.DUMMYFUNCTION("""COMPUTED_VALUE"""),0)</f>
        <v>0</v>
      </c>
      <c r="N387" s="21">
        <f ca="1">IFERROR(__xludf.DUMMYFUNCTION("""COMPUTED_VALUE"""),0)</f>
        <v>0</v>
      </c>
      <c r="O387" s="21">
        <f ca="1">IFERROR(__xludf.DUMMYFUNCTION("""COMPUTED_VALUE"""),3000)</f>
        <v>3000</v>
      </c>
      <c r="P387" s="21">
        <f ca="1">IFERROR(__xludf.DUMMYFUNCTION("""COMPUTED_VALUE"""),3000)</f>
        <v>3000</v>
      </c>
      <c r="Q387" s="23">
        <f ca="1">IFERROR(__xludf.DUMMYFUNCTION("""COMPUTED_VALUE"""),0)</f>
        <v>0</v>
      </c>
      <c r="R387" s="24">
        <f ca="1">IFERROR(__xludf.DUMMYFUNCTION("""COMPUTED_VALUE"""),0)</f>
        <v>0</v>
      </c>
      <c r="S387" s="23">
        <f ca="1">IFERROR(__xludf.DUMMYFUNCTION("""COMPUTED_VALUE"""),0)</f>
        <v>0</v>
      </c>
      <c r="T387" s="24">
        <f ca="1">IFERROR(__xludf.DUMMYFUNCTION("""COMPUTED_VALUE"""),0)</f>
        <v>0</v>
      </c>
      <c r="U387" s="23">
        <f ca="1">IFERROR(__xludf.DUMMYFUNCTION("""COMPUTED_VALUE"""),0)</f>
        <v>0</v>
      </c>
      <c r="V387" s="23">
        <f ca="1">IFERROR(__xludf.DUMMYFUNCTION("""COMPUTED_VALUE"""),0)</f>
        <v>0</v>
      </c>
      <c r="W387" s="23">
        <f ca="1">IFERROR(__xludf.DUMMYFUNCTION("""COMPUTED_VALUE"""),0)</f>
        <v>0</v>
      </c>
      <c r="X387" s="23">
        <f ca="1">IFERROR(__xludf.DUMMYFUNCTION("""COMPUTED_VALUE"""),0)</f>
        <v>0</v>
      </c>
      <c r="Y387" s="25">
        <f ca="1">IFERROR(__xludf.DUMMYFUNCTION("""COMPUTED_VALUE"""),0)</f>
        <v>0</v>
      </c>
      <c r="Z387" s="25">
        <f ca="1">IFERROR(__xludf.DUMMYFUNCTION("""COMPUTED_VALUE"""),0)</f>
        <v>0</v>
      </c>
      <c r="AA387" s="25">
        <f ca="1">IFERROR(__xludf.DUMMYFUNCTION("""COMPUTED_VALUE"""),0)</f>
        <v>0</v>
      </c>
      <c r="AB387" s="25">
        <f ca="1">IFERROR(__xludf.DUMMYFUNCTION("""COMPUTED_VALUE"""),0)</f>
        <v>0</v>
      </c>
      <c r="AC387" s="23">
        <f ca="1">IFERROR(__xludf.DUMMYFUNCTION("""COMPUTED_VALUE"""),0)</f>
        <v>0</v>
      </c>
      <c r="AD387" s="26"/>
      <c r="AE387" s="27"/>
    </row>
    <row r="388" spans="1:31" ht="14.3">
      <c r="A388" s="18" t="str">
        <f ca="1">IFERROR(__xludf.DUMMYFUNCTION("""COMPUTED_VALUE"""),"22SDSCE01145")</f>
        <v>22SDSCE01145</v>
      </c>
      <c r="B388" s="19" t="str">
        <f ca="1">IFERROR(__xludf.DUMMYFUNCTION("""COMPUTED_VALUE"""),"DOBARIYA YASHKUMAR NILESHBHAI")</f>
        <v>DOBARIYA YASHKUMAR NILESHBHAI</v>
      </c>
      <c r="C388" s="18" t="str">
        <f ca="1">IFERROR(__xludf.DUMMYFUNCTION("""COMPUTED_VALUE"""),"SDS")</f>
        <v>SDS</v>
      </c>
      <c r="D388" s="18" t="str">
        <f ca="1">IFERROR(__xludf.DUMMYFUNCTION("""COMPUTED_VALUE"""),"DCE")</f>
        <v>DCE</v>
      </c>
      <c r="E388" s="25">
        <f ca="1">IFERROR(__xludf.DUMMYFUNCTION("""COMPUTED_VALUE"""),4)</f>
        <v>4</v>
      </c>
      <c r="F388" s="18" t="str">
        <f ca="1">IFERROR(__xludf.DUMMYFUNCTION("""COMPUTED_VALUE"""),"6351731884 9909743021")</f>
        <v>6351731884 9909743021</v>
      </c>
      <c r="G388" s="18" t="str">
        <f ca="1">IFERROR(__xludf.DUMMYFUNCTION("""COMPUTED_VALUE"""),"6351731884 9909743021")</f>
        <v>6351731884 9909743021</v>
      </c>
      <c r="H388" s="6" t="str">
        <f ca="1">IFERROR(__xludf.DUMMYFUNCTION("""COMPUTED_VALUE"""),"DCE_2022-25")</f>
        <v>DCE_2022-25</v>
      </c>
      <c r="I388" s="20"/>
      <c r="J388" s="21">
        <f ca="1">IFERROR(__xludf.DUMMYFUNCTION("""COMPUTED_VALUE"""),25000)</f>
        <v>25000</v>
      </c>
      <c r="K388" s="21">
        <f ca="1">IFERROR(__xludf.DUMMYFUNCTION("""COMPUTED_VALUE"""),25000)</f>
        <v>25000</v>
      </c>
      <c r="L388" s="21">
        <f ca="1">IFERROR(__xludf.DUMMYFUNCTION("""COMPUTED_VALUE"""),0)</f>
        <v>0</v>
      </c>
      <c r="M388" s="23">
        <f ca="1">IFERROR(__xludf.DUMMYFUNCTION("""COMPUTED_VALUE"""),0)</f>
        <v>0</v>
      </c>
      <c r="N388" s="21">
        <f ca="1">IFERROR(__xludf.DUMMYFUNCTION("""COMPUTED_VALUE"""),0)</f>
        <v>0</v>
      </c>
      <c r="O388" s="21">
        <f ca="1">IFERROR(__xludf.DUMMYFUNCTION("""COMPUTED_VALUE"""),3000)</f>
        <v>3000</v>
      </c>
      <c r="P388" s="21">
        <f ca="1">IFERROR(__xludf.DUMMYFUNCTION("""COMPUTED_VALUE"""),3000)</f>
        <v>3000</v>
      </c>
      <c r="Q388" s="23">
        <f ca="1">IFERROR(__xludf.DUMMYFUNCTION("""COMPUTED_VALUE"""),0)</f>
        <v>0</v>
      </c>
      <c r="R388" s="24">
        <f ca="1">IFERROR(__xludf.DUMMYFUNCTION("""COMPUTED_VALUE"""),0)</f>
        <v>0</v>
      </c>
      <c r="S388" s="23">
        <f ca="1">IFERROR(__xludf.DUMMYFUNCTION("""COMPUTED_VALUE"""),0)</f>
        <v>0</v>
      </c>
      <c r="T388" s="24">
        <f ca="1">IFERROR(__xludf.DUMMYFUNCTION("""COMPUTED_VALUE"""),0)</f>
        <v>0</v>
      </c>
      <c r="U388" s="23">
        <f ca="1">IFERROR(__xludf.DUMMYFUNCTION("""COMPUTED_VALUE"""),0)</f>
        <v>0</v>
      </c>
      <c r="V388" s="23">
        <f ca="1">IFERROR(__xludf.DUMMYFUNCTION("""COMPUTED_VALUE"""),0)</f>
        <v>0</v>
      </c>
      <c r="W388" s="23">
        <f ca="1">IFERROR(__xludf.DUMMYFUNCTION("""COMPUTED_VALUE"""),0)</f>
        <v>0</v>
      </c>
      <c r="X388" s="23">
        <f ca="1">IFERROR(__xludf.DUMMYFUNCTION("""COMPUTED_VALUE"""),0)</f>
        <v>0</v>
      </c>
      <c r="Y388" s="25">
        <f ca="1">IFERROR(__xludf.DUMMYFUNCTION("""COMPUTED_VALUE"""),0)</f>
        <v>0</v>
      </c>
      <c r="Z388" s="25">
        <f ca="1">IFERROR(__xludf.DUMMYFUNCTION("""COMPUTED_VALUE"""),0)</f>
        <v>0</v>
      </c>
      <c r="AA388" s="25">
        <f ca="1">IFERROR(__xludf.DUMMYFUNCTION("""COMPUTED_VALUE"""),0)</f>
        <v>0</v>
      </c>
      <c r="AB388" s="25">
        <f ca="1">IFERROR(__xludf.DUMMYFUNCTION("""COMPUTED_VALUE"""),0)</f>
        <v>0</v>
      </c>
      <c r="AC388" s="23">
        <f ca="1">IFERROR(__xludf.DUMMYFUNCTION("""COMPUTED_VALUE"""),0)</f>
        <v>0</v>
      </c>
      <c r="AD388" s="26"/>
      <c r="AE388" s="27"/>
    </row>
    <row r="389" spans="1:31" ht="14.3">
      <c r="A389" s="18" t="str">
        <f ca="1">IFERROR(__xludf.DUMMYFUNCTION("""COMPUTED_VALUE"""),"22SDSCE01146")</f>
        <v>22SDSCE01146</v>
      </c>
      <c r="B389" s="19" t="str">
        <f ca="1">IFERROR(__xludf.DUMMYFUNCTION("""COMPUTED_VALUE"""),"DOLAR PRIYESH LALJIBHAI")</f>
        <v>DOLAR PRIYESH LALJIBHAI</v>
      </c>
      <c r="C389" s="18" t="str">
        <f ca="1">IFERROR(__xludf.DUMMYFUNCTION("""COMPUTED_VALUE"""),"SDS")</f>
        <v>SDS</v>
      </c>
      <c r="D389" s="18" t="str">
        <f ca="1">IFERROR(__xludf.DUMMYFUNCTION("""COMPUTED_VALUE"""),"DCE")</f>
        <v>DCE</v>
      </c>
      <c r="E389" s="25">
        <f ca="1">IFERROR(__xludf.DUMMYFUNCTION("""COMPUTED_VALUE"""),4)</f>
        <v>4</v>
      </c>
      <c r="F389" s="18" t="str">
        <f ca="1">IFERROR(__xludf.DUMMYFUNCTION("""COMPUTED_VALUE"""),"7990235752 8128316751")</f>
        <v>7990235752 8128316751</v>
      </c>
      <c r="G389" s="18" t="str">
        <f ca="1">IFERROR(__xludf.DUMMYFUNCTION("""COMPUTED_VALUE"""),"7990235752 8128316751")</f>
        <v>7990235752 8128316751</v>
      </c>
      <c r="H389" s="6" t="str">
        <f ca="1">IFERROR(__xludf.DUMMYFUNCTION("""COMPUTED_VALUE"""),"DCE_2022-25")</f>
        <v>DCE_2022-25</v>
      </c>
      <c r="I389" s="20"/>
      <c r="J389" s="21">
        <f ca="1">IFERROR(__xludf.DUMMYFUNCTION("""COMPUTED_VALUE"""),25000)</f>
        <v>25000</v>
      </c>
      <c r="K389" s="21">
        <f ca="1">IFERROR(__xludf.DUMMYFUNCTION("""COMPUTED_VALUE"""),25000)</f>
        <v>25000</v>
      </c>
      <c r="L389" s="21">
        <f ca="1">IFERROR(__xludf.DUMMYFUNCTION("""COMPUTED_VALUE"""),0)</f>
        <v>0</v>
      </c>
      <c r="M389" s="23">
        <f ca="1">IFERROR(__xludf.DUMMYFUNCTION("""COMPUTED_VALUE"""),0)</f>
        <v>0</v>
      </c>
      <c r="N389" s="21">
        <f ca="1">IFERROR(__xludf.DUMMYFUNCTION("""COMPUTED_VALUE"""),0)</f>
        <v>0</v>
      </c>
      <c r="O389" s="21">
        <f ca="1">IFERROR(__xludf.DUMMYFUNCTION("""COMPUTED_VALUE"""),3000)</f>
        <v>3000</v>
      </c>
      <c r="P389" s="21">
        <f ca="1">IFERROR(__xludf.DUMMYFUNCTION("""COMPUTED_VALUE"""),3000)</f>
        <v>3000</v>
      </c>
      <c r="Q389" s="23">
        <f ca="1">IFERROR(__xludf.DUMMYFUNCTION("""COMPUTED_VALUE"""),0)</f>
        <v>0</v>
      </c>
      <c r="R389" s="24">
        <f ca="1">IFERROR(__xludf.DUMMYFUNCTION("""COMPUTED_VALUE"""),0)</f>
        <v>0</v>
      </c>
      <c r="S389" s="23">
        <f ca="1">IFERROR(__xludf.DUMMYFUNCTION("""COMPUTED_VALUE"""),0)</f>
        <v>0</v>
      </c>
      <c r="T389" s="24">
        <f ca="1">IFERROR(__xludf.DUMMYFUNCTION("""COMPUTED_VALUE"""),0)</f>
        <v>0</v>
      </c>
      <c r="U389" s="23">
        <f ca="1">IFERROR(__xludf.DUMMYFUNCTION("""COMPUTED_VALUE"""),0)</f>
        <v>0</v>
      </c>
      <c r="V389" s="23">
        <f ca="1">IFERROR(__xludf.DUMMYFUNCTION("""COMPUTED_VALUE"""),0)</f>
        <v>0</v>
      </c>
      <c r="W389" s="23">
        <f ca="1">IFERROR(__xludf.DUMMYFUNCTION("""COMPUTED_VALUE"""),0)</f>
        <v>0</v>
      </c>
      <c r="X389" s="23">
        <f ca="1">IFERROR(__xludf.DUMMYFUNCTION("""COMPUTED_VALUE"""),0)</f>
        <v>0</v>
      </c>
      <c r="Y389" s="25">
        <f ca="1">IFERROR(__xludf.DUMMYFUNCTION("""COMPUTED_VALUE"""),0)</f>
        <v>0</v>
      </c>
      <c r="Z389" s="25">
        <f ca="1">IFERROR(__xludf.DUMMYFUNCTION("""COMPUTED_VALUE"""),0)</f>
        <v>0</v>
      </c>
      <c r="AA389" s="25">
        <f ca="1">IFERROR(__xludf.DUMMYFUNCTION("""COMPUTED_VALUE"""),0)</f>
        <v>0</v>
      </c>
      <c r="AB389" s="25">
        <f ca="1">IFERROR(__xludf.DUMMYFUNCTION("""COMPUTED_VALUE"""),0)</f>
        <v>0</v>
      </c>
      <c r="AC389" s="23">
        <f ca="1">IFERROR(__xludf.DUMMYFUNCTION("""COMPUTED_VALUE"""),0)</f>
        <v>0</v>
      </c>
      <c r="AD389" s="26"/>
      <c r="AE389" s="27"/>
    </row>
    <row r="390" spans="1:31" ht="14.3">
      <c r="A390" s="18" t="str">
        <f ca="1">IFERROR(__xludf.DUMMYFUNCTION("""COMPUTED_VALUE"""),"22SDSCE01147")</f>
        <v>22SDSCE01147</v>
      </c>
      <c r="B390" s="19" t="str">
        <f ca="1">IFERROR(__xludf.DUMMYFUNCTION("""COMPUTED_VALUE"""),"DOLAR PURVAS LALJIBHAI")</f>
        <v>DOLAR PURVAS LALJIBHAI</v>
      </c>
      <c r="C390" s="18" t="str">
        <f ca="1">IFERROR(__xludf.DUMMYFUNCTION("""COMPUTED_VALUE"""),"SDS")</f>
        <v>SDS</v>
      </c>
      <c r="D390" s="18" t="str">
        <f ca="1">IFERROR(__xludf.DUMMYFUNCTION("""COMPUTED_VALUE"""),"DCE")</f>
        <v>DCE</v>
      </c>
      <c r="E390" s="25">
        <f ca="1">IFERROR(__xludf.DUMMYFUNCTION("""COMPUTED_VALUE"""),4)</f>
        <v>4</v>
      </c>
      <c r="F390" s="18" t="str">
        <f ca="1">IFERROR(__xludf.DUMMYFUNCTION("""COMPUTED_VALUE"""),"7990231374 8128316751")</f>
        <v>7990231374 8128316751</v>
      </c>
      <c r="G390" s="18" t="str">
        <f ca="1">IFERROR(__xludf.DUMMYFUNCTION("""COMPUTED_VALUE"""),"7990231374 8128316751")</f>
        <v>7990231374 8128316751</v>
      </c>
      <c r="H390" s="6" t="str">
        <f ca="1">IFERROR(__xludf.DUMMYFUNCTION("""COMPUTED_VALUE"""),"DCE_2022-25")</f>
        <v>DCE_2022-25</v>
      </c>
      <c r="I390" s="20"/>
      <c r="J390" s="21">
        <f ca="1">IFERROR(__xludf.DUMMYFUNCTION("""COMPUTED_VALUE"""),25000)</f>
        <v>25000</v>
      </c>
      <c r="K390" s="21">
        <f ca="1">IFERROR(__xludf.DUMMYFUNCTION("""COMPUTED_VALUE"""),25000)</f>
        <v>25000</v>
      </c>
      <c r="L390" s="21">
        <f ca="1">IFERROR(__xludf.DUMMYFUNCTION("""COMPUTED_VALUE"""),0)</f>
        <v>0</v>
      </c>
      <c r="M390" s="23">
        <f ca="1">IFERROR(__xludf.DUMMYFUNCTION("""COMPUTED_VALUE"""),0)</f>
        <v>0</v>
      </c>
      <c r="N390" s="21">
        <f ca="1">IFERROR(__xludf.DUMMYFUNCTION("""COMPUTED_VALUE"""),0)</f>
        <v>0</v>
      </c>
      <c r="O390" s="21">
        <f ca="1">IFERROR(__xludf.DUMMYFUNCTION("""COMPUTED_VALUE"""),3000)</f>
        <v>3000</v>
      </c>
      <c r="P390" s="21">
        <f ca="1">IFERROR(__xludf.DUMMYFUNCTION("""COMPUTED_VALUE"""),3000)</f>
        <v>3000</v>
      </c>
      <c r="Q390" s="23">
        <f ca="1">IFERROR(__xludf.DUMMYFUNCTION("""COMPUTED_VALUE"""),0)</f>
        <v>0</v>
      </c>
      <c r="R390" s="24">
        <f ca="1">IFERROR(__xludf.DUMMYFUNCTION("""COMPUTED_VALUE"""),0)</f>
        <v>0</v>
      </c>
      <c r="S390" s="23">
        <f ca="1">IFERROR(__xludf.DUMMYFUNCTION("""COMPUTED_VALUE"""),0)</f>
        <v>0</v>
      </c>
      <c r="T390" s="24">
        <f ca="1">IFERROR(__xludf.DUMMYFUNCTION("""COMPUTED_VALUE"""),0)</f>
        <v>0</v>
      </c>
      <c r="U390" s="23">
        <f ca="1">IFERROR(__xludf.DUMMYFUNCTION("""COMPUTED_VALUE"""),0)</f>
        <v>0</v>
      </c>
      <c r="V390" s="23">
        <f ca="1">IFERROR(__xludf.DUMMYFUNCTION("""COMPUTED_VALUE"""),0)</f>
        <v>0</v>
      </c>
      <c r="W390" s="23">
        <f ca="1">IFERROR(__xludf.DUMMYFUNCTION("""COMPUTED_VALUE"""),0)</f>
        <v>0</v>
      </c>
      <c r="X390" s="23">
        <f ca="1">IFERROR(__xludf.DUMMYFUNCTION("""COMPUTED_VALUE"""),0)</f>
        <v>0</v>
      </c>
      <c r="Y390" s="25">
        <f ca="1">IFERROR(__xludf.DUMMYFUNCTION("""COMPUTED_VALUE"""),0)</f>
        <v>0</v>
      </c>
      <c r="Z390" s="25">
        <f ca="1">IFERROR(__xludf.DUMMYFUNCTION("""COMPUTED_VALUE"""),0)</f>
        <v>0</v>
      </c>
      <c r="AA390" s="25">
        <f ca="1">IFERROR(__xludf.DUMMYFUNCTION("""COMPUTED_VALUE"""),0)</f>
        <v>0</v>
      </c>
      <c r="AB390" s="25">
        <f ca="1">IFERROR(__xludf.DUMMYFUNCTION("""COMPUTED_VALUE"""),0)</f>
        <v>0</v>
      </c>
      <c r="AC390" s="23">
        <f ca="1">IFERROR(__xludf.DUMMYFUNCTION("""COMPUTED_VALUE"""),0)</f>
        <v>0</v>
      </c>
      <c r="AD390" s="26"/>
      <c r="AE390" s="27"/>
    </row>
    <row r="391" spans="1:31" ht="14.3">
      <c r="A391" s="18" t="str">
        <f ca="1">IFERROR(__xludf.DUMMYFUNCTION("""COMPUTED_VALUE"""),"22SDSCE01148")</f>
        <v>22SDSCE01148</v>
      </c>
      <c r="B391" s="19" t="str">
        <f ca="1">IFERROR(__xludf.DUMMYFUNCTION("""COMPUTED_VALUE"""),"DUDHAGARA BHARGAV KANTIBHAI")</f>
        <v>DUDHAGARA BHARGAV KANTIBHAI</v>
      </c>
      <c r="C391" s="18" t="str">
        <f ca="1">IFERROR(__xludf.DUMMYFUNCTION("""COMPUTED_VALUE"""),"SDS")</f>
        <v>SDS</v>
      </c>
      <c r="D391" s="18" t="str">
        <f ca="1">IFERROR(__xludf.DUMMYFUNCTION("""COMPUTED_VALUE"""),"DCE")</f>
        <v>DCE</v>
      </c>
      <c r="E391" s="25">
        <f ca="1">IFERROR(__xludf.DUMMYFUNCTION("""COMPUTED_VALUE"""),4)</f>
        <v>4</v>
      </c>
      <c r="F391" s="18" t="str">
        <f ca="1">IFERROR(__xludf.DUMMYFUNCTION("""COMPUTED_VALUE"""),"9106536420")</f>
        <v>9106536420</v>
      </c>
      <c r="G391" s="18" t="str">
        <f ca="1">IFERROR(__xludf.DUMMYFUNCTION("""COMPUTED_VALUE"""),"9106536420")</f>
        <v>9106536420</v>
      </c>
      <c r="H391" s="6" t="str">
        <f ca="1">IFERROR(__xludf.DUMMYFUNCTION("""COMPUTED_VALUE"""),"DCE_2022-25")</f>
        <v>DCE_2022-25</v>
      </c>
      <c r="I391" s="20"/>
      <c r="J391" s="21">
        <f ca="1">IFERROR(__xludf.DUMMYFUNCTION("""COMPUTED_VALUE"""),25000)</f>
        <v>25000</v>
      </c>
      <c r="K391" s="21">
        <f ca="1">IFERROR(__xludf.DUMMYFUNCTION("""COMPUTED_VALUE"""),25000)</f>
        <v>25000</v>
      </c>
      <c r="L391" s="21">
        <f ca="1">IFERROR(__xludf.DUMMYFUNCTION("""COMPUTED_VALUE"""),0)</f>
        <v>0</v>
      </c>
      <c r="M391" s="23">
        <f ca="1">IFERROR(__xludf.DUMMYFUNCTION("""COMPUTED_VALUE"""),0)</f>
        <v>0</v>
      </c>
      <c r="N391" s="21">
        <f ca="1">IFERROR(__xludf.DUMMYFUNCTION("""COMPUTED_VALUE"""),0)</f>
        <v>0</v>
      </c>
      <c r="O391" s="21">
        <f ca="1">IFERROR(__xludf.DUMMYFUNCTION("""COMPUTED_VALUE"""),3000)</f>
        <v>3000</v>
      </c>
      <c r="P391" s="21">
        <f ca="1">IFERROR(__xludf.DUMMYFUNCTION("""COMPUTED_VALUE"""),3000)</f>
        <v>3000</v>
      </c>
      <c r="Q391" s="23">
        <f ca="1">IFERROR(__xludf.DUMMYFUNCTION("""COMPUTED_VALUE"""),0)</f>
        <v>0</v>
      </c>
      <c r="R391" s="24">
        <f ca="1">IFERROR(__xludf.DUMMYFUNCTION("""COMPUTED_VALUE"""),0)</f>
        <v>0</v>
      </c>
      <c r="S391" s="23">
        <f ca="1">IFERROR(__xludf.DUMMYFUNCTION("""COMPUTED_VALUE"""),0)</f>
        <v>0</v>
      </c>
      <c r="T391" s="24">
        <f ca="1">IFERROR(__xludf.DUMMYFUNCTION("""COMPUTED_VALUE"""),0)</f>
        <v>0</v>
      </c>
      <c r="U391" s="23">
        <f ca="1">IFERROR(__xludf.DUMMYFUNCTION("""COMPUTED_VALUE"""),0)</f>
        <v>0</v>
      </c>
      <c r="V391" s="23">
        <f ca="1">IFERROR(__xludf.DUMMYFUNCTION("""COMPUTED_VALUE"""),0)</f>
        <v>0</v>
      </c>
      <c r="W391" s="23">
        <f ca="1">IFERROR(__xludf.DUMMYFUNCTION("""COMPUTED_VALUE"""),0)</f>
        <v>0</v>
      </c>
      <c r="X391" s="23">
        <f ca="1">IFERROR(__xludf.DUMMYFUNCTION("""COMPUTED_VALUE"""),0)</f>
        <v>0</v>
      </c>
      <c r="Y391" s="25">
        <f ca="1">IFERROR(__xludf.DUMMYFUNCTION("""COMPUTED_VALUE"""),0)</f>
        <v>0</v>
      </c>
      <c r="Z391" s="25">
        <f ca="1">IFERROR(__xludf.DUMMYFUNCTION("""COMPUTED_VALUE"""),0)</f>
        <v>0</v>
      </c>
      <c r="AA391" s="25">
        <f ca="1">IFERROR(__xludf.DUMMYFUNCTION("""COMPUTED_VALUE"""),0)</f>
        <v>0</v>
      </c>
      <c r="AB391" s="25">
        <f ca="1">IFERROR(__xludf.DUMMYFUNCTION("""COMPUTED_VALUE"""),0)</f>
        <v>0</v>
      </c>
      <c r="AC391" s="23">
        <f ca="1">IFERROR(__xludf.DUMMYFUNCTION("""COMPUTED_VALUE"""),0)</f>
        <v>0</v>
      </c>
      <c r="AD391" s="26"/>
      <c r="AE391" s="27"/>
    </row>
    <row r="392" spans="1:31" ht="23.1">
      <c r="A392" s="18" t="str">
        <f ca="1">IFERROR(__xludf.DUMMYFUNCTION("""COMPUTED_VALUE"""),"22SDSCE01149")</f>
        <v>22SDSCE01149</v>
      </c>
      <c r="B392" s="19" t="str">
        <f ca="1">IFERROR(__xludf.DUMMYFUNCTION("""COMPUTED_VALUE"""),"GANGADIYA DHRUVIL SHAILESHBHAI")</f>
        <v>GANGADIYA DHRUVIL SHAILESHBHAI</v>
      </c>
      <c r="C392" s="18" t="str">
        <f ca="1">IFERROR(__xludf.DUMMYFUNCTION("""COMPUTED_VALUE"""),"SDS")</f>
        <v>SDS</v>
      </c>
      <c r="D392" s="18" t="str">
        <f ca="1">IFERROR(__xludf.DUMMYFUNCTION("""COMPUTED_VALUE"""),"DCE")</f>
        <v>DCE</v>
      </c>
      <c r="E392" s="25">
        <f ca="1">IFERROR(__xludf.DUMMYFUNCTION("""COMPUTED_VALUE"""),4)</f>
        <v>4</v>
      </c>
      <c r="F392" s="18" t="str">
        <f ca="1">IFERROR(__xludf.DUMMYFUNCTION("""COMPUTED_VALUE"""),"9512359905 9429683970")</f>
        <v>9512359905 9429683970</v>
      </c>
      <c r="G392" s="18" t="str">
        <f ca="1">IFERROR(__xludf.DUMMYFUNCTION("""COMPUTED_VALUE"""),"9512359905 9429683970")</f>
        <v>9512359905 9429683970</v>
      </c>
      <c r="H392" s="6" t="str">
        <f ca="1">IFERROR(__xludf.DUMMYFUNCTION("""COMPUTED_VALUE"""),"DCE_2022-25")</f>
        <v>DCE_2022-25</v>
      </c>
      <c r="I392" s="20" t="str">
        <f ca="1">IFERROR(__xludf.DUMMYFUNCTION("""COMPUTED_VALUE"""),"KSP")</f>
        <v>KSP</v>
      </c>
      <c r="J392" s="21">
        <f ca="1">IFERROR(__xludf.DUMMYFUNCTION("""COMPUTED_VALUE"""),25000)</f>
        <v>25000</v>
      </c>
      <c r="K392" s="21">
        <f ca="1">IFERROR(__xludf.DUMMYFUNCTION("""COMPUTED_VALUE"""),12500)</f>
        <v>12500</v>
      </c>
      <c r="L392" s="21">
        <f ca="1">IFERROR(__xludf.DUMMYFUNCTION("""COMPUTED_VALUE"""),0)</f>
        <v>0</v>
      </c>
      <c r="M392" s="23">
        <f ca="1">IFERROR(__xludf.DUMMYFUNCTION("""COMPUTED_VALUE"""),12500)</f>
        <v>12500</v>
      </c>
      <c r="N392" s="21">
        <f ca="1">IFERROR(__xludf.DUMMYFUNCTION("""COMPUTED_VALUE"""),0)</f>
        <v>0</v>
      </c>
      <c r="O392" s="21">
        <f ca="1">IFERROR(__xludf.DUMMYFUNCTION("""COMPUTED_VALUE"""),3000)</f>
        <v>3000</v>
      </c>
      <c r="P392" s="21">
        <f ca="1">IFERROR(__xludf.DUMMYFUNCTION("""COMPUTED_VALUE"""),3000)</f>
        <v>3000</v>
      </c>
      <c r="Q392" s="23">
        <f ca="1">IFERROR(__xludf.DUMMYFUNCTION("""COMPUTED_VALUE"""),0)</f>
        <v>0</v>
      </c>
      <c r="R392" s="24">
        <f ca="1">IFERROR(__xludf.DUMMYFUNCTION("""COMPUTED_VALUE"""),0)</f>
        <v>0</v>
      </c>
      <c r="S392" s="23">
        <f ca="1">IFERROR(__xludf.DUMMYFUNCTION("""COMPUTED_VALUE"""),0)</f>
        <v>0</v>
      </c>
      <c r="T392" s="24">
        <f ca="1">IFERROR(__xludf.DUMMYFUNCTION("""COMPUTED_VALUE"""),0)</f>
        <v>0</v>
      </c>
      <c r="U392" s="23">
        <f ca="1">IFERROR(__xludf.DUMMYFUNCTION("""COMPUTED_VALUE"""),0)</f>
        <v>0</v>
      </c>
      <c r="V392" s="23">
        <f ca="1">IFERROR(__xludf.DUMMYFUNCTION("""COMPUTED_VALUE"""),0)</f>
        <v>0</v>
      </c>
      <c r="W392" s="23">
        <f ca="1">IFERROR(__xludf.DUMMYFUNCTION("""COMPUTED_VALUE"""),0)</f>
        <v>0</v>
      </c>
      <c r="X392" s="23">
        <f ca="1">IFERROR(__xludf.DUMMYFUNCTION("""COMPUTED_VALUE"""),0)</f>
        <v>0</v>
      </c>
      <c r="Y392" s="25">
        <f ca="1">IFERROR(__xludf.DUMMYFUNCTION("""COMPUTED_VALUE"""),0)</f>
        <v>0</v>
      </c>
      <c r="Z392" s="25">
        <f ca="1">IFERROR(__xludf.DUMMYFUNCTION("""COMPUTED_VALUE"""),0)</f>
        <v>0</v>
      </c>
      <c r="AA392" s="25">
        <f ca="1">IFERROR(__xludf.DUMMYFUNCTION("""COMPUTED_VALUE"""),0)</f>
        <v>0</v>
      </c>
      <c r="AB392" s="25">
        <f ca="1">IFERROR(__xludf.DUMMYFUNCTION("""COMPUTED_VALUE"""),0)</f>
        <v>0</v>
      </c>
      <c r="AC392" s="23">
        <f ca="1">IFERROR(__xludf.DUMMYFUNCTION("""COMPUTED_VALUE"""),0)</f>
        <v>0</v>
      </c>
      <c r="AD392" s="26" t="str">
        <f ca="1">IFERROR(__xludf.DUMMYFUNCTION("""COMPUTED_VALUE"""),"KSPS (50%)
12500 PER SEM")</f>
        <v>KSPS (50%)
12500 PER SEM</v>
      </c>
      <c r="AE392" s="27"/>
    </row>
    <row r="393" spans="1:31" ht="28.55">
      <c r="A393" s="18" t="str">
        <f ca="1">IFERROR(__xludf.DUMMYFUNCTION("""COMPUTED_VALUE"""),"22SDSCE01150")</f>
        <v>22SDSCE01150</v>
      </c>
      <c r="B393" s="19" t="str">
        <f ca="1">IFERROR(__xludf.DUMMYFUNCTION("""COMPUTED_VALUE"""),"GARCHAR KARANBHAI DILIPBHAI")</f>
        <v>GARCHAR KARANBHAI DILIPBHAI</v>
      </c>
      <c r="C393" s="18" t="str">
        <f ca="1">IFERROR(__xludf.DUMMYFUNCTION("""COMPUTED_VALUE"""),"SDS")</f>
        <v>SDS</v>
      </c>
      <c r="D393" s="18" t="str">
        <f ca="1">IFERROR(__xludf.DUMMYFUNCTION("""COMPUTED_VALUE"""),"DCE")</f>
        <v>DCE</v>
      </c>
      <c r="E393" s="25">
        <f ca="1">IFERROR(__xludf.DUMMYFUNCTION("""COMPUTED_VALUE"""),4)</f>
        <v>4</v>
      </c>
      <c r="F393" s="18" t="str">
        <f ca="1">IFERROR(__xludf.DUMMYFUNCTION("""COMPUTED_VALUE"""),"9586047780 7567844080")</f>
        <v>9586047780 7567844080</v>
      </c>
      <c r="G393" s="18" t="str">
        <f ca="1">IFERROR(__xludf.DUMMYFUNCTION("""COMPUTED_VALUE"""),"9586047780 7567844080")</f>
        <v>9586047780 7567844080</v>
      </c>
      <c r="H393" s="6" t="str">
        <f ca="1">IFERROR(__xludf.DUMMYFUNCTION("""COMPUTED_VALUE"""),"DCE_2022-25")</f>
        <v>DCE_2022-25</v>
      </c>
      <c r="I393" s="20" t="str">
        <f ca="1">IFERROR(__xludf.DUMMYFUNCTION("""COMPUTED_VALUE"""),"FREESHIP CARD")</f>
        <v>FREESHIP CARD</v>
      </c>
      <c r="J393" s="21">
        <f ca="1">IFERROR(__xludf.DUMMYFUNCTION("""COMPUTED_VALUE"""),25000)</f>
        <v>25000</v>
      </c>
      <c r="K393" s="21">
        <f ca="1">IFERROR(__xludf.DUMMYFUNCTION("""COMPUTED_VALUE"""),0)</f>
        <v>0</v>
      </c>
      <c r="L393" s="21">
        <f ca="1">IFERROR(__xludf.DUMMYFUNCTION("""COMPUTED_VALUE"""),0)</f>
        <v>0</v>
      </c>
      <c r="M393" s="23">
        <f ca="1">IFERROR(__xludf.DUMMYFUNCTION("""COMPUTED_VALUE"""),0)</f>
        <v>0</v>
      </c>
      <c r="N393" s="21">
        <f ca="1">IFERROR(__xludf.DUMMYFUNCTION("""COMPUTED_VALUE"""),25000)</f>
        <v>25000</v>
      </c>
      <c r="O393" s="21">
        <f ca="1">IFERROR(__xludf.DUMMYFUNCTION("""COMPUTED_VALUE"""),3000)</f>
        <v>3000</v>
      </c>
      <c r="P393" s="21">
        <f ca="1">IFERROR(__xludf.DUMMYFUNCTION("""COMPUTED_VALUE"""),3000)</f>
        <v>3000</v>
      </c>
      <c r="Q393" s="23">
        <f ca="1">IFERROR(__xludf.DUMMYFUNCTION("""COMPUTED_VALUE"""),0)</f>
        <v>0</v>
      </c>
      <c r="R393" s="24">
        <f ca="1">IFERROR(__xludf.DUMMYFUNCTION("""COMPUTED_VALUE"""),0)</f>
        <v>0</v>
      </c>
      <c r="S393" s="23">
        <f ca="1">IFERROR(__xludf.DUMMYFUNCTION("""COMPUTED_VALUE"""),0)</f>
        <v>0</v>
      </c>
      <c r="T393" s="24">
        <f ca="1">IFERROR(__xludf.DUMMYFUNCTION("""COMPUTED_VALUE"""),0)</f>
        <v>0</v>
      </c>
      <c r="U393" s="23">
        <f ca="1">IFERROR(__xludf.DUMMYFUNCTION("""COMPUTED_VALUE"""),0)</f>
        <v>0</v>
      </c>
      <c r="V393" s="23">
        <f ca="1">IFERROR(__xludf.DUMMYFUNCTION("""COMPUTED_VALUE"""),0)</f>
        <v>0</v>
      </c>
      <c r="W393" s="23">
        <f ca="1">IFERROR(__xludf.DUMMYFUNCTION("""COMPUTED_VALUE"""),0)</f>
        <v>0</v>
      </c>
      <c r="X393" s="23">
        <f ca="1">IFERROR(__xludf.DUMMYFUNCTION("""COMPUTED_VALUE"""),0)</f>
        <v>0</v>
      </c>
      <c r="Y393" s="25">
        <f ca="1">IFERROR(__xludf.DUMMYFUNCTION("""COMPUTED_VALUE"""),0)</f>
        <v>0</v>
      </c>
      <c r="Z393" s="25">
        <f ca="1">IFERROR(__xludf.DUMMYFUNCTION("""COMPUTED_VALUE"""),0)</f>
        <v>0</v>
      </c>
      <c r="AA393" s="25">
        <f ca="1">IFERROR(__xludf.DUMMYFUNCTION("""COMPUTED_VALUE"""),0)</f>
        <v>0</v>
      </c>
      <c r="AB393" s="25">
        <f ca="1">IFERROR(__xludf.DUMMYFUNCTION("""COMPUTED_VALUE"""),0)</f>
        <v>0</v>
      </c>
      <c r="AC393" s="23">
        <f ca="1">IFERROR(__xludf.DUMMYFUNCTION("""COMPUTED_VALUE"""),0)</f>
        <v>0</v>
      </c>
      <c r="AD393" s="26" t="str">
        <f ca="1">IFERROR(__xludf.DUMMYFUNCTION("""COMPUTED_VALUE"""),"FREESHIPCARD STUDENT")</f>
        <v>FREESHIPCARD STUDENT</v>
      </c>
      <c r="AE393" s="27"/>
    </row>
    <row r="394" spans="1:31" ht="14.3">
      <c r="A394" s="18" t="str">
        <f ca="1">IFERROR(__xludf.DUMMYFUNCTION("""COMPUTED_VALUE"""),"22SDSCE01152")</f>
        <v>22SDSCE01152</v>
      </c>
      <c r="B394" s="19" t="str">
        <f ca="1">IFERROR(__xludf.DUMMYFUNCTION("""COMPUTED_VALUE"""),"GORANIYA KARAN RAMDEBHAI")</f>
        <v>GORANIYA KARAN RAMDEBHAI</v>
      </c>
      <c r="C394" s="18" t="str">
        <f ca="1">IFERROR(__xludf.DUMMYFUNCTION("""COMPUTED_VALUE"""),"SDS")</f>
        <v>SDS</v>
      </c>
      <c r="D394" s="18" t="str">
        <f ca="1">IFERROR(__xludf.DUMMYFUNCTION("""COMPUTED_VALUE"""),"DCE")</f>
        <v>DCE</v>
      </c>
      <c r="E394" s="25">
        <f ca="1">IFERROR(__xludf.DUMMYFUNCTION("""COMPUTED_VALUE"""),4)</f>
        <v>4</v>
      </c>
      <c r="F394" s="18" t="str">
        <f ca="1">IFERROR(__xludf.DUMMYFUNCTION("""COMPUTED_VALUE"""),"8758904667 9727070596")</f>
        <v>8758904667 9727070596</v>
      </c>
      <c r="G394" s="18" t="str">
        <f ca="1">IFERROR(__xludf.DUMMYFUNCTION("""COMPUTED_VALUE"""),"8758904667 9727070596")</f>
        <v>8758904667 9727070596</v>
      </c>
      <c r="H394" s="6" t="str">
        <f ca="1">IFERROR(__xludf.DUMMYFUNCTION("""COMPUTED_VALUE"""),"DCE_2022-25")</f>
        <v>DCE_2022-25</v>
      </c>
      <c r="I394" s="20"/>
      <c r="J394" s="21">
        <f ca="1">IFERROR(__xludf.DUMMYFUNCTION("""COMPUTED_VALUE"""),25000)</f>
        <v>25000</v>
      </c>
      <c r="K394" s="21">
        <f ca="1">IFERROR(__xludf.DUMMYFUNCTION("""COMPUTED_VALUE"""),25000)</f>
        <v>25000</v>
      </c>
      <c r="L394" s="21">
        <f ca="1">IFERROR(__xludf.DUMMYFUNCTION("""COMPUTED_VALUE"""),0)</f>
        <v>0</v>
      </c>
      <c r="M394" s="23">
        <f ca="1">IFERROR(__xludf.DUMMYFUNCTION("""COMPUTED_VALUE"""),0)</f>
        <v>0</v>
      </c>
      <c r="N394" s="21">
        <f ca="1">IFERROR(__xludf.DUMMYFUNCTION("""COMPUTED_VALUE"""),0)</f>
        <v>0</v>
      </c>
      <c r="O394" s="21">
        <f ca="1">IFERROR(__xludf.DUMMYFUNCTION("""COMPUTED_VALUE"""),3000)</f>
        <v>3000</v>
      </c>
      <c r="P394" s="21">
        <f ca="1">IFERROR(__xludf.DUMMYFUNCTION("""COMPUTED_VALUE"""),3000)</f>
        <v>3000</v>
      </c>
      <c r="Q394" s="23">
        <f ca="1">IFERROR(__xludf.DUMMYFUNCTION("""COMPUTED_VALUE"""),0)</f>
        <v>0</v>
      </c>
      <c r="R394" s="24">
        <f ca="1">IFERROR(__xludf.DUMMYFUNCTION("""COMPUTED_VALUE"""),0)</f>
        <v>0</v>
      </c>
      <c r="S394" s="23">
        <f ca="1">IFERROR(__xludf.DUMMYFUNCTION("""COMPUTED_VALUE"""),0)</f>
        <v>0</v>
      </c>
      <c r="T394" s="24">
        <f ca="1">IFERROR(__xludf.DUMMYFUNCTION("""COMPUTED_VALUE"""),0)</f>
        <v>0</v>
      </c>
      <c r="U394" s="23">
        <f ca="1">IFERROR(__xludf.DUMMYFUNCTION("""COMPUTED_VALUE"""),0)</f>
        <v>0</v>
      </c>
      <c r="V394" s="23">
        <f ca="1">IFERROR(__xludf.DUMMYFUNCTION("""COMPUTED_VALUE"""),0)</f>
        <v>0</v>
      </c>
      <c r="W394" s="23">
        <f ca="1">IFERROR(__xludf.DUMMYFUNCTION("""COMPUTED_VALUE"""),0)</f>
        <v>0</v>
      </c>
      <c r="X394" s="23">
        <f ca="1">IFERROR(__xludf.DUMMYFUNCTION("""COMPUTED_VALUE"""),0)</f>
        <v>0</v>
      </c>
      <c r="Y394" s="25">
        <f ca="1">IFERROR(__xludf.DUMMYFUNCTION("""COMPUTED_VALUE"""),0)</f>
        <v>0</v>
      </c>
      <c r="Z394" s="25">
        <f ca="1">IFERROR(__xludf.DUMMYFUNCTION("""COMPUTED_VALUE"""),0)</f>
        <v>0</v>
      </c>
      <c r="AA394" s="25">
        <f ca="1">IFERROR(__xludf.DUMMYFUNCTION("""COMPUTED_VALUE"""),0)</f>
        <v>0</v>
      </c>
      <c r="AB394" s="25">
        <f ca="1">IFERROR(__xludf.DUMMYFUNCTION("""COMPUTED_VALUE"""),0)</f>
        <v>0</v>
      </c>
      <c r="AC394" s="23">
        <f ca="1">IFERROR(__xludf.DUMMYFUNCTION("""COMPUTED_VALUE"""),0)</f>
        <v>0</v>
      </c>
      <c r="AD394" s="26"/>
      <c r="AE394" s="27"/>
    </row>
    <row r="395" spans="1:31" ht="14.3">
      <c r="A395" s="18" t="str">
        <f ca="1">IFERROR(__xludf.DUMMYFUNCTION("""COMPUTED_VALUE"""),"22SDSCE01153")</f>
        <v>22SDSCE01153</v>
      </c>
      <c r="B395" s="19" t="str">
        <f ca="1">IFERROR(__xludf.DUMMYFUNCTION("""COMPUTED_VALUE"""),"JASANI KRISHA MAHESHBHAI")</f>
        <v>JASANI KRISHA MAHESHBHAI</v>
      </c>
      <c r="C395" s="18" t="str">
        <f ca="1">IFERROR(__xludf.DUMMYFUNCTION("""COMPUTED_VALUE"""),"SDS")</f>
        <v>SDS</v>
      </c>
      <c r="D395" s="18" t="str">
        <f ca="1">IFERROR(__xludf.DUMMYFUNCTION("""COMPUTED_VALUE"""),"DCE")</f>
        <v>DCE</v>
      </c>
      <c r="E395" s="25">
        <f ca="1">IFERROR(__xludf.DUMMYFUNCTION("""COMPUTED_VALUE"""),4)</f>
        <v>4</v>
      </c>
      <c r="F395" s="18" t="str">
        <f ca="1">IFERROR(__xludf.DUMMYFUNCTION("""COMPUTED_VALUE"""),"9426183637")</f>
        <v>9426183637</v>
      </c>
      <c r="G395" s="18" t="str">
        <f ca="1">IFERROR(__xludf.DUMMYFUNCTION("""COMPUTED_VALUE"""),"9426183637")</f>
        <v>9426183637</v>
      </c>
      <c r="H395" s="6" t="str">
        <f ca="1">IFERROR(__xludf.DUMMYFUNCTION("""COMPUTED_VALUE"""),"DCE_2022-25")</f>
        <v>DCE_2022-25</v>
      </c>
      <c r="I395" s="20"/>
      <c r="J395" s="21">
        <f ca="1">IFERROR(__xludf.DUMMYFUNCTION("""COMPUTED_VALUE"""),25000)</f>
        <v>25000</v>
      </c>
      <c r="K395" s="21">
        <f ca="1">IFERROR(__xludf.DUMMYFUNCTION("""COMPUTED_VALUE"""),25000)</f>
        <v>25000</v>
      </c>
      <c r="L395" s="21">
        <f ca="1">IFERROR(__xludf.DUMMYFUNCTION("""COMPUTED_VALUE"""),0)</f>
        <v>0</v>
      </c>
      <c r="M395" s="23">
        <f ca="1">IFERROR(__xludf.DUMMYFUNCTION("""COMPUTED_VALUE"""),0)</f>
        <v>0</v>
      </c>
      <c r="N395" s="21">
        <f ca="1">IFERROR(__xludf.DUMMYFUNCTION("""COMPUTED_VALUE"""),0)</f>
        <v>0</v>
      </c>
      <c r="O395" s="21">
        <f ca="1">IFERROR(__xludf.DUMMYFUNCTION("""COMPUTED_VALUE"""),3000)</f>
        <v>3000</v>
      </c>
      <c r="P395" s="21">
        <f ca="1">IFERROR(__xludf.DUMMYFUNCTION("""COMPUTED_VALUE"""),3000)</f>
        <v>3000</v>
      </c>
      <c r="Q395" s="23">
        <f ca="1">IFERROR(__xludf.DUMMYFUNCTION("""COMPUTED_VALUE"""),0)</f>
        <v>0</v>
      </c>
      <c r="R395" s="24">
        <f ca="1">IFERROR(__xludf.DUMMYFUNCTION("""COMPUTED_VALUE"""),0)</f>
        <v>0</v>
      </c>
      <c r="S395" s="23">
        <f ca="1">IFERROR(__xludf.DUMMYFUNCTION("""COMPUTED_VALUE"""),0)</f>
        <v>0</v>
      </c>
      <c r="T395" s="24">
        <f ca="1">IFERROR(__xludf.DUMMYFUNCTION("""COMPUTED_VALUE"""),0)</f>
        <v>0</v>
      </c>
      <c r="U395" s="23">
        <f ca="1">IFERROR(__xludf.DUMMYFUNCTION("""COMPUTED_VALUE"""),0)</f>
        <v>0</v>
      </c>
      <c r="V395" s="23">
        <f ca="1">IFERROR(__xludf.DUMMYFUNCTION("""COMPUTED_VALUE"""),0)</f>
        <v>0</v>
      </c>
      <c r="W395" s="23">
        <f ca="1">IFERROR(__xludf.DUMMYFUNCTION("""COMPUTED_VALUE"""),0)</f>
        <v>0</v>
      </c>
      <c r="X395" s="23">
        <f ca="1">IFERROR(__xludf.DUMMYFUNCTION("""COMPUTED_VALUE"""),0)</f>
        <v>0</v>
      </c>
      <c r="Y395" s="25">
        <f ca="1">IFERROR(__xludf.DUMMYFUNCTION("""COMPUTED_VALUE"""),0)</f>
        <v>0</v>
      </c>
      <c r="Z395" s="25">
        <f ca="1">IFERROR(__xludf.DUMMYFUNCTION("""COMPUTED_VALUE"""),0)</f>
        <v>0</v>
      </c>
      <c r="AA395" s="25">
        <f ca="1">IFERROR(__xludf.DUMMYFUNCTION("""COMPUTED_VALUE"""),0)</f>
        <v>0</v>
      </c>
      <c r="AB395" s="25">
        <f ca="1">IFERROR(__xludf.DUMMYFUNCTION("""COMPUTED_VALUE"""),0)</f>
        <v>0</v>
      </c>
      <c r="AC395" s="23">
        <f ca="1">IFERROR(__xludf.DUMMYFUNCTION("""COMPUTED_VALUE"""),0)</f>
        <v>0</v>
      </c>
      <c r="AD395" s="26"/>
      <c r="AE395" s="27"/>
    </row>
    <row r="396" spans="1:31" ht="14.3">
      <c r="A396" s="18" t="str">
        <f ca="1">IFERROR(__xludf.DUMMYFUNCTION("""COMPUTED_VALUE"""),"22SDSCE01154")</f>
        <v>22SDSCE01154</v>
      </c>
      <c r="B396" s="19" t="str">
        <f ca="1">IFERROR(__xludf.DUMMYFUNCTION("""COMPUTED_VALUE"""),"JAVIYA KRISHABEN PRAKASHBHAI")</f>
        <v>JAVIYA KRISHABEN PRAKASHBHAI</v>
      </c>
      <c r="C396" s="18" t="str">
        <f ca="1">IFERROR(__xludf.DUMMYFUNCTION("""COMPUTED_VALUE"""),"SDS")</f>
        <v>SDS</v>
      </c>
      <c r="D396" s="18" t="str">
        <f ca="1">IFERROR(__xludf.DUMMYFUNCTION("""COMPUTED_VALUE"""),"DCE")</f>
        <v>DCE</v>
      </c>
      <c r="E396" s="25">
        <f ca="1">IFERROR(__xludf.DUMMYFUNCTION("""COMPUTED_VALUE"""),4)</f>
        <v>4</v>
      </c>
      <c r="F396" s="18" t="str">
        <f ca="1">IFERROR(__xludf.DUMMYFUNCTION("""COMPUTED_VALUE"""),"9586203264
8980230591")</f>
        <v>9586203264
8980230591</v>
      </c>
      <c r="G396" s="18" t="str">
        <f ca="1">IFERROR(__xludf.DUMMYFUNCTION("""COMPUTED_VALUE"""),"9586203264
8980230591")</f>
        <v>9586203264
8980230591</v>
      </c>
      <c r="H396" s="6" t="str">
        <f ca="1">IFERROR(__xludf.DUMMYFUNCTION("""COMPUTED_VALUE"""),"DCE_2022-25")</f>
        <v>DCE_2022-25</v>
      </c>
      <c r="I396" s="20" t="str">
        <f ca="1">IFERROR(__xludf.DUMMYFUNCTION("""COMPUTED_VALUE"""),"TFW")</f>
        <v>TFW</v>
      </c>
      <c r="J396" s="21">
        <f ca="1">IFERROR(__xludf.DUMMYFUNCTION("""COMPUTED_VALUE"""),25000)</f>
        <v>25000</v>
      </c>
      <c r="K396" s="21">
        <f ca="1">IFERROR(__xludf.DUMMYFUNCTION("""COMPUTED_VALUE"""),0)</f>
        <v>0</v>
      </c>
      <c r="L396" s="21">
        <f ca="1">IFERROR(__xludf.DUMMYFUNCTION("""COMPUTED_VALUE"""),0)</f>
        <v>0</v>
      </c>
      <c r="M396" s="23">
        <f ca="1">IFERROR(__xludf.DUMMYFUNCTION("""COMPUTED_VALUE"""),25000)</f>
        <v>25000</v>
      </c>
      <c r="N396" s="21">
        <f ca="1">IFERROR(__xludf.DUMMYFUNCTION("""COMPUTED_VALUE"""),0)</f>
        <v>0</v>
      </c>
      <c r="O396" s="21">
        <f ca="1">IFERROR(__xludf.DUMMYFUNCTION("""COMPUTED_VALUE"""),3000)</f>
        <v>3000</v>
      </c>
      <c r="P396" s="21">
        <f ca="1">IFERROR(__xludf.DUMMYFUNCTION("""COMPUTED_VALUE"""),3000)</f>
        <v>3000</v>
      </c>
      <c r="Q396" s="23">
        <f ca="1">IFERROR(__xludf.DUMMYFUNCTION("""COMPUTED_VALUE"""),0)</f>
        <v>0</v>
      </c>
      <c r="R396" s="24">
        <f ca="1">IFERROR(__xludf.DUMMYFUNCTION("""COMPUTED_VALUE"""),0)</f>
        <v>0</v>
      </c>
      <c r="S396" s="23">
        <f ca="1">IFERROR(__xludf.DUMMYFUNCTION("""COMPUTED_VALUE"""),0)</f>
        <v>0</v>
      </c>
      <c r="T396" s="24">
        <f ca="1">IFERROR(__xludf.DUMMYFUNCTION("""COMPUTED_VALUE"""),0)</f>
        <v>0</v>
      </c>
      <c r="U396" s="23">
        <f ca="1">IFERROR(__xludf.DUMMYFUNCTION("""COMPUTED_VALUE"""),0)</f>
        <v>0</v>
      </c>
      <c r="V396" s="23">
        <f ca="1">IFERROR(__xludf.DUMMYFUNCTION("""COMPUTED_VALUE"""),0)</f>
        <v>0</v>
      </c>
      <c r="W396" s="23">
        <f ca="1">IFERROR(__xludf.DUMMYFUNCTION("""COMPUTED_VALUE"""),0)</f>
        <v>0</v>
      </c>
      <c r="X396" s="23">
        <f ca="1">IFERROR(__xludf.DUMMYFUNCTION("""COMPUTED_VALUE"""),0)</f>
        <v>0</v>
      </c>
      <c r="Y396" s="25">
        <f ca="1">IFERROR(__xludf.DUMMYFUNCTION("""COMPUTED_VALUE"""),0)</f>
        <v>0</v>
      </c>
      <c r="Z396" s="25">
        <f ca="1">IFERROR(__xludf.DUMMYFUNCTION("""COMPUTED_VALUE"""),0)</f>
        <v>0</v>
      </c>
      <c r="AA396" s="25">
        <f ca="1">IFERROR(__xludf.DUMMYFUNCTION("""COMPUTED_VALUE"""),0)</f>
        <v>0</v>
      </c>
      <c r="AB396" s="25">
        <f ca="1">IFERROR(__xludf.DUMMYFUNCTION("""COMPUTED_VALUE"""),0)</f>
        <v>0</v>
      </c>
      <c r="AC396" s="23">
        <f ca="1">IFERROR(__xludf.DUMMYFUNCTION("""COMPUTED_VALUE"""),0)</f>
        <v>0</v>
      </c>
      <c r="AD396" s="26"/>
      <c r="AE396" s="27"/>
    </row>
    <row r="397" spans="1:31" ht="14.3">
      <c r="A397" s="18" t="str">
        <f ca="1">IFERROR(__xludf.DUMMYFUNCTION("""COMPUTED_VALUE"""),"22SDSCE01155")</f>
        <v>22SDSCE01155</v>
      </c>
      <c r="B397" s="19" t="str">
        <f ca="1">IFERROR(__xludf.DUMMYFUNCTION("""COMPUTED_VALUE"""),"KADACHHA BHARAT MASARIBHAI")</f>
        <v>KADACHHA BHARAT MASARIBHAI</v>
      </c>
      <c r="C397" s="18" t="str">
        <f ca="1">IFERROR(__xludf.DUMMYFUNCTION("""COMPUTED_VALUE"""),"SDS")</f>
        <v>SDS</v>
      </c>
      <c r="D397" s="18" t="str">
        <f ca="1">IFERROR(__xludf.DUMMYFUNCTION("""COMPUTED_VALUE"""),"DCE")</f>
        <v>DCE</v>
      </c>
      <c r="E397" s="25">
        <f ca="1">IFERROR(__xludf.DUMMYFUNCTION("""COMPUTED_VALUE"""),4)</f>
        <v>4</v>
      </c>
      <c r="F397" s="18" t="str">
        <f ca="1">IFERROR(__xludf.DUMMYFUNCTION("""COMPUTED_VALUE"""),"9510874505 6355518718")</f>
        <v>9510874505 6355518718</v>
      </c>
      <c r="G397" s="18" t="str">
        <f ca="1">IFERROR(__xludf.DUMMYFUNCTION("""COMPUTED_VALUE"""),"9510874505 6355518718")</f>
        <v>9510874505 6355518718</v>
      </c>
      <c r="H397" s="6" t="str">
        <f ca="1">IFERROR(__xludf.DUMMYFUNCTION("""COMPUTED_VALUE"""),"DCE_2022-25")</f>
        <v>DCE_2022-25</v>
      </c>
      <c r="I397" s="20"/>
      <c r="J397" s="21">
        <f ca="1">IFERROR(__xludf.DUMMYFUNCTION("""COMPUTED_VALUE"""),25000)</f>
        <v>25000</v>
      </c>
      <c r="K397" s="21">
        <f ca="1">IFERROR(__xludf.DUMMYFUNCTION("""COMPUTED_VALUE"""),25000)</f>
        <v>25000</v>
      </c>
      <c r="L397" s="21">
        <f ca="1">IFERROR(__xludf.DUMMYFUNCTION("""COMPUTED_VALUE"""),0)</f>
        <v>0</v>
      </c>
      <c r="M397" s="23">
        <f ca="1">IFERROR(__xludf.DUMMYFUNCTION("""COMPUTED_VALUE"""),0)</f>
        <v>0</v>
      </c>
      <c r="N397" s="21">
        <f ca="1">IFERROR(__xludf.DUMMYFUNCTION("""COMPUTED_VALUE"""),0)</f>
        <v>0</v>
      </c>
      <c r="O397" s="21">
        <f ca="1">IFERROR(__xludf.DUMMYFUNCTION("""COMPUTED_VALUE"""),3000)</f>
        <v>3000</v>
      </c>
      <c r="P397" s="21">
        <f ca="1">IFERROR(__xludf.DUMMYFUNCTION("""COMPUTED_VALUE"""),3000)</f>
        <v>3000</v>
      </c>
      <c r="Q397" s="23">
        <f ca="1">IFERROR(__xludf.DUMMYFUNCTION("""COMPUTED_VALUE"""),0)</f>
        <v>0</v>
      </c>
      <c r="R397" s="24">
        <f ca="1">IFERROR(__xludf.DUMMYFUNCTION("""COMPUTED_VALUE"""),0)</f>
        <v>0</v>
      </c>
      <c r="S397" s="23">
        <f ca="1">IFERROR(__xludf.DUMMYFUNCTION("""COMPUTED_VALUE"""),0)</f>
        <v>0</v>
      </c>
      <c r="T397" s="24">
        <f ca="1">IFERROR(__xludf.DUMMYFUNCTION("""COMPUTED_VALUE"""),0)</f>
        <v>0</v>
      </c>
      <c r="U397" s="23">
        <f ca="1">IFERROR(__xludf.DUMMYFUNCTION("""COMPUTED_VALUE"""),0)</f>
        <v>0</v>
      </c>
      <c r="V397" s="23">
        <f ca="1">IFERROR(__xludf.DUMMYFUNCTION("""COMPUTED_VALUE"""),0)</f>
        <v>0</v>
      </c>
      <c r="W397" s="23">
        <f ca="1">IFERROR(__xludf.DUMMYFUNCTION("""COMPUTED_VALUE"""),0)</f>
        <v>0</v>
      </c>
      <c r="X397" s="23">
        <f ca="1">IFERROR(__xludf.DUMMYFUNCTION("""COMPUTED_VALUE"""),0)</f>
        <v>0</v>
      </c>
      <c r="Y397" s="25">
        <f ca="1">IFERROR(__xludf.DUMMYFUNCTION("""COMPUTED_VALUE"""),0)</f>
        <v>0</v>
      </c>
      <c r="Z397" s="25">
        <f ca="1">IFERROR(__xludf.DUMMYFUNCTION("""COMPUTED_VALUE"""),0)</f>
        <v>0</v>
      </c>
      <c r="AA397" s="25">
        <f ca="1">IFERROR(__xludf.DUMMYFUNCTION("""COMPUTED_VALUE"""),0)</f>
        <v>0</v>
      </c>
      <c r="AB397" s="25">
        <f ca="1">IFERROR(__xludf.DUMMYFUNCTION("""COMPUTED_VALUE"""),0)</f>
        <v>0</v>
      </c>
      <c r="AC397" s="23">
        <f ca="1">IFERROR(__xludf.DUMMYFUNCTION("""COMPUTED_VALUE"""),0)</f>
        <v>0</v>
      </c>
      <c r="AD397" s="26"/>
      <c r="AE397" s="27"/>
    </row>
    <row r="398" spans="1:31" ht="14.3">
      <c r="A398" s="18" t="str">
        <f ca="1">IFERROR(__xludf.DUMMYFUNCTION("""COMPUTED_VALUE"""),"22SDSCE01156")</f>
        <v>22SDSCE01156</v>
      </c>
      <c r="B398" s="19" t="str">
        <f ca="1">IFERROR(__xludf.DUMMYFUNCTION("""COMPUTED_VALUE"""),"KARDANI TIRTH CHIMANBHAI")</f>
        <v>KARDANI TIRTH CHIMANBHAI</v>
      </c>
      <c r="C398" s="18" t="str">
        <f ca="1">IFERROR(__xludf.DUMMYFUNCTION("""COMPUTED_VALUE"""),"SDS")</f>
        <v>SDS</v>
      </c>
      <c r="D398" s="18" t="str">
        <f ca="1">IFERROR(__xludf.DUMMYFUNCTION("""COMPUTED_VALUE"""),"DCE")</f>
        <v>DCE</v>
      </c>
      <c r="E398" s="25">
        <f ca="1">IFERROR(__xludf.DUMMYFUNCTION("""COMPUTED_VALUE"""),4)</f>
        <v>4</v>
      </c>
      <c r="F398" s="18" t="str">
        <f ca="1">IFERROR(__xludf.DUMMYFUNCTION("""COMPUTED_VALUE"""),"9898718883 7573010721")</f>
        <v>9898718883 7573010721</v>
      </c>
      <c r="G398" s="18" t="str">
        <f ca="1">IFERROR(__xludf.DUMMYFUNCTION("""COMPUTED_VALUE"""),"9898718883 7573010721")</f>
        <v>9898718883 7573010721</v>
      </c>
      <c r="H398" s="6" t="str">
        <f ca="1">IFERROR(__xludf.DUMMYFUNCTION("""COMPUTED_VALUE"""),"DCE_2022-25")</f>
        <v>DCE_2022-25</v>
      </c>
      <c r="I398" s="20"/>
      <c r="J398" s="21">
        <f ca="1">IFERROR(__xludf.DUMMYFUNCTION("""COMPUTED_VALUE"""),25000)</f>
        <v>25000</v>
      </c>
      <c r="K398" s="21">
        <f ca="1">IFERROR(__xludf.DUMMYFUNCTION("""COMPUTED_VALUE"""),25000)</f>
        <v>25000</v>
      </c>
      <c r="L398" s="21">
        <f ca="1">IFERROR(__xludf.DUMMYFUNCTION("""COMPUTED_VALUE"""),0)</f>
        <v>0</v>
      </c>
      <c r="M398" s="23">
        <f ca="1">IFERROR(__xludf.DUMMYFUNCTION("""COMPUTED_VALUE"""),0)</f>
        <v>0</v>
      </c>
      <c r="N398" s="21">
        <f ca="1">IFERROR(__xludf.DUMMYFUNCTION("""COMPUTED_VALUE"""),0)</f>
        <v>0</v>
      </c>
      <c r="O398" s="21">
        <f ca="1">IFERROR(__xludf.DUMMYFUNCTION("""COMPUTED_VALUE"""),3000)</f>
        <v>3000</v>
      </c>
      <c r="P398" s="21">
        <f ca="1">IFERROR(__xludf.DUMMYFUNCTION("""COMPUTED_VALUE"""),3000)</f>
        <v>3000</v>
      </c>
      <c r="Q398" s="23">
        <f ca="1">IFERROR(__xludf.DUMMYFUNCTION("""COMPUTED_VALUE"""),0)</f>
        <v>0</v>
      </c>
      <c r="R398" s="24">
        <f ca="1">IFERROR(__xludf.DUMMYFUNCTION("""COMPUTED_VALUE"""),0)</f>
        <v>0</v>
      </c>
      <c r="S398" s="23">
        <f ca="1">IFERROR(__xludf.DUMMYFUNCTION("""COMPUTED_VALUE"""),0)</f>
        <v>0</v>
      </c>
      <c r="T398" s="24">
        <f ca="1">IFERROR(__xludf.DUMMYFUNCTION("""COMPUTED_VALUE"""),0)</f>
        <v>0</v>
      </c>
      <c r="U398" s="23">
        <f ca="1">IFERROR(__xludf.DUMMYFUNCTION("""COMPUTED_VALUE"""),0)</f>
        <v>0</v>
      </c>
      <c r="V398" s="23">
        <f ca="1">IFERROR(__xludf.DUMMYFUNCTION("""COMPUTED_VALUE"""),0)</f>
        <v>0</v>
      </c>
      <c r="W398" s="23">
        <f ca="1">IFERROR(__xludf.DUMMYFUNCTION("""COMPUTED_VALUE"""),0)</f>
        <v>0</v>
      </c>
      <c r="X398" s="23">
        <f ca="1">IFERROR(__xludf.DUMMYFUNCTION("""COMPUTED_VALUE"""),0)</f>
        <v>0</v>
      </c>
      <c r="Y398" s="25">
        <f ca="1">IFERROR(__xludf.DUMMYFUNCTION("""COMPUTED_VALUE"""),0)</f>
        <v>0</v>
      </c>
      <c r="Z398" s="25">
        <f ca="1">IFERROR(__xludf.DUMMYFUNCTION("""COMPUTED_VALUE"""),0)</f>
        <v>0</v>
      </c>
      <c r="AA398" s="25">
        <f ca="1">IFERROR(__xludf.DUMMYFUNCTION("""COMPUTED_VALUE"""),0)</f>
        <v>0</v>
      </c>
      <c r="AB398" s="25">
        <f ca="1">IFERROR(__xludf.DUMMYFUNCTION("""COMPUTED_VALUE"""),0)</f>
        <v>0</v>
      </c>
      <c r="AC398" s="23">
        <f ca="1">IFERROR(__xludf.DUMMYFUNCTION("""COMPUTED_VALUE"""),0)</f>
        <v>0</v>
      </c>
      <c r="AD398" s="26"/>
      <c r="AE398" s="27"/>
    </row>
    <row r="399" spans="1:31" ht="14.3">
      <c r="A399" s="18" t="str">
        <f ca="1">IFERROR(__xludf.DUMMYFUNCTION("""COMPUTED_VALUE"""),"22SDSCE01157")</f>
        <v>22SDSCE01157</v>
      </c>
      <c r="B399" s="19" t="str">
        <f ca="1">IFERROR(__xludf.DUMMYFUNCTION("""COMPUTED_VALUE"""),"KATESHIYA PRIYANSHU BHAVESHBHAI")</f>
        <v>KATESHIYA PRIYANSHU BHAVESHBHAI</v>
      </c>
      <c r="C399" s="18" t="str">
        <f ca="1">IFERROR(__xludf.DUMMYFUNCTION("""COMPUTED_VALUE"""),"SDS")</f>
        <v>SDS</v>
      </c>
      <c r="D399" s="18" t="str">
        <f ca="1">IFERROR(__xludf.DUMMYFUNCTION("""COMPUTED_VALUE"""),"DCE")</f>
        <v>DCE</v>
      </c>
      <c r="E399" s="25">
        <f ca="1">IFERROR(__xludf.DUMMYFUNCTION("""COMPUTED_VALUE"""),4)</f>
        <v>4</v>
      </c>
      <c r="F399" s="18" t="str">
        <f ca="1">IFERROR(__xludf.DUMMYFUNCTION("""COMPUTED_VALUE"""),"8401368370 9558063644")</f>
        <v>8401368370 9558063644</v>
      </c>
      <c r="G399" s="18" t="str">
        <f ca="1">IFERROR(__xludf.DUMMYFUNCTION("""COMPUTED_VALUE"""),"8401368370 9558063644")</f>
        <v>8401368370 9558063644</v>
      </c>
      <c r="H399" s="6" t="str">
        <f ca="1">IFERROR(__xludf.DUMMYFUNCTION("""COMPUTED_VALUE"""),"DCE_2022-25")</f>
        <v>DCE_2022-25</v>
      </c>
      <c r="I399" s="20"/>
      <c r="J399" s="21">
        <f ca="1">IFERROR(__xludf.DUMMYFUNCTION("""COMPUTED_VALUE"""),25000)</f>
        <v>25000</v>
      </c>
      <c r="K399" s="21">
        <f ca="1">IFERROR(__xludf.DUMMYFUNCTION("""COMPUTED_VALUE"""),25000)</f>
        <v>25000</v>
      </c>
      <c r="L399" s="21">
        <f ca="1">IFERROR(__xludf.DUMMYFUNCTION("""COMPUTED_VALUE"""),0)</f>
        <v>0</v>
      </c>
      <c r="M399" s="23">
        <f ca="1">IFERROR(__xludf.DUMMYFUNCTION("""COMPUTED_VALUE"""),0)</f>
        <v>0</v>
      </c>
      <c r="N399" s="21">
        <f ca="1">IFERROR(__xludf.DUMMYFUNCTION("""COMPUTED_VALUE"""),0)</f>
        <v>0</v>
      </c>
      <c r="O399" s="21">
        <f ca="1">IFERROR(__xludf.DUMMYFUNCTION("""COMPUTED_VALUE"""),3000)</f>
        <v>3000</v>
      </c>
      <c r="P399" s="21">
        <f ca="1">IFERROR(__xludf.DUMMYFUNCTION("""COMPUTED_VALUE"""),3000)</f>
        <v>3000</v>
      </c>
      <c r="Q399" s="23">
        <f ca="1">IFERROR(__xludf.DUMMYFUNCTION("""COMPUTED_VALUE"""),0)</f>
        <v>0</v>
      </c>
      <c r="R399" s="24">
        <f ca="1">IFERROR(__xludf.DUMMYFUNCTION("""COMPUTED_VALUE"""),0)</f>
        <v>0</v>
      </c>
      <c r="S399" s="23">
        <f ca="1">IFERROR(__xludf.DUMMYFUNCTION("""COMPUTED_VALUE"""),0)</f>
        <v>0</v>
      </c>
      <c r="T399" s="24">
        <f ca="1">IFERROR(__xludf.DUMMYFUNCTION("""COMPUTED_VALUE"""),0)</f>
        <v>0</v>
      </c>
      <c r="U399" s="23">
        <f ca="1">IFERROR(__xludf.DUMMYFUNCTION("""COMPUTED_VALUE"""),0)</f>
        <v>0</v>
      </c>
      <c r="V399" s="23">
        <f ca="1">IFERROR(__xludf.DUMMYFUNCTION("""COMPUTED_VALUE"""),0)</f>
        <v>0</v>
      </c>
      <c r="W399" s="23">
        <f ca="1">IFERROR(__xludf.DUMMYFUNCTION("""COMPUTED_VALUE"""),0)</f>
        <v>0</v>
      </c>
      <c r="X399" s="23">
        <f ca="1">IFERROR(__xludf.DUMMYFUNCTION("""COMPUTED_VALUE"""),0)</f>
        <v>0</v>
      </c>
      <c r="Y399" s="25">
        <f ca="1">IFERROR(__xludf.DUMMYFUNCTION("""COMPUTED_VALUE"""),0)</f>
        <v>0</v>
      </c>
      <c r="Z399" s="25">
        <f ca="1">IFERROR(__xludf.DUMMYFUNCTION("""COMPUTED_VALUE"""),0)</f>
        <v>0</v>
      </c>
      <c r="AA399" s="25">
        <f ca="1">IFERROR(__xludf.DUMMYFUNCTION("""COMPUTED_VALUE"""),0)</f>
        <v>0</v>
      </c>
      <c r="AB399" s="25">
        <f ca="1">IFERROR(__xludf.DUMMYFUNCTION("""COMPUTED_VALUE"""),0)</f>
        <v>0</v>
      </c>
      <c r="AC399" s="23">
        <f ca="1">IFERROR(__xludf.DUMMYFUNCTION("""COMPUTED_VALUE"""),0)</f>
        <v>0</v>
      </c>
      <c r="AD399" s="26"/>
      <c r="AE399" s="27"/>
    </row>
    <row r="400" spans="1:31" ht="14.3">
      <c r="A400" s="18" t="str">
        <f ca="1">IFERROR(__xludf.DUMMYFUNCTION("""COMPUTED_VALUE"""),"22SDSCE01158")</f>
        <v>22SDSCE01158</v>
      </c>
      <c r="B400" s="19" t="str">
        <f ca="1">IFERROR(__xludf.DUMMYFUNCTION("""COMPUTED_VALUE"""),"KATHIRIYA MEETKUMAR VALLABHBHAI")</f>
        <v>KATHIRIYA MEETKUMAR VALLABHBHAI</v>
      </c>
      <c r="C400" s="18" t="str">
        <f ca="1">IFERROR(__xludf.DUMMYFUNCTION("""COMPUTED_VALUE"""),"SDS")</f>
        <v>SDS</v>
      </c>
      <c r="D400" s="18" t="str">
        <f ca="1">IFERROR(__xludf.DUMMYFUNCTION("""COMPUTED_VALUE"""),"DCE")</f>
        <v>DCE</v>
      </c>
      <c r="E400" s="25">
        <f ca="1">IFERROR(__xludf.DUMMYFUNCTION("""COMPUTED_VALUE"""),4)</f>
        <v>4</v>
      </c>
      <c r="F400" s="18" t="str">
        <f ca="1">IFERROR(__xludf.DUMMYFUNCTION("""COMPUTED_VALUE"""),"9328875788 9723969502")</f>
        <v>9328875788 9723969502</v>
      </c>
      <c r="G400" s="18" t="str">
        <f ca="1">IFERROR(__xludf.DUMMYFUNCTION("""COMPUTED_VALUE"""),"9328875788 9723969502")</f>
        <v>9328875788 9723969502</v>
      </c>
      <c r="H400" s="6" t="str">
        <f ca="1">IFERROR(__xludf.DUMMYFUNCTION("""COMPUTED_VALUE"""),"DCE_2022-25")</f>
        <v>DCE_2022-25</v>
      </c>
      <c r="I400" s="20"/>
      <c r="J400" s="21">
        <f ca="1">IFERROR(__xludf.DUMMYFUNCTION("""COMPUTED_VALUE"""),25000)</f>
        <v>25000</v>
      </c>
      <c r="K400" s="21">
        <f ca="1">IFERROR(__xludf.DUMMYFUNCTION("""COMPUTED_VALUE"""),25000)</f>
        <v>25000</v>
      </c>
      <c r="L400" s="21">
        <f ca="1">IFERROR(__xludf.DUMMYFUNCTION("""COMPUTED_VALUE"""),0)</f>
        <v>0</v>
      </c>
      <c r="M400" s="23">
        <f ca="1">IFERROR(__xludf.DUMMYFUNCTION("""COMPUTED_VALUE"""),0)</f>
        <v>0</v>
      </c>
      <c r="N400" s="21">
        <f ca="1">IFERROR(__xludf.DUMMYFUNCTION("""COMPUTED_VALUE"""),0)</f>
        <v>0</v>
      </c>
      <c r="O400" s="21">
        <f ca="1">IFERROR(__xludf.DUMMYFUNCTION("""COMPUTED_VALUE"""),3000)</f>
        <v>3000</v>
      </c>
      <c r="P400" s="21">
        <f ca="1">IFERROR(__xludf.DUMMYFUNCTION("""COMPUTED_VALUE"""),3000)</f>
        <v>3000</v>
      </c>
      <c r="Q400" s="23">
        <f ca="1">IFERROR(__xludf.DUMMYFUNCTION("""COMPUTED_VALUE"""),0)</f>
        <v>0</v>
      </c>
      <c r="R400" s="24">
        <f ca="1">IFERROR(__xludf.DUMMYFUNCTION("""COMPUTED_VALUE"""),0)</f>
        <v>0</v>
      </c>
      <c r="S400" s="23">
        <f ca="1">IFERROR(__xludf.DUMMYFUNCTION("""COMPUTED_VALUE"""),0)</f>
        <v>0</v>
      </c>
      <c r="T400" s="24">
        <f ca="1">IFERROR(__xludf.DUMMYFUNCTION("""COMPUTED_VALUE"""),0)</f>
        <v>0</v>
      </c>
      <c r="U400" s="23">
        <f ca="1">IFERROR(__xludf.DUMMYFUNCTION("""COMPUTED_VALUE"""),0)</f>
        <v>0</v>
      </c>
      <c r="V400" s="23">
        <f ca="1">IFERROR(__xludf.DUMMYFUNCTION("""COMPUTED_VALUE"""),0)</f>
        <v>0</v>
      </c>
      <c r="W400" s="23">
        <f ca="1">IFERROR(__xludf.DUMMYFUNCTION("""COMPUTED_VALUE"""),0)</f>
        <v>0</v>
      </c>
      <c r="X400" s="23">
        <f ca="1">IFERROR(__xludf.DUMMYFUNCTION("""COMPUTED_VALUE"""),0)</f>
        <v>0</v>
      </c>
      <c r="Y400" s="25">
        <f ca="1">IFERROR(__xludf.DUMMYFUNCTION("""COMPUTED_VALUE"""),0)</f>
        <v>0</v>
      </c>
      <c r="Z400" s="25">
        <f ca="1">IFERROR(__xludf.DUMMYFUNCTION("""COMPUTED_VALUE"""),0)</f>
        <v>0</v>
      </c>
      <c r="AA400" s="25">
        <f ca="1">IFERROR(__xludf.DUMMYFUNCTION("""COMPUTED_VALUE"""),0)</f>
        <v>0</v>
      </c>
      <c r="AB400" s="25">
        <f ca="1">IFERROR(__xludf.DUMMYFUNCTION("""COMPUTED_VALUE"""),0)</f>
        <v>0</v>
      </c>
      <c r="AC400" s="23">
        <f ca="1">IFERROR(__xludf.DUMMYFUNCTION("""COMPUTED_VALUE"""),0)</f>
        <v>0</v>
      </c>
      <c r="AD400" s="26"/>
      <c r="AE400" s="27"/>
    </row>
    <row r="401" spans="1:31" ht="14.3">
      <c r="A401" s="18" t="str">
        <f ca="1">IFERROR(__xludf.DUMMYFUNCTION("""COMPUTED_VALUE"""),"22SDSCE01159")</f>
        <v>22SDSCE01159</v>
      </c>
      <c r="B401" s="19" t="str">
        <f ca="1">IFERROR(__xludf.DUMMYFUNCTION("""COMPUTED_VALUE"""),"KESHVALA VIPUL JETHABHAI")</f>
        <v>KESHVALA VIPUL JETHABHAI</v>
      </c>
      <c r="C401" s="18" t="str">
        <f ca="1">IFERROR(__xludf.DUMMYFUNCTION("""COMPUTED_VALUE"""),"SDS")</f>
        <v>SDS</v>
      </c>
      <c r="D401" s="18" t="str">
        <f ca="1">IFERROR(__xludf.DUMMYFUNCTION("""COMPUTED_VALUE"""),"DCE")</f>
        <v>DCE</v>
      </c>
      <c r="E401" s="25">
        <f ca="1">IFERROR(__xludf.DUMMYFUNCTION("""COMPUTED_VALUE"""),4)</f>
        <v>4</v>
      </c>
      <c r="F401" s="18" t="str">
        <f ca="1">IFERROR(__xludf.DUMMYFUNCTION("""COMPUTED_VALUE"""),"9106725651 9106495622")</f>
        <v>9106725651 9106495622</v>
      </c>
      <c r="G401" s="18" t="str">
        <f ca="1">IFERROR(__xludf.DUMMYFUNCTION("""COMPUTED_VALUE"""),"9106725651 9106495622")</f>
        <v>9106725651 9106495622</v>
      </c>
      <c r="H401" s="6" t="str">
        <f ca="1">IFERROR(__xludf.DUMMYFUNCTION("""COMPUTED_VALUE"""),"DCE_2022-25")</f>
        <v>DCE_2022-25</v>
      </c>
      <c r="I401" s="20"/>
      <c r="J401" s="21">
        <f ca="1">IFERROR(__xludf.DUMMYFUNCTION("""COMPUTED_VALUE"""),25000)</f>
        <v>25000</v>
      </c>
      <c r="K401" s="21">
        <f ca="1">IFERROR(__xludf.DUMMYFUNCTION("""COMPUTED_VALUE"""),25000)</f>
        <v>25000</v>
      </c>
      <c r="L401" s="21">
        <f ca="1">IFERROR(__xludf.DUMMYFUNCTION("""COMPUTED_VALUE"""),0)</f>
        <v>0</v>
      </c>
      <c r="M401" s="23">
        <f ca="1">IFERROR(__xludf.DUMMYFUNCTION("""COMPUTED_VALUE"""),0)</f>
        <v>0</v>
      </c>
      <c r="N401" s="21">
        <f ca="1">IFERROR(__xludf.DUMMYFUNCTION("""COMPUTED_VALUE"""),0)</f>
        <v>0</v>
      </c>
      <c r="O401" s="21">
        <f ca="1">IFERROR(__xludf.DUMMYFUNCTION("""COMPUTED_VALUE"""),3000)</f>
        <v>3000</v>
      </c>
      <c r="P401" s="21">
        <f ca="1">IFERROR(__xludf.DUMMYFUNCTION("""COMPUTED_VALUE"""),3000)</f>
        <v>3000</v>
      </c>
      <c r="Q401" s="23">
        <f ca="1">IFERROR(__xludf.DUMMYFUNCTION("""COMPUTED_VALUE"""),0)</f>
        <v>0</v>
      </c>
      <c r="R401" s="24">
        <f ca="1">IFERROR(__xludf.DUMMYFUNCTION("""COMPUTED_VALUE"""),0)</f>
        <v>0</v>
      </c>
      <c r="S401" s="23">
        <f ca="1">IFERROR(__xludf.DUMMYFUNCTION("""COMPUTED_VALUE"""),0)</f>
        <v>0</v>
      </c>
      <c r="T401" s="24">
        <f ca="1">IFERROR(__xludf.DUMMYFUNCTION("""COMPUTED_VALUE"""),0)</f>
        <v>0</v>
      </c>
      <c r="U401" s="23">
        <f ca="1">IFERROR(__xludf.DUMMYFUNCTION("""COMPUTED_VALUE"""),0)</f>
        <v>0</v>
      </c>
      <c r="V401" s="23">
        <f ca="1">IFERROR(__xludf.DUMMYFUNCTION("""COMPUTED_VALUE"""),0)</f>
        <v>0</v>
      </c>
      <c r="W401" s="23">
        <f ca="1">IFERROR(__xludf.DUMMYFUNCTION("""COMPUTED_VALUE"""),0)</f>
        <v>0</v>
      </c>
      <c r="X401" s="23">
        <f ca="1">IFERROR(__xludf.DUMMYFUNCTION("""COMPUTED_VALUE"""),0)</f>
        <v>0</v>
      </c>
      <c r="Y401" s="25">
        <f ca="1">IFERROR(__xludf.DUMMYFUNCTION("""COMPUTED_VALUE"""),0)</f>
        <v>0</v>
      </c>
      <c r="Z401" s="25">
        <f ca="1">IFERROR(__xludf.DUMMYFUNCTION("""COMPUTED_VALUE"""),0)</f>
        <v>0</v>
      </c>
      <c r="AA401" s="25">
        <f ca="1">IFERROR(__xludf.DUMMYFUNCTION("""COMPUTED_VALUE"""),0)</f>
        <v>0</v>
      </c>
      <c r="AB401" s="25">
        <f ca="1">IFERROR(__xludf.DUMMYFUNCTION("""COMPUTED_VALUE"""),0)</f>
        <v>0</v>
      </c>
      <c r="AC401" s="23">
        <f ca="1">IFERROR(__xludf.DUMMYFUNCTION("""COMPUTED_VALUE"""),0)</f>
        <v>0</v>
      </c>
      <c r="AD401" s="26"/>
      <c r="AE401" s="27"/>
    </row>
    <row r="402" spans="1:31" ht="14.3">
      <c r="A402" s="18" t="str">
        <f ca="1">IFERROR(__xludf.DUMMYFUNCTION("""COMPUTED_VALUE"""),"22SDSCE01160")</f>
        <v>22SDSCE01160</v>
      </c>
      <c r="B402" s="19" t="str">
        <f ca="1">IFERROR(__xludf.DUMMYFUNCTION("""COMPUTED_VALUE"""),"KHANT PRINCE MANISHBHAI")</f>
        <v>KHANT PRINCE MANISHBHAI</v>
      </c>
      <c r="C402" s="18" t="str">
        <f ca="1">IFERROR(__xludf.DUMMYFUNCTION("""COMPUTED_VALUE"""),"SDS")</f>
        <v>SDS</v>
      </c>
      <c r="D402" s="18" t="str">
        <f ca="1">IFERROR(__xludf.DUMMYFUNCTION("""COMPUTED_VALUE"""),"DCE")</f>
        <v>DCE</v>
      </c>
      <c r="E402" s="25">
        <f ca="1">IFERROR(__xludf.DUMMYFUNCTION("""COMPUTED_VALUE"""),4)</f>
        <v>4</v>
      </c>
      <c r="F402" s="18" t="str">
        <f ca="1">IFERROR(__xludf.DUMMYFUNCTION("""COMPUTED_VALUE"""),"9825128575 9978842985")</f>
        <v>9825128575 9978842985</v>
      </c>
      <c r="G402" s="18" t="str">
        <f ca="1">IFERROR(__xludf.DUMMYFUNCTION("""COMPUTED_VALUE"""),"9825128575 9978842985")</f>
        <v>9825128575 9978842985</v>
      </c>
      <c r="H402" s="6" t="str">
        <f ca="1">IFERROR(__xludf.DUMMYFUNCTION("""COMPUTED_VALUE"""),"DCE_2022-25")</f>
        <v>DCE_2022-25</v>
      </c>
      <c r="I402" s="20"/>
      <c r="J402" s="21">
        <f ca="1">IFERROR(__xludf.DUMMYFUNCTION("""COMPUTED_VALUE"""),25000)</f>
        <v>25000</v>
      </c>
      <c r="K402" s="21">
        <f ca="1">IFERROR(__xludf.DUMMYFUNCTION("""COMPUTED_VALUE"""),25000)</f>
        <v>25000</v>
      </c>
      <c r="L402" s="21">
        <f ca="1">IFERROR(__xludf.DUMMYFUNCTION("""COMPUTED_VALUE"""),0)</f>
        <v>0</v>
      </c>
      <c r="M402" s="23">
        <f ca="1">IFERROR(__xludf.DUMMYFUNCTION("""COMPUTED_VALUE"""),0)</f>
        <v>0</v>
      </c>
      <c r="N402" s="21">
        <f ca="1">IFERROR(__xludf.DUMMYFUNCTION("""COMPUTED_VALUE"""),0)</f>
        <v>0</v>
      </c>
      <c r="O402" s="21">
        <f ca="1">IFERROR(__xludf.DUMMYFUNCTION("""COMPUTED_VALUE"""),3000)</f>
        <v>3000</v>
      </c>
      <c r="P402" s="21">
        <f ca="1">IFERROR(__xludf.DUMMYFUNCTION("""COMPUTED_VALUE"""),3000)</f>
        <v>3000</v>
      </c>
      <c r="Q402" s="23">
        <f ca="1">IFERROR(__xludf.DUMMYFUNCTION("""COMPUTED_VALUE"""),0)</f>
        <v>0</v>
      </c>
      <c r="R402" s="24">
        <f ca="1">IFERROR(__xludf.DUMMYFUNCTION("""COMPUTED_VALUE"""),0)</f>
        <v>0</v>
      </c>
      <c r="S402" s="23">
        <f ca="1">IFERROR(__xludf.DUMMYFUNCTION("""COMPUTED_VALUE"""),0)</f>
        <v>0</v>
      </c>
      <c r="T402" s="24">
        <f ca="1">IFERROR(__xludf.DUMMYFUNCTION("""COMPUTED_VALUE"""),0)</f>
        <v>0</v>
      </c>
      <c r="U402" s="23">
        <f ca="1">IFERROR(__xludf.DUMMYFUNCTION("""COMPUTED_VALUE"""),0)</f>
        <v>0</v>
      </c>
      <c r="V402" s="23">
        <f ca="1">IFERROR(__xludf.DUMMYFUNCTION("""COMPUTED_VALUE"""),0)</f>
        <v>0</v>
      </c>
      <c r="W402" s="23">
        <f ca="1">IFERROR(__xludf.DUMMYFUNCTION("""COMPUTED_VALUE"""),0)</f>
        <v>0</v>
      </c>
      <c r="X402" s="23">
        <f ca="1">IFERROR(__xludf.DUMMYFUNCTION("""COMPUTED_VALUE"""),0)</f>
        <v>0</v>
      </c>
      <c r="Y402" s="25">
        <f ca="1">IFERROR(__xludf.DUMMYFUNCTION("""COMPUTED_VALUE"""),0)</f>
        <v>0</v>
      </c>
      <c r="Z402" s="25">
        <f ca="1">IFERROR(__xludf.DUMMYFUNCTION("""COMPUTED_VALUE"""),0)</f>
        <v>0</v>
      </c>
      <c r="AA402" s="25">
        <f ca="1">IFERROR(__xludf.DUMMYFUNCTION("""COMPUTED_VALUE"""),0)</f>
        <v>0</v>
      </c>
      <c r="AB402" s="25">
        <f ca="1">IFERROR(__xludf.DUMMYFUNCTION("""COMPUTED_VALUE"""),0)</f>
        <v>0</v>
      </c>
      <c r="AC402" s="23">
        <f ca="1">IFERROR(__xludf.DUMMYFUNCTION("""COMPUTED_VALUE"""),0)</f>
        <v>0</v>
      </c>
      <c r="AD402" s="26"/>
      <c r="AE402" s="27"/>
    </row>
    <row r="403" spans="1:31" ht="14.3">
      <c r="A403" s="18" t="str">
        <f ca="1">IFERROR(__xludf.DUMMYFUNCTION("""COMPUTED_VALUE"""),"22SDSCE01161")</f>
        <v>22SDSCE01161</v>
      </c>
      <c r="B403" s="19" t="str">
        <f ca="1">IFERROR(__xludf.DUMMYFUNCTION("""COMPUTED_VALUE"""),"KHUNT KRINA PIYUSHBHAI")</f>
        <v>KHUNT KRINA PIYUSHBHAI</v>
      </c>
      <c r="C403" s="18" t="str">
        <f ca="1">IFERROR(__xludf.DUMMYFUNCTION("""COMPUTED_VALUE"""),"SDS")</f>
        <v>SDS</v>
      </c>
      <c r="D403" s="18" t="str">
        <f ca="1">IFERROR(__xludf.DUMMYFUNCTION("""COMPUTED_VALUE"""),"DCE")</f>
        <v>DCE</v>
      </c>
      <c r="E403" s="25">
        <f ca="1">IFERROR(__xludf.DUMMYFUNCTION("""COMPUTED_VALUE"""),4)</f>
        <v>4</v>
      </c>
      <c r="F403" s="18" t="str">
        <f ca="1">IFERROR(__xludf.DUMMYFUNCTION("""COMPUTED_VALUE"""),"9428374891 9824893269")</f>
        <v>9428374891 9824893269</v>
      </c>
      <c r="G403" s="18" t="str">
        <f ca="1">IFERROR(__xludf.DUMMYFUNCTION("""COMPUTED_VALUE"""),"9428374891 9824893269")</f>
        <v>9428374891 9824893269</v>
      </c>
      <c r="H403" s="6" t="str">
        <f ca="1">IFERROR(__xludf.DUMMYFUNCTION("""COMPUTED_VALUE"""),"DCE_2022-25")</f>
        <v>DCE_2022-25</v>
      </c>
      <c r="I403" s="20" t="str">
        <f ca="1">IFERROR(__xludf.DUMMYFUNCTION("""COMPUTED_VALUE"""),"KSP")</f>
        <v>KSP</v>
      </c>
      <c r="J403" s="21">
        <f ca="1">IFERROR(__xludf.DUMMYFUNCTION("""COMPUTED_VALUE"""),25000)</f>
        <v>25000</v>
      </c>
      <c r="K403" s="21">
        <f ca="1">IFERROR(__xludf.DUMMYFUNCTION("""COMPUTED_VALUE"""),18750)</f>
        <v>18750</v>
      </c>
      <c r="L403" s="21">
        <f ca="1">IFERROR(__xludf.DUMMYFUNCTION("""COMPUTED_VALUE"""),0)</f>
        <v>0</v>
      </c>
      <c r="M403" s="23">
        <f ca="1">IFERROR(__xludf.DUMMYFUNCTION("""COMPUTED_VALUE"""),6250)</f>
        <v>6250</v>
      </c>
      <c r="N403" s="21">
        <f ca="1">IFERROR(__xludf.DUMMYFUNCTION("""COMPUTED_VALUE"""),0)</f>
        <v>0</v>
      </c>
      <c r="O403" s="21">
        <f ca="1">IFERROR(__xludf.DUMMYFUNCTION("""COMPUTED_VALUE"""),3000)</f>
        <v>3000</v>
      </c>
      <c r="P403" s="21">
        <f ca="1">IFERROR(__xludf.DUMMYFUNCTION("""COMPUTED_VALUE"""),3000)</f>
        <v>3000</v>
      </c>
      <c r="Q403" s="23">
        <f ca="1">IFERROR(__xludf.DUMMYFUNCTION("""COMPUTED_VALUE"""),0)</f>
        <v>0</v>
      </c>
      <c r="R403" s="24">
        <f ca="1">IFERROR(__xludf.DUMMYFUNCTION("""COMPUTED_VALUE"""),0)</f>
        <v>0</v>
      </c>
      <c r="S403" s="23">
        <f ca="1">IFERROR(__xludf.DUMMYFUNCTION("""COMPUTED_VALUE"""),0)</f>
        <v>0</v>
      </c>
      <c r="T403" s="24">
        <f ca="1">IFERROR(__xludf.DUMMYFUNCTION("""COMPUTED_VALUE"""),0)</f>
        <v>0</v>
      </c>
      <c r="U403" s="23">
        <f ca="1">IFERROR(__xludf.DUMMYFUNCTION("""COMPUTED_VALUE"""),0)</f>
        <v>0</v>
      </c>
      <c r="V403" s="23">
        <f ca="1">IFERROR(__xludf.DUMMYFUNCTION("""COMPUTED_VALUE"""),0)</f>
        <v>0</v>
      </c>
      <c r="W403" s="23">
        <f ca="1">IFERROR(__xludf.DUMMYFUNCTION("""COMPUTED_VALUE"""),0)</f>
        <v>0</v>
      </c>
      <c r="X403" s="23">
        <f ca="1">IFERROR(__xludf.DUMMYFUNCTION("""COMPUTED_VALUE"""),0)</f>
        <v>0</v>
      </c>
      <c r="Y403" s="25">
        <f ca="1">IFERROR(__xludf.DUMMYFUNCTION("""COMPUTED_VALUE"""),0)</f>
        <v>0</v>
      </c>
      <c r="Z403" s="25">
        <f ca="1">IFERROR(__xludf.DUMMYFUNCTION("""COMPUTED_VALUE"""),0)</f>
        <v>0</v>
      </c>
      <c r="AA403" s="25">
        <f ca="1">IFERROR(__xludf.DUMMYFUNCTION("""COMPUTED_VALUE"""),0)</f>
        <v>0</v>
      </c>
      <c r="AB403" s="25">
        <f ca="1">IFERROR(__xludf.DUMMYFUNCTION("""COMPUTED_VALUE"""),0)</f>
        <v>0</v>
      </c>
      <c r="AC403" s="23">
        <f ca="1">IFERROR(__xludf.DUMMYFUNCTION("""COMPUTED_VALUE"""),0)</f>
        <v>0</v>
      </c>
      <c r="AD403" s="26" t="str">
        <f ca="1">IFERROR(__xludf.DUMMYFUNCTION("""COMPUTED_VALUE"""),"6250 PER SEM SCHOLARSHIP")</f>
        <v>6250 PER SEM SCHOLARSHIP</v>
      </c>
      <c r="AE403" s="27"/>
    </row>
    <row r="404" spans="1:31" ht="14.3">
      <c r="A404" s="18" t="str">
        <f ca="1">IFERROR(__xludf.DUMMYFUNCTION("""COMPUTED_VALUE"""),"22SDSCE01164")</f>
        <v>22SDSCE01164</v>
      </c>
      <c r="B404" s="19" t="str">
        <f ca="1">IFERROR(__xludf.DUMMYFUNCTION("""COMPUTED_VALUE"""),"DEEP KUNDALIYA")</f>
        <v>DEEP KUNDALIYA</v>
      </c>
      <c r="C404" s="18" t="str">
        <f ca="1">IFERROR(__xludf.DUMMYFUNCTION("""COMPUTED_VALUE"""),"SDS")</f>
        <v>SDS</v>
      </c>
      <c r="D404" s="18" t="str">
        <f ca="1">IFERROR(__xludf.DUMMYFUNCTION("""COMPUTED_VALUE"""),"DCE")</f>
        <v>DCE</v>
      </c>
      <c r="E404" s="25">
        <f ca="1">IFERROR(__xludf.DUMMYFUNCTION("""COMPUTED_VALUE"""),4)</f>
        <v>4</v>
      </c>
      <c r="F404" s="18" t="str">
        <f ca="1">IFERROR(__xludf.DUMMYFUNCTION("""COMPUTED_VALUE"""),"9228396606 9824577030")</f>
        <v>9228396606 9824577030</v>
      </c>
      <c r="G404" s="18" t="str">
        <f ca="1">IFERROR(__xludf.DUMMYFUNCTION("""COMPUTED_VALUE"""),"9228396606 9824577030")</f>
        <v>9228396606 9824577030</v>
      </c>
      <c r="H404" s="6" t="str">
        <f ca="1">IFERROR(__xludf.DUMMYFUNCTION("""COMPUTED_VALUE"""),"DCE_2022-25")</f>
        <v>DCE_2022-25</v>
      </c>
      <c r="I404" s="20"/>
      <c r="J404" s="21">
        <f ca="1">IFERROR(__xludf.DUMMYFUNCTION("""COMPUTED_VALUE"""),25000)</f>
        <v>25000</v>
      </c>
      <c r="K404" s="21">
        <f ca="1">IFERROR(__xludf.DUMMYFUNCTION("""COMPUTED_VALUE"""),25000)</f>
        <v>25000</v>
      </c>
      <c r="L404" s="21">
        <f ca="1">IFERROR(__xludf.DUMMYFUNCTION("""COMPUTED_VALUE"""),0)</f>
        <v>0</v>
      </c>
      <c r="M404" s="23">
        <f ca="1">IFERROR(__xludf.DUMMYFUNCTION("""COMPUTED_VALUE"""),0)</f>
        <v>0</v>
      </c>
      <c r="N404" s="21">
        <f ca="1">IFERROR(__xludf.DUMMYFUNCTION("""COMPUTED_VALUE"""),0)</f>
        <v>0</v>
      </c>
      <c r="O404" s="21">
        <f ca="1">IFERROR(__xludf.DUMMYFUNCTION("""COMPUTED_VALUE"""),3000)</f>
        <v>3000</v>
      </c>
      <c r="P404" s="21">
        <f ca="1">IFERROR(__xludf.DUMMYFUNCTION("""COMPUTED_VALUE"""),3000)</f>
        <v>3000</v>
      </c>
      <c r="Q404" s="23">
        <f ca="1">IFERROR(__xludf.DUMMYFUNCTION("""COMPUTED_VALUE"""),0)</f>
        <v>0</v>
      </c>
      <c r="R404" s="24">
        <f ca="1">IFERROR(__xludf.DUMMYFUNCTION("""COMPUTED_VALUE"""),0)</f>
        <v>0</v>
      </c>
      <c r="S404" s="23">
        <f ca="1">IFERROR(__xludf.DUMMYFUNCTION("""COMPUTED_VALUE"""),0)</f>
        <v>0</v>
      </c>
      <c r="T404" s="24">
        <f ca="1">IFERROR(__xludf.DUMMYFUNCTION("""COMPUTED_VALUE"""),0)</f>
        <v>0</v>
      </c>
      <c r="U404" s="23">
        <f ca="1">IFERROR(__xludf.DUMMYFUNCTION("""COMPUTED_VALUE"""),0)</f>
        <v>0</v>
      </c>
      <c r="V404" s="23">
        <f ca="1">IFERROR(__xludf.DUMMYFUNCTION("""COMPUTED_VALUE"""),0)</f>
        <v>0</v>
      </c>
      <c r="W404" s="23">
        <f ca="1">IFERROR(__xludf.DUMMYFUNCTION("""COMPUTED_VALUE"""),0)</f>
        <v>0</v>
      </c>
      <c r="X404" s="23">
        <f ca="1">IFERROR(__xludf.DUMMYFUNCTION("""COMPUTED_VALUE"""),0)</f>
        <v>0</v>
      </c>
      <c r="Y404" s="25">
        <f ca="1">IFERROR(__xludf.DUMMYFUNCTION("""COMPUTED_VALUE"""),0)</f>
        <v>0</v>
      </c>
      <c r="Z404" s="25">
        <f ca="1">IFERROR(__xludf.DUMMYFUNCTION("""COMPUTED_VALUE"""),0)</f>
        <v>0</v>
      </c>
      <c r="AA404" s="25">
        <f ca="1">IFERROR(__xludf.DUMMYFUNCTION("""COMPUTED_VALUE"""),0)</f>
        <v>0</v>
      </c>
      <c r="AB404" s="25">
        <f ca="1">IFERROR(__xludf.DUMMYFUNCTION("""COMPUTED_VALUE"""),0)</f>
        <v>0</v>
      </c>
      <c r="AC404" s="23">
        <f ca="1">IFERROR(__xludf.DUMMYFUNCTION("""COMPUTED_VALUE"""),0)</f>
        <v>0</v>
      </c>
      <c r="AD404" s="26"/>
      <c r="AE404" s="27"/>
    </row>
    <row r="405" spans="1:31" ht="14.3">
      <c r="A405" s="18" t="str">
        <f ca="1">IFERROR(__xludf.DUMMYFUNCTION("""COMPUTED_VALUE"""),"22SDSCE01165")</f>
        <v>22SDSCE01165</v>
      </c>
      <c r="B405" s="19" t="str">
        <f ca="1">IFERROR(__xludf.DUMMYFUNCTION("""COMPUTED_VALUE"""),"LADANI MARGI KALPESHBHAI")</f>
        <v>LADANI MARGI KALPESHBHAI</v>
      </c>
      <c r="C405" s="18" t="str">
        <f ca="1">IFERROR(__xludf.DUMMYFUNCTION("""COMPUTED_VALUE"""),"SDS")</f>
        <v>SDS</v>
      </c>
      <c r="D405" s="18" t="str">
        <f ca="1">IFERROR(__xludf.DUMMYFUNCTION("""COMPUTED_VALUE"""),"DCE")</f>
        <v>DCE</v>
      </c>
      <c r="E405" s="25">
        <f ca="1">IFERROR(__xludf.DUMMYFUNCTION("""COMPUTED_VALUE"""),4)</f>
        <v>4</v>
      </c>
      <c r="F405" s="18" t="str">
        <f ca="1">IFERROR(__xludf.DUMMYFUNCTION("""COMPUTED_VALUE"""),"9979361164 9925333396")</f>
        <v>9979361164 9925333396</v>
      </c>
      <c r="G405" s="18" t="str">
        <f ca="1">IFERROR(__xludf.DUMMYFUNCTION("""COMPUTED_VALUE"""),"9979361164 9925333396")</f>
        <v>9979361164 9925333396</v>
      </c>
      <c r="H405" s="6" t="str">
        <f ca="1">IFERROR(__xludf.DUMMYFUNCTION("""COMPUTED_VALUE"""),"DCE_2022-25")</f>
        <v>DCE_2022-25</v>
      </c>
      <c r="I405" s="20" t="str">
        <f ca="1">IFERROR(__xludf.DUMMYFUNCTION("""COMPUTED_VALUE"""),"MYSY")</f>
        <v>MYSY</v>
      </c>
      <c r="J405" s="21">
        <f ca="1">IFERROR(__xludf.DUMMYFUNCTION("""COMPUTED_VALUE"""),25000)</f>
        <v>25000</v>
      </c>
      <c r="K405" s="21">
        <f ca="1">IFERROR(__xludf.DUMMYFUNCTION("""COMPUTED_VALUE"""),0)</f>
        <v>0</v>
      </c>
      <c r="L405" s="21">
        <f ca="1">IFERROR(__xludf.DUMMYFUNCTION("""COMPUTED_VALUE"""),0)</f>
        <v>0</v>
      </c>
      <c r="M405" s="23">
        <f ca="1">IFERROR(__xludf.DUMMYFUNCTION("""COMPUTED_VALUE"""),0)</f>
        <v>0</v>
      </c>
      <c r="N405" s="21">
        <f ca="1">IFERROR(__xludf.DUMMYFUNCTION("""COMPUTED_VALUE"""),25000)</f>
        <v>25000</v>
      </c>
      <c r="O405" s="21">
        <f ca="1">IFERROR(__xludf.DUMMYFUNCTION("""COMPUTED_VALUE"""),3000)</f>
        <v>3000</v>
      </c>
      <c r="P405" s="21">
        <f ca="1">IFERROR(__xludf.DUMMYFUNCTION("""COMPUTED_VALUE"""),3000)</f>
        <v>3000</v>
      </c>
      <c r="Q405" s="23">
        <f ca="1">IFERROR(__xludf.DUMMYFUNCTION("""COMPUTED_VALUE"""),0)</f>
        <v>0</v>
      </c>
      <c r="R405" s="24">
        <f ca="1">IFERROR(__xludf.DUMMYFUNCTION("""COMPUTED_VALUE"""),0)</f>
        <v>0</v>
      </c>
      <c r="S405" s="23">
        <f ca="1">IFERROR(__xludf.DUMMYFUNCTION("""COMPUTED_VALUE"""),0)</f>
        <v>0</v>
      </c>
      <c r="T405" s="24">
        <f ca="1">IFERROR(__xludf.DUMMYFUNCTION("""COMPUTED_VALUE"""),0)</f>
        <v>0</v>
      </c>
      <c r="U405" s="23">
        <f ca="1">IFERROR(__xludf.DUMMYFUNCTION("""COMPUTED_VALUE"""),0)</f>
        <v>0</v>
      </c>
      <c r="V405" s="23">
        <f ca="1">IFERROR(__xludf.DUMMYFUNCTION("""COMPUTED_VALUE"""),0)</f>
        <v>0</v>
      </c>
      <c r="W405" s="23">
        <f ca="1">IFERROR(__xludf.DUMMYFUNCTION("""COMPUTED_VALUE"""),0)</f>
        <v>0</v>
      </c>
      <c r="X405" s="23">
        <f ca="1">IFERROR(__xludf.DUMMYFUNCTION("""COMPUTED_VALUE"""),0)</f>
        <v>0</v>
      </c>
      <c r="Y405" s="25">
        <f ca="1">IFERROR(__xludf.DUMMYFUNCTION("""COMPUTED_VALUE"""),0)</f>
        <v>0</v>
      </c>
      <c r="Z405" s="25">
        <f ca="1">IFERROR(__xludf.DUMMYFUNCTION("""COMPUTED_VALUE"""),0)</f>
        <v>0</v>
      </c>
      <c r="AA405" s="25">
        <f ca="1">IFERROR(__xludf.DUMMYFUNCTION("""COMPUTED_VALUE"""),0)</f>
        <v>0</v>
      </c>
      <c r="AB405" s="25">
        <f ca="1">IFERROR(__xludf.DUMMYFUNCTION("""COMPUTED_VALUE"""),0)</f>
        <v>0</v>
      </c>
      <c r="AC405" s="23">
        <f ca="1">IFERROR(__xludf.DUMMYFUNCTION("""COMPUTED_VALUE"""),0)</f>
        <v>0</v>
      </c>
      <c r="AD405" s="26" t="str">
        <f ca="1">IFERROR(__xludf.DUMMYFUNCTION("""COMPUTED_VALUE"""),"KSPS(50%) + MYSY(50%) ")</f>
        <v xml:space="preserve">KSPS(50%) + MYSY(50%) </v>
      </c>
      <c r="AE405" s="27"/>
    </row>
    <row r="406" spans="1:31" ht="14.3">
      <c r="A406" s="18" t="str">
        <f ca="1">IFERROR(__xludf.DUMMYFUNCTION("""COMPUTED_VALUE"""),"22SDSCE01166")</f>
        <v>22SDSCE01166</v>
      </c>
      <c r="B406" s="19" t="str">
        <f ca="1">IFERROR(__xludf.DUMMYFUNCTION("""COMPUTED_VALUE"""),"SHRUTI LAKHANI")</f>
        <v>SHRUTI LAKHANI</v>
      </c>
      <c r="C406" s="18" t="str">
        <f ca="1">IFERROR(__xludf.DUMMYFUNCTION("""COMPUTED_VALUE"""),"SDS")</f>
        <v>SDS</v>
      </c>
      <c r="D406" s="18" t="str">
        <f ca="1">IFERROR(__xludf.DUMMYFUNCTION("""COMPUTED_VALUE"""),"DCE")</f>
        <v>DCE</v>
      </c>
      <c r="E406" s="25">
        <f ca="1">IFERROR(__xludf.DUMMYFUNCTION("""COMPUTED_VALUE"""),4)</f>
        <v>4</v>
      </c>
      <c r="F406" s="18" t="str">
        <f ca="1">IFERROR(__xludf.DUMMYFUNCTION("""COMPUTED_VALUE"""),"8799055115 9724289161")</f>
        <v>8799055115 9724289161</v>
      </c>
      <c r="G406" s="18" t="str">
        <f ca="1">IFERROR(__xludf.DUMMYFUNCTION("""COMPUTED_VALUE"""),"8799055115 9724289161")</f>
        <v>8799055115 9724289161</v>
      </c>
      <c r="H406" s="6" t="str">
        <f ca="1">IFERROR(__xludf.DUMMYFUNCTION("""COMPUTED_VALUE"""),"DCE_2022-25")</f>
        <v>DCE_2022-25</v>
      </c>
      <c r="I406" s="20"/>
      <c r="J406" s="21">
        <f ca="1">IFERROR(__xludf.DUMMYFUNCTION("""COMPUTED_VALUE"""),25000)</f>
        <v>25000</v>
      </c>
      <c r="K406" s="21">
        <f ca="1">IFERROR(__xludf.DUMMYFUNCTION("""COMPUTED_VALUE"""),25000)</f>
        <v>25000</v>
      </c>
      <c r="L406" s="21">
        <f ca="1">IFERROR(__xludf.DUMMYFUNCTION("""COMPUTED_VALUE"""),0)</f>
        <v>0</v>
      </c>
      <c r="M406" s="23">
        <f ca="1">IFERROR(__xludf.DUMMYFUNCTION("""COMPUTED_VALUE"""),0)</f>
        <v>0</v>
      </c>
      <c r="N406" s="21">
        <f ca="1">IFERROR(__xludf.DUMMYFUNCTION("""COMPUTED_VALUE"""),0)</f>
        <v>0</v>
      </c>
      <c r="O406" s="21">
        <f ca="1">IFERROR(__xludf.DUMMYFUNCTION("""COMPUTED_VALUE"""),3000)</f>
        <v>3000</v>
      </c>
      <c r="P406" s="21">
        <f ca="1">IFERROR(__xludf.DUMMYFUNCTION("""COMPUTED_VALUE"""),3000)</f>
        <v>3000</v>
      </c>
      <c r="Q406" s="23">
        <f ca="1">IFERROR(__xludf.DUMMYFUNCTION("""COMPUTED_VALUE"""),0)</f>
        <v>0</v>
      </c>
      <c r="R406" s="24">
        <f ca="1">IFERROR(__xludf.DUMMYFUNCTION("""COMPUTED_VALUE"""),0)</f>
        <v>0</v>
      </c>
      <c r="S406" s="23">
        <f ca="1">IFERROR(__xludf.DUMMYFUNCTION("""COMPUTED_VALUE"""),0)</f>
        <v>0</v>
      </c>
      <c r="T406" s="24">
        <f ca="1">IFERROR(__xludf.DUMMYFUNCTION("""COMPUTED_VALUE"""),0)</f>
        <v>0</v>
      </c>
      <c r="U406" s="23">
        <f ca="1">IFERROR(__xludf.DUMMYFUNCTION("""COMPUTED_VALUE"""),0)</f>
        <v>0</v>
      </c>
      <c r="V406" s="23">
        <f ca="1">IFERROR(__xludf.DUMMYFUNCTION("""COMPUTED_VALUE"""),0)</f>
        <v>0</v>
      </c>
      <c r="W406" s="23">
        <f ca="1">IFERROR(__xludf.DUMMYFUNCTION("""COMPUTED_VALUE"""),0)</f>
        <v>0</v>
      </c>
      <c r="X406" s="23">
        <f ca="1">IFERROR(__xludf.DUMMYFUNCTION("""COMPUTED_VALUE"""),0)</f>
        <v>0</v>
      </c>
      <c r="Y406" s="25">
        <f ca="1">IFERROR(__xludf.DUMMYFUNCTION("""COMPUTED_VALUE"""),0)</f>
        <v>0</v>
      </c>
      <c r="Z406" s="25">
        <f ca="1">IFERROR(__xludf.DUMMYFUNCTION("""COMPUTED_VALUE"""),0)</f>
        <v>0</v>
      </c>
      <c r="AA406" s="25">
        <f ca="1">IFERROR(__xludf.DUMMYFUNCTION("""COMPUTED_VALUE"""),0)</f>
        <v>0</v>
      </c>
      <c r="AB406" s="25">
        <f ca="1">IFERROR(__xludf.DUMMYFUNCTION("""COMPUTED_VALUE"""),0)</f>
        <v>0</v>
      </c>
      <c r="AC406" s="23">
        <f ca="1">IFERROR(__xludf.DUMMYFUNCTION("""COMPUTED_VALUE"""),0)</f>
        <v>0</v>
      </c>
      <c r="AD406" s="26"/>
      <c r="AE406" s="27"/>
    </row>
    <row r="407" spans="1:31" ht="14.3">
      <c r="A407" s="18" t="str">
        <f ca="1">IFERROR(__xludf.DUMMYFUNCTION("""COMPUTED_VALUE"""),"22SDSCE01167")</f>
        <v>22SDSCE01167</v>
      </c>
      <c r="B407" s="19" t="str">
        <f ca="1">IFERROR(__xludf.DUMMYFUNCTION("""COMPUTED_VALUE"""),"LIMBAD DHRUVAL BAKULBHAI")</f>
        <v>LIMBAD DHRUVAL BAKULBHAI</v>
      </c>
      <c r="C407" s="18" t="str">
        <f ca="1">IFERROR(__xludf.DUMMYFUNCTION("""COMPUTED_VALUE"""),"SDS")</f>
        <v>SDS</v>
      </c>
      <c r="D407" s="18" t="str">
        <f ca="1">IFERROR(__xludf.DUMMYFUNCTION("""COMPUTED_VALUE"""),"DCE")</f>
        <v>DCE</v>
      </c>
      <c r="E407" s="25">
        <f ca="1">IFERROR(__xludf.DUMMYFUNCTION("""COMPUTED_VALUE"""),4)</f>
        <v>4</v>
      </c>
      <c r="F407" s="18" t="str">
        <f ca="1">IFERROR(__xludf.DUMMYFUNCTION("""COMPUTED_VALUE"""),"8155042249 9327040661")</f>
        <v>8155042249 9327040661</v>
      </c>
      <c r="G407" s="18" t="str">
        <f ca="1">IFERROR(__xludf.DUMMYFUNCTION("""COMPUTED_VALUE"""),"8155042249 9327040661")</f>
        <v>8155042249 9327040661</v>
      </c>
      <c r="H407" s="6" t="str">
        <f ca="1">IFERROR(__xludf.DUMMYFUNCTION("""COMPUTED_VALUE"""),"DCE_2022-25")</f>
        <v>DCE_2022-25</v>
      </c>
      <c r="I407" s="20"/>
      <c r="J407" s="21">
        <f ca="1">IFERROR(__xludf.DUMMYFUNCTION("""COMPUTED_VALUE"""),25000)</f>
        <v>25000</v>
      </c>
      <c r="K407" s="21">
        <f ca="1">IFERROR(__xludf.DUMMYFUNCTION("""COMPUTED_VALUE"""),25000)</f>
        <v>25000</v>
      </c>
      <c r="L407" s="21">
        <f ca="1">IFERROR(__xludf.DUMMYFUNCTION("""COMPUTED_VALUE"""),0)</f>
        <v>0</v>
      </c>
      <c r="M407" s="23">
        <f ca="1">IFERROR(__xludf.DUMMYFUNCTION("""COMPUTED_VALUE"""),0)</f>
        <v>0</v>
      </c>
      <c r="N407" s="21">
        <f ca="1">IFERROR(__xludf.DUMMYFUNCTION("""COMPUTED_VALUE"""),0)</f>
        <v>0</v>
      </c>
      <c r="O407" s="21">
        <f ca="1">IFERROR(__xludf.DUMMYFUNCTION("""COMPUTED_VALUE"""),3000)</f>
        <v>3000</v>
      </c>
      <c r="P407" s="21">
        <f ca="1">IFERROR(__xludf.DUMMYFUNCTION("""COMPUTED_VALUE"""),3000)</f>
        <v>3000</v>
      </c>
      <c r="Q407" s="23">
        <f ca="1">IFERROR(__xludf.DUMMYFUNCTION("""COMPUTED_VALUE"""),0)</f>
        <v>0</v>
      </c>
      <c r="R407" s="24">
        <f ca="1">IFERROR(__xludf.DUMMYFUNCTION("""COMPUTED_VALUE"""),0)</f>
        <v>0</v>
      </c>
      <c r="S407" s="23">
        <f ca="1">IFERROR(__xludf.DUMMYFUNCTION("""COMPUTED_VALUE"""),0)</f>
        <v>0</v>
      </c>
      <c r="T407" s="24">
        <f ca="1">IFERROR(__xludf.DUMMYFUNCTION("""COMPUTED_VALUE"""),0)</f>
        <v>0</v>
      </c>
      <c r="U407" s="23">
        <f ca="1">IFERROR(__xludf.DUMMYFUNCTION("""COMPUTED_VALUE"""),0)</f>
        <v>0</v>
      </c>
      <c r="V407" s="23">
        <f ca="1">IFERROR(__xludf.DUMMYFUNCTION("""COMPUTED_VALUE"""),0)</f>
        <v>0</v>
      </c>
      <c r="W407" s="23">
        <f ca="1">IFERROR(__xludf.DUMMYFUNCTION("""COMPUTED_VALUE"""),0)</f>
        <v>0</v>
      </c>
      <c r="X407" s="23">
        <f ca="1">IFERROR(__xludf.DUMMYFUNCTION("""COMPUTED_VALUE"""),0)</f>
        <v>0</v>
      </c>
      <c r="Y407" s="25">
        <f ca="1">IFERROR(__xludf.DUMMYFUNCTION("""COMPUTED_VALUE"""),0)</f>
        <v>0</v>
      </c>
      <c r="Z407" s="25">
        <f ca="1">IFERROR(__xludf.DUMMYFUNCTION("""COMPUTED_VALUE"""),0)</f>
        <v>0</v>
      </c>
      <c r="AA407" s="25">
        <f ca="1">IFERROR(__xludf.DUMMYFUNCTION("""COMPUTED_VALUE"""),0)</f>
        <v>0</v>
      </c>
      <c r="AB407" s="25">
        <f ca="1">IFERROR(__xludf.DUMMYFUNCTION("""COMPUTED_VALUE"""),0)</f>
        <v>0</v>
      </c>
      <c r="AC407" s="23">
        <f ca="1">IFERROR(__xludf.DUMMYFUNCTION("""COMPUTED_VALUE"""),0)</f>
        <v>0</v>
      </c>
      <c r="AD407" s="26"/>
      <c r="AE407" s="27"/>
    </row>
    <row r="408" spans="1:31" ht="28.55">
      <c r="A408" s="18" t="str">
        <f ca="1">IFERROR(__xludf.DUMMYFUNCTION("""COMPUTED_VALUE"""),"22SDSCE01168")</f>
        <v>22SDSCE01168</v>
      </c>
      <c r="B408" s="19" t="str">
        <f ca="1">IFERROR(__xludf.DUMMYFUNCTION("""COMPUTED_VALUE"""),"MAKVANA HIREN DINESHBHAI")</f>
        <v>MAKVANA HIREN DINESHBHAI</v>
      </c>
      <c r="C408" s="18" t="str">
        <f ca="1">IFERROR(__xludf.DUMMYFUNCTION("""COMPUTED_VALUE"""),"SDS")</f>
        <v>SDS</v>
      </c>
      <c r="D408" s="18" t="str">
        <f ca="1">IFERROR(__xludf.DUMMYFUNCTION("""COMPUTED_VALUE"""),"DCE")</f>
        <v>DCE</v>
      </c>
      <c r="E408" s="25">
        <f ca="1">IFERROR(__xludf.DUMMYFUNCTION("""COMPUTED_VALUE"""),4)</f>
        <v>4</v>
      </c>
      <c r="F408" s="18" t="str">
        <f ca="1">IFERROR(__xludf.DUMMYFUNCTION("""COMPUTED_VALUE"""),"7567396721 9974712237")</f>
        <v>7567396721 9974712237</v>
      </c>
      <c r="G408" s="18" t="str">
        <f ca="1">IFERROR(__xludf.DUMMYFUNCTION("""COMPUTED_VALUE"""),"7567396721 9974712237")</f>
        <v>7567396721 9974712237</v>
      </c>
      <c r="H408" s="6" t="str">
        <f ca="1">IFERROR(__xludf.DUMMYFUNCTION("""COMPUTED_VALUE"""),"DCE_2022-25")</f>
        <v>DCE_2022-25</v>
      </c>
      <c r="I408" s="20" t="str">
        <f ca="1">IFERROR(__xludf.DUMMYFUNCTION("""COMPUTED_VALUE"""),"FREESHIP CARD")</f>
        <v>FREESHIP CARD</v>
      </c>
      <c r="J408" s="21">
        <f ca="1">IFERROR(__xludf.DUMMYFUNCTION("""COMPUTED_VALUE"""),25000)</f>
        <v>25000</v>
      </c>
      <c r="K408" s="21">
        <f ca="1">IFERROR(__xludf.DUMMYFUNCTION("""COMPUTED_VALUE"""),0)</f>
        <v>0</v>
      </c>
      <c r="L408" s="21">
        <f ca="1">IFERROR(__xludf.DUMMYFUNCTION("""COMPUTED_VALUE"""),0)</f>
        <v>0</v>
      </c>
      <c r="M408" s="23">
        <f ca="1">IFERROR(__xludf.DUMMYFUNCTION("""COMPUTED_VALUE"""),0)</f>
        <v>0</v>
      </c>
      <c r="N408" s="21">
        <f ca="1">IFERROR(__xludf.DUMMYFUNCTION("""COMPUTED_VALUE"""),25000)</f>
        <v>25000</v>
      </c>
      <c r="O408" s="21">
        <f ca="1">IFERROR(__xludf.DUMMYFUNCTION("""COMPUTED_VALUE"""),3000)</f>
        <v>3000</v>
      </c>
      <c r="P408" s="21">
        <f ca="1">IFERROR(__xludf.DUMMYFUNCTION("""COMPUTED_VALUE"""),3000)</f>
        <v>3000</v>
      </c>
      <c r="Q408" s="23">
        <f ca="1">IFERROR(__xludf.DUMMYFUNCTION("""COMPUTED_VALUE"""),0)</f>
        <v>0</v>
      </c>
      <c r="R408" s="24">
        <f ca="1">IFERROR(__xludf.DUMMYFUNCTION("""COMPUTED_VALUE"""),0)</f>
        <v>0</v>
      </c>
      <c r="S408" s="23">
        <f ca="1">IFERROR(__xludf.DUMMYFUNCTION("""COMPUTED_VALUE"""),0)</f>
        <v>0</v>
      </c>
      <c r="T408" s="24">
        <f ca="1">IFERROR(__xludf.DUMMYFUNCTION("""COMPUTED_VALUE"""),0)</f>
        <v>0</v>
      </c>
      <c r="U408" s="23">
        <f ca="1">IFERROR(__xludf.DUMMYFUNCTION("""COMPUTED_VALUE"""),0)</f>
        <v>0</v>
      </c>
      <c r="V408" s="23">
        <f ca="1">IFERROR(__xludf.DUMMYFUNCTION("""COMPUTED_VALUE"""),0)</f>
        <v>0</v>
      </c>
      <c r="W408" s="23">
        <f ca="1">IFERROR(__xludf.DUMMYFUNCTION("""COMPUTED_VALUE"""),0)</f>
        <v>0</v>
      </c>
      <c r="X408" s="23">
        <f ca="1">IFERROR(__xludf.DUMMYFUNCTION("""COMPUTED_VALUE"""),0)</f>
        <v>0</v>
      </c>
      <c r="Y408" s="25">
        <f ca="1">IFERROR(__xludf.DUMMYFUNCTION("""COMPUTED_VALUE"""),0)</f>
        <v>0</v>
      </c>
      <c r="Z408" s="25">
        <f ca="1">IFERROR(__xludf.DUMMYFUNCTION("""COMPUTED_VALUE"""),0)</f>
        <v>0</v>
      </c>
      <c r="AA408" s="25">
        <f ca="1">IFERROR(__xludf.DUMMYFUNCTION("""COMPUTED_VALUE"""),0)</f>
        <v>0</v>
      </c>
      <c r="AB408" s="25">
        <f ca="1">IFERROR(__xludf.DUMMYFUNCTION("""COMPUTED_VALUE"""),0)</f>
        <v>0</v>
      </c>
      <c r="AC408" s="23">
        <f ca="1">IFERROR(__xludf.DUMMYFUNCTION("""COMPUTED_VALUE"""),0)</f>
        <v>0</v>
      </c>
      <c r="AD408" s="26" t="str">
        <f ca="1">IFERROR(__xludf.DUMMYFUNCTION("""COMPUTED_VALUE"""),"FREESHIPCARD STUDENT")</f>
        <v>FREESHIPCARD STUDENT</v>
      </c>
      <c r="AE408" s="27"/>
    </row>
    <row r="409" spans="1:31" ht="14.3">
      <c r="A409" s="18" t="str">
        <f ca="1">IFERROR(__xludf.DUMMYFUNCTION("""COMPUTED_VALUE"""),"22SDSCE01169")</f>
        <v>22SDSCE01169</v>
      </c>
      <c r="B409" s="19" t="str">
        <f ca="1">IFERROR(__xludf.DUMMYFUNCTION("""COMPUTED_VALUE"""),"MEET MAKWANA")</f>
        <v>MEET MAKWANA</v>
      </c>
      <c r="C409" s="18" t="str">
        <f ca="1">IFERROR(__xludf.DUMMYFUNCTION("""COMPUTED_VALUE"""),"SDS")</f>
        <v>SDS</v>
      </c>
      <c r="D409" s="18" t="str">
        <f ca="1">IFERROR(__xludf.DUMMYFUNCTION("""COMPUTED_VALUE"""),"DCE")</f>
        <v>DCE</v>
      </c>
      <c r="E409" s="25">
        <f ca="1">IFERROR(__xludf.DUMMYFUNCTION("""COMPUTED_VALUE"""),4)</f>
        <v>4</v>
      </c>
      <c r="F409" s="18" t="str">
        <f ca="1">IFERROR(__xludf.DUMMYFUNCTION("""COMPUTED_VALUE"""),"9924076967
9925076967")</f>
        <v>9924076967
9925076967</v>
      </c>
      <c r="G409" s="18" t="str">
        <f ca="1">IFERROR(__xludf.DUMMYFUNCTION("""COMPUTED_VALUE"""),"9924076967
9925076967")</f>
        <v>9924076967
9925076967</v>
      </c>
      <c r="H409" s="6" t="str">
        <f ca="1">IFERROR(__xludf.DUMMYFUNCTION("""COMPUTED_VALUE"""),"DCE_2022-25")</f>
        <v>DCE_2022-25</v>
      </c>
      <c r="I409" s="20"/>
      <c r="J409" s="21">
        <f ca="1">IFERROR(__xludf.DUMMYFUNCTION("""COMPUTED_VALUE"""),25000)</f>
        <v>25000</v>
      </c>
      <c r="K409" s="21">
        <f ca="1">IFERROR(__xludf.DUMMYFUNCTION("""COMPUTED_VALUE"""),25000)</f>
        <v>25000</v>
      </c>
      <c r="L409" s="21">
        <f ca="1">IFERROR(__xludf.DUMMYFUNCTION("""COMPUTED_VALUE"""),0)</f>
        <v>0</v>
      </c>
      <c r="M409" s="23">
        <f ca="1">IFERROR(__xludf.DUMMYFUNCTION("""COMPUTED_VALUE"""),0)</f>
        <v>0</v>
      </c>
      <c r="N409" s="21">
        <f ca="1">IFERROR(__xludf.DUMMYFUNCTION("""COMPUTED_VALUE"""),0)</f>
        <v>0</v>
      </c>
      <c r="O409" s="21">
        <f ca="1">IFERROR(__xludf.DUMMYFUNCTION("""COMPUTED_VALUE"""),3000)</f>
        <v>3000</v>
      </c>
      <c r="P409" s="21">
        <f ca="1">IFERROR(__xludf.DUMMYFUNCTION("""COMPUTED_VALUE"""),3000)</f>
        <v>3000</v>
      </c>
      <c r="Q409" s="23">
        <f ca="1">IFERROR(__xludf.DUMMYFUNCTION("""COMPUTED_VALUE"""),0)</f>
        <v>0</v>
      </c>
      <c r="R409" s="24">
        <f ca="1">IFERROR(__xludf.DUMMYFUNCTION("""COMPUTED_VALUE"""),0)</f>
        <v>0</v>
      </c>
      <c r="S409" s="23">
        <f ca="1">IFERROR(__xludf.DUMMYFUNCTION("""COMPUTED_VALUE"""),0)</f>
        <v>0</v>
      </c>
      <c r="T409" s="24">
        <f ca="1">IFERROR(__xludf.DUMMYFUNCTION("""COMPUTED_VALUE"""),0)</f>
        <v>0</v>
      </c>
      <c r="U409" s="23">
        <f ca="1">IFERROR(__xludf.DUMMYFUNCTION("""COMPUTED_VALUE"""),0)</f>
        <v>0</v>
      </c>
      <c r="V409" s="23">
        <f ca="1">IFERROR(__xludf.DUMMYFUNCTION("""COMPUTED_VALUE"""),0)</f>
        <v>0</v>
      </c>
      <c r="W409" s="23">
        <f ca="1">IFERROR(__xludf.DUMMYFUNCTION("""COMPUTED_VALUE"""),0)</f>
        <v>0</v>
      </c>
      <c r="X409" s="23">
        <f ca="1">IFERROR(__xludf.DUMMYFUNCTION("""COMPUTED_VALUE"""),0)</f>
        <v>0</v>
      </c>
      <c r="Y409" s="25">
        <f ca="1">IFERROR(__xludf.DUMMYFUNCTION("""COMPUTED_VALUE"""),0)</f>
        <v>0</v>
      </c>
      <c r="Z409" s="25">
        <f ca="1">IFERROR(__xludf.DUMMYFUNCTION("""COMPUTED_VALUE"""),0)</f>
        <v>0</v>
      </c>
      <c r="AA409" s="25">
        <f ca="1">IFERROR(__xludf.DUMMYFUNCTION("""COMPUTED_VALUE"""),0)</f>
        <v>0</v>
      </c>
      <c r="AB409" s="25">
        <f ca="1">IFERROR(__xludf.DUMMYFUNCTION("""COMPUTED_VALUE"""),0)</f>
        <v>0</v>
      </c>
      <c r="AC409" s="23">
        <f ca="1">IFERROR(__xludf.DUMMYFUNCTION("""COMPUTED_VALUE"""),0)</f>
        <v>0</v>
      </c>
      <c r="AD409" s="26"/>
      <c r="AE409" s="27"/>
    </row>
    <row r="410" spans="1:31" ht="28.55">
      <c r="A410" s="18" t="str">
        <f ca="1">IFERROR(__xludf.DUMMYFUNCTION("""COMPUTED_VALUE"""),"22SDSCE01170")</f>
        <v>22SDSCE01170</v>
      </c>
      <c r="B410" s="19" t="str">
        <f ca="1">IFERROR(__xludf.DUMMYFUNCTION("""COMPUTED_VALUE"""),"MAKWANA VIVEK MADHUBHAI")</f>
        <v>MAKWANA VIVEK MADHUBHAI</v>
      </c>
      <c r="C410" s="18" t="str">
        <f ca="1">IFERROR(__xludf.DUMMYFUNCTION("""COMPUTED_VALUE"""),"SDS")</f>
        <v>SDS</v>
      </c>
      <c r="D410" s="18" t="str">
        <f ca="1">IFERROR(__xludf.DUMMYFUNCTION("""COMPUTED_VALUE"""),"DCE")</f>
        <v>DCE</v>
      </c>
      <c r="E410" s="25">
        <f ca="1">IFERROR(__xludf.DUMMYFUNCTION("""COMPUTED_VALUE"""),4)</f>
        <v>4</v>
      </c>
      <c r="F410" s="18" t="str">
        <f ca="1">IFERROR(__xludf.DUMMYFUNCTION("""COMPUTED_VALUE"""),"6354503517 9265423552")</f>
        <v>6354503517 9265423552</v>
      </c>
      <c r="G410" s="18" t="str">
        <f ca="1">IFERROR(__xludf.DUMMYFUNCTION("""COMPUTED_VALUE"""),"6354503517 9265423552")</f>
        <v>6354503517 9265423552</v>
      </c>
      <c r="H410" s="6" t="str">
        <f ca="1">IFERROR(__xludf.DUMMYFUNCTION("""COMPUTED_VALUE"""),"DCE_2022-25")</f>
        <v>DCE_2022-25</v>
      </c>
      <c r="I410" s="20" t="str">
        <f ca="1">IFERROR(__xludf.DUMMYFUNCTION("""COMPUTED_VALUE"""),"FREESHIP CARD")</f>
        <v>FREESHIP CARD</v>
      </c>
      <c r="J410" s="21">
        <f ca="1">IFERROR(__xludf.DUMMYFUNCTION("""COMPUTED_VALUE"""),25000)</f>
        <v>25000</v>
      </c>
      <c r="K410" s="21">
        <f ca="1">IFERROR(__xludf.DUMMYFUNCTION("""COMPUTED_VALUE"""),0)</f>
        <v>0</v>
      </c>
      <c r="L410" s="21">
        <f ca="1">IFERROR(__xludf.DUMMYFUNCTION("""COMPUTED_VALUE"""),0)</f>
        <v>0</v>
      </c>
      <c r="M410" s="23">
        <f ca="1">IFERROR(__xludf.DUMMYFUNCTION("""COMPUTED_VALUE"""),0)</f>
        <v>0</v>
      </c>
      <c r="N410" s="21">
        <f ca="1">IFERROR(__xludf.DUMMYFUNCTION("""COMPUTED_VALUE"""),25000)</f>
        <v>25000</v>
      </c>
      <c r="O410" s="21">
        <f ca="1">IFERROR(__xludf.DUMMYFUNCTION("""COMPUTED_VALUE"""),3000)</f>
        <v>3000</v>
      </c>
      <c r="P410" s="21">
        <f ca="1">IFERROR(__xludf.DUMMYFUNCTION("""COMPUTED_VALUE"""),3000)</f>
        <v>3000</v>
      </c>
      <c r="Q410" s="23">
        <f ca="1">IFERROR(__xludf.DUMMYFUNCTION("""COMPUTED_VALUE"""),0)</f>
        <v>0</v>
      </c>
      <c r="R410" s="24">
        <f ca="1">IFERROR(__xludf.DUMMYFUNCTION("""COMPUTED_VALUE"""),0)</f>
        <v>0</v>
      </c>
      <c r="S410" s="23">
        <f ca="1">IFERROR(__xludf.DUMMYFUNCTION("""COMPUTED_VALUE"""),0)</f>
        <v>0</v>
      </c>
      <c r="T410" s="24">
        <f ca="1">IFERROR(__xludf.DUMMYFUNCTION("""COMPUTED_VALUE"""),0)</f>
        <v>0</v>
      </c>
      <c r="U410" s="23">
        <f ca="1">IFERROR(__xludf.DUMMYFUNCTION("""COMPUTED_VALUE"""),0)</f>
        <v>0</v>
      </c>
      <c r="V410" s="23">
        <f ca="1">IFERROR(__xludf.DUMMYFUNCTION("""COMPUTED_VALUE"""),0)</f>
        <v>0</v>
      </c>
      <c r="W410" s="23">
        <f ca="1">IFERROR(__xludf.DUMMYFUNCTION("""COMPUTED_VALUE"""),0)</f>
        <v>0</v>
      </c>
      <c r="X410" s="23">
        <f ca="1">IFERROR(__xludf.DUMMYFUNCTION("""COMPUTED_VALUE"""),0)</f>
        <v>0</v>
      </c>
      <c r="Y410" s="25">
        <f ca="1">IFERROR(__xludf.DUMMYFUNCTION("""COMPUTED_VALUE"""),0)</f>
        <v>0</v>
      </c>
      <c r="Z410" s="25">
        <f ca="1">IFERROR(__xludf.DUMMYFUNCTION("""COMPUTED_VALUE"""),0)</f>
        <v>0</v>
      </c>
      <c r="AA410" s="25">
        <f ca="1">IFERROR(__xludf.DUMMYFUNCTION("""COMPUTED_VALUE"""),0)</f>
        <v>0</v>
      </c>
      <c r="AB410" s="25">
        <f ca="1">IFERROR(__xludf.DUMMYFUNCTION("""COMPUTED_VALUE"""),0)</f>
        <v>0</v>
      </c>
      <c r="AC410" s="23">
        <f ca="1">IFERROR(__xludf.DUMMYFUNCTION("""COMPUTED_VALUE"""),0)</f>
        <v>0</v>
      </c>
      <c r="AD410" s="26" t="str">
        <f ca="1">IFERROR(__xludf.DUMMYFUNCTION("""COMPUTED_VALUE"""),"FREESHIPCARD STUDENT")</f>
        <v>FREESHIPCARD STUDENT</v>
      </c>
      <c r="AE410" s="27"/>
    </row>
    <row r="411" spans="1:31" ht="14.3">
      <c r="A411" s="18" t="str">
        <f ca="1">IFERROR(__xludf.DUMMYFUNCTION("""COMPUTED_VALUE"""),"22SDSCE01171")</f>
        <v>22SDSCE01171</v>
      </c>
      <c r="B411" s="19" t="str">
        <f ca="1">IFERROR(__xludf.DUMMYFUNCTION("""COMPUTED_VALUE"""),"MARVANIYA MUKESH VASANTBHAI")</f>
        <v>MARVANIYA MUKESH VASANTBHAI</v>
      </c>
      <c r="C411" s="18" t="str">
        <f ca="1">IFERROR(__xludf.DUMMYFUNCTION("""COMPUTED_VALUE"""),"SDS")</f>
        <v>SDS</v>
      </c>
      <c r="D411" s="18" t="str">
        <f ca="1">IFERROR(__xludf.DUMMYFUNCTION("""COMPUTED_VALUE"""),"DCE")</f>
        <v>DCE</v>
      </c>
      <c r="E411" s="25">
        <f ca="1">IFERROR(__xludf.DUMMYFUNCTION("""COMPUTED_VALUE"""),4)</f>
        <v>4</v>
      </c>
      <c r="F411" s="18" t="str">
        <f ca="1">IFERROR(__xludf.DUMMYFUNCTION("""COMPUTED_VALUE"""),"8128706795 9925794795")</f>
        <v>8128706795 9925794795</v>
      </c>
      <c r="G411" s="18" t="str">
        <f ca="1">IFERROR(__xludf.DUMMYFUNCTION("""COMPUTED_VALUE"""),"8128706795 9925794795")</f>
        <v>8128706795 9925794795</v>
      </c>
      <c r="H411" s="6" t="str">
        <f ca="1">IFERROR(__xludf.DUMMYFUNCTION("""COMPUTED_VALUE"""),"DCE_2022-25")</f>
        <v>DCE_2022-25</v>
      </c>
      <c r="I411" s="20" t="str">
        <f ca="1">IFERROR(__xludf.DUMMYFUNCTION("""COMPUTED_VALUE"""),"MYSY")</f>
        <v>MYSY</v>
      </c>
      <c r="J411" s="21">
        <f ca="1">IFERROR(__xludf.DUMMYFUNCTION("""COMPUTED_VALUE"""),25000)</f>
        <v>25000</v>
      </c>
      <c r="K411" s="21">
        <f ca="1">IFERROR(__xludf.DUMMYFUNCTION("""COMPUTED_VALUE"""),0)</f>
        <v>0</v>
      </c>
      <c r="L411" s="21">
        <f ca="1">IFERROR(__xludf.DUMMYFUNCTION("""COMPUTED_VALUE"""),0)</f>
        <v>0</v>
      </c>
      <c r="M411" s="23">
        <f ca="1">IFERROR(__xludf.DUMMYFUNCTION("""COMPUTED_VALUE"""),0)</f>
        <v>0</v>
      </c>
      <c r="N411" s="21">
        <f ca="1">IFERROR(__xludf.DUMMYFUNCTION("""COMPUTED_VALUE"""),25000)</f>
        <v>25000</v>
      </c>
      <c r="O411" s="21">
        <f ca="1">IFERROR(__xludf.DUMMYFUNCTION("""COMPUTED_VALUE"""),3000)</f>
        <v>3000</v>
      </c>
      <c r="P411" s="21">
        <f ca="1">IFERROR(__xludf.DUMMYFUNCTION("""COMPUTED_VALUE"""),0)</f>
        <v>0</v>
      </c>
      <c r="Q411" s="23">
        <f ca="1">IFERROR(__xludf.DUMMYFUNCTION("""COMPUTED_VALUE"""),0)</f>
        <v>0</v>
      </c>
      <c r="R411" s="24">
        <f ca="1">IFERROR(__xludf.DUMMYFUNCTION("""COMPUTED_VALUE"""),0)</f>
        <v>0</v>
      </c>
      <c r="S411" s="23">
        <f ca="1">IFERROR(__xludf.DUMMYFUNCTION("""COMPUTED_VALUE"""),3000)</f>
        <v>3000</v>
      </c>
      <c r="T411" s="24">
        <f ca="1">IFERROR(__xludf.DUMMYFUNCTION("""COMPUTED_VALUE"""),0)</f>
        <v>0</v>
      </c>
      <c r="U411" s="23">
        <f ca="1">IFERROR(__xludf.DUMMYFUNCTION("""COMPUTED_VALUE"""),0)</f>
        <v>0</v>
      </c>
      <c r="V411" s="23">
        <f ca="1">IFERROR(__xludf.DUMMYFUNCTION("""COMPUTED_VALUE"""),0)</f>
        <v>0</v>
      </c>
      <c r="W411" s="23">
        <f ca="1">IFERROR(__xludf.DUMMYFUNCTION("""COMPUTED_VALUE"""),0)</f>
        <v>0</v>
      </c>
      <c r="X411" s="23">
        <f ca="1">IFERROR(__xludf.DUMMYFUNCTION("""COMPUTED_VALUE"""),0)</f>
        <v>0</v>
      </c>
      <c r="Y411" s="25">
        <f ca="1">IFERROR(__xludf.DUMMYFUNCTION("""COMPUTED_VALUE"""),0)</f>
        <v>0</v>
      </c>
      <c r="Z411" s="25">
        <f ca="1">IFERROR(__xludf.DUMMYFUNCTION("""COMPUTED_VALUE"""),0)</f>
        <v>0</v>
      </c>
      <c r="AA411" s="25">
        <f ca="1">IFERROR(__xludf.DUMMYFUNCTION("""COMPUTED_VALUE"""),0)</f>
        <v>0</v>
      </c>
      <c r="AB411" s="25">
        <f ca="1">IFERROR(__xludf.DUMMYFUNCTION("""COMPUTED_VALUE"""),0)</f>
        <v>0</v>
      </c>
      <c r="AC411" s="23">
        <f ca="1">IFERROR(__xludf.DUMMYFUNCTION("""COMPUTED_VALUE"""),0)</f>
        <v>0</v>
      </c>
      <c r="AD411" s="26" t="str">
        <f ca="1">IFERROR(__xludf.DUMMYFUNCTION("""COMPUTED_VALUE"""),"KSPS(25%) + MYSY(50%)")</f>
        <v>KSPS(25%) + MYSY(50%)</v>
      </c>
      <c r="AE411" s="27"/>
    </row>
    <row r="412" spans="1:31" ht="14.3">
      <c r="A412" s="18" t="str">
        <f ca="1">IFERROR(__xludf.DUMMYFUNCTION("""COMPUTED_VALUE"""),"22SDSCE01172")</f>
        <v>22SDSCE01172</v>
      </c>
      <c r="B412" s="19" t="str">
        <f ca="1">IFERROR(__xludf.DUMMYFUNCTION("""COMPUTED_VALUE"""),"JITKUMAR ARVINDBHAI MAVANI")</f>
        <v>JITKUMAR ARVINDBHAI MAVANI</v>
      </c>
      <c r="C412" s="18" t="str">
        <f ca="1">IFERROR(__xludf.DUMMYFUNCTION("""COMPUTED_VALUE"""),"SDS")</f>
        <v>SDS</v>
      </c>
      <c r="D412" s="18" t="str">
        <f ca="1">IFERROR(__xludf.DUMMYFUNCTION("""COMPUTED_VALUE"""),"DCE")</f>
        <v>DCE</v>
      </c>
      <c r="E412" s="25">
        <f ca="1">IFERROR(__xludf.DUMMYFUNCTION("""COMPUTED_VALUE"""),4)</f>
        <v>4</v>
      </c>
      <c r="F412" s="18" t="str">
        <f ca="1">IFERROR(__xludf.DUMMYFUNCTION("""COMPUTED_VALUE"""),"8780489577 9825543181")</f>
        <v>8780489577 9825543181</v>
      </c>
      <c r="G412" s="18" t="str">
        <f ca="1">IFERROR(__xludf.DUMMYFUNCTION("""COMPUTED_VALUE"""),"8780489577 9825543181")</f>
        <v>8780489577 9825543181</v>
      </c>
      <c r="H412" s="6" t="str">
        <f ca="1">IFERROR(__xludf.DUMMYFUNCTION("""COMPUTED_VALUE"""),"DCE_2022-25")</f>
        <v>DCE_2022-25</v>
      </c>
      <c r="I412" s="20"/>
      <c r="J412" s="21">
        <f ca="1">IFERROR(__xludf.DUMMYFUNCTION("""COMPUTED_VALUE"""),25000)</f>
        <v>25000</v>
      </c>
      <c r="K412" s="21">
        <f ca="1">IFERROR(__xludf.DUMMYFUNCTION("""COMPUTED_VALUE"""),25000)</f>
        <v>25000</v>
      </c>
      <c r="L412" s="21">
        <f ca="1">IFERROR(__xludf.DUMMYFUNCTION("""COMPUTED_VALUE"""),0)</f>
        <v>0</v>
      </c>
      <c r="M412" s="23">
        <f ca="1">IFERROR(__xludf.DUMMYFUNCTION("""COMPUTED_VALUE"""),0)</f>
        <v>0</v>
      </c>
      <c r="N412" s="21">
        <f ca="1">IFERROR(__xludf.DUMMYFUNCTION("""COMPUTED_VALUE"""),0)</f>
        <v>0</v>
      </c>
      <c r="O412" s="21">
        <f ca="1">IFERROR(__xludf.DUMMYFUNCTION("""COMPUTED_VALUE"""),3000)</f>
        <v>3000</v>
      </c>
      <c r="P412" s="21">
        <f ca="1">IFERROR(__xludf.DUMMYFUNCTION("""COMPUTED_VALUE"""),3000)</f>
        <v>3000</v>
      </c>
      <c r="Q412" s="23">
        <f ca="1">IFERROR(__xludf.DUMMYFUNCTION("""COMPUTED_VALUE"""),0)</f>
        <v>0</v>
      </c>
      <c r="R412" s="24">
        <f ca="1">IFERROR(__xludf.DUMMYFUNCTION("""COMPUTED_VALUE"""),0)</f>
        <v>0</v>
      </c>
      <c r="S412" s="23">
        <f ca="1">IFERROR(__xludf.DUMMYFUNCTION("""COMPUTED_VALUE"""),0)</f>
        <v>0</v>
      </c>
      <c r="T412" s="24">
        <f ca="1">IFERROR(__xludf.DUMMYFUNCTION("""COMPUTED_VALUE"""),0)</f>
        <v>0</v>
      </c>
      <c r="U412" s="23">
        <f ca="1">IFERROR(__xludf.DUMMYFUNCTION("""COMPUTED_VALUE"""),0)</f>
        <v>0</v>
      </c>
      <c r="V412" s="23">
        <f ca="1">IFERROR(__xludf.DUMMYFUNCTION("""COMPUTED_VALUE"""),0)</f>
        <v>0</v>
      </c>
      <c r="W412" s="23">
        <f ca="1">IFERROR(__xludf.DUMMYFUNCTION("""COMPUTED_VALUE"""),0)</f>
        <v>0</v>
      </c>
      <c r="X412" s="23">
        <f ca="1">IFERROR(__xludf.DUMMYFUNCTION("""COMPUTED_VALUE"""),0)</f>
        <v>0</v>
      </c>
      <c r="Y412" s="25">
        <f ca="1">IFERROR(__xludf.DUMMYFUNCTION("""COMPUTED_VALUE"""),0)</f>
        <v>0</v>
      </c>
      <c r="Z412" s="25">
        <f ca="1">IFERROR(__xludf.DUMMYFUNCTION("""COMPUTED_VALUE"""),0)</f>
        <v>0</v>
      </c>
      <c r="AA412" s="25">
        <f ca="1">IFERROR(__xludf.DUMMYFUNCTION("""COMPUTED_VALUE"""),0)</f>
        <v>0</v>
      </c>
      <c r="AB412" s="25">
        <f ca="1">IFERROR(__xludf.DUMMYFUNCTION("""COMPUTED_VALUE"""),0)</f>
        <v>0</v>
      </c>
      <c r="AC412" s="23">
        <f ca="1">IFERROR(__xludf.DUMMYFUNCTION("""COMPUTED_VALUE"""),0)</f>
        <v>0</v>
      </c>
      <c r="AD412" s="26"/>
      <c r="AE412" s="27"/>
    </row>
    <row r="413" spans="1:31" ht="14.3">
      <c r="A413" s="18" t="str">
        <f ca="1">IFERROR(__xludf.DUMMYFUNCTION("""COMPUTED_VALUE"""),"22SDSCE01173")</f>
        <v>22SDSCE01173</v>
      </c>
      <c r="B413" s="19" t="str">
        <f ca="1">IFERROR(__xludf.DUMMYFUNCTION("""COMPUTED_VALUE"""),"MAYARIYA SAHIL LAKHDEERBHAI")</f>
        <v>MAYARIYA SAHIL LAKHDEERBHAI</v>
      </c>
      <c r="C413" s="18" t="str">
        <f ca="1">IFERROR(__xludf.DUMMYFUNCTION("""COMPUTED_VALUE"""),"SDS")</f>
        <v>SDS</v>
      </c>
      <c r="D413" s="18" t="str">
        <f ca="1">IFERROR(__xludf.DUMMYFUNCTION("""COMPUTED_VALUE"""),"DCE")</f>
        <v>DCE</v>
      </c>
      <c r="E413" s="25">
        <f ca="1">IFERROR(__xludf.DUMMYFUNCTION("""COMPUTED_VALUE"""),4)</f>
        <v>4</v>
      </c>
      <c r="F413" s="18" t="str">
        <f ca="1">IFERROR(__xludf.DUMMYFUNCTION("""COMPUTED_VALUE"""),"7096665362 9924645362")</f>
        <v>7096665362 9924645362</v>
      </c>
      <c r="G413" s="18" t="str">
        <f ca="1">IFERROR(__xludf.DUMMYFUNCTION("""COMPUTED_VALUE"""),"7096665362 9924645362")</f>
        <v>7096665362 9924645362</v>
      </c>
      <c r="H413" s="6" t="str">
        <f ca="1">IFERROR(__xludf.DUMMYFUNCTION("""COMPUTED_VALUE"""),"DCE_2022-25")</f>
        <v>DCE_2022-25</v>
      </c>
      <c r="I413" s="20" t="str">
        <f ca="1">IFERROR(__xludf.DUMMYFUNCTION("""COMPUTED_VALUE"""),"MYSY")</f>
        <v>MYSY</v>
      </c>
      <c r="J413" s="21">
        <f ca="1">IFERROR(__xludf.DUMMYFUNCTION("""COMPUTED_VALUE"""),25000)</f>
        <v>25000</v>
      </c>
      <c r="K413" s="21">
        <f ca="1">IFERROR(__xludf.DUMMYFUNCTION("""COMPUTED_VALUE"""),0)</f>
        <v>0</v>
      </c>
      <c r="L413" s="21">
        <f ca="1">IFERROR(__xludf.DUMMYFUNCTION("""COMPUTED_VALUE"""),0)</f>
        <v>0</v>
      </c>
      <c r="M413" s="23">
        <f ca="1">IFERROR(__xludf.DUMMYFUNCTION("""COMPUTED_VALUE"""),0)</f>
        <v>0</v>
      </c>
      <c r="N413" s="21">
        <f ca="1">IFERROR(__xludf.DUMMYFUNCTION("""COMPUTED_VALUE"""),25000)</f>
        <v>25000</v>
      </c>
      <c r="O413" s="21">
        <f ca="1">IFERROR(__xludf.DUMMYFUNCTION("""COMPUTED_VALUE"""),3000)</f>
        <v>3000</v>
      </c>
      <c r="P413" s="21">
        <f ca="1">IFERROR(__xludf.DUMMYFUNCTION("""COMPUTED_VALUE"""),3000)</f>
        <v>3000</v>
      </c>
      <c r="Q413" s="23">
        <f ca="1">IFERROR(__xludf.DUMMYFUNCTION("""COMPUTED_VALUE"""),0)</f>
        <v>0</v>
      </c>
      <c r="R413" s="24">
        <f ca="1">IFERROR(__xludf.DUMMYFUNCTION("""COMPUTED_VALUE"""),0)</f>
        <v>0</v>
      </c>
      <c r="S413" s="23">
        <f ca="1">IFERROR(__xludf.DUMMYFUNCTION("""COMPUTED_VALUE"""),0)</f>
        <v>0</v>
      </c>
      <c r="T413" s="24">
        <f ca="1">IFERROR(__xludf.DUMMYFUNCTION("""COMPUTED_VALUE"""),0)</f>
        <v>0</v>
      </c>
      <c r="U413" s="23">
        <f ca="1">IFERROR(__xludf.DUMMYFUNCTION("""COMPUTED_VALUE"""),0)</f>
        <v>0</v>
      </c>
      <c r="V413" s="23">
        <f ca="1">IFERROR(__xludf.DUMMYFUNCTION("""COMPUTED_VALUE"""),0)</f>
        <v>0</v>
      </c>
      <c r="W413" s="23">
        <f ca="1">IFERROR(__xludf.DUMMYFUNCTION("""COMPUTED_VALUE"""),0)</f>
        <v>0</v>
      </c>
      <c r="X413" s="23">
        <f ca="1">IFERROR(__xludf.DUMMYFUNCTION("""COMPUTED_VALUE"""),0)</f>
        <v>0</v>
      </c>
      <c r="Y413" s="25">
        <f ca="1">IFERROR(__xludf.DUMMYFUNCTION("""COMPUTED_VALUE"""),0)</f>
        <v>0</v>
      </c>
      <c r="Z413" s="25">
        <f ca="1">IFERROR(__xludf.DUMMYFUNCTION("""COMPUTED_VALUE"""),0)</f>
        <v>0</v>
      </c>
      <c r="AA413" s="25">
        <f ca="1">IFERROR(__xludf.DUMMYFUNCTION("""COMPUTED_VALUE"""),0)</f>
        <v>0</v>
      </c>
      <c r="AB413" s="25">
        <f ca="1">IFERROR(__xludf.DUMMYFUNCTION("""COMPUTED_VALUE"""),0)</f>
        <v>0</v>
      </c>
      <c r="AC413" s="23">
        <f ca="1">IFERROR(__xludf.DUMMYFUNCTION("""COMPUTED_VALUE"""),0)</f>
        <v>0</v>
      </c>
      <c r="AD413" s="26" t="str">
        <f ca="1">IFERROR(__xludf.DUMMYFUNCTION("""COMPUTED_VALUE"""),"KSPS(25%) + MYSY(50%)")</f>
        <v>KSPS(25%) + MYSY(50%)</v>
      </c>
      <c r="AE413" s="27"/>
    </row>
    <row r="414" spans="1:31" ht="14.3">
      <c r="A414" s="18" t="str">
        <f ca="1">IFERROR(__xludf.DUMMYFUNCTION("""COMPUTED_VALUE"""),"22SDSCE01174")</f>
        <v>22SDSCE01174</v>
      </c>
      <c r="B414" s="19" t="str">
        <f ca="1">IFERROR(__xludf.DUMMYFUNCTION("""COMPUTED_VALUE"""),"MODHVADIYA DILIP BABUBHAI")</f>
        <v>MODHVADIYA DILIP BABUBHAI</v>
      </c>
      <c r="C414" s="18" t="str">
        <f ca="1">IFERROR(__xludf.DUMMYFUNCTION("""COMPUTED_VALUE"""),"SDS")</f>
        <v>SDS</v>
      </c>
      <c r="D414" s="18" t="str">
        <f ca="1">IFERROR(__xludf.DUMMYFUNCTION("""COMPUTED_VALUE"""),"DCE")</f>
        <v>DCE</v>
      </c>
      <c r="E414" s="25">
        <f ca="1">IFERROR(__xludf.DUMMYFUNCTION("""COMPUTED_VALUE"""),4)</f>
        <v>4</v>
      </c>
      <c r="F414" s="18" t="str">
        <f ca="1">IFERROR(__xludf.DUMMYFUNCTION("""COMPUTED_VALUE"""),"9824989095 9925543914")</f>
        <v>9824989095 9925543914</v>
      </c>
      <c r="G414" s="18" t="str">
        <f ca="1">IFERROR(__xludf.DUMMYFUNCTION("""COMPUTED_VALUE"""),"9824989095 9925543914")</f>
        <v>9824989095 9925543914</v>
      </c>
      <c r="H414" s="6" t="str">
        <f ca="1">IFERROR(__xludf.DUMMYFUNCTION("""COMPUTED_VALUE"""),"DCE_2022-25")</f>
        <v>DCE_2022-25</v>
      </c>
      <c r="I414" s="20" t="str">
        <f ca="1">IFERROR(__xludf.DUMMYFUNCTION("""COMPUTED_VALUE"""),"KSP")</f>
        <v>KSP</v>
      </c>
      <c r="J414" s="21">
        <f ca="1">IFERROR(__xludf.DUMMYFUNCTION("""COMPUTED_VALUE"""),25000)</f>
        <v>25000</v>
      </c>
      <c r="K414" s="21">
        <f ca="1">IFERROR(__xludf.DUMMYFUNCTION("""COMPUTED_VALUE"""),12500)</f>
        <v>12500</v>
      </c>
      <c r="L414" s="21">
        <f ca="1">IFERROR(__xludf.DUMMYFUNCTION("""COMPUTED_VALUE"""),0)</f>
        <v>0</v>
      </c>
      <c r="M414" s="23">
        <f ca="1">IFERROR(__xludf.DUMMYFUNCTION("""COMPUTED_VALUE"""),12500)</f>
        <v>12500</v>
      </c>
      <c r="N414" s="21">
        <f ca="1">IFERROR(__xludf.DUMMYFUNCTION("""COMPUTED_VALUE"""),0)</f>
        <v>0</v>
      </c>
      <c r="O414" s="21">
        <f ca="1">IFERROR(__xludf.DUMMYFUNCTION("""COMPUTED_VALUE"""),3000)</f>
        <v>3000</v>
      </c>
      <c r="P414" s="21">
        <f ca="1">IFERROR(__xludf.DUMMYFUNCTION("""COMPUTED_VALUE"""),3000)</f>
        <v>3000</v>
      </c>
      <c r="Q414" s="23">
        <f ca="1">IFERROR(__xludf.DUMMYFUNCTION("""COMPUTED_VALUE"""),0)</f>
        <v>0</v>
      </c>
      <c r="R414" s="24">
        <f ca="1">IFERROR(__xludf.DUMMYFUNCTION("""COMPUTED_VALUE"""),0)</f>
        <v>0</v>
      </c>
      <c r="S414" s="23">
        <f ca="1">IFERROR(__xludf.DUMMYFUNCTION("""COMPUTED_VALUE"""),0)</f>
        <v>0</v>
      </c>
      <c r="T414" s="24">
        <f ca="1">IFERROR(__xludf.DUMMYFUNCTION("""COMPUTED_VALUE"""),0)</f>
        <v>0</v>
      </c>
      <c r="U414" s="23">
        <f ca="1">IFERROR(__xludf.DUMMYFUNCTION("""COMPUTED_VALUE"""),0)</f>
        <v>0</v>
      </c>
      <c r="V414" s="23">
        <f ca="1">IFERROR(__xludf.DUMMYFUNCTION("""COMPUTED_VALUE"""),0)</f>
        <v>0</v>
      </c>
      <c r="W414" s="23">
        <f ca="1">IFERROR(__xludf.DUMMYFUNCTION("""COMPUTED_VALUE"""),0)</f>
        <v>0</v>
      </c>
      <c r="X414" s="23">
        <f ca="1">IFERROR(__xludf.DUMMYFUNCTION("""COMPUTED_VALUE"""),0)</f>
        <v>0</v>
      </c>
      <c r="Y414" s="25">
        <f ca="1">IFERROR(__xludf.DUMMYFUNCTION("""COMPUTED_VALUE"""),0)</f>
        <v>0</v>
      </c>
      <c r="Z414" s="25">
        <f ca="1">IFERROR(__xludf.DUMMYFUNCTION("""COMPUTED_VALUE"""),0)</f>
        <v>0</v>
      </c>
      <c r="AA414" s="25">
        <f ca="1">IFERROR(__xludf.DUMMYFUNCTION("""COMPUTED_VALUE"""),0)</f>
        <v>0</v>
      </c>
      <c r="AB414" s="25">
        <f ca="1">IFERROR(__xludf.DUMMYFUNCTION("""COMPUTED_VALUE"""),0)</f>
        <v>0</v>
      </c>
      <c r="AC414" s="23">
        <f ca="1">IFERROR(__xludf.DUMMYFUNCTION("""COMPUTED_VALUE"""),0)</f>
        <v>0</v>
      </c>
      <c r="AD414" s="26" t="str">
        <f ca="1">IFERROR(__xludf.DUMMYFUNCTION("""COMPUTED_VALUE"""),"12500 PER SEM SCHOLARSHIP")</f>
        <v>12500 PER SEM SCHOLARSHIP</v>
      </c>
      <c r="AE414" s="27"/>
    </row>
    <row r="415" spans="1:31" ht="14.3">
      <c r="A415" s="42" t="str">
        <f ca="1">IFERROR(__xludf.DUMMYFUNCTION("""COMPUTED_VALUE"""),"22SDSCE01175")</f>
        <v>22SDSCE01175</v>
      </c>
      <c r="B415" s="43" t="str">
        <f ca="1">IFERROR(__xludf.DUMMYFUNCTION("""COMPUTED_VALUE"""),"MULTANI FAIZAN IMRANBHAI")</f>
        <v>MULTANI FAIZAN IMRANBHAI</v>
      </c>
      <c r="C415" s="42" t="str">
        <f ca="1">IFERROR(__xludf.DUMMYFUNCTION("""COMPUTED_VALUE"""),"SDS")</f>
        <v>SDS</v>
      </c>
      <c r="D415" s="42" t="str">
        <f ca="1">IFERROR(__xludf.DUMMYFUNCTION("""COMPUTED_VALUE"""),"DCE")</f>
        <v>DCE</v>
      </c>
      <c r="E415" s="44">
        <f ca="1">IFERROR(__xludf.DUMMYFUNCTION("""COMPUTED_VALUE"""),4)</f>
        <v>4</v>
      </c>
      <c r="F415" s="42" t="str">
        <f ca="1">IFERROR(__xludf.DUMMYFUNCTION("""COMPUTED_VALUE"""),"9825692565 9723647565")</f>
        <v>9825692565 9723647565</v>
      </c>
      <c r="G415" s="42" t="str">
        <f ca="1">IFERROR(__xludf.DUMMYFUNCTION("""COMPUTED_VALUE"""),"9825692565 9723647565")</f>
        <v>9825692565 9723647565</v>
      </c>
      <c r="H415" s="2" t="str">
        <f ca="1">IFERROR(__xludf.DUMMYFUNCTION("""COMPUTED_VALUE"""),"DCE_2022-25")</f>
        <v>DCE_2022-25</v>
      </c>
      <c r="I415" s="45"/>
      <c r="J415" s="46">
        <f ca="1">IFERROR(__xludf.DUMMYFUNCTION("""COMPUTED_VALUE"""),0)</f>
        <v>0</v>
      </c>
      <c r="K415" s="46">
        <f ca="1">IFERROR(__xludf.DUMMYFUNCTION("""COMPUTED_VALUE"""),0)</f>
        <v>0</v>
      </c>
      <c r="L415" s="46">
        <f ca="1">IFERROR(__xludf.DUMMYFUNCTION("""COMPUTED_VALUE"""),0)</f>
        <v>0</v>
      </c>
      <c r="M415" s="47">
        <f ca="1">IFERROR(__xludf.DUMMYFUNCTION("""COMPUTED_VALUE"""),0)</f>
        <v>0</v>
      </c>
      <c r="N415" s="46">
        <f ca="1">IFERROR(__xludf.DUMMYFUNCTION("""COMPUTED_VALUE"""),0)</f>
        <v>0</v>
      </c>
      <c r="O415" s="46">
        <f ca="1">IFERROR(__xludf.DUMMYFUNCTION("""COMPUTED_VALUE"""),0)</f>
        <v>0</v>
      </c>
      <c r="P415" s="46">
        <f ca="1">IFERROR(__xludf.DUMMYFUNCTION("""COMPUTED_VALUE"""),0)</f>
        <v>0</v>
      </c>
      <c r="Q415" s="47">
        <f ca="1">IFERROR(__xludf.DUMMYFUNCTION("""COMPUTED_VALUE"""),0)</f>
        <v>0</v>
      </c>
      <c r="R415" s="24">
        <f ca="1">IFERROR(__xludf.DUMMYFUNCTION("""COMPUTED_VALUE"""),0)</f>
        <v>0</v>
      </c>
      <c r="S415" s="23">
        <f ca="1">IFERROR(__xludf.DUMMYFUNCTION("""COMPUTED_VALUE"""),0)</f>
        <v>0</v>
      </c>
      <c r="T415" s="48">
        <f ca="1">IFERROR(__xludf.DUMMYFUNCTION("""COMPUTED_VALUE"""),0)</f>
        <v>0</v>
      </c>
      <c r="U415" s="47">
        <f ca="1">IFERROR(__xludf.DUMMYFUNCTION("""COMPUTED_VALUE"""),0)</f>
        <v>0</v>
      </c>
      <c r="V415" s="47">
        <f ca="1">IFERROR(__xludf.DUMMYFUNCTION("""COMPUTED_VALUE"""),0)</f>
        <v>0</v>
      </c>
      <c r="W415" s="47">
        <f ca="1">IFERROR(__xludf.DUMMYFUNCTION("""COMPUTED_VALUE"""),0)</f>
        <v>0</v>
      </c>
      <c r="X415" s="47">
        <f ca="1">IFERROR(__xludf.DUMMYFUNCTION("""COMPUTED_VALUE"""),0)</f>
        <v>0</v>
      </c>
      <c r="Y415" s="44">
        <f ca="1">IFERROR(__xludf.DUMMYFUNCTION("""COMPUTED_VALUE"""),0)</f>
        <v>0</v>
      </c>
      <c r="Z415" s="44">
        <f ca="1">IFERROR(__xludf.DUMMYFUNCTION("""COMPUTED_VALUE"""),0)</f>
        <v>0</v>
      </c>
      <c r="AA415" s="44">
        <f ca="1">IFERROR(__xludf.DUMMYFUNCTION("""COMPUTED_VALUE"""),0)</f>
        <v>0</v>
      </c>
      <c r="AB415" s="44">
        <f ca="1">IFERROR(__xludf.DUMMYFUNCTION("""COMPUTED_VALUE"""),0)</f>
        <v>0</v>
      </c>
      <c r="AC415" s="47">
        <f ca="1">IFERROR(__xludf.DUMMYFUNCTION("""COMPUTED_VALUE"""),0)</f>
        <v>0</v>
      </c>
      <c r="AD415" s="49"/>
      <c r="AE415" s="27"/>
    </row>
    <row r="416" spans="1:31" ht="14.3">
      <c r="A416" s="42" t="str">
        <f ca="1">IFERROR(__xludf.DUMMYFUNCTION("""COMPUTED_VALUE"""),"22SDSCE01176")</f>
        <v>22SDSCE01176</v>
      </c>
      <c r="B416" s="43" t="str">
        <f ca="1">IFERROR(__xludf.DUMMYFUNCTION("""COMPUTED_VALUE"""),"NARIYA SMITKUMAR NAVALBHAI")</f>
        <v>NARIYA SMITKUMAR NAVALBHAI</v>
      </c>
      <c r="C416" s="42" t="str">
        <f ca="1">IFERROR(__xludf.DUMMYFUNCTION("""COMPUTED_VALUE"""),"SDS")</f>
        <v>SDS</v>
      </c>
      <c r="D416" s="42" t="str">
        <f ca="1">IFERROR(__xludf.DUMMYFUNCTION("""COMPUTED_VALUE"""),"DCE")</f>
        <v>DCE</v>
      </c>
      <c r="E416" s="44">
        <f ca="1">IFERROR(__xludf.DUMMYFUNCTION("""COMPUTED_VALUE"""),4)</f>
        <v>4</v>
      </c>
      <c r="F416" s="42" t="str">
        <f ca="1">IFERROR(__xludf.DUMMYFUNCTION("""COMPUTED_VALUE"""),"9328472964 9426715745")</f>
        <v>9328472964 9426715745</v>
      </c>
      <c r="G416" s="42" t="str">
        <f ca="1">IFERROR(__xludf.DUMMYFUNCTION("""COMPUTED_VALUE"""),"9328472964 9426715745")</f>
        <v>9328472964 9426715745</v>
      </c>
      <c r="H416" s="2" t="str">
        <f ca="1">IFERROR(__xludf.DUMMYFUNCTION("""COMPUTED_VALUE"""),"DCE_2022-25")</f>
        <v>DCE_2022-25</v>
      </c>
      <c r="I416" s="45"/>
      <c r="J416" s="46">
        <f ca="1">IFERROR(__xludf.DUMMYFUNCTION("""COMPUTED_VALUE"""),25000)</f>
        <v>25000</v>
      </c>
      <c r="K416" s="46">
        <f ca="1">IFERROR(__xludf.DUMMYFUNCTION("""COMPUTED_VALUE"""),25000)</f>
        <v>25000</v>
      </c>
      <c r="L416" s="46">
        <f ca="1">IFERROR(__xludf.DUMMYFUNCTION("""COMPUTED_VALUE"""),0)</f>
        <v>0</v>
      </c>
      <c r="M416" s="47">
        <f ca="1">IFERROR(__xludf.DUMMYFUNCTION("""COMPUTED_VALUE"""),0)</f>
        <v>0</v>
      </c>
      <c r="N416" s="46">
        <f ca="1">IFERROR(__xludf.DUMMYFUNCTION("""COMPUTED_VALUE"""),0)</f>
        <v>0</v>
      </c>
      <c r="O416" s="46">
        <f ca="1">IFERROR(__xludf.DUMMYFUNCTION("""COMPUTED_VALUE"""),3000)</f>
        <v>3000</v>
      </c>
      <c r="P416" s="46">
        <f ca="1">IFERROR(__xludf.DUMMYFUNCTION("""COMPUTED_VALUE"""),3000)</f>
        <v>3000</v>
      </c>
      <c r="Q416" s="47">
        <f ca="1">IFERROR(__xludf.DUMMYFUNCTION("""COMPUTED_VALUE"""),0)</f>
        <v>0</v>
      </c>
      <c r="R416" s="24">
        <f ca="1">IFERROR(__xludf.DUMMYFUNCTION("""COMPUTED_VALUE"""),0)</f>
        <v>0</v>
      </c>
      <c r="S416" s="23">
        <f ca="1">IFERROR(__xludf.DUMMYFUNCTION("""COMPUTED_VALUE"""),0)</f>
        <v>0</v>
      </c>
      <c r="T416" s="48">
        <f ca="1">IFERROR(__xludf.DUMMYFUNCTION("""COMPUTED_VALUE"""),0)</f>
        <v>0</v>
      </c>
      <c r="U416" s="47">
        <f ca="1">IFERROR(__xludf.DUMMYFUNCTION("""COMPUTED_VALUE"""),0)</f>
        <v>0</v>
      </c>
      <c r="V416" s="47">
        <f ca="1">IFERROR(__xludf.DUMMYFUNCTION("""COMPUTED_VALUE"""),0)</f>
        <v>0</v>
      </c>
      <c r="W416" s="47">
        <f ca="1">IFERROR(__xludf.DUMMYFUNCTION("""COMPUTED_VALUE"""),0)</f>
        <v>0</v>
      </c>
      <c r="X416" s="47">
        <f ca="1">IFERROR(__xludf.DUMMYFUNCTION("""COMPUTED_VALUE"""),0)</f>
        <v>0</v>
      </c>
      <c r="Y416" s="44">
        <f ca="1">IFERROR(__xludf.DUMMYFUNCTION("""COMPUTED_VALUE"""),0)</f>
        <v>0</v>
      </c>
      <c r="Z416" s="44">
        <f ca="1">IFERROR(__xludf.DUMMYFUNCTION("""COMPUTED_VALUE"""),0)</f>
        <v>0</v>
      </c>
      <c r="AA416" s="44">
        <f ca="1">IFERROR(__xludf.DUMMYFUNCTION("""COMPUTED_VALUE"""),0)</f>
        <v>0</v>
      </c>
      <c r="AB416" s="44">
        <f ca="1">IFERROR(__xludf.DUMMYFUNCTION("""COMPUTED_VALUE"""),0)</f>
        <v>0</v>
      </c>
      <c r="AC416" s="47">
        <f ca="1">IFERROR(__xludf.DUMMYFUNCTION("""COMPUTED_VALUE"""),0)</f>
        <v>0</v>
      </c>
      <c r="AD416" s="49"/>
      <c r="AE416" s="27"/>
    </row>
    <row r="417" spans="1:31" ht="14.3">
      <c r="A417" s="42" t="str">
        <f ca="1">IFERROR(__xludf.DUMMYFUNCTION("""COMPUTED_VALUE"""),"22SDSCE01177")</f>
        <v>22SDSCE01177</v>
      </c>
      <c r="B417" s="43" t="str">
        <f ca="1">IFERROR(__xludf.DUMMYFUNCTION("""COMPUTED_VALUE"""),"NIMAVAT HEMANGI BHARATBHAI")</f>
        <v>NIMAVAT HEMANGI BHARATBHAI</v>
      </c>
      <c r="C417" s="42" t="str">
        <f ca="1">IFERROR(__xludf.DUMMYFUNCTION("""COMPUTED_VALUE"""),"SDS")</f>
        <v>SDS</v>
      </c>
      <c r="D417" s="42" t="str">
        <f ca="1">IFERROR(__xludf.DUMMYFUNCTION("""COMPUTED_VALUE"""),"DCE")</f>
        <v>DCE</v>
      </c>
      <c r="E417" s="44">
        <f ca="1">IFERROR(__xludf.DUMMYFUNCTION("""COMPUTED_VALUE"""),4)</f>
        <v>4</v>
      </c>
      <c r="F417" s="42" t="str">
        <f ca="1">IFERROR(__xludf.DUMMYFUNCTION("""COMPUTED_VALUE"""),"7405072586 9904030511")</f>
        <v>7405072586 9904030511</v>
      </c>
      <c r="G417" s="42" t="str">
        <f ca="1">IFERROR(__xludf.DUMMYFUNCTION("""COMPUTED_VALUE"""),"7405072586 9904030511")</f>
        <v>7405072586 9904030511</v>
      </c>
      <c r="H417" s="2" t="str">
        <f ca="1">IFERROR(__xludf.DUMMYFUNCTION("""COMPUTED_VALUE"""),"DCE_2022-25")</f>
        <v>DCE_2022-25</v>
      </c>
      <c r="I417" s="45"/>
      <c r="J417" s="46">
        <f ca="1">IFERROR(__xludf.DUMMYFUNCTION("""COMPUTED_VALUE"""),25000)</f>
        <v>25000</v>
      </c>
      <c r="K417" s="46">
        <f ca="1">IFERROR(__xludf.DUMMYFUNCTION("""COMPUTED_VALUE"""),25000)</f>
        <v>25000</v>
      </c>
      <c r="L417" s="46">
        <f ca="1">IFERROR(__xludf.DUMMYFUNCTION("""COMPUTED_VALUE"""),0)</f>
        <v>0</v>
      </c>
      <c r="M417" s="47">
        <f ca="1">IFERROR(__xludf.DUMMYFUNCTION("""COMPUTED_VALUE"""),0)</f>
        <v>0</v>
      </c>
      <c r="N417" s="46">
        <f ca="1">IFERROR(__xludf.DUMMYFUNCTION("""COMPUTED_VALUE"""),0)</f>
        <v>0</v>
      </c>
      <c r="O417" s="46">
        <f ca="1">IFERROR(__xludf.DUMMYFUNCTION("""COMPUTED_VALUE"""),3000)</f>
        <v>3000</v>
      </c>
      <c r="P417" s="46">
        <f ca="1">IFERROR(__xludf.DUMMYFUNCTION("""COMPUTED_VALUE"""),3000)</f>
        <v>3000</v>
      </c>
      <c r="Q417" s="47">
        <f ca="1">IFERROR(__xludf.DUMMYFUNCTION("""COMPUTED_VALUE"""),0)</f>
        <v>0</v>
      </c>
      <c r="R417" s="24">
        <f ca="1">IFERROR(__xludf.DUMMYFUNCTION("""COMPUTED_VALUE"""),0)</f>
        <v>0</v>
      </c>
      <c r="S417" s="23">
        <f ca="1">IFERROR(__xludf.DUMMYFUNCTION("""COMPUTED_VALUE"""),0)</f>
        <v>0</v>
      </c>
      <c r="T417" s="48">
        <f ca="1">IFERROR(__xludf.DUMMYFUNCTION("""COMPUTED_VALUE"""),0)</f>
        <v>0</v>
      </c>
      <c r="U417" s="47">
        <f ca="1">IFERROR(__xludf.DUMMYFUNCTION("""COMPUTED_VALUE"""),0)</f>
        <v>0</v>
      </c>
      <c r="V417" s="47">
        <f ca="1">IFERROR(__xludf.DUMMYFUNCTION("""COMPUTED_VALUE"""),0)</f>
        <v>0</v>
      </c>
      <c r="W417" s="47">
        <f ca="1">IFERROR(__xludf.DUMMYFUNCTION("""COMPUTED_VALUE"""),0)</f>
        <v>0</v>
      </c>
      <c r="X417" s="47">
        <f ca="1">IFERROR(__xludf.DUMMYFUNCTION("""COMPUTED_VALUE"""),0)</f>
        <v>0</v>
      </c>
      <c r="Y417" s="44">
        <f ca="1">IFERROR(__xludf.DUMMYFUNCTION("""COMPUTED_VALUE"""),0)</f>
        <v>0</v>
      </c>
      <c r="Z417" s="44">
        <f ca="1">IFERROR(__xludf.DUMMYFUNCTION("""COMPUTED_VALUE"""),0)</f>
        <v>0</v>
      </c>
      <c r="AA417" s="44">
        <f ca="1">IFERROR(__xludf.DUMMYFUNCTION("""COMPUTED_VALUE"""),0)</f>
        <v>0</v>
      </c>
      <c r="AB417" s="44">
        <f ca="1">IFERROR(__xludf.DUMMYFUNCTION("""COMPUTED_VALUE"""),0)</f>
        <v>0</v>
      </c>
      <c r="AC417" s="47">
        <f ca="1">IFERROR(__xludf.DUMMYFUNCTION("""COMPUTED_VALUE"""),0)</f>
        <v>0</v>
      </c>
      <c r="AD417" s="49"/>
      <c r="AE417" s="27"/>
    </row>
    <row r="418" spans="1:31" ht="14.3">
      <c r="A418" s="42" t="str">
        <f ca="1">IFERROR(__xludf.DUMMYFUNCTION("""COMPUTED_VALUE"""),"22SDSCE01178")</f>
        <v>22SDSCE01178</v>
      </c>
      <c r="B418" s="43" t="str">
        <f ca="1">IFERROR(__xludf.DUMMYFUNCTION("""COMPUTED_VALUE"""),"ODEDARA JAYKUMAR LILABHAI")</f>
        <v>ODEDARA JAYKUMAR LILABHAI</v>
      </c>
      <c r="C418" s="42" t="str">
        <f ca="1">IFERROR(__xludf.DUMMYFUNCTION("""COMPUTED_VALUE"""),"SDS")</f>
        <v>SDS</v>
      </c>
      <c r="D418" s="42" t="str">
        <f ca="1">IFERROR(__xludf.DUMMYFUNCTION("""COMPUTED_VALUE"""),"DCE")</f>
        <v>DCE</v>
      </c>
      <c r="E418" s="44">
        <f ca="1">IFERROR(__xludf.DUMMYFUNCTION("""COMPUTED_VALUE"""),4)</f>
        <v>4</v>
      </c>
      <c r="F418" s="42" t="str">
        <f ca="1">IFERROR(__xludf.DUMMYFUNCTION("""COMPUTED_VALUE"""),"8511776118  9427926995 ")</f>
        <v xml:space="preserve">8511776118  9427926995 </v>
      </c>
      <c r="G418" s="42" t="str">
        <f ca="1">IFERROR(__xludf.DUMMYFUNCTION("""COMPUTED_VALUE"""),"8511776118  9427926995 ")</f>
        <v xml:space="preserve">8511776118  9427926995 </v>
      </c>
      <c r="H418" s="2" t="str">
        <f ca="1">IFERROR(__xludf.DUMMYFUNCTION("""COMPUTED_VALUE"""),"DCE_2022-25")</f>
        <v>DCE_2022-25</v>
      </c>
      <c r="I418" s="45"/>
      <c r="J418" s="46">
        <f ca="1">IFERROR(__xludf.DUMMYFUNCTION("""COMPUTED_VALUE"""),25000)</f>
        <v>25000</v>
      </c>
      <c r="K418" s="46">
        <f ca="1">IFERROR(__xludf.DUMMYFUNCTION("""COMPUTED_VALUE"""),25000)</f>
        <v>25000</v>
      </c>
      <c r="L418" s="46">
        <f ca="1">IFERROR(__xludf.DUMMYFUNCTION("""COMPUTED_VALUE"""),0)</f>
        <v>0</v>
      </c>
      <c r="M418" s="47">
        <f ca="1">IFERROR(__xludf.DUMMYFUNCTION("""COMPUTED_VALUE"""),0)</f>
        <v>0</v>
      </c>
      <c r="N418" s="46">
        <f ca="1">IFERROR(__xludf.DUMMYFUNCTION("""COMPUTED_VALUE"""),0)</f>
        <v>0</v>
      </c>
      <c r="O418" s="46">
        <f ca="1">IFERROR(__xludf.DUMMYFUNCTION("""COMPUTED_VALUE"""),3000)</f>
        <v>3000</v>
      </c>
      <c r="P418" s="46">
        <f ca="1">IFERROR(__xludf.DUMMYFUNCTION("""COMPUTED_VALUE"""),3000)</f>
        <v>3000</v>
      </c>
      <c r="Q418" s="47">
        <f ca="1">IFERROR(__xludf.DUMMYFUNCTION("""COMPUTED_VALUE"""),0)</f>
        <v>0</v>
      </c>
      <c r="R418" s="24">
        <f ca="1">IFERROR(__xludf.DUMMYFUNCTION("""COMPUTED_VALUE"""),0)</f>
        <v>0</v>
      </c>
      <c r="S418" s="23">
        <f ca="1">IFERROR(__xludf.DUMMYFUNCTION("""COMPUTED_VALUE"""),0)</f>
        <v>0</v>
      </c>
      <c r="T418" s="48">
        <f ca="1">IFERROR(__xludf.DUMMYFUNCTION("""COMPUTED_VALUE"""),0)</f>
        <v>0</v>
      </c>
      <c r="U418" s="47">
        <f ca="1">IFERROR(__xludf.DUMMYFUNCTION("""COMPUTED_VALUE"""),0)</f>
        <v>0</v>
      </c>
      <c r="V418" s="47">
        <f ca="1">IFERROR(__xludf.DUMMYFUNCTION("""COMPUTED_VALUE"""),0)</f>
        <v>0</v>
      </c>
      <c r="W418" s="47">
        <f ca="1">IFERROR(__xludf.DUMMYFUNCTION("""COMPUTED_VALUE"""),0)</f>
        <v>0</v>
      </c>
      <c r="X418" s="47">
        <f ca="1">IFERROR(__xludf.DUMMYFUNCTION("""COMPUTED_VALUE"""),0)</f>
        <v>0</v>
      </c>
      <c r="Y418" s="44">
        <f ca="1">IFERROR(__xludf.DUMMYFUNCTION("""COMPUTED_VALUE"""),0)</f>
        <v>0</v>
      </c>
      <c r="Z418" s="44">
        <f ca="1">IFERROR(__xludf.DUMMYFUNCTION("""COMPUTED_VALUE"""),0)</f>
        <v>0</v>
      </c>
      <c r="AA418" s="44">
        <f ca="1">IFERROR(__xludf.DUMMYFUNCTION("""COMPUTED_VALUE"""),0)</f>
        <v>0</v>
      </c>
      <c r="AB418" s="44">
        <f ca="1">IFERROR(__xludf.DUMMYFUNCTION("""COMPUTED_VALUE"""),0)</f>
        <v>0</v>
      </c>
      <c r="AC418" s="47">
        <f ca="1">IFERROR(__xludf.DUMMYFUNCTION("""COMPUTED_VALUE"""),0)</f>
        <v>0</v>
      </c>
      <c r="AD418" s="49"/>
      <c r="AE418" s="27"/>
    </row>
    <row r="419" spans="1:31" ht="14.3">
      <c r="A419" s="42" t="str">
        <f ca="1">IFERROR(__xludf.DUMMYFUNCTION("""COMPUTED_VALUE"""),"22SDSCE01179")</f>
        <v>22SDSCE01179</v>
      </c>
      <c r="B419" s="43" t="str">
        <f ca="1">IFERROR(__xludf.DUMMYFUNCTION("""COMPUTED_VALUE"""),"PARAKHIYA BHAKTIBEN BIPINKUMAR")</f>
        <v>PARAKHIYA BHAKTIBEN BIPINKUMAR</v>
      </c>
      <c r="C419" s="42" t="str">
        <f ca="1">IFERROR(__xludf.DUMMYFUNCTION("""COMPUTED_VALUE"""),"SDS")</f>
        <v>SDS</v>
      </c>
      <c r="D419" s="42" t="str">
        <f ca="1">IFERROR(__xludf.DUMMYFUNCTION("""COMPUTED_VALUE"""),"DCE")</f>
        <v>DCE</v>
      </c>
      <c r="E419" s="44">
        <f ca="1">IFERROR(__xludf.DUMMYFUNCTION("""COMPUTED_VALUE"""),4)</f>
        <v>4</v>
      </c>
      <c r="F419" s="42" t="str">
        <f ca="1">IFERROR(__xludf.DUMMYFUNCTION("""COMPUTED_VALUE"""),"8200996817 9714303968")</f>
        <v>8200996817 9714303968</v>
      </c>
      <c r="G419" s="42" t="str">
        <f ca="1">IFERROR(__xludf.DUMMYFUNCTION("""COMPUTED_VALUE"""),"8200996817 9714303968")</f>
        <v>8200996817 9714303968</v>
      </c>
      <c r="H419" s="2" t="str">
        <f ca="1">IFERROR(__xludf.DUMMYFUNCTION("""COMPUTED_VALUE"""),"DCE_2022-25")</f>
        <v>DCE_2022-25</v>
      </c>
      <c r="I419" s="45" t="str">
        <f ca="1">IFERROR(__xludf.DUMMYFUNCTION("""COMPUTED_VALUE"""),"MYSY")</f>
        <v>MYSY</v>
      </c>
      <c r="J419" s="46">
        <f ca="1">IFERROR(__xludf.DUMMYFUNCTION("""COMPUTED_VALUE"""),25000)</f>
        <v>25000</v>
      </c>
      <c r="K419" s="46">
        <f ca="1">IFERROR(__xludf.DUMMYFUNCTION("""COMPUTED_VALUE"""),0)</f>
        <v>0</v>
      </c>
      <c r="L419" s="46">
        <f ca="1">IFERROR(__xludf.DUMMYFUNCTION("""COMPUTED_VALUE"""),0)</f>
        <v>0</v>
      </c>
      <c r="M419" s="47">
        <f ca="1">IFERROR(__xludf.DUMMYFUNCTION("""COMPUTED_VALUE"""),0)</f>
        <v>0</v>
      </c>
      <c r="N419" s="46">
        <f ca="1">IFERROR(__xludf.DUMMYFUNCTION("""COMPUTED_VALUE"""),25000)</f>
        <v>25000</v>
      </c>
      <c r="O419" s="46">
        <f ca="1">IFERROR(__xludf.DUMMYFUNCTION("""COMPUTED_VALUE"""),3000)</f>
        <v>3000</v>
      </c>
      <c r="P419" s="46">
        <f ca="1">IFERROR(__xludf.DUMMYFUNCTION("""COMPUTED_VALUE"""),3000)</f>
        <v>3000</v>
      </c>
      <c r="Q419" s="47">
        <f ca="1">IFERROR(__xludf.DUMMYFUNCTION("""COMPUTED_VALUE"""),0)</f>
        <v>0</v>
      </c>
      <c r="R419" s="24">
        <f ca="1">IFERROR(__xludf.DUMMYFUNCTION("""COMPUTED_VALUE"""),0)</f>
        <v>0</v>
      </c>
      <c r="S419" s="23">
        <f ca="1">IFERROR(__xludf.DUMMYFUNCTION("""COMPUTED_VALUE"""),0)</f>
        <v>0</v>
      </c>
      <c r="T419" s="48">
        <f ca="1">IFERROR(__xludf.DUMMYFUNCTION("""COMPUTED_VALUE"""),0)</f>
        <v>0</v>
      </c>
      <c r="U419" s="47">
        <f ca="1">IFERROR(__xludf.DUMMYFUNCTION("""COMPUTED_VALUE"""),0)</f>
        <v>0</v>
      </c>
      <c r="V419" s="47">
        <f ca="1">IFERROR(__xludf.DUMMYFUNCTION("""COMPUTED_VALUE"""),0)</f>
        <v>0</v>
      </c>
      <c r="W419" s="47">
        <f ca="1">IFERROR(__xludf.DUMMYFUNCTION("""COMPUTED_VALUE"""),0)</f>
        <v>0</v>
      </c>
      <c r="X419" s="47">
        <f ca="1">IFERROR(__xludf.DUMMYFUNCTION("""COMPUTED_VALUE"""),0)</f>
        <v>0</v>
      </c>
      <c r="Y419" s="44">
        <f ca="1">IFERROR(__xludf.DUMMYFUNCTION("""COMPUTED_VALUE"""),0)</f>
        <v>0</v>
      </c>
      <c r="Z419" s="44">
        <f ca="1">IFERROR(__xludf.DUMMYFUNCTION("""COMPUTED_VALUE"""),0)</f>
        <v>0</v>
      </c>
      <c r="AA419" s="44">
        <f ca="1">IFERROR(__xludf.DUMMYFUNCTION("""COMPUTED_VALUE"""),0)</f>
        <v>0</v>
      </c>
      <c r="AB419" s="44">
        <f ca="1">IFERROR(__xludf.DUMMYFUNCTION("""COMPUTED_VALUE"""),0)</f>
        <v>0</v>
      </c>
      <c r="AC419" s="47">
        <f ca="1">IFERROR(__xludf.DUMMYFUNCTION("""COMPUTED_VALUE"""),0)</f>
        <v>0</v>
      </c>
      <c r="AD419" s="49" t="str">
        <f ca="1">IFERROR(__xludf.DUMMYFUNCTION("""COMPUTED_VALUE"""),"MYSY (50%)")</f>
        <v>MYSY (50%)</v>
      </c>
      <c r="AE419" s="27"/>
    </row>
    <row r="420" spans="1:31" ht="14.3">
      <c r="A420" s="42" t="str">
        <f ca="1">IFERROR(__xludf.DUMMYFUNCTION("""COMPUTED_VALUE"""),"22SDSCE01180")</f>
        <v>22SDSCE01180</v>
      </c>
      <c r="B420" s="43" t="str">
        <f ca="1">IFERROR(__xludf.DUMMYFUNCTION("""COMPUTED_VALUE"""),"PARMAR MEET MAHESHBHAI")</f>
        <v>PARMAR MEET MAHESHBHAI</v>
      </c>
      <c r="C420" s="42" t="str">
        <f ca="1">IFERROR(__xludf.DUMMYFUNCTION("""COMPUTED_VALUE"""),"SDS")</f>
        <v>SDS</v>
      </c>
      <c r="D420" s="42" t="str">
        <f ca="1">IFERROR(__xludf.DUMMYFUNCTION("""COMPUTED_VALUE"""),"DCE")</f>
        <v>DCE</v>
      </c>
      <c r="E420" s="44">
        <f ca="1">IFERROR(__xludf.DUMMYFUNCTION("""COMPUTED_VALUE"""),4)</f>
        <v>4</v>
      </c>
      <c r="F420" s="42" t="str">
        <f ca="1">IFERROR(__xludf.DUMMYFUNCTION("""COMPUTED_VALUE"""),"9265375343 9824899625")</f>
        <v>9265375343 9824899625</v>
      </c>
      <c r="G420" s="42" t="str">
        <f ca="1">IFERROR(__xludf.DUMMYFUNCTION("""COMPUTED_VALUE"""),"9265375343 9824899625")</f>
        <v>9265375343 9824899625</v>
      </c>
      <c r="H420" s="2" t="str">
        <f ca="1">IFERROR(__xludf.DUMMYFUNCTION("""COMPUTED_VALUE"""),"DCE_2022-25")</f>
        <v>DCE_2022-25</v>
      </c>
      <c r="I420" s="45"/>
      <c r="J420" s="46">
        <f ca="1">IFERROR(__xludf.DUMMYFUNCTION("""COMPUTED_VALUE"""),25000)</f>
        <v>25000</v>
      </c>
      <c r="K420" s="46">
        <f ca="1">IFERROR(__xludf.DUMMYFUNCTION("""COMPUTED_VALUE"""),25000)</f>
        <v>25000</v>
      </c>
      <c r="L420" s="46">
        <f ca="1">IFERROR(__xludf.DUMMYFUNCTION("""COMPUTED_VALUE"""),0)</f>
        <v>0</v>
      </c>
      <c r="M420" s="47">
        <f ca="1">IFERROR(__xludf.DUMMYFUNCTION("""COMPUTED_VALUE"""),0)</f>
        <v>0</v>
      </c>
      <c r="N420" s="46">
        <f ca="1">IFERROR(__xludf.DUMMYFUNCTION("""COMPUTED_VALUE"""),0)</f>
        <v>0</v>
      </c>
      <c r="O420" s="46">
        <f ca="1">IFERROR(__xludf.DUMMYFUNCTION("""COMPUTED_VALUE"""),3000)</f>
        <v>3000</v>
      </c>
      <c r="P420" s="46">
        <f ca="1">IFERROR(__xludf.DUMMYFUNCTION("""COMPUTED_VALUE"""),3000)</f>
        <v>3000</v>
      </c>
      <c r="Q420" s="47">
        <f ca="1">IFERROR(__xludf.DUMMYFUNCTION("""COMPUTED_VALUE"""),0)</f>
        <v>0</v>
      </c>
      <c r="R420" s="24">
        <f ca="1">IFERROR(__xludf.DUMMYFUNCTION("""COMPUTED_VALUE"""),0)</f>
        <v>0</v>
      </c>
      <c r="S420" s="23">
        <f ca="1">IFERROR(__xludf.DUMMYFUNCTION("""COMPUTED_VALUE"""),0)</f>
        <v>0</v>
      </c>
      <c r="T420" s="48">
        <f ca="1">IFERROR(__xludf.DUMMYFUNCTION("""COMPUTED_VALUE"""),0)</f>
        <v>0</v>
      </c>
      <c r="U420" s="47">
        <f ca="1">IFERROR(__xludf.DUMMYFUNCTION("""COMPUTED_VALUE"""),0)</f>
        <v>0</v>
      </c>
      <c r="V420" s="47">
        <f ca="1">IFERROR(__xludf.DUMMYFUNCTION("""COMPUTED_VALUE"""),0)</f>
        <v>0</v>
      </c>
      <c r="W420" s="47">
        <f ca="1">IFERROR(__xludf.DUMMYFUNCTION("""COMPUTED_VALUE"""),0)</f>
        <v>0</v>
      </c>
      <c r="X420" s="47">
        <f ca="1">IFERROR(__xludf.DUMMYFUNCTION("""COMPUTED_VALUE"""),0)</f>
        <v>0</v>
      </c>
      <c r="Y420" s="44">
        <f ca="1">IFERROR(__xludf.DUMMYFUNCTION("""COMPUTED_VALUE"""),0)</f>
        <v>0</v>
      </c>
      <c r="Z420" s="44">
        <f ca="1">IFERROR(__xludf.DUMMYFUNCTION("""COMPUTED_VALUE"""),0)</f>
        <v>0</v>
      </c>
      <c r="AA420" s="44">
        <f ca="1">IFERROR(__xludf.DUMMYFUNCTION("""COMPUTED_VALUE"""),0)</f>
        <v>0</v>
      </c>
      <c r="AB420" s="44">
        <f ca="1">IFERROR(__xludf.DUMMYFUNCTION("""COMPUTED_VALUE"""),0)</f>
        <v>0</v>
      </c>
      <c r="AC420" s="47">
        <f ca="1">IFERROR(__xludf.DUMMYFUNCTION("""COMPUTED_VALUE"""),0)</f>
        <v>0</v>
      </c>
      <c r="AD420" s="49"/>
      <c r="AE420" s="27"/>
    </row>
    <row r="421" spans="1:31" ht="23.1">
      <c r="A421" s="42" t="str">
        <f ca="1">IFERROR(__xludf.DUMMYFUNCTION("""COMPUTED_VALUE"""),"22SDSCE01181")</f>
        <v>22SDSCE01181</v>
      </c>
      <c r="B421" s="43" t="str">
        <f ca="1">IFERROR(__xludf.DUMMYFUNCTION("""COMPUTED_VALUE"""),"POLARA VANDAN NILESHBHAI")</f>
        <v>POLARA VANDAN NILESHBHAI</v>
      </c>
      <c r="C421" s="42" t="str">
        <f ca="1">IFERROR(__xludf.DUMMYFUNCTION("""COMPUTED_VALUE"""),"SDS")</f>
        <v>SDS</v>
      </c>
      <c r="D421" s="42" t="str">
        <f ca="1">IFERROR(__xludf.DUMMYFUNCTION("""COMPUTED_VALUE"""),"DCE")</f>
        <v>DCE</v>
      </c>
      <c r="E421" s="44">
        <f ca="1">IFERROR(__xludf.DUMMYFUNCTION("""COMPUTED_VALUE"""),4)</f>
        <v>4</v>
      </c>
      <c r="F421" s="42" t="str">
        <f ca="1">IFERROR(__xludf.DUMMYFUNCTION("""COMPUTED_VALUE"""),"9974327722 9909396389")</f>
        <v>9974327722 9909396389</v>
      </c>
      <c r="G421" s="42" t="str">
        <f ca="1">IFERROR(__xludf.DUMMYFUNCTION("""COMPUTED_VALUE"""),"9974327722 9909396389")</f>
        <v>9974327722 9909396389</v>
      </c>
      <c r="H421" s="2" t="str">
        <f ca="1">IFERROR(__xludf.DUMMYFUNCTION("""COMPUTED_VALUE"""),"DCE_2022-25")</f>
        <v>DCE_2022-25</v>
      </c>
      <c r="I421" s="45" t="str">
        <f ca="1">IFERROR(__xludf.DUMMYFUNCTION("""COMPUTED_VALUE"""),"KSP")</f>
        <v>KSP</v>
      </c>
      <c r="J421" s="46">
        <f ca="1">IFERROR(__xludf.DUMMYFUNCTION("""COMPUTED_VALUE"""),25000)</f>
        <v>25000</v>
      </c>
      <c r="K421" s="46">
        <f ca="1">IFERROR(__xludf.DUMMYFUNCTION("""COMPUTED_VALUE"""),12500)</f>
        <v>12500</v>
      </c>
      <c r="L421" s="46">
        <f ca="1">IFERROR(__xludf.DUMMYFUNCTION("""COMPUTED_VALUE"""),0)</f>
        <v>0</v>
      </c>
      <c r="M421" s="47">
        <f ca="1">IFERROR(__xludf.DUMMYFUNCTION("""COMPUTED_VALUE"""),12500)</f>
        <v>12500</v>
      </c>
      <c r="N421" s="46">
        <f ca="1">IFERROR(__xludf.DUMMYFUNCTION("""COMPUTED_VALUE"""),0)</f>
        <v>0</v>
      </c>
      <c r="O421" s="46">
        <f ca="1">IFERROR(__xludf.DUMMYFUNCTION("""COMPUTED_VALUE"""),3000)</f>
        <v>3000</v>
      </c>
      <c r="P421" s="46">
        <f ca="1">IFERROR(__xludf.DUMMYFUNCTION("""COMPUTED_VALUE"""),3000)</f>
        <v>3000</v>
      </c>
      <c r="Q421" s="47">
        <f ca="1">IFERROR(__xludf.DUMMYFUNCTION("""COMPUTED_VALUE"""),0)</f>
        <v>0</v>
      </c>
      <c r="R421" s="24">
        <f ca="1">IFERROR(__xludf.DUMMYFUNCTION("""COMPUTED_VALUE"""),0)</f>
        <v>0</v>
      </c>
      <c r="S421" s="23">
        <f ca="1">IFERROR(__xludf.DUMMYFUNCTION("""COMPUTED_VALUE"""),0)</f>
        <v>0</v>
      </c>
      <c r="T421" s="48">
        <f ca="1">IFERROR(__xludf.DUMMYFUNCTION("""COMPUTED_VALUE"""),0)</f>
        <v>0</v>
      </c>
      <c r="U421" s="47">
        <f ca="1">IFERROR(__xludf.DUMMYFUNCTION("""COMPUTED_VALUE"""),0)</f>
        <v>0</v>
      </c>
      <c r="V421" s="47">
        <f ca="1">IFERROR(__xludf.DUMMYFUNCTION("""COMPUTED_VALUE"""),0)</f>
        <v>0</v>
      </c>
      <c r="W421" s="47">
        <f ca="1">IFERROR(__xludf.DUMMYFUNCTION("""COMPUTED_VALUE"""),0)</f>
        <v>0</v>
      </c>
      <c r="X421" s="47">
        <f ca="1">IFERROR(__xludf.DUMMYFUNCTION("""COMPUTED_VALUE"""),0)</f>
        <v>0</v>
      </c>
      <c r="Y421" s="44">
        <f ca="1">IFERROR(__xludf.DUMMYFUNCTION("""COMPUTED_VALUE"""),0)</f>
        <v>0</v>
      </c>
      <c r="Z421" s="44">
        <f ca="1">IFERROR(__xludf.DUMMYFUNCTION("""COMPUTED_VALUE"""),0)</f>
        <v>0</v>
      </c>
      <c r="AA421" s="44">
        <f ca="1">IFERROR(__xludf.DUMMYFUNCTION("""COMPUTED_VALUE"""),0)</f>
        <v>0</v>
      </c>
      <c r="AB421" s="44">
        <f ca="1">IFERROR(__xludf.DUMMYFUNCTION("""COMPUTED_VALUE"""),0)</f>
        <v>0</v>
      </c>
      <c r="AC421" s="47">
        <f ca="1">IFERROR(__xludf.DUMMYFUNCTION("""COMPUTED_VALUE"""),0)</f>
        <v>0</v>
      </c>
      <c r="AD421" s="49" t="str">
        <f ca="1">IFERROR(__xludf.DUMMYFUNCTION("""COMPUTED_VALUE"""),"KSPS (50%)
12500 PER SEM")</f>
        <v>KSPS (50%)
12500 PER SEM</v>
      </c>
      <c r="AE421" s="27"/>
    </row>
    <row r="422" spans="1:31" ht="14.3">
      <c r="A422" s="42" t="str">
        <f ca="1">IFERROR(__xludf.DUMMYFUNCTION("""COMPUTED_VALUE"""),"22SDSCE01182")</f>
        <v>22SDSCE01182</v>
      </c>
      <c r="B422" s="43" t="str">
        <f ca="1">IFERROR(__xludf.DUMMYFUNCTION("""COMPUTED_VALUE"""),"RAMANI PRIYANSHI VIPULBHAI")</f>
        <v>RAMANI PRIYANSHI VIPULBHAI</v>
      </c>
      <c r="C422" s="42" t="str">
        <f ca="1">IFERROR(__xludf.DUMMYFUNCTION("""COMPUTED_VALUE"""),"SDS")</f>
        <v>SDS</v>
      </c>
      <c r="D422" s="42" t="str">
        <f ca="1">IFERROR(__xludf.DUMMYFUNCTION("""COMPUTED_VALUE"""),"DCE")</f>
        <v>DCE</v>
      </c>
      <c r="E422" s="44">
        <f ca="1">IFERROR(__xludf.DUMMYFUNCTION("""COMPUTED_VALUE"""),4)</f>
        <v>4</v>
      </c>
      <c r="F422" s="42" t="str">
        <f ca="1">IFERROR(__xludf.DUMMYFUNCTION("""COMPUTED_VALUE"""),"9099062719 
9879662719")</f>
        <v>9099062719 
9879662719</v>
      </c>
      <c r="G422" s="42" t="str">
        <f ca="1">IFERROR(__xludf.DUMMYFUNCTION("""COMPUTED_VALUE"""),"9099062719 
9879662719")</f>
        <v>9099062719 
9879662719</v>
      </c>
      <c r="H422" s="2" t="str">
        <f ca="1">IFERROR(__xludf.DUMMYFUNCTION("""COMPUTED_VALUE"""),"DCE_2022-25")</f>
        <v>DCE_2022-25</v>
      </c>
      <c r="I422" s="45" t="str">
        <f ca="1">IFERROR(__xludf.DUMMYFUNCTION("""COMPUTED_VALUE"""),"MYSY")</f>
        <v>MYSY</v>
      </c>
      <c r="J422" s="46">
        <f ca="1">IFERROR(__xludf.DUMMYFUNCTION("""COMPUTED_VALUE"""),25000)</f>
        <v>25000</v>
      </c>
      <c r="K422" s="46">
        <f ca="1">IFERROR(__xludf.DUMMYFUNCTION("""COMPUTED_VALUE"""),0)</f>
        <v>0</v>
      </c>
      <c r="L422" s="46">
        <f ca="1">IFERROR(__xludf.DUMMYFUNCTION("""COMPUTED_VALUE"""),0)</f>
        <v>0</v>
      </c>
      <c r="M422" s="47">
        <f ca="1">IFERROR(__xludf.DUMMYFUNCTION("""COMPUTED_VALUE"""),0)</f>
        <v>0</v>
      </c>
      <c r="N422" s="46">
        <f ca="1">IFERROR(__xludf.DUMMYFUNCTION("""COMPUTED_VALUE"""),25000)</f>
        <v>25000</v>
      </c>
      <c r="O422" s="46">
        <f ca="1">IFERROR(__xludf.DUMMYFUNCTION("""COMPUTED_VALUE"""),3000)</f>
        <v>3000</v>
      </c>
      <c r="P422" s="46">
        <f ca="1">IFERROR(__xludf.DUMMYFUNCTION("""COMPUTED_VALUE"""),3000)</f>
        <v>3000</v>
      </c>
      <c r="Q422" s="47">
        <f ca="1">IFERROR(__xludf.DUMMYFUNCTION("""COMPUTED_VALUE"""),0)</f>
        <v>0</v>
      </c>
      <c r="R422" s="24">
        <f ca="1">IFERROR(__xludf.DUMMYFUNCTION("""COMPUTED_VALUE"""),0)</f>
        <v>0</v>
      </c>
      <c r="S422" s="23">
        <f ca="1">IFERROR(__xludf.DUMMYFUNCTION("""COMPUTED_VALUE"""),0)</f>
        <v>0</v>
      </c>
      <c r="T422" s="48">
        <f ca="1">IFERROR(__xludf.DUMMYFUNCTION("""COMPUTED_VALUE"""),0)</f>
        <v>0</v>
      </c>
      <c r="U422" s="47">
        <f ca="1">IFERROR(__xludf.DUMMYFUNCTION("""COMPUTED_VALUE"""),0)</f>
        <v>0</v>
      </c>
      <c r="V422" s="47">
        <f ca="1">IFERROR(__xludf.DUMMYFUNCTION("""COMPUTED_VALUE"""),0)</f>
        <v>0</v>
      </c>
      <c r="W422" s="47">
        <f ca="1">IFERROR(__xludf.DUMMYFUNCTION("""COMPUTED_VALUE"""),0)</f>
        <v>0</v>
      </c>
      <c r="X422" s="47">
        <f ca="1">IFERROR(__xludf.DUMMYFUNCTION("""COMPUTED_VALUE"""),0)</f>
        <v>0</v>
      </c>
      <c r="Y422" s="44">
        <f ca="1">IFERROR(__xludf.DUMMYFUNCTION("""COMPUTED_VALUE"""),0)</f>
        <v>0</v>
      </c>
      <c r="Z422" s="44">
        <f ca="1">IFERROR(__xludf.DUMMYFUNCTION("""COMPUTED_VALUE"""),0)</f>
        <v>0</v>
      </c>
      <c r="AA422" s="44">
        <f ca="1">IFERROR(__xludf.DUMMYFUNCTION("""COMPUTED_VALUE"""),0)</f>
        <v>0</v>
      </c>
      <c r="AB422" s="44">
        <f ca="1">IFERROR(__xludf.DUMMYFUNCTION("""COMPUTED_VALUE"""),0)</f>
        <v>0</v>
      </c>
      <c r="AC422" s="47">
        <f ca="1">IFERROR(__xludf.DUMMYFUNCTION("""COMPUTED_VALUE"""),0)</f>
        <v>0</v>
      </c>
      <c r="AD422" s="49" t="str">
        <f ca="1">IFERROR(__xludf.DUMMYFUNCTION("""COMPUTED_VALUE"""),"MYSY (50%)")</f>
        <v>MYSY (50%)</v>
      </c>
      <c r="AE422" s="27"/>
    </row>
    <row r="423" spans="1:31" ht="14.3">
      <c r="A423" s="42" t="str">
        <f ca="1">IFERROR(__xludf.DUMMYFUNCTION("""COMPUTED_VALUE"""),"22SDSCE01183")</f>
        <v>22SDSCE01183</v>
      </c>
      <c r="B423" s="43" t="str">
        <f ca="1">IFERROR(__xludf.DUMMYFUNCTION("""COMPUTED_VALUE"""),"DEV RAMJIYANI")</f>
        <v>DEV RAMJIYANI</v>
      </c>
      <c r="C423" s="42" t="str">
        <f ca="1">IFERROR(__xludf.DUMMYFUNCTION("""COMPUTED_VALUE"""),"SDS")</f>
        <v>SDS</v>
      </c>
      <c r="D423" s="42" t="str">
        <f ca="1">IFERROR(__xludf.DUMMYFUNCTION("""COMPUTED_VALUE"""),"DCE")</f>
        <v>DCE</v>
      </c>
      <c r="E423" s="44">
        <f ca="1">IFERROR(__xludf.DUMMYFUNCTION("""COMPUTED_VALUE"""),4)</f>
        <v>4</v>
      </c>
      <c r="F423" s="42" t="str">
        <f ca="1">IFERROR(__xludf.DUMMYFUNCTION("""COMPUTED_VALUE"""),"9316602805 9426789102")</f>
        <v>9316602805 9426789102</v>
      </c>
      <c r="G423" s="42" t="str">
        <f ca="1">IFERROR(__xludf.DUMMYFUNCTION("""COMPUTED_VALUE"""),"9316602805 9426789102")</f>
        <v>9316602805 9426789102</v>
      </c>
      <c r="H423" s="2" t="str">
        <f ca="1">IFERROR(__xludf.DUMMYFUNCTION("""COMPUTED_VALUE"""),"DCE_2022-25")</f>
        <v>DCE_2022-25</v>
      </c>
      <c r="I423" s="45"/>
      <c r="J423" s="46">
        <f ca="1">IFERROR(__xludf.DUMMYFUNCTION("""COMPUTED_VALUE"""),25000)</f>
        <v>25000</v>
      </c>
      <c r="K423" s="46">
        <f ca="1">IFERROR(__xludf.DUMMYFUNCTION("""COMPUTED_VALUE"""),25000)</f>
        <v>25000</v>
      </c>
      <c r="L423" s="46">
        <f ca="1">IFERROR(__xludf.DUMMYFUNCTION("""COMPUTED_VALUE"""),0)</f>
        <v>0</v>
      </c>
      <c r="M423" s="47">
        <f ca="1">IFERROR(__xludf.DUMMYFUNCTION("""COMPUTED_VALUE"""),0)</f>
        <v>0</v>
      </c>
      <c r="N423" s="46">
        <f ca="1">IFERROR(__xludf.DUMMYFUNCTION("""COMPUTED_VALUE"""),0)</f>
        <v>0</v>
      </c>
      <c r="O423" s="46">
        <f ca="1">IFERROR(__xludf.DUMMYFUNCTION("""COMPUTED_VALUE"""),3000)</f>
        <v>3000</v>
      </c>
      <c r="P423" s="46">
        <f ca="1">IFERROR(__xludf.DUMMYFUNCTION("""COMPUTED_VALUE"""),3000)</f>
        <v>3000</v>
      </c>
      <c r="Q423" s="47">
        <f ca="1">IFERROR(__xludf.DUMMYFUNCTION("""COMPUTED_VALUE"""),0)</f>
        <v>0</v>
      </c>
      <c r="R423" s="24">
        <f ca="1">IFERROR(__xludf.DUMMYFUNCTION("""COMPUTED_VALUE"""),0)</f>
        <v>0</v>
      </c>
      <c r="S423" s="23">
        <f ca="1">IFERROR(__xludf.DUMMYFUNCTION("""COMPUTED_VALUE"""),0)</f>
        <v>0</v>
      </c>
      <c r="T423" s="48">
        <f ca="1">IFERROR(__xludf.DUMMYFUNCTION("""COMPUTED_VALUE"""),0)</f>
        <v>0</v>
      </c>
      <c r="U423" s="47">
        <f ca="1">IFERROR(__xludf.DUMMYFUNCTION("""COMPUTED_VALUE"""),0)</f>
        <v>0</v>
      </c>
      <c r="V423" s="47">
        <f ca="1">IFERROR(__xludf.DUMMYFUNCTION("""COMPUTED_VALUE"""),0)</f>
        <v>0</v>
      </c>
      <c r="W423" s="47">
        <f ca="1">IFERROR(__xludf.DUMMYFUNCTION("""COMPUTED_VALUE"""),0)</f>
        <v>0</v>
      </c>
      <c r="X423" s="47">
        <f ca="1">IFERROR(__xludf.DUMMYFUNCTION("""COMPUTED_VALUE"""),0)</f>
        <v>0</v>
      </c>
      <c r="Y423" s="44">
        <f ca="1">IFERROR(__xludf.DUMMYFUNCTION("""COMPUTED_VALUE"""),0)</f>
        <v>0</v>
      </c>
      <c r="Z423" s="44">
        <f ca="1">IFERROR(__xludf.DUMMYFUNCTION("""COMPUTED_VALUE"""),0)</f>
        <v>0</v>
      </c>
      <c r="AA423" s="44">
        <f ca="1">IFERROR(__xludf.DUMMYFUNCTION("""COMPUTED_VALUE"""),0)</f>
        <v>0</v>
      </c>
      <c r="AB423" s="44">
        <f ca="1">IFERROR(__xludf.DUMMYFUNCTION("""COMPUTED_VALUE"""),0)</f>
        <v>0</v>
      </c>
      <c r="AC423" s="47">
        <f ca="1">IFERROR(__xludf.DUMMYFUNCTION("""COMPUTED_VALUE"""),0)</f>
        <v>0</v>
      </c>
      <c r="AD423" s="49"/>
      <c r="AE423" s="27"/>
    </row>
    <row r="424" spans="1:31" ht="14.3">
      <c r="A424" s="42" t="str">
        <f ca="1">IFERROR(__xludf.DUMMYFUNCTION("""COMPUTED_VALUE"""),"22SDSCE01184")</f>
        <v>22SDSCE01184</v>
      </c>
      <c r="B424" s="43" t="str">
        <f ca="1">IFERROR(__xludf.DUMMYFUNCTION("""COMPUTED_VALUE"""),"RANAVAYA DISHA MURUBHAI")</f>
        <v>RANAVAYA DISHA MURUBHAI</v>
      </c>
      <c r="C424" s="42" t="str">
        <f ca="1">IFERROR(__xludf.DUMMYFUNCTION("""COMPUTED_VALUE"""),"SDS")</f>
        <v>SDS</v>
      </c>
      <c r="D424" s="42" t="str">
        <f ca="1">IFERROR(__xludf.DUMMYFUNCTION("""COMPUTED_VALUE"""),"DCE")</f>
        <v>DCE</v>
      </c>
      <c r="E424" s="44">
        <f ca="1">IFERROR(__xludf.DUMMYFUNCTION("""COMPUTED_VALUE"""),4)</f>
        <v>4</v>
      </c>
      <c r="F424" s="42" t="str">
        <f ca="1">IFERROR(__xludf.DUMMYFUNCTION("""COMPUTED_VALUE"""),"7600000664 9537993366")</f>
        <v>7600000664 9537993366</v>
      </c>
      <c r="G424" s="42" t="str">
        <f ca="1">IFERROR(__xludf.DUMMYFUNCTION("""COMPUTED_VALUE"""),"7600000664 9537993366")</f>
        <v>7600000664 9537993366</v>
      </c>
      <c r="H424" s="2" t="str">
        <f ca="1">IFERROR(__xludf.DUMMYFUNCTION("""COMPUTED_VALUE"""),"DCE_2022-25")</f>
        <v>DCE_2022-25</v>
      </c>
      <c r="I424" s="45"/>
      <c r="J424" s="46">
        <f ca="1">IFERROR(__xludf.DUMMYFUNCTION("""COMPUTED_VALUE"""),25000)</f>
        <v>25000</v>
      </c>
      <c r="K424" s="46">
        <f ca="1">IFERROR(__xludf.DUMMYFUNCTION("""COMPUTED_VALUE"""),25000)</f>
        <v>25000</v>
      </c>
      <c r="L424" s="46">
        <f ca="1">IFERROR(__xludf.DUMMYFUNCTION("""COMPUTED_VALUE"""),0)</f>
        <v>0</v>
      </c>
      <c r="M424" s="47">
        <f ca="1">IFERROR(__xludf.DUMMYFUNCTION("""COMPUTED_VALUE"""),0)</f>
        <v>0</v>
      </c>
      <c r="N424" s="46">
        <f ca="1">IFERROR(__xludf.DUMMYFUNCTION("""COMPUTED_VALUE"""),0)</f>
        <v>0</v>
      </c>
      <c r="O424" s="46">
        <f ca="1">IFERROR(__xludf.DUMMYFUNCTION("""COMPUTED_VALUE"""),3000)</f>
        <v>3000</v>
      </c>
      <c r="P424" s="46">
        <f ca="1">IFERROR(__xludf.DUMMYFUNCTION("""COMPUTED_VALUE"""),3000)</f>
        <v>3000</v>
      </c>
      <c r="Q424" s="47">
        <f ca="1">IFERROR(__xludf.DUMMYFUNCTION("""COMPUTED_VALUE"""),0)</f>
        <v>0</v>
      </c>
      <c r="R424" s="24">
        <f ca="1">IFERROR(__xludf.DUMMYFUNCTION("""COMPUTED_VALUE"""),0)</f>
        <v>0</v>
      </c>
      <c r="S424" s="23">
        <f ca="1">IFERROR(__xludf.DUMMYFUNCTION("""COMPUTED_VALUE"""),0)</f>
        <v>0</v>
      </c>
      <c r="T424" s="48">
        <f ca="1">IFERROR(__xludf.DUMMYFUNCTION("""COMPUTED_VALUE"""),0)</f>
        <v>0</v>
      </c>
      <c r="U424" s="47">
        <f ca="1">IFERROR(__xludf.DUMMYFUNCTION("""COMPUTED_VALUE"""),0)</f>
        <v>0</v>
      </c>
      <c r="V424" s="47">
        <f ca="1">IFERROR(__xludf.DUMMYFUNCTION("""COMPUTED_VALUE"""),0)</f>
        <v>0</v>
      </c>
      <c r="W424" s="47">
        <f ca="1">IFERROR(__xludf.DUMMYFUNCTION("""COMPUTED_VALUE"""),0)</f>
        <v>0</v>
      </c>
      <c r="X424" s="47">
        <f ca="1">IFERROR(__xludf.DUMMYFUNCTION("""COMPUTED_VALUE"""),0)</f>
        <v>0</v>
      </c>
      <c r="Y424" s="44">
        <f ca="1">IFERROR(__xludf.DUMMYFUNCTION("""COMPUTED_VALUE"""),0)</f>
        <v>0</v>
      </c>
      <c r="Z424" s="44">
        <f ca="1">IFERROR(__xludf.DUMMYFUNCTION("""COMPUTED_VALUE"""),0)</f>
        <v>0</v>
      </c>
      <c r="AA424" s="44">
        <f ca="1">IFERROR(__xludf.DUMMYFUNCTION("""COMPUTED_VALUE"""),0)</f>
        <v>0</v>
      </c>
      <c r="AB424" s="44">
        <f ca="1">IFERROR(__xludf.DUMMYFUNCTION("""COMPUTED_VALUE"""),0)</f>
        <v>0</v>
      </c>
      <c r="AC424" s="47">
        <f ca="1">IFERROR(__xludf.DUMMYFUNCTION("""COMPUTED_VALUE"""),0)</f>
        <v>0</v>
      </c>
      <c r="AD424" s="49"/>
      <c r="AE424" s="27"/>
    </row>
    <row r="425" spans="1:31" ht="14.3">
      <c r="A425" s="42" t="str">
        <f ca="1">IFERROR(__xludf.DUMMYFUNCTION("""COMPUTED_VALUE"""),"22SDSCE01185")</f>
        <v>22SDSCE01185</v>
      </c>
      <c r="B425" s="43" t="str">
        <f ca="1">IFERROR(__xludf.DUMMYFUNCTION("""COMPUTED_VALUE"""),"RATHOD ROHIT RANJITBHAI")</f>
        <v>RATHOD ROHIT RANJITBHAI</v>
      </c>
      <c r="C425" s="42" t="str">
        <f ca="1">IFERROR(__xludf.DUMMYFUNCTION("""COMPUTED_VALUE"""),"SDS")</f>
        <v>SDS</v>
      </c>
      <c r="D425" s="42" t="str">
        <f ca="1">IFERROR(__xludf.DUMMYFUNCTION("""COMPUTED_VALUE"""),"DCE")</f>
        <v>DCE</v>
      </c>
      <c r="E425" s="44">
        <f ca="1">IFERROR(__xludf.DUMMYFUNCTION("""COMPUTED_VALUE"""),4)</f>
        <v>4</v>
      </c>
      <c r="F425" s="42" t="str">
        <f ca="1">IFERROR(__xludf.DUMMYFUNCTION("""COMPUTED_VALUE"""),"9275380872")</f>
        <v>9275380872</v>
      </c>
      <c r="G425" s="42" t="str">
        <f ca="1">IFERROR(__xludf.DUMMYFUNCTION("""COMPUTED_VALUE"""),"9275380872")</f>
        <v>9275380872</v>
      </c>
      <c r="H425" s="2" t="str">
        <f ca="1">IFERROR(__xludf.DUMMYFUNCTION("""COMPUTED_VALUE"""),"DCE_2022-25")</f>
        <v>DCE_2022-25</v>
      </c>
      <c r="I425" s="45" t="str">
        <f ca="1">IFERROR(__xludf.DUMMYFUNCTION("""COMPUTED_VALUE"""),"KSP")</f>
        <v>KSP</v>
      </c>
      <c r="J425" s="46">
        <f ca="1">IFERROR(__xludf.DUMMYFUNCTION("""COMPUTED_VALUE"""),25000)</f>
        <v>25000</v>
      </c>
      <c r="K425" s="46">
        <f ca="1">IFERROR(__xludf.DUMMYFUNCTION("""COMPUTED_VALUE"""),18750)</f>
        <v>18750</v>
      </c>
      <c r="L425" s="46">
        <f ca="1">IFERROR(__xludf.DUMMYFUNCTION("""COMPUTED_VALUE"""),0)</f>
        <v>0</v>
      </c>
      <c r="M425" s="47">
        <f ca="1">IFERROR(__xludf.DUMMYFUNCTION("""COMPUTED_VALUE"""),6250)</f>
        <v>6250</v>
      </c>
      <c r="N425" s="46">
        <f ca="1">IFERROR(__xludf.DUMMYFUNCTION("""COMPUTED_VALUE"""),0)</f>
        <v>0</v>
      </c>
      <c r="O425" s="46">
        <f ca="1">IFERROR(__xludf.DUMMYFUNCTION("""COMPUTED_VALUE"""),3000)</f>
        <v>3000</v>
      </c>
      <c r="P425" s="46">
        <f ca="1">IFERROR(__xludf.DUMMYFUNCTION("""COMPUTED_VALUE"""),3000)</f>
        <v>3000</v>
      </c>
      <c r="Q425" s="47">
        <f ca="1">IFERROR(__xludf.DUMMYFUNCTION("""COMPUTED_VALUE"""),0)</f>
        <v>0</v>
      </c>
      <c r="R425" s="24">
        <f ca="1">IFERROR(__xludf.DUMMYFUNCTION("""COMPUTED_VALUE"""),0)</f>
        <v>0</v>
      </c>
      <c r="S425" s="23">
        <f ca="1">IFERROR(__xludf.DUMMYFUNCTION("""COMPUTED_VALUE"""),0)</f>
        <v>0</v>
      </c>
      <c r="T425" s="48">
        <f ca="1">IFERROR(__xludf.DUMMYFUNCTION("""COMPUTED_VALUE"""),0)</f>
        <v>0</v>
      </c>
      <c r="U425" s="47">
        <f ca="1">IFERROR(__xludf.DUMMYFUNCTION("""COMPUTED_VALUE"""),0)</f>
        <v>0</v>
      </c>
      <c r="V425" s="47">
        <f ca="1">IFERROR(__xludf.DUMMYFUNCTION("""COMPUTED_VALUE"""),0)</f>
        <v>0</v>
      </c>
      <c r="W425" s="47">
        <f ca="1">IFERROR(__xludf.DUMMYFUNCTION("""COMPUTED_VALUE"""),0)</f>
        <v>0</v>
      </c>
      <c r="X425" s="47">
        <f ca="1">IFERROR(__xludf.DUMMYFUNCTION("""COMPUTED_VALUE"""),0)</f>
        <v>0</v>
      </c>
      <c r="Y425" s="44">
        <f ca="1">IFERROR(__xludf.DUMMYFUNCTION("""COMPUTED_VALUE"""),0)</f>
        <v>0</v>
      </c>
      <c r="Z425" s="44">
        <f ca="1">IFERROR(__xludf.DUMMYFUNCTION("""COMPUTED_VALUE"""),0)</f>
        <v>0</v>
      </c>
      <c r="AA425" s="44">
        <f ca="1">IFERROR(__xludf.DUMMYFUNCTION("""COMPUTED_VALUE"""),0)</f>
        <v>0</v>
      </c>
      <c r="AB425" s="44">
        <f ca="1">IFERROR(__xludf.DUMMYFUNCTION("""COMPUTED_VALUE"""),0)</f>
        <v>0</v>
      </c>
      <c r="AC425" s="47">
        <f ca="1">IFERROR(__xludf.DUMMYFUNCTION("""COMPUTED_VALUE"""),0)</f>
        <v>0</v>
      </c>
      <c r="AD425" s="49" t="str">
        <f ca="1">IFERROR(__xludf.DUMMYFUNCTION("""COMPUTED_VALUE"""),"6250 PER SEM SCHOLARSHIP")</f>
        <v>6250 PER SEM SCHOLARSHIP</v>
      </c>
      <c r="AE425" s="27"/>
    </row>
    <row r="426" spans="1:31" ht="14.3">
      <c r="A426" s="42" t="str">
        <f ca="1">IFERROR(__xludf.DUMMYFUNCTION("""COMPUTED_VALUE"""),"22SDSCE01186")</f>
        <v>22SDSCE01186</v>
      </c>
      <c r="B426" s="43" t="str">
        <f ca="1">IFERROR(__xludf.DUMMYFUNCTION("""COMPUTED_VALUE"""),"SADIKOT ALIFIYA MUSTAFABHAI")</f>
        <v>SADIKOT ALIFIYA MUSTAFABHAI</v>
      </c>
      <c r="C426" s="42" t="str">
        <f ca="1">IFERROR(__xludf.DUMMYFUNCTION("""COMPUTED_VALUE"""),"SDS")</f>
        <v>SDS</v>
      </c>
      <c r="D426" s="42" t="str">
        <f ca="1">IFERROR(__xludf.DUMMYFUNCTION("""COMPUTED_VALUE"""),"DCE")</f>
        <v>DCE</v>
      </c>
      <c r="E426" s="44">
        <f ca="1">IFERROR(__xludf.DUMMYFUNCTION("""COMPUTED_VALUE"""),4)</f>
        <v>4</v>
      </c>
      <c r="F426" s="42" t="str">
        <f ca="1">IFERROR(__xludf.DUMMYFUNCTION("""COMPUTED_VALUE"""),"8799680149 9723660972")</f>
        <v>8799680149 9723660972</v>
      </c>
      <c r="G426" s="42" t="str">
        <f ca="1">IFERROR(__xludf.DUMMYFUNCTION("""COMPUTED_VALUE"""),"8799680149 9723660972")</f>
        <v>8799680149 9723660972</v>
      </c>
      <c r="H426" s="2" t="str">
        <f ca="1">IFERROR(__xludf.DUMMYFUNCTION("""COMPUTED_VALUE"""),"DCE_2022-25")</f>
        <v>DCE_2022-25</v>
      </c>
      <c r="I426" s="45"/>
      <c r="J426" s="46">
        <f ca="1">IFERROR(__xludf.DUMMYFUNCTION("""COMPUTED_VALUE"""),25000)</f>
        <v>25000</v>
      </c>
      <c r="K426" s="46">
        <f ca="1">IFERROR(__xludf.DUMMYFUNCTION("""COMPUTED_VALUE"""),25000)</f>
        <v>25000</v>
      </c>
      <c r="L426" s="46">
        <f ca="1">IFERROR(__xludf.DUMMYFUNCTION("""COMPUTED_VALUE"""),0)</f>
        <v>0</v>
      </c>
      <c r="M426" s="47">
        <f ca="1">IFERROR(__xludf.DUMMYFUNCTION("""COMPUTED_VALUE"""),0)</f>
        <v>0</v>
      </c>
      <c r="N426" s="46">
        <f ca="1">IFERROR(__xludf.DUMMYFUNCTION("""COMPUTED_VALUE"""),0)</f>
        <v>0</v>
      </c>
      <c r="O426" s="46">
        <f ca="1">IFERROR(__xludf.DUMMYFUNCTION("""COMPUTED_VALUE"""),3000)</f>
        <v>3000</v>
      </c>
      <c r="P426" s="46">
        <f ca="1">IFERROR(__xludf.DUMMYFUNCTION("""COMPUTED_VALUE"""),3000)</f>
        <v>3000</v>
      </c>
      <c r="Q426" s="47">
        <f ca="1">IFERROR(__xludf.DUMMYFUNCTION("""COMPUTED_VALUE"""),0)</f>
        <v>0</v>
      </c>
      <c r="R426" s="24">
        <f ca="1">IFERROR(__xludf.DUMMYFUNCTION("""COMPUTED_VALUE"""),0)</f>
        <v>0</v>
      </c>
      <c r="S426" s="23">
        <f ca="1">IFERROR(__xludf.DUMMYFUNCTION("""COMPUTED_VALUE"""),0)</f>
        <v>0</v>
      </c>
      <c r="T426" s="48">
        <f ca="1">IFERROR(__xludf.DUMMYFUNCTION("""COMPUTED_VALUE"""),0)</f>
        <v>0</v>
      </c>
      <c r="U426" s="47">
        <f ca="1">IFERROR(__xludf.DUMMYFUNCTION("""COMPUTED_VALUE"""),0)</f>
        <v>0</v>
      </c>
      <c r="V426" s="47">
        <f ca="1">IFERROR(__xludf.DUMMYFUNCTION("""COMPUTED_VALUE"""),0)</f>
        <v>0</v>
      </c>
      <c r="W426" s="47">
        <f ca="1">IFERROR(__xludf.DUMMYFUNCTION("""COMPUTED_VALUE"""),0)</f>
        <v>0</v>
      </c>
      <c r="X426" s="47">
        <f ca="1">IFERROR(__xludf.DUMMYFUNCTION("""COMPUTED_VALUE"""),0)</f>
        <v>0</v>
      </c>
      <c r="Y426" s="44">
        <f ca="1">IFERROR(__xludf.DUMMYFUNCTION("""COMPUTED_VALUE"""),0)</f>
        <v>0</v>
      </c>
      <c r="Z426" s="44">
        <f ca="1">IFERROR(__xludf.DUMMYFUNCTION("""COMPUTED_VALUE"""),0)</f>
        <v>0</v>
      </c>
      <c r="AA426" s="44">
        <f ca="1">IFERROR(__xludf.DUMMYFUNCTION("""COMPUTED_VALUE"""),0)</f>
        <v>0</v>
      </c>
      <c r="AB426" s="44">
        <f ca="1">IFERROR(__xludf.DUMMYFUNCTION("""COMPUTED_VALUE"""),0)</f>
        <v>0</v>
      </c>
      <c r="AC426" s="47">
        <f ca="1">IFERROR(__xludf.DUMMYFUNCTION("""COMPUTED_VALUE"""),0)</f>
        <v>0</v>
      </c>
      <c r="AD426" s="49" t="str">
        <f ca="1">IFERROR(__xludf.DUMMYFUNCTION("""COMPUTED_VALUE"""),"6250 PER SEM SCHOLARSHIP")</f>
        <v>6250 PER SEM SCHOLARSHIP</v>
      </c>
      <c r="AE426" s="27"/>
    </row>
    <row r="427" spans="1:31" ht="14.3">
      <c r="A427" s="42" t="str">
        <f ca="1">IFERROR(__xludf.DUMMYFUNCTION("""COMPUTED_VALUE"""),"22SDSCE01187")</f>
        <v>22SDSCE01187</v>
      </c>
      <c r="B427" s="43" t="str">
        <f ca="1">IFERROR(__xludf.DUMMYFUNCTION("""COMPUTED_VALUE"""),"SANGANI DEVANSH ASHVINBHAI")</f>
        <v>SANGANI DEVANSH ASHVINBHAI</v>
      </c>
      <c r="C427" s="42" t="str">
        <f ca="1">IFERROR(__xludf.DUMMYFUNCTION("""COMPUTED_VALUE"""),"SDS")</f>
        <v>SDS</v>
      </c>
      <c r="D427" s="42" t="str">
        <f ca="1">IFERROR(__xludf.DUMMYFUNCTION("""COMPUTED_VALUE"""),"DCE")</f>
        <v>DCE</v>
      </c>
      <c r="E427" s="44">
        <f ca="1">IFERROR(__xludf.DUMMYFUNCTION("""COMPUTED_VALUE"""),4)</f>
        <v>4</v>
      </c>
      <c r="F427" s="42" t="str">
        <f ca="1">IFERROR(__xludf.DUMMYFUNCTION("""COMPUTED_VALUE"""),"9427942526
8849636011")</f>
        <v>9427942526
8849636011</v>
      </c>
      <c r="G427" s="42" t="str">
        <f ca="1">IFERROR(__xludf.DUMMYFUNCTION("""COMPUTED_VALUE"""),"9427942526
8849636011")</f>
        <v>9427942526
8849636011</v>
      </c>
      <c r="H427" s="2" t="str">
        <f ca="1">IFERROR(__xludf.DUMMYFUNCTION("""COMPUTED_VALUE"""),"DCE_2022-25")</f>
        <v>DCE_2022-25</v>
      </c>
      <c r="I427" s="45"/>
      <c r="J427" s="46">
        <f ca="1">IFERROR(__xludf.DUMMYFUNCTION("""COMPUTED_VALUE"""),25000)</f>
        <v>25000</v>
      </c>
      <c r="K427" s="46">
        <f ca="1">IFERROR(__xludf.DUMMYFUNCTION("""COMPUTED_VALUE"""),0)</f>
        <v>0</v>
      </c>
      <c r="L427" s="46">
        <f ca="1">IFERROR(__xludf.DUMMYFUNCTION("""COMPUTED_VALUE"""),0)</f>
        <v>0</v>
      </c>
      <c r="M427" s="47">
        <f ca="1">IFERROR(__xludf.DUMMYFUNCTION("""COMPUTED_VALUE"""),0)</f>
        <v>0</v>
      </c>
      <c r="N427" s="46">
        <f ca="1">IFERROR(__xludf.DUMMYFUNCTION("""COMPUTED_VALUE"""),25000)</f>
        <v>25000</v>
      </c>
      <c r="O427" s="46">
        <f ca="1">IFERROR(__xludf.DUMMYFUNCTION("""COMPUTED_VALUE"""),3000)</f>
        <v>3000</v>
      </c>
      <c r="P427" s="46">
        <f ca="1">IFERROR(__xludf.DUMMYFUNCTION("""COMPUTED_VALUE"""),0)</f>
        <v>0</v>
      </c>
      <c r="Q427" s="47">
        <f ca="1">IFERROR(__xludf.DUMMYFUNCTION("""COMPUTED_VALUE"""),0)</f>
        <v>0</v>
      </c>
      <c r="R427" s="24">
        <f ca="1">IFERROR(__xludf.DUMMYFUNCTION("""COMPUTED_VALUE"""),0)</f>
        <v>0</v>
      </c>
      <c r="S427" s="23">
        <f ca="1">IFERROR(__xludf.DUMMYFUNCTION("""COMPUTED_VALUE"""),3000)</f>
        <v>3000</v>
      </c>
      <c r="T427" s="48">
        <f ca="1">IFERROR(__xludf.DUMMYFUNCTION("""COMPUTED_VALUE"""),0)</f>
        <v>0</v>
      </c>
      <c r="U427" s="47">
        <f ca="1">IFERROR(__xludf.DUMMYFUNCTION("""COMPUTED_VALUE"""),0)</f>
        <v>0</v>
      </c>
      <c r="V427" s="47">
        <f ca="1">IFERROR(__xludf.DUMMYFUNCTION("""COMPUTED_VALUE"""),0)</f>
        <v>0</v>
      </c>
      <c r="W427" s="47">
        <f ca="1">IFERROR(__xludf.DUMMYFUNCTION("""COMPUTED_VALUE"""),0)</f>
        <v>0</v>
      </c>
      <c r="X427" s="47">
        <f ca="1">IFERROR(__xludf.DUMMYFUNCTION("""COMPUTED_VALUE"""),0)</f>
        <v>0</v>
      </c>
      <c r="Y427" s="44">
        <f ca="1">IFERROR(__xludf.DUMMYFUNCTION("""COMPUTED_VALUE"""),0)</f>
        <v>0</v>
      </c>
      <c r="Z427" s="44">
        <f ca="1">IFERROR(__xludf.DUMMYFUNCTION("""COMPUTED_VALUE"""),0)</f>
        <v>0</v>
      </c>
      <c r="AA427" s="44">
        <f ca="1">IFERROR(__xludf.DUMMYFUNCTION("""COMPUTED_VALUE"""),0)</f>
        <v>0</v>
      </c>
      <c r="AB427" s="44">
        <f ca="1">IFERROR(__xludf.DUMMYFUNCTION("""COMPUTED_VALUE"""),0)</f>
        <v>0</v>
      </c>
      <c r="AC427" s="47">
        <f ca="1">IFERROR(__xludf.DUMMYFUNCTION("""COMPUTED_VALUE"""),0)</f>
        <v>0</v>
      </c>
      <c r="AD427" s="49"/>
      <c r="AE427" s="27"/>
    </row>
    <row r="428" spans="1:31" ht="14.3">
      <c r="A428" s="42" t="str">
        <f ca="1">IFERROR(__xludf.DUMMYFUNCTION("""COMPUTED_VALUE"""),"22SDSCE01188")</f>
        <v>22SDSCE01188</v>
      </c>
      <c r="B428" s="43" t="str">
        <f ca="1">IFERROR(__xludf.DUMMYFUNCTION("""COMPUTED_VALUE"""),"SHAH DHRUV MEHUL")</f>
        <v>SHAH DHRUV MEHUL</v>
      </c>
      <c r="C428" s="42" t="str">
        <f ca="1">IFERROR(__xludf.DUMMYFUNCTION("""COMPUTED_VALUE"""),"SDS")</f>
        <v>SDS</v>
      </c>
      <c r="D428" s="42" t="str">
        <f ca="1">IFERROR(__xludf.DUMMYFUNCTION("""COMPUTED_VALUE"""),"DCE")</f>
        <v>DCE</v>
      </c>
      <c r="E428" s="44">
        <f ca="1">IFERROR(__xludf.DUMMYFUNCTION("""COMPUTED_VALUE"""),4)</f>
        <v>4</v>
      </c>
      <c r="F428" s="42" t="str">
        <f ca="1">IFERROR(__xludf.DUMMYFUNCTION("""COMPUTED_VALUE"""),"8866436831 9510736831")</f>
        <v>8866436831 9510736831</v>
      </c>
      <c r="G428" s="42" t="str">
        <f ca="1">IFERROR(__xludf.DUMMYFUNCTION("""COMPUTED_VALUE"""),"8866436831 9510736831")</f>
        <v>8866436831 9510736831</v>
      </c>
      <c r="H428" s="2" t="str">
        <f ca="1">IFERROR(__xludf.DUMMYFUNCTION("""COMPUTED_VALUE"""),"DCE_2022-25")</f>
        <v>DCE_2022-25</v>
      </c>
      <c r="I428" s="45"/>
      <c r="J428" s="46">
        <f ca="1">IFERROR(__xludf.DUMMYFUNCTION("""COMPUTED_VALUE"""),25000)</f>
        <v>25000</v>
      </c>
      <c r="K428" s="46">
        <f ca="1">IFERROR(__xludf.DUMMYFUNCTION("""COMPUTED_VALUE"""),25000)</f>
        <v>25000</v>
      </c>
      <c r="L428" s="46">
        <f ca="1">IFERROR(__xludf.DUMMYFUNCTION("""COMPUTED_VALUE"""),0)</f>
        <v>0</v>
      </c>
      <c r="M428" s="47">
        <f ca="1">IFERROR(__xludf.DUMMYFUNCTION("""COMPUTED_VALUE"""),0)</f>
        <v>0</v>
      </c>
      <c r="N428" s="46">
        <f ca="1">IFERROR(__xludf.DUMMYFUNCTION("""COMPUTED_VALUE"""),0)</f>
        <v>0</v>
      </c>
      <c r="O428" s="46">
        <f ca="1">IFERROR(__xludf.DUMMYFUNCTION("""COMPUTED_VALUE"""),3000)</f>
        <v>3000</v>
      </c>
      <c r="P428" s="46">
        <f ca="1">IFERROR(__xludf.DUMMYFUNCTION("""COMPUTED_VALUE"""),3000)</f>
        <v>3000</v>
      </c>
      <c r="Q428" s="47">
        <f ca="1">IFERROR(__xludf.DUMMYFUNCTION("""COMPUTED_VALUE"""),0)</f>
        <v>0</v>
      </c>
      <c r="R428" s="24">
        <f ca="1">IFERROR(__xludf.DUMMYFUNCTION("""COMPUTED_VALUE"""),0)</f>
        <v>0</v>
      </c>
      <c r="S428" s="23">
        <f ca="1">IFERROR(__xludf.DUMMYFUNCTION("""COMPUTED_VALUE"""),0)</f>
        <v>0</v>
      </c>
      <c r="T428" s="48">
        <f ca="1">IFERROR(__xludf.DUMMYFUNCTION("""COMPUTED_VALUE"""),0)</f>
        <v>0</v>
      </c>
      <c r="U428" s="47">
        <f ca="1">IFERROR(__xludf.DUMMYFUNCTION("""COMPUTED_VALUE"""),0)</f>
        <v>0</v>
      </c>
      <c r="V428" s="47">
        <f ca="1">IFERROR(__xludf.DUMMYFUNCTION("""COMPUTED_VALUE"""),0)</f>
        <v>0</v>
      </c>
      <c r="W428" s="47">
        <f ca="1">IFERROR(__xludf.DUMMYFUNCTION("""COMPUTED_VALUE"""),0)</f>
        <v>0</v>
      </c>
      <c r="X428" s="47">
        <f ca="1">IFERROR(__xludf.DUMMYFUNCTION("""COMPUTED_VALUE"""),0)</f>
        <v>0</v>
      </c>
      <c r="Y428" s="44">
        <f ca="1">IFERROR(__xludf.DUMMYFUNCTION("""COMPUTED_VALUE"""),0)</f>
        <v>0</v>
      </c>
      <c r="Z428" s="44">
        <f ca="1">IFERROR(__xludf.DUMMYFUNCTION("""COMPUTED_VALUE"""),0)</f>
        <v>0</v>
      </c>
      <c r="AA428" s="44">
        <f ca="1">IFERROR(__xludf.DUMMYFUNCTION("""COMPUTED_VALUE"""),0)</f>
        <v>0</v>
      </c>
      <c r="AB428" s="44">
        <f ca="1">IFERROR(__xludf.DUMMYFUNCTION("""COMPUTED_VALUE"""),0)</f>
        <v>0</v>
      </c>
      <c r="AC428" s="47">
        <f ca="1">IFERROR(__xludf.DUMMYFUNCTION("""COMPUTED_VALUE"""),0)</f>
        <v>0</v>
      </c>
      <c r="AD428" s="49"/>
      <c r="AE428" s="27"/>
    </row>
    <row r="429" spans="1:31" ht="14.3">
      <c r="A429" s="42" t="str">
        <f ca="1">IFERROR(__xludf.DUMMYFUNCTION("""COMPUTED_VALUE"""),"22SDSCE01189")</f>
        <v>22SDSCE01189</v>
      </c>
      <c r="B429" s="43" t="str">
        <f ca="1">IFERROR(__xludf.DUMMYFUNCTION("""COMPUTED_VALUE"""),"SITAPARA FORAMBEN HIRENBHAI")</f>
        <v>SITAPARA FORAMBEN HIRENBHAI</v>
      </c>
      <c r="C429" s="42" t="str">
        <f ca="1">IFERROR(__xludf.DUMMYFUNCTION("""COMPUTED_VALUE"""),"SDS")</f>
        <v>SDS</v>
      </c>
      <c r="D429" s="42" t="str">
        <f ca="1">IFERROR(__xludf.DUMMYFUNCTION("""COMPUTED_VALUE"""),"DCE")</f>
        <v>DCE</v>
      </c>
      <c r="E429" s="44">
        <f ca="1">IFERROR(__xludf.DUMMYFUNCTION("""COMPUTED_VALUE"""),4)</f>
        <v>4</v>
      </c>
      <c r="F429" s="42" t="str">
        <f ca="1">IFERROR(__xludf.DUMMYFUNCTION("""COMPUTED_VALUE"""),"7016770874 9825747970")</f>
        <v>7016770874 9825747970</v>
      </c>
      <c r="G429" s="42" t="str">
        <f ca="1">IFERROR(__xludf.DUMMYFUNCTION("""COMPUTED_VALUE"""),"7016770874 9825747970")</f>
        <v>7016770874 9825747970</v>
      </c>
      <c r="H429" s="2" t="str">
        <f ca="1">IFERROR(__xludf.DUMMYFUNCTION("""COMPUTED_VALUE"""),"DCE_2022-25")</f>
        <v>DCE_2022-25</v>
      </c>
      <c r="I429" s="45" t="str">
        <f ca="1">IFERROR(__xludf.DUMMYFUNCTION("""COMPUTED_VALUE"""),"MYSY")</f>
        <v>MYSY</v>
      </c>
      <c r="J429" s="46">
        <f ca="1">IFERROR(__xludf.DUMMYFUNCTION("""COMPUTED_VALUE"""),25000)</f>
        <v>25000</v>
      </c>
      <c r="K429" s="46">
        <f ca="1">IFERROR(__xludf.DUMMYFUNCTION("""COMPUTED_VALUE"""),0)</f>
        <v>0</v>
      </c>
      <c r="L429" s="46">
        <f ca="1">IFERROR(__xludf.DUMMYFUNCTION("""COMPUTED_VALUE"""),0)</f>
        <v>0</v>
      </c>
      <c r="M429" s="47">
        <f ca="1">IFERROR(__xludf.DUMMYFUNCTION("""COMPUTED_VALUE"""),0)</f>
        <v>0</v>
      </c>
      <c r="N429" s="46">
        <f ca="1">IFERROR(__xludf.DUMMYFUNCTION("""COMPUTED_VALUE"""),25000)</f>
        <v>25000</v>
      </c>
      <c r="O429" s="46">
        <f ca="1">IFERROR(__xludf.DUMMYFUNCTION("""COMPUTED_VALUE"""),3000)</f>
        <v>3000</v>
      </c>
      <c r="P429" s="46">
        <f ca="1">IFERROR(__xludf.DUMMYFUNCTION("""COMPUTED_VALUE"""),3000)</f>
        <v>3000</v>
      </c>
      <c r="Q429" s="47">
        <f ca="1">IFERROR(__xludf.DUMMYFUNCTION("""COMPUTED_VALUE"""),0)</f>
        <v>0</v>
      </c>
      <c r="R429" s="24">
        <f ca="1">IFERROR(__xludf.DUMMYFUNCTION("""COMPUTED_VALUE"""),0)</f>
        <v>0</v>
      </c>
      <c r="S429" s="23">
        <f ca="1">IFERROR(__xludf.DUMMYFUNCTION("""COMPUTED_VALUE"""),0)</f>
        <v>0</v>
      </c>
      <c r="T429" s="48">
        <f ca="1">IFERROR(__xludf.DUMMYFUNCTION("""COMPUTED_VALUE"""),0)</f>
        <v>0</v>
      </c>
      <c r="U429" s="47">
        <f ca="1">IFERROR(__xludf.DUMMYFUNCTION("""COMPUTED_VALUE"""),0)</f>
        <v>0</v>
      </c>
      <c r="V429" s="47">
        <f ca="1">IFERROR(__xludf.DUMMYFUNCTION("""COMPUTED_VALUE"""),0)</f>
        <v>0</v>
      </c>
      <c r="W429" s="47">
        <f ca="1">IFERROR(__xludf.DUMMYFUNCTION("""COMPUTED_VALUE"""),0)</f>
        <v>0</v>
      </c>
      <c r="X429" s="47">
        <f ca="1">IFERROR(__xludf.DUMMYFUNCTION("""COMPUTED_VALUE"""),0)</f>
        <v>0</v>
      </c>
      <c r="Y429" s="44">
        <f ca="1">IFERROR(__xludf.DUMMYFUNCTION("""COMPUTED_VALUE"""),0)</f>
        <v>0</v>
      </c>
      <c r="Z429" s="44">
        <f ca="1">IFERROR(__xludf.DUMMYFUNCTION("""COMPUTED_VALUE"""),0)</f>
        <v>0</v>
      </c>
      <c r="AA429" s="44">
        <f ca="1">IFERROR(__xludf.DUMMYFUNCTION("""COMPUTED_VALUE"""),0)</f>
        <v>0</v>
      </c>
      <c r="AB429" s="44">
        <f ca="1">IFERROR(__xludf.DUMMYFUNCTION("""COMPUTED_VALUE"""),0)</f>
        <v>0</v>
      </c>
      <c r="AC429" s="47">
        <f ca="1">IFERROR(__xludf.DUMMYFUNCTION("""COMPUTED_VALUE"""),0)</f>
        <v>0</v>
      </c>
      <c r="AD429" s="49" t="str">
        <f ca="1">IFERROR(__xludf.DUMMYFUNCTION("""COMPUTED_VALUE"""),"MYSY (50%)")</f>
        <v>MYSY (50%)</v>
      </c>
      <c r="AE429" s="27"/>
    </row>
    <row r="430" spans="1:31" ht="14.3">
      <c r="A430" s="42" t="str">
        <f ca="1">IFERROR(__xludf.DUMMYFUNCTION("""COMPUTED_VALUE"""),"22SDSCE01190")</f>
        <v>22SDSCE01190</v>
      </c>
      <c r="B430" s="43" t="str">
        <f ca="1">IFERROR(__xludf.DUMMYFUNCTION("""COMPUTED_VALUE"""),"SOLANKI TUSHAR NATUBHAI")</f>
        <v>SOLANKI TUSHAR NATUBHAI</v>
      </c>
      <c r="C430" s="42" t="str">
        <f ca="1">IFERROR(__xludf.DUMMYFUNCTION("""COMPUTED_VALUE"""),"SDS")</f>
        <v>SDS</v>
      </c>
      <c r="D430" s="42" t="str">
        <f ca="1">IFERROR(__xludf.DUMMYFUNCTION("""COMPUTED_VALUE"""),"DCE")</f>
        <v>DCE</v>
      </c>
      <c r="E430" s="44">
        <f ca="1">IFERROR(__xludf.DUMMYFUNCTION("""COMPUTED_VALUE"""),4)</f>
        <v>4</v>
      </c>
      <c r="F430" s="42" t="str">
        <f ca="1">IFERROR(__xludf.DUMMYFUNCTION("""COMPUTED_VALUE"""),"9909299349 9909599349")</f>
        <v>9909299349 9909599349</v>
      </c>
      <c r="G430" s="42" t="str">
        <f ca="1">IFERROR(__xludf.DUMMYFUNCTION("""COMPUTED_VALUE"""),"9909299349 9909599349")</f>
        <v>9909299349 9909599349</v>
      </c>
      <c r="H430" s="2" t="str">
        <f ca="1">IFERROR(__xludf.DUMMYFUNCTION("""COMPUTED_VALUE"""),"DCE_2022-25")</f>
        <v>DCE_2022-25</v>
      </c>
      <c r="I430" s="45"/>
      <c r="J430" s="46">
        <f ca="1">IFERROR(__xludf.DUMMYFUNCTION("""COMPUTED_VALUE"""),25000)</f>
        <v>25000</v>
      </c>
      <c r="K430" s="46">
        <f ca="1">IFERROR(__xludf.DUMMYFUNCTION("""COMPUTED_VALUE"""),25000)</f>
        <v>25000</v>
      </c>
      <c r="L430" s="46">
        <f ca="1">IFERROR(__xludf.DUMMYFUNCTION("""COMPUTED_VALUE"""),0)</f>
        <v>0</v>
      </c>
      <c r="M430" s="47">
        <f ca="1">IFERROR(__xludf.DUMMYFUNCTION("""COMPUTED_VALUE"""),0)</f>
        <v>0</v>
      </c>
      <c r="N430" s="46">
        <f ca="1">IFERROR(__xludf.DUMMYFUNCTION("""COMPUTED_VALUE"""),0)</f>
        <v>0</v>
      </c>
      <c r="O430" s="46">
        <f ca="1">IFERROR(__xludf.DUMMYFUNCTION("""COMPUTED_VALUE"""),3000)</f>
        <v>3000</v>
      </c>
      <c r="P430" s="46">
        <f ca="1">IFERROR(__xludf.DUMMYFUNCTION("""COMPUTED_VALUE"""),3000)</f>
        <v>3000</v>
      </c>
      <c r="Q430" s="47">
        <f ca="1">IFERROR(__xludf.DUMMYFUNCTION("""COMPUTED_VALUE"""),0)</f>
        <v>0</v>
      </c>
      <c r="R430" s="24">
        <f ca="1">IFERROR(__xludf.DUMMYFUNCTION("""COMPUTED_VALUE"""),0)</f>
        <v>0</v>
      </c>
      <c r="S430" s="23">
        <f ca="1">IFERROR(__xludf.DUMMYFUNCTION("""COMPUTED_VALUE"""),0)</f>
        <v>0</v>
      </c>
      <c r="T430" s="48">
        <f ca="1">IFERROR(__xludf.DUMMYFUNCTION("""COMPUTED_VALUE"""),0)</f>
        <v>0</v>
      </c>
      <c r="U430" s="47">
        <f ca="1">IFERROR(__xludf.DUMMYFUNCTION("""COMPUTED_VALUE"""),0)</f>
        <v>0</v>
      </c>
      <c r="V430" s="47">
        <f ca="1">IFERROR(__xludf.DUMMYFUNCTION("""COMPUTED_VALUE"""),0)</f>
        <v>0</v>
      </c>
      <c r="W430" s="47">
        <f ca="1">IFERROR(__xludf.DUMMYFUNCTION("""COMPUTED_VALUE"""),0)</f>
        <v>0</v>
      </c>
      <c r="X430" s="47">
        <f ca="1">IFERROR(__xludf.DUMMYFUNCTION("""COMPUTED_VALUE"""),0)</f>
        <v>0</v>
      </c>
      <c r="Y430" s="44">
        <f ca="1">IFERROR(__xludf.DUMMYFUNCTION("""COMPUTED_VALUE"""),0)</f>
        <v>0</v>
      </c>
      <c r="Z430" s="44">
        <f ca="1">IFERROR(__xludf.DUMMYFUNCTION("""COMPUTED_VALUE"""),0)</f>
        <v>0</v>
      </c>
      <c r="AA430" s="44">
        <f ca="1">IFERROR(__xludf.DUMMYFUNCTION("""COMPUTED_VALUE"""),0)</f>
        <v>0</v>
      </c>
      <c r="AB430" s="44">
        <f ca="1">IFERROR(__xludf.DUMMYFUNCTION("""COMPUTED_VALUE"""),0)</f>
        <v>0</v>
      </c>
      <c r="AC430" s="47">
        <f ca="1">IFERROR(__xludf.DUMMYFUNCTION("""COMPUTED_VALUE"""),0)</f>
        <v>0</v>
      </c>
      <c r="AD430" s="49"/>
      <c r="AE430" s="27"/>
    </row>
    <row r="431" spans="1:31" ht="14.3">
      <c r="A431" s="42" t="str">
        <f ca="1">IFERROR(__xludf.DUMMYFUNCTION("""COMPUTED_VALUE"""),"22SDSCE01191")</f>
        <v>22SDSCE01191</v>
      </c>
      <c r="B431" s="43" t="str">
        <f ca="1">IFERROR(__xludf.DUMMYFUNCTION("""COMPUTED_VALUE"""),"TANK VIVEK ANILBHAI")</f>
        <v>TANK VIVEK ANILBHAI</v>
      </c>
      <c r="C431" s="42" t="str">
        <f ca="1">IFERROR(__xludf.DUMMYFUNCTION("""COMPUTED_VALUE"""),"SDS")</f>
        <v>SDS</v>
      </c>
      <c r="D431" s="42" t="str">
        <f ca="1">IFERROR(__xludf.DUMMYFUNCTION("""COMPUTED_VALUE"""),"DCE")</f>
        <v>DCE</v>
      </c>
      <c r="E431" s="44">
        <f ca="1">IFERROR(__xludf.DUMMYFUNCTION("""COMPUTED_VALUE"""),4)</f>
        <v>4</v>
      </c>
      <c r="F431" s="42" t="str">
        <f ca="1">IFERROR(__xludf.DUMMYFUNCTION("""COMPUTED_VALUE"""),"9624889463")</f>
        <v>9624889463</v>
      </c>
      <c r="G431" s="42" t="str">
        <f ca="1">IFERROR(__xludf.DUMMYFUNCTION("""COMPUTED_VALUE"""),"9624889463")</f>
        <v>9624889463</v>
      </c>
      <c r="H431" s="2" t="str">
        <f ca="1">IFERROR(__xludf.DUMMYFUNCTION("""COMPUTED_VALUE"""),"DCE_2022-25")</f>
        <v>DCE_2022-25</v>
      </c>
      <c r="I431" s="45"/>
      <c r="J431" s="46">
        <f ca="1">IFERROR(__xludf.DUMMYFUNCTION("""COMPUTED_VALUE"""),25000)</f>
        <v>25000</v>
      </c>
      <c r="K431" s="46">
        <f ca="1">IFERROR(__xludf.DUMMYFUNCTION("""COMPUTED_VALUE"""),25000)</f>
        <v>25000</v>
      </c>
      <c r="L431" s="46">
        <f ca="1">IFERROR(__xludf.DUMMYFUNCTION("""COMPUTED_VALUE"""),0)</f>
        <v>0</v>
      </c>
      <c r="M431" s="47">
        <f ca="1">IFERROR(__xludf.DUMMYFUNCTION("""COMPUTED_VALUE"""),0)</f>
        <v>0</v>
      </c>
      <c r="N431" s="46">
        <f ca="1">IFERROR(__xludf.DUMMYFUNCTION("""COMPUTED_VALUE"""),0)</f>
        <v>0</v>
      </c>
      <c r="O431" s="46">
        <f ca="1">IFERROR(__xludf.DUMMYFUNCTION("""COMPUTED_VALUE"""),3000)</f>
        <v>3000</v>
      </c>
      <c r="P431" s="46">
        <f ca="1">IFERROR(__xludf.DUMMYFUNCTION("""COMPUTED_VALUE"""),3000)</f>
        <v>3000</v>
      </c>
      <c r="Q431" s="47">
        <f ca="1">IFERROR(__xludf.DUMMYFUNCTION("""COMPUTED_VALUE"""),0)</f>
        <v>0</v>
      </c>
      <c r="R431" s="24">
        <f ca="1">IFERROR(__xludf.DUMMYFUNCTION("""COMPUTED_VALUE"""),0)</f>
        <v>0</v>
      </c>
      <c r="S431" s="23">
        <f ca="1">IFERROR(__xludf.DUMMYFUNCTION("""COMPUTED_VALUE"""),0)</f>
        <v>0</v>
      </c>
      <c r="T431" s="48">
        <f ca="1">IFERROR(__xludf.DUMMYFUNCTION("""COMPUTED_VALUE"""),0)</f>
        <v>0</v>
      </c>
      <c r="U431" s="47">
        <f ca="1">IFERROR(__xludf.DUMMYFUNCTION("""COMPUTED_VALUE"""),0)</f>
        <v>0</v>
      </c>
      <c r="V431" s="47">
        <f ca="1">IFERROR(__xludf.DUMMYFUNCTION("""COMPUTED_VALUE"""),0)</f>
        <v>0</v>
      </c>
      <c r="W431" s="47">
        <f ca="1">IFERROR(__xludf.DUMMYFUNCTION("""COMPUTED_VALUE"""),0)</f>
        <v>0</v>
      </c>
      <c r="X431" s="47">
        <f ca="1">IFERROR(__xludf.DUMMYFUNCTION("""COMPUTED_VALUE"""),0)</f>
        <v>0</v>
      </c>
      <c r="Y431" s="44">
        <f ca="1">IFERROR(__xludf.DUMMYFUNCTION("""COMPUTED_VALUE"""),0)</f>
        <v>0</v>
      </c>
      <c r="Z431" s="44">
        <f ca="1">IFERROR(__xludf.DUMMYFUNCTION("""COMPUTED_VALUE"""),0)</f>
        <v>0</v>
      </c>
      <c r="AA431" s="44">
        <f ca="1">IFERROR(__xludf.DUMMYFUNCTION("""COMPUTED_VALUE"""),0)</f>
        <v>0</v>
      </c>
      <c r="AB431" s="44">
        <f ca="1">IFERROR(__xludf.DUMMYFUNCTION("""COMPUTED_VALUE"""),0)</f>
        <v>0</v>
      </c>
      <c r="AC431" s="47">
        <f ca="1">IFERROR(__xludf.DUMMYFUNCTION("""COMPUTED_VALUE"""),0)</f>
        <v>0</v>
      </c>
      <c r="AD431" s="49"/>
      <c r="AE431" s="27"/>
    </row>
    <row r="432" spans="1:31" ht="14.3">
      <c r="A432" s="42" t="str">
        <f ca="1">IFERROR(__xludf.DUMMYFUNCTION("""COMPUTED_VALUE"""),"22SDSCE01192")</f>
        <v>22SDSCE01192</v>
      </c>
      <c r="B432" s="43" t="str">
        <f ca="1">IFERROR(__xludf.DUMMYFUNCTION("""COMPUTED_VALUE"""),"TARAPADA HARSHIT ASHVINBHAI")</f>
        <v>TARAPADA HARSHIT ASHVINBHAI</v>
      </c>
      <c r="C432" s="42" t="str">
        <f ca="1">IFERROR(__xludf.DUMMYFUNCTION("""COMPUTED_VALUE"""),"SDS")</f>
        <v>SDS</v>
      </c>
      <c r="D432" s="42" t="str">
        <f ca="1">IFERROR(__xludf.DUMMYFUNCTION("""COMPUTED_VALUE"""),"DCE")</f>
        <v>DCE</v>
      </c>
      <c r="E432" s="44">
        <f ca="1">IFERROR(__xludf.DUMMYFUNCTION("""COMPUTED_VALUE"""),4)</f>
        <v>4</v>
      </c>
      <c r="F432" s="42" t="str">
        <f ca="1">IFERROR(__xludf.DUMMYFUNCTION("""COMPUTED_VALUE"""),"9726078107")</f>
        <v>9726078107</v>
      </c>
      <c r="G432" s="42" t="str">
        <f ca="1">IFERROR(__xludf.DUMMYFUNCTION("""COMPUTED_VALUE"""),"9726078107")</f>
        <v>9726078107</v>
      </c>
      <c r="H432" s="2" t="str">
        <f ca="1">IFERROR(__xludf.DUMMYFUNCTION("""COMPUTED_VALUE"""),"DCE_2022-25")</f>
        <v>DCE_2022-25</v>
      </c>
      <c r="I432" s="45"/>
      <c r="J432" s="46">
        <f ca="1">IFERROR(__xludf.DUMMYFUNCTION("""COMPUTED_VALUE"""),25000)</f>
        <v>25000</v>
      </c>
      <c r="K432" s="46">
        <f ca="1">IFERROR(__xludf.DUMMYFUNCTION("""COMPUTED_VALUE"""),0)</f>
        <v>0</v>
      </c>
      <c r="L432" s="46">
        <f ca="1">IFERROR(__xludf.DUMMYFUNCTION("""COMPUTED_VALUE"""),0)</f>
        <v>0</v>
      </c>
      <c r="M432" s="47">
        <f ca="1">IFERROR(__xludf.DUMMYFUNCTION("""COMPUTED_VALUE"""),0)</f>
        <v>0</v>
      </c>
      <c r="N432" s="46">
        <f ca="1">IFERROR(__xludf.DUMMYFUNCTION("""COMPUTED_VALUE"""),25000)</f>
        <v>25000</v>
      </c>
      <c r="O432" s="46">
        <f ca="1">IFERROR(__xludf.DUMMYFUNCTION("""COMPUTED_VALUE"""),3000)</f>
        <v>3000</v>
      </c>
      <c r="P432" s="46">
        <f ca="1">IFERROR(__xludf.DUMMYFUNCTION("""COMPUTED_VALUE"""),0)</f>
        <v>0</v>
      </c>
      <c r="Q432" s="47">
        <f ca="1">IFERROR(__xludf.DUMMYFUNCTION("""COMPUTED_VALUE"""),0)</f>
        <v>0</v>
      </c>
      <c r="R432" s="24">
        <f ca="1">IFERROR(__xludf.DUMMYFUNCTION("""COMPUTED_VALUE"""),0)</f>
        <v>0</v>
      </c>
      <c r="S432" s="23">
        <f ca="1">IFERROR(__xludf.DUMMYFUNCTION("""COMPUTED_VALUE"""),3000)</f>
        <v>3000</v>
      </c>
      <c r="T432" s="48">
        <f ca="1">IFERROR(__xludf.DUMMYFUNCTION("""COMPUTED_VALUE"""),0)</f>
        <v>0</v>
      </c>
      <c r="U432" s="47">
        <f ca="1">IFERROR(__xludf.DUMMYFUNCTION("""COMPUTED_VALUE"""),0)</f>
        <v>0</v>
      </c>
      <c r="V432" s="47">
        <f ca="1">IFERROR(__xludf.DUMMYFUNCTION("""COMPUTED_VALUE"""),0)</f>
        <v>0</v>
      </c>
      <c r="W432" s="47">
        <f ca="1">IFERROR(__xludf.DUMMYFUNCTION("""COMPUTED_VALUE"""),0)</f>
        <v>0</v>
      </c>
      <c r="X432" s="47">
        <f ca="1">IFERROR(__xludf.DUMMYFUNCTION("""COMPUTED_VALUE"""),0)</f>
        <v>0</v>
      </c>
      <c r="Y432" s="44">
        <f ca="1">IFERROR(__xludf.DUMMYFUNCTION("""COMPUTED_VALUE"""),0)</f>
        <v>0</v>
      </c>
      <c r="Z432" s="44">
        <f ca="1">IFERROR(__xludf.DUMMYFUNCTION("""COMPUTED_VALUE"""),0)</f>
        <v>0</v>
      </c>
      <c r="AA432" s="44">
        <f ca="1">IFERROR(__xludf.DUMMYFUNCTION("""COMPUTED_VALUE"""),0)</f>
        <v>0</v>
      </c>
      <c r="AB432" s="44">
        <f ca="1">IFERROR(__xludf.DUMMYFUNCTION("""COMPUTED_VALUE"""),0)</f>
        <v>0</v>
      </c>
      <c r="AC432" s="47">
        <f ca="1">IFERROR(__xludf.DUMMYFUNCTION("""COMPUTED_VALUE"""),0)</f>
        <v>0</v>
      </c>
      <c r="AD432" s="49"/>
      <c r="AE432" s="27"/>
    </row>
    <row r="433" spans="1:31" ht="14.3">
      <c r="A433" s="42" t="str">
        <f ca="1">IFERROR(__xludf.DUMMYFUNCTION("""COMPUTED_VALUE"""),"22SDSCE01194")</f>
        <v>22SDSCE01194</v>
      </c>
      <c r="B433" s="43" t="str">
        <f ca="1">IFERROR(__xludf.DUMMYFUNCTION("""COMPUTED_VALUE"""),"VADHAVANA ISHITKUMAR RUPESHBHAI")</f>
        <v>VADHAVANA ISHITKUMAR RUPESHBHAI</v>
      </c>
      <c r="C433" s="42" t="str">
        <f ca="1">IFERROR(__xludf.DUMMYFUNCTION("""COMPUTED_VALUE"""),"SDS")</f>
        <v>SDS</v>
      </c>
      <c r="D433" s="42" t="str">
        <f ca="1">IFERROR(__xludf.DUMMYFUNCTION("""COMPUTED_VALUE"""),"DCE")</f>
        <v>DCE</v>
      </c>
      <c r="E433" s="44">
        <f ca="1">IFERROR(__xludf.DUMMYFUNCTION("""COMPUTED_VALUE"""),4)</f>
        <v>4</v>
      </c>
      <c r="F433" s="42" t="str">
        <f ca="1">IFERROR(__xludf.DUMMYFUNCTION("""COMPUTED_VALUE"""),"9723476911 9409756523")</f>
        <v>9723476911 9409756523</v>
      </c>
      <c r="G433" s="42" t="str">
        <f ca="1">IFERROR(__xludf.DUMMYFUNCTION("""COMPUTED_VALUE"""),"9723476911 9409756523")</f>
        <v>9723476911 9409756523</v>
      </c>
      <c r="H433" s="2" t="str">
        <f ca="1">IFERROR(__xludf.DUMMYFUNCTION("""COMPUTED_VALUE"""),"DCE_2022-25")</f>
        <v>DCE_2022-25</v>
      </c>
      <c r="I433" s="45" t="str">
        <f ca="1">IFERROR(__xludf.DUMMYFUNCTION("""COMPUTED_VALUE"""),"KSP")</f>
        <v>KSP</v>
      </c>
      <c r="J433" s="46">
        <f ca="1">IFERROR(__xludf.DUMMYFUNCTION("""COMPUTED_VALUE"""),25000)</f>
        <v>25000</v>
      </c>
      <c r="K433" s="46">
        <f ca="1">IFERROR(__xludf.DUMMYFUNCTION("""COMPUTED_VALUE"""),0)</f>
        <v>0</v>
      </c>
      <c r="L433" s="46">
        <f ca="1">IFERROR(__xludf.DUMMYFUNCTION("""COMPUTED_VALUE"""),0)</f>
        <v>0</v>
      </c>
      <c r="M433" s="47">
        <f ca="1">IFERROR(__xludf.DUMMYFUNCTION("""COMPUTED_VALUE"""),25000)</f>
        <v>25000</v>
      </c>
      <c r="N433" s="46">
        <f ca="1">IFERROR(__xludf.DUMMYFUNCTION("""COMPUTED_VALUE"""),0)</f>
        <v>0</v>
      </c>
      <c r="O433" s="46">
        <f ca="1">IFERROR(__xludf.DUMMYFUNCTION("""COMPUTED_VALUE"""),3000)</f>
        <v>3000</v>
      </c>
      <c r="P433" s="46">
        <f ca="1">IFERROR(__xludf.DUMMYFUNCTION("""COMPUTED_VALUE"""),3000)</f>
        <v>3000</v>
      </c>
      <c r="Q433" s="47">
        <f ca="1">IFERROR(__xludf.DUMMYFUNCTION("""COMPUTED_VALUE"""),0)</f>
        <v>0</v>
      </c>
      <c r="R433" s="24">
        <f ca="1">IFERROR(__xludf.DUMMYFUNCTION("""COMPUTED_VALUE"""),0)</f>
        <v>0</v>
      </c>
      <c r="S433" s="23">
        <f ca="1">IFERROR(__xludf.DUMMYFUNCTION("""COMPUTED_VALUE"""),0)</f>
        <v>0</v>
      </c>
      <c r="T433" s="48">
        <f ca="1">IFERROR(__xludf.DUMMYFUNCTION("""COMPUTED_VALUE"""),0)</f>
        <v>0</v>
      </c>
      <c r="U433" s="47">
        <f ca="1">IFERROR(__xludf.DUMMYFUNCTION("""COMPUTED_VALUE"""),0)</f>
        <v>0</v>
      </c>
      <c r="V433" s="47">
        <f ca="1">IFERROR(__xludf.DUMMYFUNCTION("""COMPUTED_VALUE"""),0)</f>
        <v>0</v>
      </c>
      <c r="W433" s="47">
        <f ca="1">IFERROR(__xludf.DUMMYFUNCTION("""COMPUTED_VALUE"""),0)</f>
        <v>0</v>
      </c>
      <c r="X433" s="47">
        <f ca="1">IFERROR(__xludf.DUMMYFUNCTION("""COMPUTED_VALUE"""),0)</f>
        <v>0</v>
      </c>
      <c r="Y433" s="44">
        <f ca="1">IFERROR(__xludf.DUMMYFUNCTION("""COMPUTED_VALUE"""),0)</f>
        <v>0</v>
      </c>
      <c r="Z433" s="44">
        <f ca="1">IFERROR(__xludf.DUMMYFUNCTION("""COMPUTED_VALUE"""),0)</f>
        <v>0</v>
      </c>
      <c r="AA433" s="44">
        <f ca="1">IFERROR(__xludf.DUMMYFUNCTION("""COMPUTED_VALUE"""),0)</f>
        <v>0</v>
      </c>
      <c r="AB433" s="44">
        <f ca="1">IFERROR(__xludf.DUMMYFUNCTION("""COMPUTED_VALUE"""),0)</f>
        <v>0</v>
      </c>
      <c r="AC433" s="47">
        <f ca="1">IFERROR(__xludf.DUMMYFUNCTION("""COMPUTED_VALUE"""),0)</f>
        <v>0</v>
      </c>
      <c r="AD433" s="49" t="str">
        <f ca="1">IFERROR(__xludf.DUMMYFUNCTION("""COMPUTED_VALUE""")," KSPS(50%) + MYSY(50%) ")</f>
        <v xml:space="preserve"> KSPS(50%) + MYSY(50%) </v>
      </c>
      <c r="AE433" s="27"/>
    </row>
    <row r="434" spans="1:31" ht="14.3">
      <c r="A434" s="42" t="str">
        <f ca="1">IFERROR(__xludf.DUMMYFUNCTION("""COMPUTED_VALUE"""),"22SDSCE01195")</f>
        <v>22SDSCE01195</v>
      </c>
      <c r="B434" s="43" t="str">
        <f ca="1">IFERROR(__xludf.DUMMYFUNCTION("""COMPUTED_VALUE"""),"VAJA VANSH ATULKUMAR")</f>
        <v>VAJA VANSH ATULKUMAR</v>
      </c>
      <c r="C434" s="42" t="str">
        <f ca="1">IFERROR(__xludf.DUMMYFUNCTION("""COMPUTED_VALUE"""),"SDS")</f>
        <v>SDS</v>
      </c>
      <c r="D434" s="42" t="str">
        <f ca="1">IFERROR(__xludf.DUMMYFUNCTION("""COMPUTED_VALUE"""),"DCE")</f>
        <v>DCE</v>
      </c>
      <c r="E434" s="44">
        <f ca="1">IFERROR(__xludf.DUMMYFUNCTION("""COMPUTED_VALUE"""),4)</f>
        <v>4</v>
      </c>
      <c r="F434" s="42" t="str">
        <f ca="1">IFERROR(__xludf.DUMMYFUNCTION("""COMPUTED_VALUE"""),"8469166133 9879809615")</f>
        <v>8469166133 9879809615</v>
      </c>
      <c r="G434" s="42" t="str">
        <f ca="1">IFERROR(__xludf.DUMMYFUNCTION("""COMPUTED_VALUE"""),"8469166133 9879809615")</f>
        <v>8469166133 9879809615</v>
      </c>
      <c r="H434" s="2" t="str">
        <f ca="1">IFERROR(__xludf.DUMMYFUNCTION("""COMPUTED_VALUE"""),"DCE_2022-25")</f>
        <v>DCE_2022-25</v>
      </c>
      <c r="I434" s="45"/>
      <c r="J434" s="46">
        <f ca="1">IFERROR(__xludf.DUMMYFUNCTION("""COMPUTED_VALUE"""),25000)</f>
        <v>25000</v>
      </c>
      <c r="K434" s="46">
        <f ca="1">IFERROR(__xludf.DUMMYFUNCTION("""COMPUTED_VALUE"""),25000)</f>
        <v>25000</v>
      </c>
      <c r="L434" s="46">
        <f ca="1">IFERROR(__xludf.DUMMYFUNCTION("""COMPUTED_VALUE"""),0)</f>
        <v>0</v>
      </c>
      <c r="M434" s="47">
        <f ca="1">IFERROR(__xludf.DUMMYFUNCTION("""COMPUTED_VALUE"""),0)</f>
        <v>0</v>
      </c>
      <c r="N434" s="46">
        <f ca="1">IFERROR(__xludf.DUMMYFUNCTION("""COMPUTED_VALUE"""),0)</f>
        <v>0</v>
      </c>
      <c r="O434" s="46">
        <f ca="1">IFERROR(__xludf.DUMMYFUNCTION("""COMPUTED_VALUE"""),3000)</f>
        <v>3000</v>
      </c>
      <c r="P434" s="46">
        <f ca="1">IFERROR(__xludf.DUMMYFUNCTION("""COMPUTED_VALUE"""),3000)</f>
        <v>3000</v>
      </c>
      <c r="Q434" s="47">
        <f ca="1">IFERROR(__xludf.DUMMYFUNCTION("""COMPUTED_VALUE"""),0)</f>
        <v>0</v>
      </c>
      <c r="R434" s="24">
        <f ca="1">IFERROR(__xludf.DUMMYFUNCTION("""COMPUTED_VALUE"""),0)</f>
        <v>0</v>
      </c>
      <c r="S434" s="23">
        <f ca="1">IFERROR(__xludf.DUMMYFUNCTION("""COMPUTED_VALUE"""),0)</f>
        <v>0</v>
      </c>
      <c r="T434" s="48">
        <f ca="1">IFERROR(__xludf.DUMMYFUNCTION("""COMPUTED_VALUE"""),0)</f>
        <v>0</v>
      </c>
      <c r="U434" s="47">
        <f ca="1">IFERROR(__xludf.DUMMYFUNCTION("""COMPUTED_VALUE"""),0)</f>
        <v>0</v>
      </c>
      <c r="V434" s="47">
        <f ca="1">IFERROR(__xludf.DUMMYFUNCTION("""COMPUTED_VALUE"""),0)</f>
        <v>0</v>
      </c>
      <c r="W434" s="47">
        <f ca="1">IFERROR(__xludf.DUMMYFUNCTION("""COMPUTED_VALUE"""),0)</f>
        <v>0</v>
      </c>
      <c r="X434" s="47">
        <f ca="1">IFERROR(__xludf.DUMMYFUNCTION("""COMPUTED_VALUE"""),0)</f>
        <v>0</v>
      </c>
      <c r="Y434" s="44">
        <f ca="1">IFERROR(__xludf.DUMMYFUNCTION("""COMPUTED_VALUE"""),0)</f>
        <v>0</v>
      </c>
      <c r="Z434" s="44">
        <f ca="1">IFERROR(__xludf.DUMMYFUNCTION("""COMPUTED_VALUE"""),0)</f>
        <v>0</v>
      </c>
      <c r="AA434" s="44">
        <f ca="1">IFERROR(__xludf.DUMMYFUNCTION("""COMPUTED_VALUE"""),0)</f>
        <v>0</v>
      </c>
      <c r="AB434" s="44">
        <f ca="1">IFERROR(__xludf.DUMMYFUNCTION("""COMPUTED_VALUE"""),0)</f>
        <v>0</v>
      </c>
      <c r="AC434" s="47">
        <f ca="1">IFERROR(__xludf.DUMMYFUNCTION("""COMPUTED_VALUE"""),0)</f>
        <v>0</v>
      </c>
      <c r="AD434" s="49"/>
      <c r="AE434" s="27"/>
    </row>
    <row r="435" spans="1:31" ht="14.3">
      <c r="A435" s="42" t="str">
        <f ca="1">IFERROR(__xludf.DUMMYFUNCTION("""COMPUTED_VALUE"""),"22SDSCE01197")</f>
        <v>22SDSCE01197</v>
      </c>
      <c r="B435" s="43" t="str">
        <f ca="1">IFERROR(__xludf.DUMMYFUNCTION("""COMPUTED_VALUE"""),"VEGAD VIVEK DIPAKBHAI")</f>
        <v>VEGAD VIVEK DIPAKBHAI</v>
      </c>
      <c r="C435" s="42" t="str">
        <f ca="1">IFERROR(__xludf.DUMMYFUNCTION("""COMPUTED_VALUE"""),"SDS")</f>
        <v>SDS</v>
      </c>
      <c r="D435" s="42" t="str">
        <f ca="1">IFERROR(__xludf.DUMMYFUNCTION("""COMPUTED_VALUE"""),"DCE")</f>
        <v>DCE</v>
      </c>
      <c r="E435" s="44">
        <f ca="1">IFERROR(__xludf.DUMMYFUNCTION("""COMPUTED_VALUE"""),4)</f>
        <v>4</v>
      </c>
      <c r="F435" s="42" t="str">
        <f ca="1">IFERROR(__xludf.DUMMYFUNCTION("""COMPUTED_VALUE"""),"9898411263 8780403140")</f>
        <v>9898411263 8780403140</v>
      </c>
      <c r="G435" s="42" t="str">
        <f ca="1">IFERROR(__xludf.DUMMYFUNCTION("""COMPUTED_VALUE"""),"9898411263 8780403140")</f>
        <v>9898411263 8780403140</v>
      </c>
      <c r="H435" s="2" t="str">
        <f ca="1">IFERROR(__xludf.DUMMYFUNCTION("""COMPUTED_VALUE"""),"DCE_2022-25")</f>
        <v>DCE_2022-25</v>
      </c>
      <c r="I435" s="45"/>
      <c r="J435" s="46">
        <f ca="1">IFERROR(__xludf.DUMMYFUNCTION("""COMPUTED_VALUE"""),25000)</f>
        <v>25000</v>
      </c>
      <c r="K435" s="46">
        <f ca="1">IFERROR(__xludf.DUMMYFUNCTION("""COMPUTED_VALUE"""),25000)</f>
        <v>25000</v>
      </c>
      <c r="L435" s="46">
        <f ca="1">IFERROR(__xludf.DUMMYFUNCTION("""COMPUTED_VALUE"""),0)</f>
        <v>0</v>
      </c>
      <c r="M435" s="47">
        <f ca="1">IFERROR(__xludf.DUMMYFUNCTION("""COMPUTED_VALUE"""),0)</f>
        <v>0</v>
      </c>
      <c r="N435" s="46">
        <f ca="1">IFERROR(__xludf.DUMMYFUNCTION("""COMPUTED_VALUE"""),0)</f>
        <v>0</v>
      </c>
      <c r="O435" s="46">
        <f ca="1">IFERROR(__xludf.DUMMYFUNCTION("""COMPUTED_VALUE"""),3000)</f>
        <v>3000</v>
      </c>
      <c r="P435" s="46">
        <f ca="1">IFERROR(__xludf.DUMMYFUNCTION("""COMPUTED_VALUE"""),3000)</f>
        <v>3000</v>
      </c>
      <c r="Q435" s="47">
        <f ca="1">IFERROR(__xludf.DUMMYFUNCTION("""COMPUTED_VALUE"""),0)</f>
        <v>0</v>
      </c>
      <c r="R435" s="24">
        <f ca="1">IFERROR(__xludf.DUMMYFUNCTION("""COMPUTED_VALUE"""),0)</f>
        <v>0</v>
      </c>
      <c r="S435" s="23">
        <f ca="1">IFERROR(__xludf.DUMMYFUNCTION("""COMPUTED_VALUE"""),0)</f>
        <v>0</v>
      </c>
      <c r="T435" s="48">
        <f ca="1">IFERROR(__xludf.DUMMYFUNCTION("""COMPUTED_VALUE"""),0)</f>
        <v>0</v>
      </c>
      <c r="U435" s="47">
        <f ca="1">IFERROR(__xludf.DUMMYFUNCTION("""COMPUTED_VALUE"""),0)</f>
        <v>0</v>
      </c>
      <c r="V435" s="47">
        <f ca="1">IFERROR(__xludf.DUMMYFUNCTION("""COMPUTED_VALUE"""),0)</f>
        <v>0</v>
      </c>
      <c r="W435" s="47">
        <f ca="1">IFERROR(__xludf.DUMMYFUNCTION("""COMPUTED_VALUE"""),0)</f>
        <v>0</v>
      </c>
      <c r="X435" s="47">
        <f ca="1">IFERROR(__xludf.DUMMYFUNCTION("""COMPUTED_VALUE"""),0)</f>
        <v>0</v>
      </c>
      <c r="Y435" s="44">
        <f ca="1">IFERROR(__xludf.DUMMYFUNCTION("""COMPUTED_VALUE"""),0)</f>
        <v>0</v>
      </c>
      <c r="Z435" s="44">
        <f ca="1">IFERROR(__xludf.DUMMYFUNCTION("""COMPUTED_VALUE"""),0)</f>
        <v>0</v>
      </c>
      <c r="AA435" s="44">
        <f ca="1">IFERROR(__xludf.DUMMYFUNCTION("""COMPUTED_VALUE"""),0)</f>
        <v>0</v>
      </c>
      <c r="AB435" s="44">
        <f ca="1">IFERROR(__xludf.DUMMYFUNCTION("""COMPUTED_VALUE"""),0)</f>
        <v>0</v>
      </c>
      <c r="AC435" s="47">
        <f ca="1">IFERROR(__xludf.DUMMYFUNCTION("""COMPUTED_VALUE"""),0)</f>
        <v>0</v>
      </c>
      <c r="AD435" s="49"/>
      <c r="AE435" s="27"/>
    </row>
    <row r="436" spans="1:31" ht="14.3">
      <c r="A436" s="42" t="str">
        <f ca="1">IFERROR(__xludf.DUMMYFUNCTION("""COMPUTED_VALUE"""),"22SDSCE01204")</f>
        <v>22SDSCE01204</v>
      </c>
      <c r="B436" s="43" t="str">
        <f ca="1">IFERROR(__xludf.DUMMYFUNCTION("""COMPUTED_VALUE"""),"MAHETA RAJAN JANAKBHAI")</f>
        <v>MAHETA RAJAN JANAKBHAI</v>
      </c>
      <c r="C436" s="42" t="str">
        <f ca="1">IFERROR(__xludf.DUMMYFUNCTION("""COMPUTED_VALUE"""),"SDS")</f>
        <v>SDS</v>
      </c>
      <c r="D436" s="42" t="str">
        <f ca="1">IFERROR(__xludf.DUMMYFUNCTION("""COMPUTED_VALUE"""),"DCE")</f>
        <v>DCE</v>
      </c>
      <c r="E436" s="44">
        <f ca="1">IFERROR(__xludf.DUMMYFUNCTION("""COMPUTED_VALUE"""),4)</f>
        <v>4</v>
      </c>
      <c r="F436" s="42" t="str">
        <f ca="1">IFERROR(__xludf.DUMMYFUNCTION("""COMPUTED_VALUE"""),"9974352805 9909472672")</f>
        <v>9974352805 9909472672</v>
      </c>
      <c r="G436" s="42" t="str">
        <f ca="1">IFERROR(__xludf.DUMMYFUNCTION("""COMPUTED_VALUE"""),"9974352805 9909472672")</f>
        <v>9974352805 9909472672</v>
      </c>
      <c r="H436" s="2" t="str">
        <f ca="1">IFERROR(__xludf.DUMMYFUNCTION("""COMPUTED_VALUE"""),"DCE_2022-25")</f>
        <v>DCE_2022-25</v>
      </c>
      <c r="I436" s="45"/>
      <c r="J436" s="46">
        <f ca="1">IFERROR(__xludf.DUMMYFUNCTION("""COMPUTED_VALUE"""),25000)</f>
        <v>25000</v>
      </c>
      <c r="K436" s="46">
        <f ca="1">IFERROR(__xludf.DUMMYFUNCTION("""COMPUTED_VALUE"""),0)</f>
        <v>0</v>
      </c>
      <c r="L436" s="46">
        <f ca="1">IFERROR(__xludf.DUMMYFUNCTION("""COMPUTED_VALUE"""),0)</f>
        <v>0</v>
      </c>
      <c r="M436" s="47">
        <f ca="1">IFERROR(__xludf.DUMMYFUNCTION("""COMPUTED_VALUE"""),0)</f>
        <v>0</v>
      </c>
      <c r="N436" s="46">
        <f ca="1">IFERROR(__xludf.DUMMYFUNCTION("""COMPUTED_VALUE"""),25000)</f>
        <v>25000</v>
      </c>
      <c r="O436" s="46">
        <f ca="1">IFERROR(__xludf.DUMMYFUNCTION("""COMPUTED_VALUE"""),3000)</f>
        <v>3000</v>
      </c>
      <c r="P436" s="46">
        <f ca="1">IFERROR(__xludf.DUMMYFUNCTION("""COMPUTED_VALUE"""),0)</f>
        <v>0</v>
      </c>
      <c r="Q436" s="47">
        <f ca="1">IFERROR(__xludf.DUMMYFUNCTION("""COMPUTED_VALUE"""),0)</f>
        <v>0</v>
      </c>
      <c r="R436" s="24">
        <f ca="1">IFERROR(__xludf.DUMMYFUNCTION("""COMPUTED_VALUE"""),0)</f>
        <v>0</v>
      </c>
      <c r="S436" s="23">
        <f ca="1">IFERROR(__xludf.DUMMYFUNCTION("""COMPUTED_VALUE"""),3000)</f>
        <v>3000</v>
      </c>
      <c r="T436" s="48">
        <f ca="1">IFERROR(__xludf.DUMMYFUNCTION("""COMPUTED_VALUE"""),0)</f>
        <v>0</v>
      </c>
      <c r="U436" s="47">
        <f ca="1">IFERROR(__xludf.DUMMYFUNCTION("""COMPUTED_VALUE"""),0)</f>
        <v>0</v>
      </c>
      <c r="V436" s="47">
        <f ca="1">IFERROR(__xludf.DUMMYFUNCTION("""COMPUTED_VALUE"""),0)</f>
        <v>0</v>
      </c>
      <c r="W436" s="47">
        <f ca="1">IFERROR(__xludf.DUMMYFUNCTION("""COMPUTED_VALUE"""),0)</f>
        <v>0</v>
      </c>
      <c r="X436" s="47">
        <f ca="1">IFERROR(__xludf.DUMMYFUNCTION("""COMPUTED_VALUE"""),0)</f>
        <v>0</v>
      </c>
      <c r="Y436" s="44">
        <f ca="1">IFERROR(__xludf.DUMMYFUNCTION("""COMPUTED_VALUE"""),0)</f>
        <v>0</v>
      </c>
      <c r="Z436" s="44">
        <f ca="1">IFERROR(__xludf.DUMMYFUNCTION("""COMPUTED_VALUE"""),0)</f>
        <v>0</v>
      </c>
      <c r="AA436" s="44">
        <f ca="1">IFERROR(__xludf.DUMMYFUNCTION("""COMPUTED_VALUE"""),0)</f>
        <v>0</v>
      </c>
      <c r="AB436" s="44">
        <f ca="1">IFERROR(__xludf.DUMMYFUNCTION("""COMPUTED_VALUE"""),0)</f>
        <v>0</v>
      </c>
      <c r="AC436" s="47">
        <f ca="1">IFERROR(__xludf.DUMMYFUNCTION("""COMPUTED_VALUE"""),0)</f>
        <v>0</v>
      </c>
      <c r="AD436" s="49"/>
      <c r="AE436" s="27"/>
    </row>
    <row r="437" spans="1:31" ht="14.3">
      <c r="A437" s="42" t="str">
        <f ca="1">IFERROR(__xludf.DUMMYFUNCTION("""COMPUTED_VALUE"""),"22SDSCE01220")</f>
        <v>22SDSCE01220</v>
      </c>
      <c r="B437" s="43" t="str">
        <f ca="1">IFERROR(__xludf.DUMMYFUNCTION("""COMPUTED_VALUE"""),"JADEJA BHAVYARAJSINH GIRIRAJSINH")</f>
        <v>JADEJA BHAVYARAJSINH GIRIRAJSINH</v>
      </c>
      <c r="C437" s="42" t="str">
        <f ca="1">IFERROR(__xludf.DUMMYFUNCTION("""COMPUTED_VALUE"""),"SDS")</f>
        <v>SDS</v>
      </c>
      <c r="D437" s="42" t="str">
        <f ca="1">IFERROR(__xludf.DUMMYFUNCTION("""COMPUTED_VALUE"""),"DCE")</f>
        <v>DCE</v>
      </c>
      <c r="E437" s="44">
        <f ca="1">IFERROR(__xludf.DUMMYFUNCTION("""COMPUTED_VALUE"""),4)</f>
        <v>4</v>
      </c>
      <c r="F437" s="42" t="str">
        <f ca="1">IFERROR(__xludf.DUMMYFUNCTION("""COMPUTED_VALUE"""),"7016334083 9427207299")</f>
        <v>7016334083 9427207299</v>
      </c>
      <c r="G437" s="42" t="str">
        <f ca="1">IFERROR(__xludf.DUMMYFUNCTION("""COMPUTED_VALUE"""),"7016334083 9427207299")</f>
        <v>7016334083 9427207299</v>
      </c>
      <c r="H437" s="2" t="str">
        <f ca="1">IFERROR(__xludf.DUMMYFUNCTION("""COMPUTED_VALUE"""),"DCE_2022-25")</f>
        <v>DCE_2022-25</v>
      </c>
      <c r="I437" s="45"/>
      <c r="J437" s="46">
        <f ca="1">IFERROR(__xludf.DUMMYFUNCTION("""COMPUTED_VALUE"""),25000)</f>
        <v>25000</v>
      </c>
      <c r="K437" s="46">
        <f ca="1">IFERROR(__xludf.DUMMYFUNCTION("""COMPUTED_VALUE"""),25000)</f>
        <v>25000</v>
      </c>
      <c r="L437" s="46">
        <f ca="1">IFERROR(__xludf.DUMMYFUNCTION("""COMPUTED_VALUE"""),0)</f>
        <v>0</v>
      </c>
      <c r="M437" s="47">
        <f ca="1">IFERROR(__xludf.DUMMYFUNCTION("""COMPUTED_VALUE"""),0)</f>
        <v>0</v>
      </c>
      <c r="N437" s="46">
        <f ca="1">IFERROR(__xludf.DUMMYFUNCTION("""COMPUTED_VALUE"""),0)</f>
        <v>0</v>
      </c>
      <c r="O437" s="46">
        <f ca="1">IFERROR(__xludf.DUMMYFUNCTION("""COMPUTED_VALUE"""),3000)</f>
        <v>3000</v>
      </c>
      <c r="P437" s="46">
        <f ca="1">IFERROR(__xludf.DUMMYFUNCTION("""COMPUTED_VALUE"""),3000)</f>
        <v>3000</v>
      </c>
      <c r="Q437" s="47">
        <f ca="1">IFERROR(__xludf.DUMMYFUNCTION("""COMPUTED_VALUE"""),0)</f>
        <v>0</v>
      </c>
      <c r="R437" s="24">
        <f ca="1">IFERROR(__xludf.DUMMYFUNCTION("""COMPUTED_VALUE"""),0)</f>
        <v>0</v>
      </c>
      <c r="S437" s="23">
        <f ca="1">IFERROR(__xludf.DUMMYFUNCTION("""COMPUTED_VALUE"""),0)</f>
        <v>0</v>
      </c>
      <c r="T437" s="48">
        <f ca="1">IFERROR(__xludf.DUMMYFUNCTION("""COMPUTED_VALUE"""),0)</f>
        <v>0</v>
      </c>
      <c r="U437" s="47">
        <f ca="1">IFERROR(__xludf.DUMMYFUNCTION("""COMPUTED_VALUE"""),0)</f>
        <v>0</v>
      </c>
      <c r="V437" s="47">
        <f ca="1">IFERROR(__xludf.DUMMYFUNCTION("""COMPUTED_VALUE"""),0)</f>
        <v>0</v>
      </c>
      <c r="W437" s="47">
        <f ca="1">IFERROR(__xludf.DUMMYFUNCTION("""COMPUTED_VALUE"""),0)</f>
        <v>0</v>
      </c>
      <c r="X437" s="47">
        <f ca="1">IFERROR(__xludf.DUMMYFUNCTION("""COMPUTED_VALUE"""),0)</f>
        <v>0</v>
      </c>
      <c r="Y437" s="44">
        <f ca="1">IFERROR(__xludf.DUMMYFUNCTION("""COMPUTED_VALUE"""),0)</f>
        <v>0</v>
      </c>
      <c r="Z437" s="44">
        <f ca="1">IFERROR(__xludf.DUMMYFUNCTION("""COMPUTED_VALUE"""),0)</f>
        <v>0</v>
      </c>
      <c r="AA437" s="44">
        <f ca="1">IFERROR(__xludf.DUMMYFUNCTION("""COMPUTED_VALUE"""),0)</f>
        <v>0</v>
      </c>
      <c r="AB437" s="44">
        <f ca="1">IFERROR(__xludf.DUMMYFUNCTION("""COMPUTED_VALUE"""),0)</f>
        <v>0</v>
      </c>
      <c r="AC437" s="47">
        <f ca="1">IFERROR(__xludf.DUMMYFUNCTION("""COMPUTED_VALUE"""),0)</f>
        <v>0</v>
      </c>
      <c r="AD437" s="49"/>
      <c r="AE437" s="27"/>
    </row>
    <row r="438" spans="1:31" ht="14.3">
      <c r="A438" s="42" t="str">
        <f ca="1">IFERROR(__xludf.DUMMYFUNCTION("""COMPUTED_VALUE"""),"22SDSCE01200")</f>
        <v>22SDSCE01200</v>
      </c>
      <c r="B438" s="43" t="str">
        <f ca="1">IFERROR(__xludf.DUMMYFUNCTION("""COMPUTED_VALUE"""),"MRITUNJAY CHOUDHARY")</f>
        <v>MRITUNJAY CHOUDHARY</v>
      </c>
      <c r="C438" s="42" t="str">
        <f ca="1">IFERROR(__xludf.DUMMYFUNCTION("""COMPUTED_VALUE"""),"SDS")</f>
        <v>SDS</v>
      </c>
      <c r="D438" s="42" t="str">
        <f ca="1">IFERROR(__xludf.DUMMYFUNCTION("""COMPUTED_VALUE"""),"DCE")</f>
        <v>DCE</v>
      </c>
      <c r="E438" s="44">
        <f ca="1">IFERROR(__xludf.DUMMYFUNCTION("""COMPUTED_VALUE"""),4)</f>
        <v>4</v>
      </c>
      <c r="F438" s="42" t="str">
        <f ca="1">IFERROR(__xludf.DUMMYFUNCTION("""COMPUTED_VALUE"""),"BIHAR STUDENT")</f>
        <v>BIHAR STUDENT</v>
      </c>
      <c r="G438" s="42" t="str">
        <f ca="1">IFERROR(__xludf.DUMMYFUNCTION("""COMPUTED_VALUE"""),"BIHAR STUDENT")</f>
        <v>BIHAR STUDENT</v>
      </c>
      <c r="H438" s="2" t="str">
        <f ca="1">IFERROR(__xludf.DUMMYFUNCTION("""COMPUTED_VALUE"""),"DCE_2022-25")</f>
        <v>DCE_2022-25</v>
      </c>
      <c r="I438" s="45"/>
      <c r="J438" s="46">
        <f ca="1">IFERROR(__xludf.DUMMYFUNCTION("""COMPUTED_VALUE"""),42500)</f>
        <v>42500</v>
      </c>
      <c r="K438" s="46">
        <f ca="1">IFERROR(__xludf.DUMMYFUNCTION("""COMPUTED_VALUE"""),0)</f>
        <v>0</v>
      </c>
      <c r="L438" s="46">
        <f ca="1">IFERROR(__xludf.DUMMYFUNCTION("""COMPUTED_VALUE"""),0)</f>
        <v>0</v>
      </c>
      <c r="M438" s="47">
        <f ca="1">IFERROR(__xludf.DUMMYFUNCTION("""COMPUTED_VALUE"""),0)</f>
        <v>0</v>
      </c>
      <c r="N438" s="46">
        <f ca="1">IFERROR(__xludf.DUMMYFUNCTION("""COMPUTED_VALUE"""),42500)</f>
        <v>42500</v>
      </c>
      <c r="O438" s="46">
        <f ca="1">IFERROR(__xludf.DUMMYFUNCTION("""COMPUTED_VALUE"""),0)</f>
        <v>0</v>
      </c>
      <c r="P438" s="46">
        <f ca="1">IFERROR(__xludf.DUMMYFUNCTION("""COMPUTED_VALUE"""),0)</f>
        <v>0</v>
      </c>
      <c r="Q438" s="47">
        <f ca="1">IFERROR(__xludf.DUMMYFUNCTION("""COMPUTED_VALUE"""),0)</f>
        <v>0</v>
      </c>
      <c r="R438" s="24">
        <f ca="1">IFERROR(__xludf.DUMMYFUNCTION("""COMPUTED_VALUE"""),0)</f>
        <v>0</v>
      </c>
      <c r="S438" s="23">
        <f ca="1">IFERROR(__xludf.DUMMYFUNCTION("""COMPUTED_VALUE"""),0)</f>
        <v>0</v>
      </c>
      <c r="T438" s="48">
        <f ca="1">IFERROR(__xludf.DUMMYFUNCTION("""COMPUTED_VALUE"""),0)</f>
        <v>0</v>
      </c>
      <c r="U438" s="47">
        <f ca="1">IFERROR(__xludf.DUMMYFUNCTION("""COMPUTED_VALUE"""),0)</f>
        <v>0</v>
      </c>
      <c r="V438" s="47">
        <f ca="1">IFERROR(__xludf.DUMMYFUNCTION("""COMPUTED_VALUE"""),0)</f>
        <v>0</v>
      </c>
      <c r="W438" s="47">
        <f ca="1">IFERROR(__xludf.DUMMYFUNCTION("""COMPUTED_VALUE"""),0)</f>
        <v>0</v>
      </c>
      <c r="X438" s="47">
        <f ca="1">IFERROR(__xludf.DUMMYFUNCTION("""COMPUTED_VALUE"""),0)</f>
        <v>0</v>
      </c>
      <c r="Y438" s="44">
        <f ca="1">IFERROR(__xludf.DUMMYFUNCTION("""COMPUTED_VALUE"""),0)</f>
        <v>0</v>
      </c>
      <c r="Z438" s="44">
        <f ca="1">IFERROR(__xludf.DUMMYFUNCTION("""COMPUTED_VALUE"""),0)</f>
        <v>0</v>
      </c>
      <c r="AA438" s="44">
        <f ca="1">IFERROR(__xludf.DUMMYFUNCTION("""COMPUTED_VALUE"""),0)</f>
        <v>0</v>
      </c>
      <c r="AB438" s="44">
        <f ca="1">IFERROR(__xludf.DUMMYFUNCTION("""COMPUTED_VALUE"""),0)</f>
        <v>0</v>
      </c>
      <c r="AC438" s="47">
        <f ca="1">IFERROR(__xludf.DUMMYFUNCTION("""COMPUTED_VALUE"""),0)</f>
        <v>0</v>
      </c>
      <c r="AD438" s="49"/>
      <c r="AE438" s="27"/>
    </row>
    <row r="439" spans="1:31" ht="14.3">
      <c r="A439" s="42" t="str">
        <f ca="1">IFERROR(__xludf.DUMMYFUNCTION("""COMPUTED_VALUE"""),"22SDSCE01206")</f>
        <v>22SDSCE01206</v>
      </c>
      <c r="B439" s="43" t="str">
        <f ca="1">IFERROR(__xludf.DUMMYFUNCTION("""COMPUTED_VALUE"""),"ADITYA RANA")</f>
        <v>ADITYA RANA</v>
      </c>
      <c r="C439" s="42" t="str">
        <f ca="1">IFERROR(__xludf.DUMMYFUNCTION("""COMPUTED_VALUE"""),"SDS")</f>
        <v>SDS</v>
      </c>
      <c r="D439" s="42" t="str">
        <f ca="1">IFERROR(__xludf.DUMMYFUNCTION("""COMPUTED_VALUE"""),"DCE")</f>
        <v>DCE</v>
      </c>
      <c r="E439" s="44">
        <f ca="1">IFERROR(__xludf.DUMMYFUNCTION("""COMPUTED_VALUE"""),4)</f>
        <v>4</v>
      </c>
      <c r="F439" s="42" t="str">
        <f ca="1">IFERROR(__xludf.DUMMYFUNCTION("""COMPUTED_VALUE"""),"BIHAR STUDENT")</f>
        <v>BIHAR STUDENT</v>
      </c>
      <c r="G439" s="42" t="str">
        <f ca="1">IFERROR(__xludf.DUMMYFUNCTION("""COMPUTED_VALUE"""),"BIHAR STUDENT")</f>
        <v>BIHAR STUDENT</v>
      </c>
      <c r="H439" s="2" t="str">
        <f ca="1">IFERROR(__xludf.DUMMYFUNCTION("""COMPUTED_VALUE"""),"DCE_2022-25")</f>
        <v>DCE_2022-25</v>
      </c>
      <c r="I439" s="45"/>
      <c r="J439" s="46">
        <f ca="1">IFERROR(__xludf.DUMMYFUNCTION("""COMPUTED_VALUE"""),42500)</f>
        <v>42500</v>
      </c>
      <c r="K439" s="46">
        <f ca="1">IFERROR(__xludf.DUMMYFUNCTION("""COMPUTED_VALUE"""),0)</f>
        <v>0</v>
      </c>
      <c r="L439" s="46">
        <f ca="1">IFERROR(__xludf.DUMMYFUNCTION("""COMPUTED_VALUE"""),0)</f>
        <v>0</v>
      </c>
      <c r="M439" s="47">
        <f ca="1">IFERROR(__xludf.DUMMYFUNCTION("""COMPUTED_VALUE"""),0)</f>
        <v>0</v>
      </c>
      <c r="N439" s="46">
        <f ca="1">IFERROR(__xludf.DUMMYFUNCTION("""COMPUTED_VALUE"""),42500)</f>
        <v>42500</v>
      </c>
      <c r="O439" s="46">
        <f ca="1">IFERROR(__xludf.DUMMYFUNCTION("""COMPUTED_VALUE"""),0)</f>
        <v>0</v>
      </c>
      <c r="P439" s="46">
        <f ca="1">IFERROR(__xludf.DUMMYFUNCTION("""COMPUTED_VALUE"""),0)</f>
        <v>0</v>
      </c>
      <c r="Q439" s="47">
        <f ca="1">IFERROR(__xludf.DUMMYFUNCTION("""COMPUTED_VALUE"""),0)</f>
        <v>0</v>
      </c>
      <c r="R439" s="24">
        <f ca="1">IFERROR(__xludf.DUMMYFUNCTION("""COMPUTED_VALUE"""),0)</f>
        <v>0</v>
      </c>
      <c r="S439" s="23">
        <f ca="1">IFERROR(__xludf.DUMMYFUNCTION("""COMPUTED_VALUE"""),0)</f>
        <v>0</v>
      </c>
      <c r="T439" s="48">
        <f ca="1">IFERROR(__xludf.DUMMYFUNCTION("""COMPUTED_VALUE"""),0)</f>
        <v>0</v>
      </c>
      <c r="U439" s="47">
        <f ca="1">IFERROR(__xludf.DUMMYFUNCTION("""COMPUTED_VALUE"""),0)</f>
        <v>0</v>
      </c>
      <c r="V439" s="47">
        <f ca="1">IFERROR(__xludf.DUMMYFUNCTION("""COMPUTED_VALUE"""),0)</f>
        <v>0</v>
      </c>
      <c r="W439" s="47">
        <f ca="1">IFERROR(__xludf.DUMMYFUNCTION("""COMPUTED_VALUE"""),0)</f>
        <v>0</v>
      </c>
      <c r="X439" s="47">
        <f ca="1">IFERROR(__xludf.DUMMYFUNCTION("""COMPUTED_VALUE"""),0)</f>
        <v>0</v>
      </c>
      <c r="Y439" s="44">
        <f ca="1">IFERROR(__xludf.DUMMYFUNCTION("""COMPUTED_VALUE"""),0)</f>
        <v>0</v>
      </c>
      <c r="Z439" s="44">
        <f ca="1">IFERROR(__xludf.DUMMYFUNCTION("""COMPUTED_VALUE"""),0)</f>
        <v>0</v>
      </c>
      <c r="AA439" s="44">
        <f ca="1">IFERROR(__xludf.DUMMYFUNCTION("""COMPUTED_VALUE"""),0)</f>
        <v>0</v>
      </c>
      <c r="AB439" s="44">
        <f ca="1">IFERROR(__xludf.DUMMYFUNCTION("""COMPUTED_VALUE"""),0)</f>
        <v>0</v>
      </c>
      <c r="AC439" s="47">
        <f ca="1">IFERROR(__xludf.DUMMYFUNCTION("""COMPUTED_VALUE"""),0)</f>
        <v>0</v>
      </c>
      <c r="AD439" s="49"/>
      <c r="AE439" s="27"/>
    </row>
    <row r="440" spans="1:31" ht="14.3">
      <c r="A440" s="42" t="str">
        <f ca="1">IFERROR(__xludf.DUMMYFUNCTION("""COMPUTED_VALUE"""),"22SDSCE01209")</f>
        <v>22SDSCE01209</v>
      </c>
      <c r="B440" s="43" t="str">
        <f ca="1">IFERROR(__xludf.DUMMYFUNCTION("""COMPUTED_VALUE"""),"SURESH KUMAR SINGH")</f>
        <v>SURESH KUMAR SINGH</v>
      </c>
      <c r="C440" s="42" t="str">
        <f ca="1">IFERROR(__xludf.DUMMYFUNCTION("""COMPUTED_VALUE"""),"SDS")</f>
        <v>SDS</v>
      </c>
      <c r="D440" s="42" t="str">
        <f ca="1">IFERROR(__xludf.DUMMYFUNCTION("""COMPUTED_VALUE"""),"DCE")</f>
        <v>DCE</v>
      </c>
      <c r="E440" s="44">
        <f ca="1">IFERROR(__xludf.DUMMYFUNCTION("""COMPUTED_VALUE"""),4)</f>
        <v>4</v>
      </c>
      <c r="F440" s="42" t="str">
        <f ca="1">IFERROR(__xludf.DUMMYFUNCTION("""COMPUTED_VALUE"""),"BIHAR STUDENT")</f>
        <v>BIHAR STUDENT</v>
      </c>
      <c r="G440" s="42" t="str">
        <f ca="1">IFERROR(__xludf.DUMMYFUNCTION("""COMPUTED_VALUE"""),"BIHAR STUDENT")</f>
        <v>BIHAR STUDENT</v>
      </c>
      <c r="H440" s="2" t="str">
        <f ca="1">IFERROR(__xludf.DUMMYFUNCTION("""COMPUTED_VALUE"""),"DCE_2022-25")</f>
        <v>DCE_2022-25</v>
      </c>
      <c r="I440" s="45"/>
      <c r="J440" s="46">
        <f ca="1">IFERROR(__xludf.DUMMYFUNCTION("""COMPUTED_VALUE"""),42500)</f>
        <v>42500</v>
      </c>
      <c r="K440" s="46">
        <f ca="1">IFERROR(__xludf.DUMMYFUNCTION("""COMPUTED_VALUE"""),0)</f>
        <v>0</v>
      </c>
      <c r="L440" s="46">
        <f ca="1">IFERROR(__xludf.DUMMYFUNCTION("""COMPUTED_VALUE"""),0)</f>
        <v>0</v>
      </c>
      <c r="M440" s="47">
        <f ca="1">IFERROR(__xludf.DUMMYFUNCTION("""COMPUTED_VALUE"""),0)</f>
        <v>0</v>
      </c>
      <c r="N440" s="46">
        <f ca="1">IFERROR(__xludf.DUMMYFUNCTION("""COMPUTED_VALUE"""),42500)</f>
        <v>42500</v>
      </c>
      <c r="O440" s="46">
        <f ca="1">IFERROR(__xludf.DUMMYFUNCTION("""COMPUTED_VALUE"""),0)</f>
        <v>0</v>
      </c>
      <c r="P440" s="46">
        <f ca="1">IFERROR(__xludf.DUMMYFUNCTION("""COMPUTED_VALUE"""),0)</f>
        <v>0</v>
      </c>
      <c r="Q440" s="47">
        <f ca="1">IFERROR(__xludf.DUMMYFUNCTION("""COMPUTED_VALUE"""),0)</f>
        <v>0</v>
      </c>
      <c r="R440" s="24">
        <f ca="1">IFERROR(__xludf.DUMMYFUNCTION("""COMPUTED_VALUE"""),0)</f>
        <v>0</v>
      </c>
      <c r="S440" s="23">
        <f ca="1">IFERROR(__xludf.DUMMYFUNCTION("""COMPUTED_VALUE"""),0)</f>
        <v>0</v>
      </c>
      <c r="T440" s="48">
        <f ca="1">IFERROR(__xludf.DUMMYFUNCTION("""COMPUTED_VALUE"""),0)</f>
        <v>0</v>
      </c>
      <c r="U440" s="47">
        <f ca="1">IFERROR(__xludf.DUMMYFUNCTION("""COMPUTED_VALUE"""),0)</f>
        <v>0</v>
      </c>
      <c r="V440" s="47">
        <f ca="1">IFERROR(__xludf.DUMMYFUNCTION("""COMPUTED_VALUE"""),0)</f>
        <v>0</v>
      </c>
      <c r="W440" s="47">
        <f ca="1">IFERROR(__xludf.DUMMYFUNCTION("""COMPUTED_VALUE"""),0)</f>
        <v>0</v>
      </c>
      <c r="X440" s="47">
        <f ca="1">IFERROR(__xludf.DUMMYFUNCTION("""COMPUTED_VALUE"""),0)</f>
        <v>0</v>
      </c>
      <c r="Y440" s="44">
        <f ca="1">IFERROR(__xludf.DUMMYFUNCTION("""COMPUTED_VALUE"""),0)</f>
        <v>0</v>
      </c>
      <c r="Z440" s="44">
        <f ca="1">IFERROR(__xludf.DUMMYFUNCTION("""COMPUTED_VALUE"""),0)</f>
        <v>0</v>
      </c>
      <c r="AA440" s="44">
        <f ca="1">IFERROR(__xludf.DUMMYFUNCTION("""COMPUTED_VALUE"""),0)</f>
        <v>0</v>
      </c>
      <c r="AB440" s="44">
        <f ca="1">IFERROR(__xludf.DUMMYFUNCTION("""COMPUTED_VALUE"""),0)</f>
        <v>0</v>
      </c>
      <c r="AC440" s="47">
        <f ca="1">IFERROR(__xludf.DUMMYFUNCTION("""COMPUTED_VALUE"""),0)</f>
        <v>0</v>
      </c>
      <c r="AD440" s="49"/>
      <c r="AE440" s="27"/>
    </row>
    <row r="441" spans="1:31" ht="14.3">
      <c r="A441" s="42" t="str">
        <f ca="1">IFERROR(__xludf.DUMMYFUNCTION("""COMPUTED_VALUE"""),"22SDSCE01210")</f>
        <v>22SDSCE01210</v>
      </c>
      <c r="B441" s="43" t="str">
        <f ca="1">IFERROR(__xludf.DUMMYFUNCTION("""COMPUTED_VALUE"""),"NISHANT GAURAV")</f>
        <v>NISHANT GAURAV</v>
      </c>
      <c r="C441" s="42" t="str">
        <f ca="1">IFERROR(__xludf.DUMMYFUNCTION("""COMPUTED_VALUE"""),"SDS")</f>
        <v>SDS</v>
      </c>
      <c r="D441" s="42" t="str">
        <f ca="1">IFERROR(__xludf.DUMMYFUNCTION("""COMPUTED_VALUE"""),"DCE")</f>
        <v>DCE</v>
      </c>
      <c r="E441" s="44">
        <f ca="1">IFERROR(__xludf.DUMMYFUNCTION("""COMPUTED_VALUE"""),4)</f>
        <v>4</v>
      </c>
      <c r="F441" s="42" t="str">
        <f ca="1">IFERROR(__xludf.DUMMYFUNCTION("""COMPUTED_VALUE"""),"BIHAR STUDENT")</f>
        <v>BIHAR STUDENT</v>
      </c>
      <c r="G441" s="42" t="str">
        <f ca="1">IFERROR(__xludf.DUMMYFUNCTION("""COMPUTED_VALUE"""),"BIHAR STUDENT")</f>
        <v>BIHAR STUDENT</v>
      </c>
      <c r="H441" s="2" t="str">
        <f ca="1">IFERROR(__xludf.DUMMYFUNCTION("""COMPUTED_VALUE"""),"DCE_2022-25")</f>
        <v>DCE_2022-25</v>
      </c>
      <c r="I441" s="45"/>
      <c r="J441" s="46">
        <f ca="1">IFERROR(__xludf.DUMMYFUNCTION("""COMPUTED_VALUE"""),42500)</f>
        <v>42500</v>
      </c>
      <c r="K441" s="46">
        <f ca="1">IFERROR(__xludf.DUMMYFUNCTION("""COMPUTED_VALUE"""),0)</f>
        <v>0</v>
      </c>
      <c r="L441" s="46">
        <f ca="1">IFERROR(__xludf.DUMMYFUNCTION("""COMPUTED_VALUE"""),0)</f>
        <v>0</v>
      </c>
      <c r="M441" s="47">
        <f ca="1">IFERROR(__xludf.DUMMYFUNCTION("""COMPUTED_VALUE"""),0)</f>
        <v>0</v>
      </c>
      <c r="N441" s="46">
        <f ca="1">IFERROR(__xludf.DUMMYFUNCTION("""COMPUTED_VALUE"""),42500)</f>
        <v>42500</v>
      </c>
      <c r="O441" s="46">
        <f ca="1">IFERROR(__xludf.DUMMYFUNCTION("""COMPUTED_VALUE"""),0)</f>
        <v>0</v>
      </c>
      <c r="P441" s="46">
        <f ca="1">IFERROR(__xludf.DUMMYFUNCTION("""COMPUTED_VALUE"""),0)</f>
        <v>0</v>
      </c>
      <c r="Q441" s="47">
        <f ca="1">IFERROR(__xludf.DUMMYFUNCTION("""COMPUTED_VALUE"""),0)</f>
        <v>0</v>
      </c>
      <c r="R441" s="24">
        <f ca="1">IFERROR(__xludf.DUMMYFUNCTION("""COMPUTED_VALUE"""),0)</f>
        <v>0</v>
      </c>
      <c r="S441" s="23">
        <f ca="1">IFERROR(__xludf.DUMMYFUNCTION("""COMPUTED_VALUE"""),0)</f>
        <v>0</v>
      </c>
      <c r="T441" s="48">
        <f ca="1">IFERROR(__xludf.DUMMYFUNCTION("""COMPUTED_VALUE"""),0)</f>
        <v>0</v>
      </c>
      <c r="U441" s="47">
        <f ca="1">IFERROR(__xludf.DUMMYFUNCTION("""COMPUTED_VALUE"""),0)</f>
        <v>0</v>
      </c>
      <c r="V441" s="47">
        <f ca="1">IFERROR(__xludf.DUMMYFUNCTION("""COMPUTED_VALUE"""),0)</f>
        <v>0</v>
      </c>
      <c r="W441" s="47">
        <f ca="1">IFERROR(__xludf.DUMMYFUNCTION("""COMPUTED_VALUE"""),0)</f>
        <v>0</v>
      </c>
      <c r="X441" s="47">
        <f ca="1">IFERROR(__xludf.DUMMYFUNCTION("""COMPUTED_VALUE"""),0)</f>
        <v>0</v>
      </c>
      <c r="Y441" s="44">
        <f ca="1">IFERROR(__xludf.DUMMYFUNCTION("""COMPUTED_VALUE"""),0)</f>
        <v>0</v>
      </c>
      <c r="Z441" s="44">
        <f ca="1">IFERROR(__xludf.DUMMYFUNCTION("""COMPUTED_VALUE"""),0)</f>
        <v>0</v>
      </c>
      <c r="AA441" s="44">
        <f ca="1">IFERROR(__xludf.DUMMYFUNCTION("""COMPUTED_VALUE"""),0)</f>
        <v>0</v>
      </c>
      <c r="AB441" s="44">
        <f ca="1">IFERROR(__xludf.DUMMYFUNCTION("""COMPUTED_VALUE"""),0)</f>
        <v>0</v>
      </c>
      <c r="AC441" s="47">
        <f ca="1">IFERROR(__xludf.DUMMYFUNCTION("""COMPUTED_VALUE"""),0)</f>
        <v>0</v>
      </c>
      <c r="AD441" s="49"/>
      <c r="AE441" s="27"/>
    </row>
    <row r="442" spans="1:31" ht="14.3">
      <c r="A442" s="42" t="str">
        <f ca="1">IFERROR(__xludf.DUMMYFUNCTION("""COMPUTED_VALUE"""),"22SDSCE01211")</f>
        <v>22SDSCE01211</v>
      </c>
      <c r="B442" s="43" t="str">
        <f ca="1">IFERROR(__xludf.DUMMYFUNCTION("""COMPUTED_VALUE"""),"DHIRAJ KUMAR")</f>
        <v>DHIRAJ KUMAR</v>
      </c>
      <c r="C442" s="42" t="str">
        <f ca="1">IFERROR(__xludf.DUMMYFUNCTION("""COMPUTED_VALUE"""),"SDS")</f>
        <v>SDS</v>
      </c>
      <c r="D442" s="42" t="str">
        <f ca="1">IFERROR(__xludf.DUMMYFUNCTION("""COMPUTED_VALUE"""),"DCE")</f>
        <v>DCE</v>
      </c>
      <c r="E442" s="44">
        <f ca="1">IFERROR(__xludf.DUMMYFUNCTION("""COMPUTED_VALUE"""),4)</f>
        <v>4</v>
      </c>
      <c r="F442" s="42" t="str">
        <f ca="1">IFERROR(__xludf.DUMMYFUNCTION("""COMPUTED_VALUE"""),"BIHAR STUDENT")</f>
        <v>BIHAR STUDENT</v>
      </c>
      <c r="G442" s="42" t="str">
        <f ca="1">IFERROR(__xludf.DUMMYFUNCTION("""COMPUTED_VALUE"""),"BIHAR STUDENT")</f>
        <v>BIHAR STUDENT</v>
      </c>
      <c r="H442" s="2" t="str">
        <f ca="1">IFERROR(__xludf.DUMMYFUNCTION("""COMPUTED_VALUE"""),"DCE_2022-25")</f>
        <v>DCE_2022-25</v>
      </c>
      <c r="I442" s="45"/>
      <c r="J442" s="46">
        <f ca="1">IFERROR(__xludf.DUMMYFUNCTION("""COMPUTED_VALUE"""),42500)</f>
        <v>42500</v>
      </c>
      <c r="K442" s="46">
        <f ca="1">IFERROR(__xludf.DUMMYFUNCTION("""COMPUTED_VALUE"""),0)</f>
        <v>0</v>
      </c>
      <c r="L442" s="46">
        <f ca="1">IFERROR(__xludf.DUMMYFUNCTION("""COMPUTED_VALUE"""),0)</f>
        <v>0</v>
      </c>
      <c r="M442" s="47">
        <f ca="1">IFERROR(__xludf.DUMMYFUNCTION("""COMPUTED_VALUE"""),0)</f>
        <v>0</v>
      </c>
      <c r="N442" s="46">
        <f ca="1">IFERROR(__xludf.DUMMYFUNCTION("""COMPUTED_VALUE"""),42500)</f>
        <v>42500</v>
      </c>
      <c r="O442" s="46">
        <f ca="1">IFERROR(__xludf.DUMMYFUNCTION("""COMPUTED_VALUE"""),0)</f>
        <v>0</v>
      </c>
      <c r="P442" s="46">
        <f ca="1">IFERROR(__xludf.DUMMYFUNCTION("""COMPUTED_VALUE"""),0)</f>
        <v>0</v>
      </c>
      <c r="Q442" s="47">
        <f ca="1">IFERROR(__xludf.DUMMYFUNCTION("""COMPUTED_VALUE"""),0)</f>
        <v>0</v>
      </c>
      <c r="R442" s="24">
        <f ca="1">IFERROR(__xludf.DUMMYFUNCTION("""COMPUTED_VALUE"""),0)</f>
        <v>0</v>
      </c>
      <c r="S442" s="23">
        <f ca="1">IFERROR(__xludf.DUMMYFUNCTION("""COMPUTED_VALUE"""),0)</f>
        <v>0</v>
      </c>
      <c r="T442" s="48">
        <f ca="1">IFERROR(__xludf.DUMMYFUNCTION("""COMPUTED_VALUE"""),0)</f>
        <v>0</v>
      </c>
      <c r="U442" s="47">
        <f ca="1">IFERROR(__xludf.DUMMYFUNCTION("""COMPUTED_VALUE"""),0)</f>
        <v>0</v>
      </c>
      <c r="V442" s="47">
        <f ca="1">IFERROR(__xludf.DUMMYFUNCTION("""COMPUTED_VALUE"""),0)</f>
        <v>0</v>
      </c>
      <c r="W442" s="47">
        <f ca="1">IFERROR(__xludf.DUMMYFUNCTION("""COMPUTED_VALUE"""),0)</f>
        <v>0</v>
      </c>
      <c r="X442" s="47">
        <f ca="1">IFERROR(__xludf.DUMMYFUNCTION("""COMPUTED_VALUE"""),0)</f>
        <v>0</v>
      </c>
      <c r="Y442" s="44">
        <f ca="1">IFERROR(__xludf.DUMMYFUNCTION("""COMPUTED_VALUE"""),0)</f>
        <v>0</v>
      </c>
      <c r="Z442" s="44">
        <f ca="1">IFERROR(__xludf.DUMMYFUNCTION("""COMPUTED_VALUE"""),0)</f>
        <v>0</v>
      </c>
      <c r="AA442" s="44">
        <f ca="1">IFERROR(__xludf.DUMMYFUNCTION("""COMPUTED_VALUE"""),0)</f>
        <v>0</v>
      </c>
      <c r="AB442" s="44">
        <f ca="1">IFERROR(__xludf.DUMMYFUNCTION("""COMPUTED_VALUE"""),0)</f>
        <v>0</v>
      </c>
      <c r="AC442" s="47">
        <f ca="1">IFERROR(__xludf.DUMMYFUNCTION("""COMPUTED_VALUE"""),0)</f>
        <v>0</v>
      </c>
      <c r="AD442" s="49"/>
      <c r="AE442" s="27"/>
    </row>
    <row r="443" spans="1:31" ht="14.3">
      <c r="A443" s="42" t="str">
        <f ca="1">IFERROR(__xludf.DUMMYFUNCTION("""COMPUTED_VALUE"""),"22SDSCE01216")</f>
        <v>22SDSCE01216</v>
      </c>
      <c r="B443" s="43" t="str">
        <f ca="1">IFERROR(__xludf.DUMMYFUNCTION("""COMPUTED_VALUE"""),"AKASH KUMAR")</f>
        <v>AKASH KUMAR</v>
      </c>
      <c r="C443" s="42" t="str">
        <f ca="1">IFERROR(__xludf.DUMMYFUNCTION("""COMPUTED_VALUE"""),"SDS")</f>
        <v>SDS</v>
      </c>
      <c r="D443" s="42" t="str">
        <f ca="1">IFERROR(__xludf.DUMMYFUNCTION("""COMPUTED_VALUE"""),"DCE")</f>
        <v>DCE</v>
      </c>
      <c r="E443" s="44">
        <f ca="1">IFERROR(__xludf.DUMMYFUNCTION("""COMPUTED_VALUE"""),4)</f>
        <v>4</v>
      </c>
      <c r="F443" s="42" t="str">
        <f ca="1">IFERROR(__xludf.DUMMYFUNCTION("""COMPUTED_VALUE"""),"BIHAR STUDENT")</f>
        <v>BIHAR STUDENT</v>
      </c>
      <c r="G443" s="42" t="str">
        <f ca="1">IFERROR(__xludf.DUMMYFUNCTION("""COMPUTED_VALUE"""),"BIHAR STUDENT")</f>
        <v>BIHAR STUDENT</v>
      </c>
      <c r="H443" s="2" t="str">
        <f ca="1">IFERROR(__xludf.DUMMYFUNCTION("""COMPUTED_VALUE"""),"DCE_2022-25")</f>
        <v>DCE_2022-25</v>
      </c>
      <c r="I443" s="45"/>
      <c r="J443" s="46">
        <f ca="1">IFERROR(__xludf.DUMMYFUNCTION("""COMPUTED_VALUE"""),42500)</f>
        <v>42500</v>
      </c>
      <c r="K443" s="46">
        <f ca="1">IFERROR(__xludf.DUMMYFUNCTION("""COMPUTED_VALUE"""),0)</f>
        <v>0</v>
      </c>
      <c r="L443" s="46">
        <f ca="1">IFERROR(__xludf.DUMMYFUNCTION("""COMPUTED_VALUE"""),0)</f>
        <v>0</v>
      </c>
      <c r="M443" s="47">
        <f ca="1">IFERROR(__xludf.DUMMYFUNCTION("""COMPUTED_VALUE"""),0)</f>
        <v>0</v>
      </c>
      <c r="N443" s="46">
        <f ca="1">IFERROR(__xludf.DUMMYFUNCTION("""COMPUTED_VALUE"""),42500)</f>
        <v>42500</v>
      </c>
      <c r="O443" s="46">
        <f ca="1">IFERROR(__xludf.DUMMYFUNCTION("""COMPUTED_VALUE"""),0)</f>
        <v>0</v>
      </c>
      <c r="P443" s="46">
        <f ca="1">IFERROR(__xludf.DUMMYFUNCTION("""COMPUTED_VALUE"""),0)</f>
        <v>0</v>
      </c>
      <c r="Q443" s="47">
        <f ca="1">IFERROR(__xludf.DUMMYFUNCTION("""COMPUTED_VALUE"""),0)</f>
        <v>0</v>
      </c>
      <c r="R443" s="24">
        <f ca="1">IFERROR(__xludf.DUMMYFUNCTION("""COMPUTED_VALUE"""),0)</f>
        <v>0</v>
      </c>
      <c r="S443" s="23">
        <f ca="1">IFERROR(__xludf.DUMMYFUNCTION("""COMPUTED_VALUE"""),0)</f>
        <v>0</v>
      </c>
      <c r="T443" s="48">
        <f ca="1">IFERROR(__xludf.DUMMYFUNCTION("""COMPUTED_VALUE"""),0)</f>
        <v>0</v>
      </c>
      <c r="U443" s="47">
        <f ca="1">IFERROR(__xludf.DUMMYFUNCTION("""COMPUTED_VALUE"""),0)</f>
        <v>0</v>
      </c>
      <c r="V443" s="47">
        <f ca="1">IFERROR(__xludf.DUMMYFUNCTION("""COMPUTED_VALUE"""),0)</f>
        <v>0</v>
      </c>
      <c r="W443" s="47">
        <f ca="1">IFERROR(__xludf.DUMMYFUNCTION("""COMPUTED_VALUE"""),0)</f>
        <v>0</v>
      </c>
      <c r="X443" s="47">
        <f ca="1">IFERROR(__xludf.DUMMYFUNCTION("""COMPUTED_VALUE"""),0)</f>
        <v>0</v>
      </c>
      <c r="Y443" s="44">
        <f ca="1">IFERROR(__xludf.DUMMYFUNCTION("""COMPUTED_VALUE"""),0)</f>
        <v>0</v>
      </c>
      <c r="Z443" s="44">
        <f ca="1">IFERROR(__xludf.DUMMYFUNCTION("""COMPUTED_VALUE"""),0)</f>
        <v>0</v>
      </c>
      <c r="AA443" s="44">
        <f ca="1">IFERROR(__xludf.DUMMYFUNCTION("""COMPUTED_VALUE"""),0)</f>
        <v>0</v>
      </c>
      <c r="AB443" s="44">
        <f ca="1">IFERROR(__xludf.DUMMYFUNCTION("""COMPUTED_VALUE"""),0)</f>
        <v>0</v>
      </c>
      <c r="AC443" s="47">
        <f ca="1">IFERROR(__xludf.DUMMYFUNCTION("""COMPUTED_VALUE"""),0)</f>
        <v>0</v>
      </c>
      <c r="AD443" s="49"/>
      <c r="AE443" s="27"/>
    </row>
    <row r="444" spans="1:31" ht="14.3">
      <c r="A444" s="42" t="str">
        <f ca="1">IFERROR(__xludf.DUMMYFUNCTION("""COMPUTED_VALUE"""),"22SDSCE01220")</f>
        <v>22SDSCE01220</v>
      </c>
      <c r="B444" s="43" t="str">
        <f ca="1">IFERROR(__xludf.DUMMYFUNCTION("""COMPUTED_VALUE"""),"JADEJA BHAVYARAJSINH GIRIRAJSINH")</f>
        <v>JADEJA BHAVYARAJSINH GIRIRAJSINH</v>
      </c>
      <c r="C444" s="42" t="str">
        <f ca="1">IFERROR(__xludf.DUMMYFUNCTION("""COMPUTED_VALUE"""),"SDS")</f>
        <v>SDS</v>
      </c>
      <c r="D444" s="42" t="str">
        <f ca="1">IFERROR(__xludf.DUMMYFUNCTION("""COMPUTED_VALUE"""),"DCE")</f>
        <v>DCE</v>
      </c>
      <c r="E444" s="44">
        <f ca="1">IFERROR(__xludf.DUMMYFUNCTION("""COMPUTED_VALUE"""),4)</f>
        <v>4</v>
      </c>
      <c r="F444" s="42" t="str">
        <f ca="1">IFERROR(__xludf.DUMMYFUNCTION("""COMPUTED_VALUE"""),"7016334083 9427207299")</f>
        <v>7016334083 9427207299</v>
      </c>
      <c r="G444" s="42" t="str">
        <f ca="1">IFERROR(__xludf.DUMMYFUNCTION("""COMPUTED_VALUE"""),"7016334083 9427207299")</f>
        <v>7016334083 9427207299</v>
      </c>
      <c r="H444" s="2" t="str">
        <f ca="1">IFERROR(__xludf.DUMMYFUNCTION("""COMPUTED_VALUE"""),"DCE_2022-25")</f>
        <v>DCE_2022-25</v>
      </c>
      <c r="I444" s="45"/>
      <c r="J444" s="46">
        <f ca="1">IFERROR(__xludf.DUMMYFUNCTION("""COMPUTED_VALUE"""),25000)</f>
        <v>25000</v>
      </c>
      <c r="K444" s="46">
        <f ca="1">IFERROR(__xludf.DUMMYFUNCTION("""COMPUTED_VALUE"""),25000)</f>
        <v>25000</v>
      </c>
      <c r="L444" s="46">
        <f ca="1">IFERROR(__xludf.DUMMYFUNCTION("""COMPUTED_VALUE"""),0)</f>
        <v>0</v>
      </c>
      <c r="M444" s="47">
        <f ca="1">IFERROR(__xludf.DUMMYFUNCTION("""COMPUTED_VALUE"""),0)</f>
        <v>0</v>
      </c>
      <c r="N444" s="46">
        <f ca="1">IFERROR(__xludf.DUMMYFUNCTION("""COMPUTED_VALUE"""),0)</f>
        <v>0</v>
      </c>
      <c r="O444" s="46">
        <f ca="1">IFERROR(__xludf.DUMMYFUNCTION("""COMPUTED_VALUE"""),3000)</f>
        <v>3000</v>
      </c>
      <c r="P444" s="46">
        <f ca="1">IFERROR(__xludf.DUMMYFUNCTION("""COMPUTED_VALUE"""),3000)</f>
        <v>3000</v>
      </c>
      <c r="Q444" s="47">
        <f ca="1">IFERROR(__xludf.DUMMYFUNCTION("""COMPUTED_VALUE"""),0)</f>
        <v>0</v>
      </c>
      <c r="R444" s="24">
        <f ca="1">IFERROR(__xludf.DUMMYFUNCTION("""COMPUTED_VALUE"""),0)</f>
        <v>0</v>
      </c>
      <c r="S444" s="23">
        <f ca="1">IFERROR(__xludf.DUMMYFUNCTION("""COMPUTED_VALUE"""),0)</f>
        <v>0</v>
      </c>
      <c r="T444" s="48">
        <f ca="1">IFERROR(__xludf.DUMMYFUNCTION("""COMPUTED_VALUE"""),0)</f>
        <v>0</v>
      </c>
      <c r="U444" s="47">
        <f ca="1">IFERROR(__xludf.DUMMYFUNCTION("""COMPUTED_VALUE"""),0)</f>
        <v>0</v>
      </c>
      <c r="V444" s="47">
        <f ca="1">IFERROR(__xludf.DUMMYFUNCTION("""COMPUTED_VALUE"""),0)</f>
        <v>0</v>
      </c>
      <c r="W444" s="47">
        <f ca="1">IFERROR(__xludf.DUMMYFUNCTION("""COMPUTED_VALUE"""),0)</f>
        <v>0</v>
      </c>
      <c r="X444" s="47">
        <f ca="1">IFERROR(__xludf.DUMMYFUNCTION("""COMPUTED_VALUE"""),0)</f>
        <v>0</v>
      </c>
      <c r="Y444" s="44">
        <f ca="1">IFERROR(__xludf.DUMMYFUNCTION("""COMPUTED_VALUE"""),0)</f>
        <v>0</v>
      </c>
      <c r="Z444" s="44">
        <f ca="1">IFERROR(__xludf.DUMMYFUNCTION("""COMPUTED_VALUE"""),0)</f>
        <v>0</v>
      </c>
      <c r="AA444" s="44">
        <f ca="1">IFERROR(__xludf.DUMMYFUNCTION("""COMPUTED_VALUE"""),0)</f>
        <v>0</v>
      </c>
      <c r="AB444" s="44">
        <f ca="1">IFERROR(__xludf.DUMMYFUNCTION("""COMPUTED_VALUE"""),0)</f>
        <v>0</v>
      </c>
      <c r="AC444" s="47">
        <f ca="1">IFERROR(__xludf.DUMMYFUNCTION("""COMPUTED_VALUE"""),0)</f>
        <v>0</v>
      </c>
      <c r="AD444" s="49"/>
      <c r="AE444" s="27"/>
    </row>
    <row r="445" spans="1:31" ht="14.3">
      <c r="A445" s="42" t="str">
        <f ca="1">IFERROR(__xludf.DUMMYFUNCTION("""COMPUTED_VALUE"""),"22SDSCE01222")</f>
        <v>22SDSCE01222</v>
      </c>
      <c r="B445" s="43" t="str">
        <f ca="1">IFERROR(__xludf.DUMMYFUNCTION("""COMPUTED_VALUE"""),"SARFARAJ ANSARI")</f>
        <v>SARFARAJ ANSARI</v>
      </c>
      <c r="C445" s="42" t="str">
        <f ca="1">IFERROR(__xludf.DUMMYFUNCTION("""COMPUTED_VALUE"""),"SDS")</f>
        <v>SDS</v>
      </c>
      <c r="D445" s="42" t="str">
        <f ca="1">IFERROR(__xludf.DUMMYFUNCTION("""COMPUTED_VALUE"""),"DCE")</f>
        <v>DCE</v>
      </c>
      <c r="E445" s="44">
        <f ca="1">IFERROR(__xludf.DUMMYFUNCTION("""COMPUTED_VALUE"""),4)</f>
        <v>4</v>
      </c>
      <c r="F445" s="42" t="str">
        <f ca="1">IFERROR(__xludf.DUMMYFUNCTION("""COMPUTED_VALUE"""),"BIHAR STUDENT")</f>
        <v>BIHAR STUDENT</v>
      </c>
      <c r="G445" s="42" t="str">
        <f ca="1">IFERROR(__xludf.DUMMYFUNCTION("""COMPUTED_VALUE"""),"BIHAR STUDENT")</f>
        <v>BIHAR STUDENT</v>
      </c>
      <c r="H445" s="2" t="str">
        <f ca="1">IFERROR(__xludf.DUMMYFUNCTION("""COMPUTED_VALUE"""),"DCE_2022-25")</f>
        <v>DCE_2022-25</v>
      </c>
      <c r="I445" s="45"/>
      <c r="J445" s="46">
        <f ca="1">IFERROR(__xludf.DUMMYFUNCTION("""COMPUTED_VALUE"""),42500)</f>
        <v>42500</v>
      </c>
      <c r="K445" s="46">
        <f ca="1">IFERROR(__xludf.DUMMYFUNCTION("""COMPUTED_VALUE"""),42500)</f>
        <v>42500</v>
      </c>
      <c r="L445" s="46">
        <f ca="1">IFERROR(__xludf.DUMMYFUNCTION("""COMPUTED_VALUE"""),0)</f>
        <v>0</v>
      </c>
      <c r="M445" s="47">
        <f ca="1">IFERROR(__xludf.DUMMYFUNCTION("""COMPUTED_VALUE"""),0)</f>
        <v>0</v>
      </c>
      <c r="N445" s="46">
        <f ca="1">IFERROR(__xludf.DUMMYFUNCTION("""COMPUTED_VALUE"""),0)</f>
        <v>0</v>
      </c>
      <c r="O445" s="46">
        <f ca="1">IFERROR(__xludf.DUMMYFUNCTION("""COMPUTED_VALUE"""),0)</f>
        <v>0</v>
      </c>
      <c r="P445" s="46">
        <f ca="1">IFERROR(__xludf.DUMMYFUNCTION("""COMPUTED_VALUE"""),0)</f>
        <v>0</v>
      </c>
      <c r="Q445" s="47">
        <f ca="1">IFERROR(__xludf.DUMMYFUNCTION("""COMPUTED_VALUE"""),0)</f>
        <v>0</v>
      </c>
      <c r="R445" s="24">
        <f ca="1">IFERROR(__xludf.DUMMYFUNCTION("""COMPUTED_VALUE"""),0)</f>
        <v>0</v>
      </c>
      <c r="S445" s="23">
        <f ca="1">IFERROR(__xludf.DUMMYFUNCTION("""COMPUTED_VALUE"""),0)</f>
        <v>0</v>
      </c>
      <c r="T445" s="48">
        <f ca="1">IFERROR(__xludf.DUMMYFUNCTION("""COMPUTED_VALUE"""),0)</f>
        <v>0</v>
      </c>
      <c r="U445" s="47">
        <f ca="1">IFERROR(__xludf.DUMMYFUNCTION("""COMPUTED_VALUE"""),0)</f>
        <v>0</v>
      </c>
      <c r="V445" s="47">
        <f ca="1">IFERROR(__xludf.DUMMYFUNCTION("""COMPUTED_VALUE"""),0)</f>
        <v>0</v>
      </c>
      <c r="W445" s="47">
        <f ca="1">IFERROR(__xludf.DUMMYFUNCTION("""COMPUTED_VALUE"""),0)</f>
        <v>0</v>
      </c>
      <c r="X445" s="47">
        <f ca="1">IFERROR(__xludf.DUMMYFUNCTION("""COMPUTED_VALUE"""),0)</f>
        <v>0</v>
      </c>
      <c r="Y445" s="44">
        <f ca="1">IFERROR(__xludf.DUMMYFUNCTION("""COMPUTED_VALUE"""),0)</f>
        <v>0</v>
      </c>
      <c r="Z445" s="44">
        <f ca="1">IFERROR(__xludf.DUMMYFUNCTION("""COMPUTED_VALUE"""),0)</f>
        <v>0</v>
      </c>
      <c r="AA445" s="44">
        <f ca="1">IFERROR(__xludf.DUMMYFUNCTION("""COMPUTED_VALUE"""),0)</f>
        <v>0</v>
      </c>
      <c r="AB445" s="44">
        <f ca="1">IFERROR(__xludf.DUMMYFUNCTION("""COMPUTED_VALUE"""),0)</f>
        <v>0</v>
      </c>
      <c r="AC445" s="47">
        <f ca="1">IFERROR(__xludf.DUMMYFUNCTION("""COMPUTED_VALUE"""),0)</f>
        <v>0</v>
      </c>
      <c r="AD445" s="49"/>
      <c r="AE445" s="27"/>
    </row>
    <row r="446" spans="1:31" ht="14.3">
      <c r="A446" s="42" t="str">
        <f ca="1">IFERROR(__xludf.DUMMYFUNCTION("""COMPUTED_VALUE"""),"22SDSCE01223")</f>
        <v>22SDSCE01223</v>
      </c>
      <c r="B446" s="43" t="str">
        <f ca="1">IFERROR(__xludf.DUMMYFUNCTION("""COMPUTED_VALUE"""),"NILESH DIXIT")</f>
        <v>NILESH DIXIT</v>
      </c>
      <c r="C446" s="42" t="str">
        <f ca="1">IFERROR(__xludf.DUMMYFUNCTION("""COMPUTED_VALUE"""),"SDS")</f>
        <v>SDS</v>
      </c>
      <c r="D446" s="42" t="str">
        <f ca="1">IFERROR(__xludf.DUMMYFUNCTION("""COMPUTED_VALUE"""),"DCE")</f>
        <v>DCE</v>
      </c>
      <c r="E446" s="44">
        <f ca="1">IFERROR(__xludf.DUMMYFUNCTION("""COMPUTED_VALUE"""),4)</f>
        <v>4</v>
      </c>
      <c r="F446" s="42" t="str">
        <f ca="1">IFERROR(__xludf.DUMMYFUNCTION("""COMPUTED_VALUE"""),"BIHAR STUDENT")</f>
        <v>BIHAR STUDENT</v>
      </c>
      <c r="G446" s="42" t="str">
        <f ca="1">IFERROR(__xludf.DUMMYFUNCTION("""COMPUTED_VALUE"""),"BIHAR STUDENT")</f>
        <v>BIHAR STUDENT</v>
      </c>
      <c r="H446" s="2" t="str">
        <f ca="1">IFERROR(__xludf.DUMMYFUNCTION("""COMPUTED_VALUE"""),"DCE_2022-25")</f>
        <v>DCE_2022-25</v>
      </c>
      <c r="I446" s="45"/>
      <c r="J446" s="46">
        <f ca="1">IFERROR(__xludf.DUMMYFUNCTION("""COMPUTED_VALUE"""),42500)</f>
        <v>42500</v>
      </c>
      <c r="K446" s="46">
        <f ca="1">IFERROR(__xludf.DUMMYFUNCTION("""COMPUTED_VALUE"""),42500)</f>
        <v>42500</v>
      </c>
      <c r="L446" s="46">
        <f ca="1">IFERROR(__xludf.DUMMYFUNCTION("""COMPUTED_VALUE"""),0)</f>
        <v>0</v>
      </c>
      <c r="M446" s="47">
        <f ca="1">IFERROR(__xludf.DUMMYFUNCTION("""COMPUTED_VALUE"""),0)</f>
        <v>0</v>
      </c>
      <c r="N446" s="46">
        <f ca="1">IFERROR(__xludf.DUMMYFUNCTION("""COMPUTED_VALUE"""),0)</f>
        <v>0</v>
      </c>
      <c r="O446" s="46">
        <f ca="1">IFERROR(__xludf.DUMMYFUNCTION("""COMPUTED_VALUE"""),0)</f>
        <v>0</v>
      </c>
      <c r="P446" s="46">
        <f ca="1">IFERROR(__xludf.DUMMYFUNCTION("""COMPUTED_VALUE"""),0)</f>
        <v>0</v>
      </c>
      <c r="Q446" s="47">
        <f ca="1">IFERROR(__xludf.DUMMYFUNCTION("""COMPUTED_VALUE"""),0)</f>
        <v>0</v>
      </c>
      <c r="R446" s="24">
        <f ca="1">IFERROR(__xludf.DUMMYFUNCTION("""COMPUTED_VALUE"""),0)</f>
        <v>0</v>
      </c>
      <c r="S446" s="23">
        <f ca="1">IFERROR(__xludf.DUMMYFUNCTION("""COMPUTED_VALUE"""),0)</f>
        <v>0</v>
      </c>
      <c r="T446" s="48">
        <f ca="1">IFERROR(__xludf.DUMMYFUNCTION("""COMPUTED_VALUE"""),0)</f>
        <v>0</v>
      </c>
      <c r="U446" s="47">
        <f ca="1">IFERROR(__xludf.DUMMYFUNCTION("""COMPUTED_VALUE"""),0)</f>
        <v>0</v>
      </c>
      <c r="V446" s="47">
        <f ca="1">IFERROR(__xludf.DUMMYFUNCTION("""COMPUTED_VALUE"""),0)</f>
        <v>0</v>
      </c>
      <c r="W446" s="47">
        <f ca="1">IFERROR(__xludf.DUMMYFUNCTION("""COMPUTED_VALUE"""),0)</f>
        <v>0</v>
      </c>
      <c r="X446" s="47">
        <f ca="1">IFERROR(__xludf.DUMMYFUNCTION("""COMPUTED_VALUE"""),0)</f>
        <v>0</v>
      </c>
      <c r="Y446" s="44">
        <f ca="1">IFERROR(__xludf.DUMMYFUNCTION("""COMPUTED_VALUE"""),0)</f>
        <v>0</v>
      </c>
      <c r="Z446" s="44">
        <f ca="1">IFERROR(__xludf.DUMMYFUNCTION("""COMPUTED_VALUE"""),0)</f>
        <v>0</v>
      </c>
      <c r="AA446" s="44">
        <f ca="1">IFERROR(__xludf.DUMMYFUNCTION("""COMPUTED_VALUE"""),0)</f>
        <v>0</v>
      </c>
      <c r="AB446" s="44">
        <f ca="1">IFERROR(__xludf.DUMMYFUNCTION("""COMPUTED_VALUE"""),0)</f>
        <v>0</v>
      </c>
      <c r="AC446" s="47">
        <f ca="1">IFERROR(__xludf.DUMMYFUNCTION("""COMPUTED_VALUE"""),0)</f>
        <v>0</v>
      </c>
      <c r="AD446" s="49"/>
      <c r="AE446" s="27"/>
    </row>
    <row r="447" spans="1:31" ht="14.3">
      <c r="A447" s="42" t="str">
        <f ca="1">IFERROR(__xludf.DUMMYFUNCTION("""COMPUTED_VALUE"""),"22SDSCE01224")</f>
        <v>22SDSCE01224</v>
      </c>
      <c r="B447" s="43" t="str">
        <f ca="1">IFERROR(__xludf.DUMMYFUNCTION("""COMPUTED_VALUE"""),"MOHD SAHIL HUSSAIN")</f>
        <v>MOHD SAHIL HUSSAIN</v>
      </c>
      <c r="C447" s="42" t="str">
        <f ca="1">IFERROR(__xludf.DUMMYFUNCTION("""COMPUTED_VALUE"""),"SDS")</f>
        <v>SDS</v>
      </c>
      <c r="D447" s="42" t="str">
        <f ca="1">IFERROR(__xludf.DUMMYFUNCTION("""COMPUTED_VALUE"""),"DCE")</f>
        <v>DCE</v>
      </c>
      <c r="E447" s="44">
        <f ca="1">IFERROR(__xludf.DUMMYFUNCTION("""COMPUTED_VALUE"""),4)</f>
        <v>4</v>
      </c>
      <c r="F447" s="42" t="str">
        <f ca="1">IFERROR(__xludf.DUMMYFUNCTION("""COMPUTED_VALUE"""),"BIHAR STUDENT")</f>
        <v>BIHAR STUDENT</v>
      </c>
      <c r="G447" s="42" t="str">
        <f ca="1">IFERROR(__xludf.DUMMYFUNCTION("""COMPUTED_VALUE"""),"BIHAR STUDENT")</f>
        <v>BIHAR STUDENT</v>
      </c>
      <c r="H447" s="2" t="str">
        <f ca="1">IFERROR(__xludf.DUMMYFUNCTION("""COMPUTED_VALUE"""),"DCE_2022-25")</f>
        <v>DCE_2022-25</v>
      </c>
      <c r="I447" s="45"/>
      <c r="J447" s="46">
        <f ca="1">IFERROR(__xludf.DUMMYFUNCTION("""COMPUTED_VALUE"""),42500)</f>
        <v>42500</v>
      </c>
      <c r="K447" s="46">
        <f ca="1">IFERROR(__xludf.DUMMYFUNCTION("""COMPUTED_VALUE"""),42500)</f>
        <v>42500</v>
      </c>
      <c r="L447" s="46">
        <f ca="1">IFERROR(__xludf.DUMMYFUNCTION("""COMPUTED_VALUE"""),0)</f>
        <v>0</v>
      </c>
      <c r="M447" s="47">
        <f ca="1">IFERROR(__xludf.DUMMYFUNCTION("""COMPUTED_VALUE"""),0)</f>
        <v>0</v>
      </c>
      <c r="N447" s="46">
        <f ca="1">IFERROR(__xludf.DUMMYFUNCTION("""COMPUTED_VALUE"""),0)</f>
        <v>0</v>
      </c>
      <c r="O447" s="46">
        <f ca="1">IFERROR(__xludf.DUMMYFUNCTION("""COMPUTED_VALUE"""),0)</f>
        <v>0</v>
      </c>
      <c r="P447" s="46">
        <f ca="1">IFERROR(__xludf.DUMMYFUNCTION("""COMPUTED_VALUE"""),0)</f>
        <v>0</v>
      </c>
      <c r="Q447" s="47">
        <f ca="1">IFERROR(__xludf.DUMMYFUNCTION("""COMPUTED_VALUE"""),0)</f>
        <v>0</v>
      </c>
      <c r="R447" s="24">
        <f ca="1">IFERROR(__xludf.DUMMYFUNCTION("""COMPUTED_VALUE"""),0)</f>
        <v>0</v>
      </c>
      <c r="S447" s="23">
        <f ca="1">IFERROR(__xludf.DUMMYFUNCTION("""COMPUTED_VALUE"""),0)</f>
        <v>0</v>
      </c>
      <c r="T447" s="48">
        <f ca="1">IFERROR(__xludf.DUMMYFUNCTION("""COMPUTED_VALUE"""),0)</f>
        <v>0</v>
      </c>
      <c r="U447" s="47">
        <f ca="1">IFERROR(__xludf.DUMMYFUNCTION("""COMPUTED_VALUE"""),0)</f>
        <v>0</v>
      </c>
      <c r="V447" s="47">
        <f ca="1">IFERROR(__xludf.DUMMYFUNCTION("""COMPUTED_VALUE"""),0)</f>
        <v>0</v>
      </c>
      <c r="W447" s="47">
        <f ca="1">IFERROR(__xludf.DUMMYFUNCTION("""COMPUTED_VALUE"""),0)</f>
        <v>0</v>
      </c>
      <c r="X447" s="47">
        <f ca="1">IFERROR(__xludf.DUMMYFUNCTION("""COMPUTED_VALUE"""),0)</f>
        <v>0</v>
      </c>
      <c r="Y447" s="44">
        <f ca="1">IFERROR(__xludf.DUMMYFUNCTION("""COMPUTED_VALUE"""),0)</f>
        <v>0</v>
      </c>
      <c r="Z447" s="44">
        <f ca="1">IFERROR(__xludf.DUMMYFUNCTION("""COMPUTED_VALUE"""),0)</f>
        <v>0</v>
      </c>
      <c r="AA447" s="44">
        <f ca="1">IFERROR(__xludf.DUMMYFUNCTION("""COMPUTED_VALUE"""),0)</f>
        <v>0</v>
      </c>
      <c r="AB447" s="44">
        <f ca="1">IFERROR(__xludf.DUMMYFUNCTION("""COMPUTED_VALUE"""),0)</f>
        <v>0</v>
      </c>
      <c r="AC447" s="47">
        <f ca="1">IFERROR(__xludf.DUMMYFUNCTION("""COMPUTED_VALUE"""),0)</f>
        <v>0</v>
      </c>
      <c r="AD447" s="49"/>
      <c r="AE447" s="27"/>
    </row>
    <row r="448" spans="1:31" ht="14.3">
      <c r="A448" s="42" t="str">
        <f ca="1">IFERROR(__xludf.DUMMYFUNCTION("""COMPUTED_VALUE"""),"22SDSCE01226")</f>
        <v>22SDSCE01226</v>
      </c>
      <c r="B448" s="43" t="str">
        <f ca="1">IFERROR(__xludf.DUMMYFUNCTION("""COMPUTED_VALUE"""),"FARZAN KHAN")</f>
        <v>FARZAN KHAN</v>
      </c>
      <c r="C448" s="42" t="str">
        <f ca="1">IFERROR(__xludf.DUMMYFUNCTION("""COMPUTED_VALUE"""),"SDS")</f>
        <v>SDS</v>
      </c>
      <c r="D448" s="42" t="str">
        <f ca="1">IFERROR(__xludf.DUMMYFUNCTION("""COMPUTED_VALUE"""),"DCE")</f>
        <v>DCE</v>
      </c>
      <c r="E448" s="44">
        <f ca="1">IFERROR(__xludf.DUMMYFUNCTION("""COMPUTED_VALUE"""),4)</f>
        <v>4</v>
      </c>
      <c r="F448" s="42" t="str">
        <f ca="1">IFERROR(__xludf.DUMMYFUNCTION("""COMPUTED_VALUE"""),"BIHAR STUDENT")</f>
        <v>BIHAR STUDENT</v>
      </c>
      <c r="G448" s="42" t="str">
        <f ca="1">IFERROR(__xludf.DUMMYFUNCTION("""COMPUTED_VALUE"""),"BIHAR STUDENT")</f>
        <v>BIHAR STUDENT</v>
      </c>
      <c r="H448" s="2" t="str">
        <f ca="1">IFERROR(__xludf.DUMMYFUNCTION("""COMPUTED_VALUE"""),"DCE_2022-25")</f>
        <v>DCE_2022-25</v>
      </c>
      <c r="I448" s="45"/>
      <c r="J448" s="46">
        <f ca="1">IFERROR(__xludf.DUMMYFUNCTION("""COMPUTED_VALUE"""),42500)</f>
        <v>42500</v>
      </c>
      <c r="K448" s="46">
        <f ca="1">IFERROR(__xludf.DUMMYFUNCTION("""COMPUTED_VALUE"""),0)</f>
        <v>0</v>
      </c>
      <c r="L448" s="46">
        <f ca="1">IFERROR(__xludf.DUMMYFUNCTION("""COMPUTED_VALUE"""),0)</f>
        <v>0</v>
      </c>
      <c r="M448" s="47">
        <f ca="1">IFERROR(__xludf.DUMMYFUNCTION("""COMPUTED_VALUE"""),0)</f>
        <v>0</v>
      </c>
      <c r="N448" s="46">
        <f ca="1">IFERROR(__xludf.DUMMYFUNCTION("""COMPUTED_VALUE"""),42500)</f>
        <v>42500</v>
      </c>
      <c r="O448" s="46">
        <f ca="1">IFERROR(__xludf.DUMMYFUNCTION("""COMPUTED_VALUE"""),0)</f>
        <v>0</v>
      </c>
      <c r="P448" s="46">
        <f ca="1">IFERROR(__xludf.DUMMYFUNCTION("""COMPUTED_VALUE"""),0)</f>
        <v>0</v>
      </c>
      <c r="Q448" s="47">
        <f ca="1">IFERROR(__xludf.DUMMYFUNCTION("""COMPUTED_VALUE"""),0)</f>
        <v>0</v>
      </c>
      <c r="R448" s="24">
        <f ca="1">IFERROR(__xludf.DUMMYFUNCTION("""COMPUTED_VALUE"""),0)</f>
        <v>0</v>
      </c>
      <c r="S448" s="23">
        <f ca="1">IFERROR(__xludf.DUMMYFUNCTION("""COMPUTED_VALUE"""),0)</f>
        <v>0</v>
      </c>
      <c r="T448" s="48">
        <f ca="1">IFERROR(__xludf.DUMMYFUNCTION("""COMPUTED_VALUE"""),0)</f>
        <v>0</v>
      </c>
      <c r="U448" s="47">
        <f ca="1">IFERROR(__xludf.DUMMYFUNCTION("""COMPUTED_VALUE"""),0)</f>
        <v>0</v>
      </c>
      <c r="V448" s="47">
        <f ca="1">IFERROR(__xludf.DUMMYFUNCTION("""COMPUTED_VALUE"""),0)</f>
        <v>0</v>
      </c>
      <c r="W448" s="47">
        <f ca="1">IFERROR(__xludf.DUMMYFUNCTION("""COMPUTED_VALUE"""),0)</f>
        <v>0</v>
      </c>
      <c r="X448" s="47">
        <f ca="1">IFERROR(__xludf.DUMMYFUNCTION("""COMPUTED_VALUE"""),0)</f>
        <v>0</v>
      </c>
      <c r="Y448" s="44">
        <f ca="1">IFERROR(__xludf.DUMMYFUNCTION("""COMPUTED_VALUE"""),0)</f>
        <v>0</v>
      </c>
      <c r="Z448" s="44">
        <f ca="1">IFERROR(__xludf.DUMMYFUNCTION("""COMPUTED_VALUE"""),0)</f>
        <v>0</v>
      </c>
      <c r="AA448" s="44">
        <f ca="1">IFERROR(__xludf.DUMMYFUNCTION("""COMPUTED_VALUE"""),0)</f>
        <v>0</v>
      </c>
      <c r="AB448" s="44">
        <f ca="1">IFERROR(__xludf.DUMMYFUNCTION("""COMPUTED_VALUE"""),0)</f>
        <v>0</v>
      </c>
      <c r="AC448" s="47">
        <f ca="1">IFERROR(__xludf.DUMMYFUNCTION("""COMPUTED_VALUE"""),0)</f>
        <v>0</v>
      </c>
      <c r="AD448" s="49"/>
      <c r="AE448" s="27"/>
    </row>
    <row r="449" spans="1:31" ht="14.3">
      <c r="A449" s="42" t="str">
        <f ca="1">IFERROR(__xludf.DUMMYFUNCTION("""COMPUTED_VALUE"""),"22SDSCE01227")</f>
        <v>22SDSCE01227</v>
      </c>
      <c r="B449" s="43" t="str">
        <f ca="1">IFERROR(__xludf.DUMMYFUNCTION("""COMPUTED_VALUE"""),"BHANU KUMAR")</f>
        <v>BHANU KUMAR</v>
      </c>
      <c r="C449" s="42" t="str">
        <f ca="1">IFERROR(__xludf.DUMMYFUNCTION("""COMPUTED_VALUE"""),"SDS")</f>
        <v>SDS</v>
      </c>
      <c r="D449" s="42" t="str">
        <f ca="1">IFERROR(__xludf.DUMMYFUNCTION("""COMPUTED_VALUE"""),"DCE")</f>
        <v>DCE</v>
      </c>
      <c r="E449" s="44">
        <f ca="1">IFERROR(__xludf.DUMMYFUNCTION("""COMPUTED_VALUE"""),4)</f>
        <v>4</v>
      </c>
      <c r="F449" s="42" t="str">
        <f ca="1">IFERROR(__xludf.DUMMYFUNCTION("""COMPUTED_VALUE"""),"BIHAR STUDENT")</f>
        <v>BIHAR STUDENT</v>
      </c>
      <c r="G449" s="42" t="str">
        <f ca="1">IFERROR(__xludf.DUMMYFUNCTION("""COMPUTED_VALUE"""),"BIHAR STUDENT")</f>
        <v>BIHAR STUDENT</v>
      </c>
      <c r="H449" s="2" t="str">
        <f ca="1">IFERROR(__xludf.DUMMYFUNCTION("""COMPUTED_VALUE"""),"DCE_2022-25")</f>
        <v>DCE_2022-25</v>
      </c>
      <c r="I449" s="45"/>
      <c r="J449" s="46">
        <f ca="1">IFERROR(__xludf.DUMMYFUNCTION("""COMPUTED_VALUE"""),42500)</f>
        <v>42500</v>
      </c>
      <c r="K449" s="46">
        <f ca="1">IFERROR(__xludf.DUMMYFUNCTION("""COMPUTED_VALUE"""),42500)</f>
        <v>42500</v>
      </c>
      <c r="L449" s="46">
        <f ca="1">IFERROR(__xludf.DUMMYFUNCTION("""COMPUTED_VALUE"""),0)</f>
        <v>0</v>
      </c>
      <c r="M449" s="47">
        <f ca="1">IFERROR(__xludf.DUMMYFUNCTION("""COMPUTED_VALUE"""),0)</f>
        <v>0</v>
      </c>
      <c r="N449" s="46">
        <f ca="1">IFERROR(__xludf.DUMMYFUNCTION("""COMPUTED_VALUE"""),0)</f>
        <v>0</v>
      </c>
      <c r="O449" s="46">
        <f ca="1">IFERROR(__xludf.DUMMYFUNCTION("""COMPUTED_VALUE"""),0)</f>
        <v>0</v>
      </c>
      <c r="P449" s="46">
        <f ca="1">IFERROR(__xludf.DUMMYFUNCTION("""COMPUTED_VALUE"""),0)</f>
        <v>0</v>
      </c>
      <c r="Q449" s="47">
        <f ca="1">IFERROR(__xludf.DUMMYFUNCTION("""COMPUTED_VALUE"""),0)</f>
        <v>0</v>
      </c>
      <c r="R449" s="24">
        <f ca="1">IFERROR(__xludf.DUMMYFUNCTION("""COMPUTED_VALUE"""),0)</f>
        <v>0</v>
      </c>
      <c r="S449" s="23">
        <f ca="1">IFERROR(__xludf.DUMMYFUNCTION("""COMPUTED_VALUE"""),0)</f>
        <v>0</v>
      </c>
      <c r="T449" s="48">
        <f ca="1">IFERROR(__xludf.DUMMYFUNCTION("""COMPUTED_VALUE"""),0)</f>
        <v>0</v>
      </c>
      <c r="U449" s="47">
        <f ca="1">IFERROR(__xludf.DUMMYFUNCTION("""COMPUTED_VALUE"""),0)</f>
        <v>0</v>
      </c>
      <c r="V449" s="47">
        <f ca="1">IFERROR(__xludf.DUMMYFUNCTION("""COMPUTED_VALUE"""),0)</f>
        <v>0</v>
      </c>
      <c r="W449" s="47">
        <f ca="1">IFERROR(__xludf.DUMMYFUNCTION("""COMPUTED_VALUE"""),0)</f>
        <v>0</v>
      </c>
      <c r="X449" s="47">
        <f ca="1">IFERROR(__xludf.DUMMYFUNCTION("""COMPUTED_VALUE"""),0)</f>
        <v>0</v>
      </c>
      <c r="Y449" s="44">
        <f ca="1">IFERROR(__xludf.DUMMYFUNCTION("""COMPUTED_VALUE"""),0)</f>
        <v>0</v>
      </c>
      <c r="Z449" s="44">
        <f ca="1">IFERROR(__xludf.DUMMYFUNCTION("""COMPUTED_VALUE"""),0)</f>
        <v>0</v>
      </c>
      <c r="AA449" s="44">
        <f ca="1">IFERROR(__xludf.DUMMYFUNCTION("""COMPUTED_VALUE"""),0)</f>
        <v>0</v>
      </c>
      <c r="AB449" s="44">
        <f ca="1">IFERROR(__xludf.DUMMYFUNCTION("""COMPUTED_VALUE"""),0)</f>
        <v>0</v>
      </c>
      <c r="AC449" s="47">
        <f ca="1">IFERROR(__xludf.DUMMYFUNCTION("""COMPUTED_VALUE"""),0)</f>
        <v>0</v>
      </c>
      <c r="AD449" s="49"/>
      <c r="AE449" s="27"/>
    </row>
    <row r="450" spans="1:31" ht="14.3">
      <c r="A450" s="42" t="str">
        <f ca="1">IFERROR(__xludf.DUMMYFUNCTION("""COMPUTED_VALUE"""),"22SDSCE01228")</f>
        <v>22SDSCE01228</v>
      </c>
      <c r="B450" s="43" t="str">
        <f ca="1">IFERROR(__xludf.DUMMYFUNCTION("""COMPUTED_VALUE"""),"RAHUL KUMAR")</f>
        <v>RAHUL KUMAR</v>
      </c>
      <c r="C450" s="42" t="str">
        <f ca="1">IFERROR(__xludf.DUMMYFUNCTION("""COMPUTED_VALUE"""),"SDS")</f>
        <v>SDS</v>
      </c>
      <c r="D450" s="42" t="str">
        <f ca="1">IFERROR(__xludf.DUMMYFUNCTION("""COMPUTED_VALUE"""),"DCE")</f>
        <v>DCE</v>
      </c>
      <c r="E450" s="44">
        <f ca="1">IFERROR(__xludf.DUMMYFUNCTION("""COMPUTED_VALUE"""),4)</f>
        <v>4</v>
      </c>
      <c r="F450" s="42" t="str">
        <f ca="1">IFERROR(__xludf.DUMMYFUNCTION("""COMPUTED_VALUE"""),"BIHAR STUDENT")</f>
        <v>BIHAR STUDENT</v>
      </c>
      <c r="G450" s="42" t="str">
        <f ca="1">IFERROR(__xludf.DUMMYFUNCTION("""COMPUTED_VALUE"""),"BIHAR STUDENT")</f>
        <v>BIHAR STUDENT</v>
      </c>
      <c r="H450" s="2" t="str">
        <f ca="1">IFERROR(__xludf.DUMMYFUNCTION("""COMPUTED_VALUE"""),"DCE_2022-25")</f>
        <v>DCE_2022-25</v>
      </c>
      <c r="I450" s="45"/>
      <c r="J450" s="46">
        <f ca="1">IFERROR(__xludf.DUMMYFUNCTION("""COMPUTED_VALUE"""),42500)</f>
        <v>42500</v>
      </c>
      <c r="K450" s="46">
        <f ca="1">IFERROR(__xludf.DUMMYFUNCTION("""COMPUTED_VALUE"""),0)</f>
        <v>0</v>
      </c>
      <c r="L450" s="46">
        <f ca="1">IFERROR(__xludf.DUMMYFUNCTION("""COMPUTED_VALUE"""),0)</f>
        <v>0</v>
      </c>
      <c r="M450" s="47">
        <f ca="1">IFERROR(__xludf.DUMMYFUNCTION("""COMPUTED_VALUE"""),0)</f>
        <v>0</v>
      </c>
      <c r="N450" s="46">
        <f ca="1">IFERROR(__xludf.DUMMYFUNCTION("""COMPUTED_VALUE"""),42500)</f>
        <v>42500</v>
      </c>
      <c r="O450" s="46">
        <f ca="1">IFERROR(__xludf.DUMMYFUNCTION("""COMPUTED_VALUE"""),0)</f>
        <v>0</v>
      </c>
      <c r="P450" s="46">
        <f ca="1">IFERROR(__xludf.DUMMYFUNCTION("""COMPUTED_VALUE"""),0)</f>
        <v>0</v>
      </c>
      <c r="Q450" s="47">
        <f ca="1">IFERROR(__xludf.DUMMYFUNCTION("""COMPUTED_VALUE"""),0)</f>
        <v>0</v>
      </c>
      <c r="R450" s="24">
        <f ca="1">IFERROR(__xludf.DUMMYFUNCTION("""COMPUTED_VALUE"""),0)</f>
        <v>0</v>
      </c>
      <c r="S450" s="23">
        <f ca="1">IFERROR(__xludf.DUMMYFUNCTION("""COMPUTED_VALUE"""),0)</f>
        <v>0</v>
      </c>
      <c r="T450" s="48">
        <f ca="1">IFERROR(__xludf.DUMMYFUNCTION("""COMPUTED_VALUE"""),0)</f>
        <v>0</v>
      </c>
      <c r="U450" s="47">
        <f ca="1">IFERROR(__xludf.DUMMYFUNCTION("""COMPUTED_VALUE"""),0)</f>
        <v>0</v>
      </c>
      <c r="V450" s="47">
        <f ca="1">IFERROR(__xludf.DUMMYFUNCTION("""COMPUTED_VALUE"""),0)</f>
        <v>0</v>
      </c>
      <c r="W450" s="47">
        <f ca="1">IFERROR(__xludf.DUMMYFUNCTION("""COMPUTED_VALUE"""),0)</f>
        <v>0</v>
      </c>
      <c r="X450" s="47">
        <f ca="1">IFERROR(__xludf.DUMMYFUNCTION("""COMPUTED_VALUE"""),0)</f>
        <v>0</v>
      </c>
      <c r="Y450" s="44">
        <f ca="1">IFERROR(__xludf.DUMMYFUNCTION("""COMPUTED_VALUE"""),0)</f>
        <v>0</v>
      </c>
      <c r="Z450" s="44">
        <f ca="1">IFERROR(__xludf.DUMMYFUNCTION("""COMPUTED_VALUE"""),0)</f>
        <v>0</v>
      </c>
      <c r="AA450" s="44">
        <f ca="1">IFERROR(__xludf.DUMMYFUNCTION("""COMPUTED_VALUE"""),0)</f>
        <v>0</v>
      </c>
      <c r="AB450" s="44">
        <f ca="1">IFERROR(__xludf.DUMMYFUNCTION("""COMPUTED_VALUE"""),0)</f>
        <v>0</v>
      </c>
      <c r="AC450" s="47">
        <f ca="1">IFERROR(__xludf.DUMMYFUNCTION("""COMPUTED_VALUE"""),0)</f>
        <v>0</v>
      </c>
      <c r="AD450" s="49"/>
      <c r="AE450" s="27"/>
    </row>
    <row r="451" spans="1:31" ht="14.3">
      <c r="A451" s="42" t="str">
        <f ca="1">IFERROR(__xludf.DUMMYFUNCTION("""COMPUTED_VALUE"""),"22SDSCE01229")</f>
        <v>22SDSCE01229</v>
      </c>
      <c r="B451" s="43" t="str">
        <f ca="1">IFERROR(__xludf.DUMMYFUNCTION("""COMPUTED_VALUE"""),"RAUSHAN KUMAR")</f>
        <v>RAUSHAN KUMAR</v>
      </c>
      <c r="C451" s="42" t="str">
        <f ca="1">IFERROR(__xludf.DUMMYFUNCTION("""COMPUTED_VALUE"""),"SDS")</f>
        <v>SDS</v>
      </c>
      <c r="D451" s="42" t="str">
        <f ca="1">IFERROR(__xludf.DUMMYFUNCTION("""COMPUTED_VALUE"""),"DCE")</f>
        <v>DCE</v>
      </c>
      <c r="E451" s="44">
        <f ca="1">IFERROR(__xludf.DUMMYFUNCTION("""COMPUTED_VALUE"""),4)</f>
        <v>4</v>
      </c>
      <c r="F451" s="42" t="str">
        <f ca="1">IFERROR(__xludf.DUMMYFUNCTION("""COMPUTED_VALUE"""),"BIHAR STUDENT")</f>
        <v>BIHAR STUDENT</v>
      </c>
      <c r="G451" s="42" t="str">
        <f ca="1">IFERROR(__xludf.DUMMYFUNCTION("""COMPUTED_VALUE"""),"BIHAR STUDENT")</f>
        <v>BIHAR STUDENT</v>
      </c>
      <c r="H451" s="2" t="str">
        <f ca="1">IFERROR(__xludf.DUMMYFUNCTION("""COMPUTED_VALUE"""),"DCE_2022-25")</f>
        <v>DCE_2022-25</v>
      </c>
      <c r="I451" s="45"/>
      <c r="J451" s="46">
        <f ca="1">IFERROR(__xludf.DUMMYFUNCTION("""COMPUTED_VALUE"""),42500)</f>
        <v>42500</v>
      </c>
      <c r="K451" s="46">
        <f ca="1">IFERROR(__xludf.DUMMYFUNCTION("""COMPUTED_VALUE"""),42500)</f>
        <v>42500</v>
      </c>
      <c r="L451" s="46">
        <f ca="1">IFERROR(__xludf.DUMMYFUNCTION("""COMPUTED_VALUE"""),0)</f>
        <v>0</v>
      </c>
      <c r="M451" s="47">
        <f ca="1">IFERROR(__xludf.DUMMYFUNCTION("""COMPUTED_VALUE"""),0)</f>
        <v>0</v>
      </c>
      <c r="N451" s="46">
        <f ca="1">IFERROR(__xludf.DUMMYFUNCTION("""COMPUTED_VALUE"""),0)</f>
        <v>0</v>
      </c>
      <c r="O451" s="46">
        <f ca="1">IFERROR(__xludf.DUMMYFUNCTION("""COMPUTED_VALUE"""),0)</f>
        <v>0</v>
      </c>
      <c r="P451" s="46">
        <f ca="1">IFERROR(__xludf.DUMMYFUNCTION("""COMPUTED_VALUE"""),0)</f>
        <v>0</v>
      </c>
      <c r="Q451" s="47">
        <f ca="1">IFERROR(__xludf.DUMMYFUNCTION("""COMPUTED_VALUE"""),0)</f>
        <v>0</v>
      </c>
      <c r="R451" s="24">
        <f ca="1">IFERROR(__xludf.DUMMYFUNCTION("""COMPUTED_VALUE"""),0)</f>
        <v>0</v>
      </c>
      <c r="S451" s="23">
        <f ca="1">IFERROR(__xludf.DUMMYFUNCTION("""COMPUTED_VALUE"""),0)</f>
        <v>0</v>
      </c>
      <c r="T451" s="48">
        <f ca="1">IFERROR(__xludf.DUMMYFUNCTION("""COMPUTED_VALUE"""),0)</f>
        <v>0</v>
      </c>
      <c r="U451" s="47">
        <f ca="1">IFERROR(__xludf.DUMMYFUNCTION("""COMPUTED_VALUE"""),0)</f>
        <v>0</v>
      </c>
      <c r="V451" s="47">
        <f ca="1">IFERROR(__xludf.DUMMYFUNCTION("""COMPUTED_VALUE"""),0)</f>
        <v>0</v>
      </c>
      <c r="W451" s="47">
        <f ca="1">IFERROR(__xludf.DUMMYFUNCTION("""COMPUTED_VALUE"""),0)</f>
        <v>0</v>
      </c>
      <c r="X451" s="47">
        <f ca="1">IFERROR(__xludf.DUMMYFUNCTION("""COMPUTED_VALUE"""),0)</f>
        <v>0</v>
      </c>
      <c r="Y451" s="44">
        <f ca="1">IFERROR(__xludf.DUMMYFUNCTION("""COMPUTED_VALUE"""),0)</f>
        <v>0</v>
      </c>
      <c r="Z451" s="44">
        <f ca="1">IFERROR(__xludf.DUMMYFUNCTION("""COMPUTED_VALUE"""),0)</f>
        <v>0</v>
      </c>
      <c r="AA451" s="44">
        <f ca="1">IFERROR(__xludf.DUMMYFUNCTION("""COMPUTED_VALUE"""),0)</f>
        <v>0</v>
      </c>
      <c r="AB451" s="44">
        <f ca="1">IFERROR(__xludf.DUMMYFUNCTION("""COMPUTED_VALUE"""),0)</f>
        <v>0</v>
      </c>
      <c r="AC451" s="47">
        <f ca="1">IFERROR(__xludf.DUMMYFUNCTION("""COMPUTED_VALUE"""),0)</f>
        <v>0</v>
      </c>
      <c r="AD451" s="49"/>
      <c r="AE451" s="27"/>
    </row>
    <row r="452" spans="1:31" ht="14.3">
      <c r="A452" s="42" t="str">
        <f ca="1">IFERROR(__xludf.DUMMYFUNCTION("""COMPUTED_VALUE"""),"22SDSCE01230")</f>
        <v>22SDSCE01230</v>
      </c>
      <c r="B452" s="43" t="str">
        <f ca="1">IFERROR(__xludf.DUMMYFUNCTION("""COMPUTED_VALUE"""),"ROHIT KUMAR")</f>
        <v>ROHIT KUMAR</v>
      </c>
      <c r="C452" s="42" t="str">
        <f ca="1">IFERROR(__xludf.DUMMYFUNCTION("""COMPUTED_VALUE"""),"SDS")</f>
        <v>SDS</v>
      </c>
      <c r="D452" s="42" t="str">
        <f ca="1">IFERROR(__xludf.DUMMYFUNCTION("""COMPUTED_VALUE"""),"DCE")</f>
        <v>DCE</v>
      </c>
      <c r="E452" s="44">
        <f ca="1">IFERROR(__xludf.DUMMYFUNCTION("""COMPUTED_VALUE"""),4)</f>
        <v>4</v>
      </c>
      <c r="F452" s="42" t="str">
        <f ca="1">IFERROR(__xludf.DUMMYFUNCTION("""COMPUTED_VALUE"""),"BIHAR STUDENT")</f>
        <v>BIHAR STUDENT</v>
      </c>
      <c r="G452" s="42" t="str">
        <f ca="1">IFERROR(__xludf.DUMMYFUNCTION("""COMPUTED_VALUE"""),"BIHAR STUDENT")</f>
        <v>BIHAR STUDENT</v>
      </c>
      <c r="H452" s="2" t="str">
        <f ca="1">IFERROR(__xludf.DUMMYFUNCTION("""COMPUTED_VALUE"""),"DCE_2022-25")</f>
        <v>DCE_2022-25</v>
      </c>
      <c r="I452" s="45"/>
      <c r="J452" s="46">
        <f ca="1">IFERROR(__xludf.DUMMYFUNCTION("""COMPUTED_VALUE"""),42500)</f>
        <v>42500</v>
      </c>
      <c r="K452" s="46">
        <f ca="1">IFERROR(__xludf.DUMMYFUNCTION("""COMPUTED_VALUE"""),42500)</f>
        <v>42500</v>
      </c>
      <c r="L452" s="46">
        <f ca="1">IFERROR(__xludf.DUMMYFUNCTION("""COMPUTED_VALUE"""),0)</f>
        <v>0</v>
      </c>
      <c r="M452" s="47">
        <f ca="1">IFERROR(__xludf.DUMMYFUNCTION("""COMPUTED_VALUE"""),0)</f>
        <v>0</v>
      </c>
      <c r="N452" s="46">
        <f ca="1">IFERROR(__xludf.DUMMYFUNCTION("""COMPUTED_VALUE"""),0)</f>
        <v>0</v>
      </c>
      <c r="O452" s="46">
        <f ca="1">IFERROR(__xludf.DUMMYFUNCTION("""COMPUTED_VALUE"""),0)</f>
        <v>0</v>
      </c>
      <c r="P452" s="46">
        <f ca="1">IFERROR(__xludf.DUMMYFUNCTION("""COMPUTED_VALUE"""),0)</f>
        <v>0</v>
      </c>
      <c r="Q452" s="47">
        <f ca="1">IFERROR(__xludf.DUMMYFUNCTION("""COMPUTED_VALUE"""),0)</f>
        <v>0</v>
      </c>
      <c r="R452" s="24">
        <f ca="1">IFERROR(__xludf.DUMMYFUNCTION("""COMPUTED_VALUE"""),0)</f>
        <v>0</v>
      </c>
      <c r="S452" s="23">
        <f ca="1">IFERROR(__xludf.DUMMYFUNCTION("""COMPUTED_VALUE"""),0)</f>
        <v>0</v>
      </c>
      <c r="T452" s="48">
        <f ca="1">IFERROR(__xludf.DUMMYFUNCTION("""COMPUTED_VALUE"""),0)</f>
        <v>0</v>
      </c>
      <c r="U452" s="47">
        <f ca="1">IFERROR(__xludf.DUMMYFUNCTION("""COMPUTED_VALUE"""),0)</f>
        <v>0</v>
      </c>
      <c r="V452" s="47">
        <f ca="1">IFERROR(__xludf.DUMMYFUNCTION("""COMPUTED_VALUE"""),0)</f>
        <v>0</v>
      </c>
      <c r="W452" s="47">
        <f ca="1">IFERROR(__xludf.DUMMYFUNCTION("""COMPUTED_VALUE"""),0)</f>
        <v>0</v>
      </c>
      <c r="X452" s="47">
        <f ca="1">IFERROR(__xludf.DUMMYFUNCTION("""COMPUTED_VALUE"""),0)</f>
        <v>0</v>
      </c>
      <c r="Y452" s="44">
        <f ca="1">IFERROR(__xludf.DUMMYFUNCTION("""COMPUTED_VALUE"""),0)</f>
        <v>0</v>
      </c>
      <c r="Z452" s="44">
        <f ca="1">IFERROR(__xludf.DUMMYFUNCTION("""COMPUTED_VALUE"""),0)</f>
        <v>0</v>
      </c>
      <c r="AA452" s="44">
        <f ca="1">IFERROR(__xludf.DUMMYFUNCTION("""COMPUTED_VALUE"""),0)</f>
        <v>0</v>
      </c>
      <c r="AB452" s="44">
        <f ca="1">IFERROR(__xludf.DUMMYFUNCTION("""COMPUTED_VALUE"""),0)</f>
        <v>0</v>
      </c>
      <c r="AC452" s="47">
        <f ca="1">IFERROR(__xludf.DUMMYFUNCTION("""COMPUTED_VALUE"""),0)</f>
        <v>0</v>
      </c>
      <c r="AD452" s="49"/>
      <c r="AE452" s="27"/>
    </row>
    <row r="453" spans="1:31" ht="14.3">
      <c r="A453" s="42" t="str">
        <f ca="1">IFERROR(__xludf.DUMMYFUNCTION("""COMPUTED_VALUE"""),"22SDSCE01231")</f>
        <v>22SDSCE01231</v>
      </c>
      <c r="B453" s="43" t="str">
        <f ca="1">IFERROR(__xludf.DUMMYFUNCTION("""COMPUTED_VALUE"""),"SHIVAM KUMAR")</f>
        <v>SHIVAM KUMAR</v>
      </c>
      <c r="C453" s="42" t="str">
        <f ca="1">IFERROR(__xludf.DUMMYFUNCTION("""COMPUTED_VALUE"""),"SDS")</f>
        <v>SDS</v>
      </c>
      <c r="D453" s="42" t="str">
        <f ca="1">IFERROR(__xludf.DUMMYFUNCTION("""COMPUTED_VALUE"""),"DCE")</f>
        <v>DCE</v>
      </c>
      <c r="E453" s="44">
        <f ca="1">IFERROR(__xludf.DUMMYFUNCTION("""COMPUTED_VALUE"""),4)</f>
        <v>4</v>
      </c>
      <c r="F453" s="42" t="str">
        <f ca="1">IFERROR(__xludf.DUMMYFUNCTION("""COMPUTED_VALUE"""),"BIHAR STUDENT")</f>
        <v>BIHAR STUDENT</v>
      </c>
      <c r="G453" s="42" t="str">
        <f ca="1">IFERROR(__xludf.DUMMYFUNCTION("""COMPUTED_VALUE"""),"BIHAR STUDENT")</f>
        <v>BIHAR STUDENT</v>
      </c>
      <c r="H453" s="2" t="str">
        <f ca="1">IFERROR(__xludf.DUMMYFUNCTION("""COMPUTED_VALUE"""),"DCE_2022-25")</f>
        <v>DCE_2022-25</v>
      </c>
      <c r="I453" s="45"/>
      <c r="J453" s="46">
        <f ca="1">IFERROR(__xludf.DUMMYFUNCTION("""COMPUTED_VALUE"""),42500)</f>
        <v>42500</v>
      </c>
      <c r="K453" s="46">
        <f ca="1">IFERROR(__xludf.DUMMYFUNCTION("""COMPUTED_VALUE"""),0)</f>
        <v>0</v>
      </c>
      <c r="L453" s="46">
        <f ca="1">IFERROR(__xludf.DUMMYFUNCTION("""COMPUTED_VALUE"""),0)</f>
        <v>0</v>
      </c>
      <c r="M453" s="47">
        <f ca="1">IFERROR(__xludf.DUMMYFUNCTION("""COMPUTED_VALUE"""),0)</f>
        <v>0</v>
      </c>
      <c r="N453" s="46">
        <f ca="1">IFERROR(__xludf.DUMMYFUNCTION("""COMPUTED_VALUE"""),42500)</f>
        <v>42500</v>
      </c>
      <c r="O453" s="46">
        <f ca="1">IFERROR(__xludf.DUMMYFUNCTION("""COMPUTED_VALUE"""),0)</f>
        <v>0</v>
      </c>
      <c r="P453" s="46">
        <f ca="1">IFERROR(__xludf.DUMMYFUNCTION("""COMPUTED_VALUE"""),0)</f>
        <v>0</v>
      </c>
      <c r="Q453" s="47">
        <f ca="1">IFERROR(__xludf.DUMMYFUNCTION("""COMPUTED_VALUE"""),0)</f>
        <v>0</v>
      </c>
      <c r="R453" s="24">
        <f ca="1">IFERROR(__xludf.DUMMYFUNCTION("""COMPUTED_VALUE"""),0)</f>
        <v>0</v>
      </c>
      <c r="S453" s="23">
        <f ca="1">IFERROR(__xludf.DUMMYFUNCTION("""COMPUTED_VALUE"""),0)</f>
        <v>0</v>
      </c>
      <c r="T453" s="48">
        <f ca="1">IFERROR(__xludf.DUMMYFUNCTION("""COMPUTED_VALUE"""),0)</f>
        <v>0</v>
      </c>
      <c r="U453" s="47">
        <f ca="1">IFERROR(__xludf.DUMMYFUNCTION("""COMPUTED_VALUE"""),0)</f>
        <v>0</v>
      </c>
      <c r="V453" s="47">
        <f ca="1">IFERROR(__xludf.DUMMYFUNCTION("""COMPUTED_VALUE"""),0)</f>
        <v>0</v>
      </c>
      <c r="W453" s="47">
        <f ca="1">IFERROR(__xludf.DUMMYFUNCTION("""COMPUTED_VALUE"""),0)</f>
        <v>0</v>
      </c>
      <c r="X453" s="47">
        <f ca="1">IFERROR(__xludf.DUMMYFUNCTION("""COMPUTED_VALUE"""),0)</f>
        <v>0</v>
      </c>
      <c r="Y453" s="44">
        <f ca="1">IFERROR(__xludf.DUMMYFUNCTION("""COMPUTED_VALUE"""),0)</f>
        <v>0</v>
      </c>
      <c r="Z453" s="44">
        <f ca="1">IFERROR(__xludf.DUMMYFUNCTION("""COMPUTED_VALUE"""),0)</f>
        <v>0</v>
      </c>
      <c r="AA453" s="44">
        <f ca="1">IFERROR(__xludf.DUMMYFUNCTION("""COMPUTED_VALUE"""),0)</f>
        <v>0</v>
      </c>
      <c r="AB453" s="44">
        <f ca="1">IFERROR(__xludf.DUMMYFUNCTION("""COMPUTED_VALUE"""),0)</f>
        <v>0</v>
      </c>
      <c r="AC453" s="47">
        <f ca="1">IFERROR(__xludf.DUMMYFUNCTION("""COMPUTED_VALUE"""),0)</f>
        <v>0</v>
      </c>
      <c r="AD453" s="49"/>
      <c r="AE453" s="27"/>
    </row>
    <row r="454" spans="1:31" ht="14.3">
      <c r="A454" s="42" t="str">
        <f ca="1">IFERROR(__xludf.DUMMYFUNCTION("""COMPUTED_VALUE"""),"22SDSCE01232")</f>
        <v>22SDSCE01232</v>
      </c>
      <c r="B454" s="43" t="str">
        <f ca="1">IFERROR(__xludf.DUMMYFUNCTION("""COMPUTED_VALUE"""),"UDAY KUMAR")</f>
        <v>UDAY KUMAR</v>
      </c>
      <c r="C454" s="42" t="str">
        <f ca="1">IFERROR(__xludf.DUMMYFUNCTION("""COMPUTED_VALUE"""),"SDS")</f>
        <v>SDS</v>
      </c>
      <c r="D454" s="42" t="str">
        <f ca="1">IFERROR(__xludf.DUMMYFUNCTION("""COMPUTED_VALUE"""),"DCE")</f>
        <v>DCE</v>
      </c>
      <c r="E454" s="44">
        <f ca="1">IFERROR(__xludf.DUMMYFUNCTION("""COMPUTED_VALUE"""),4)</f>
        <v>4</v>
      </c>
      <c r="F454" s="42" t="str">
        <f ca="1">IFERROR(__xludf.DUMMYFUNCTION("""COMPUTED_VALUE"""),"BIHAR STUDENT")</f>
        <v>BIHAR STUDENT</v>
      </c>
      <c r="G454" s="42" t="str">
        <f ca="1">IFERROR(__xludf.DUMMYFUNCTION("""COMPUTED_VALUE"""),"BIHAR STUDENT")</f>
        <v>BIHAR STUDENT</v>
      </c>
      <c r="H454" s="2" t="str">
        <f ca="1">IFERROR(__xludf.DUMMYFUNCTION("""COMPUTED_VALUE"""),"DCE_2022-25")</f>
        <v>DCE_2022-25</v>
      </c>
      <c r="I454" s="45"/>
      <c r="J454" s="46">
        <f ca="1">IFERROR(__xludf.DUMMYFUNCTION("""COMPUTED_VALUE"""),42500)</f>
        <v>42500</v>
      </c>
      <c r="K454" s="46">
        <f ca="1">IFERROR(__xludf.DUMMYFUNCTION("""COMPUTED_VALUE"""),0)</f>
        <v>0</v>
      </c>
      <c r="L454" s="46">
        <f ca="1">IFERROR(__xludf.DUMMYFUNCTION("""COMPUTED_VALUE"""),0)</f>
        <v>0</v>
      </c>
      <c r="M454" s="47">
        <f ca="1">IFERROR(__xludf.DUMMYFUNCTION("""COMPUTED_VALUE"""),0)</f>
        <v>0</v>
      </c>
      <c r="N454" s="46">
        <f ca="1">IFERROR(__xludf.DUMMYFUNCTION("""COMPUTED_VALUE"""),42500)</f>
        <v>42500</v>
      </c>
      <c r="O454" s="46">
        <f ca="1">IFERROR(__xludf.DUMMYFUNCTION("""COMPUTED_VALUE"""),0)</f>
        <v>0</v>
      </c>
      <c r="P454" s="46">
        <f ca="1">IFERROR(__xludf.DUMMYFUNCTION("""COMPUTED_VALUE"""),0)</f>
        <v>0</v>
      </c>
      <c r="Q454" s="47">
        <f ca="1">IFERROR(__xludf.DUMMYFUNCTION("""COMPUTED_VALUE"""),0)</f>
        <v>0</v>
      </c>
      <c r="R454" s="24">
        <f ca="1">IFERROR(__xludf.DUMMYFUNCTION("""COMPUTED_VALUE"""),0)</f>
        <v>0</v>
      </c>
      <c r="S454" s="23">
        <f ca="1">IFERROR(__xludf.DUMMYFUNCTION("""COMPUTED_VALUE"""),0)</f>
        <v>0</v>
      </c>
      <c r="T454" s="48">
        <f ca="1">IFERROR(__xludf.DUMMYFUNCTION("""COMPUTED_VALUE"""),0)</f>
        <v>0</v>
      </c>
      <c r="U454" s="47">
        <f ca="1">IFERROR(__xludf.DUMMYFUNCTION("""COMPUTED_VALUE"""),0)</f>
        <v>0</v>
      </c>
      <c r="V454" s="47">
        <f ca="1">IFERROR(__xludf.DUMMYFUNCTION("""COMPUTED_VALUE"""),0)</f>
        <v>0</v>
      </c>
      <c r="W454" s="47">
        <f ca="1">IFERROR(__xludf.DUMMYFUNCTION("""COMPUTED_VALUE"""),0)</f>
        <v>0</v>
      </c>
      <c r="X454" s="47">
        <f ca="1">IFERROR(__xludf.DUMMYFUNCTION("""COMPUTED_VALUE"""),0)</f>
        <v>0</v>
      </c>
      <c r="Y454" s="44">
        <f ca="1">IFERROR(__xludf.DUMMYFUNCTION("""COMPUTED_VALUE"""),0)</f>
        <v>0</v>
      </c>
      <c r="Z454" s="44">
        <f ca="1">IFERROR(__xludf.DUMMYFUNCTION("""COMPUTED_VALUE"""),0)</f>
        <v>0</v>
      </c>
      <c r="AA454" s="44">
        <f ca="1">IFERROR(__xludf.DUMMYFUNCTION("""COMPUTED_VALUE"""),0)</f>
        <v>0</v>
      </c>
      <c r="AB454" s="44">
        <f ca="1">IFERROR(__xludf.DUMMYFUNCTION("""COMPUTED_VALUE"""),0)</f>
        <v>0</v>
      </c>
      <c r="AC454" s="47">
        <f ca="1">IFERROR(__xludf.DUMMYFUNCTION("""COMPUTED_VALUE"""),0)</f>
        <v>0</v>
      </c>
      <c r="AD454" s="49"/>
      <c r="AE454" s="27"/>
    </row>
    <row r="455" spans="1:31" ht="14.3">
      <c r="A455" s="42" t="str">
        <f ca="1">IFERROR(__xludf.DUMMYFUNCTION("""COMPUTED_VALUE"""),"22SDSCE01233")</f>
        <v>22SDSCE01233</v>
      </c>
      <c r="B455" s="43" t="str">
        <f ca="1">IFERROR(__xludf.DUMMYFUNCTION("""COMPUTED_VALUE"""),"ANJALI KUMARI")</f>
        <v>ANJALI KUMARI</v>
      </c>
      <c r="C455" s="42" t="str">
        <f ca="1">IFERROR(__xludf.DUMMYFUNCTION("""COMPUTED_VALUE"""),"SDS")</f>
        <v>SDS</v>
      </c>
      <c r="D455" s="42" t="str">
        <f ca="1">IFERROR(__xludf.DUMMYFUNCTION("""COMPUTED_VALUE"""),"DCE")</f>
        <v>DCE</v>
      </c>
      <c r="E455" s="44">
        <f ca="1">IFERROR(__xludf.DUMMYFUNCTION("""COMPUTED_VALUE"""),4)</f>
        <v>4</v>
      </c>
      <c r="F455" s="42" t="str">
        <f ca="1">IFERROR(__xludf.DUMMYFUNCTION("""COMPUTED_VALUE"""),"BIHAR STUDENT")</f>
        <v>BIHAR STUDENT</v>
      </c>
      <c r="G455" s="42" t="str">
        <f ca="1">IFERROR(__xludf.DUMMYFUNCTION("""COMPUTED_VALUE"""),"BIHAR STUDENT")</f>
        <v>BIHAR STUDENT</v>
      </c>
      <c r="H455" s="2" t="str">
        <f ca="1">IFERROR(__xludf.DUMMYFUNCTION("""COMPUTED_VALUE"""),"DCE_2022-25")</f>
        <v>DCE_2022-25</v>
      </c>
      <c r="I455" s="45"/>
      <c r="J455" s="46">
        <f ca="1">IFERROR(__xludf.DUMMYFUNCTION("""COMPUTED_VALUE"""),42500)</f>
        <v>42500</v>
      </c>
      <c r="K455" s="46">
        <f ca="1">IFERROR(__xludf.DUMMYFUNCTION("""COMPUTED_VALUE"""),0)</f>
        <v>0</v>
      </c>
      <c r="L455" s="46">
        <f ca="1">IFERROR(__xludf.DUMMYFUNCTION("""COMPUTED_VALUE"""),0)</f>
        <v>0</v>
      </c>
      <c r="M455" s="47">
        <f ca="1">IFERROR(__xludf.DUMMYFUNCTION("""COMPUTED_VALUE"""),0)</f>
        <v>0</v>
      </c>
      <c r="N455" s="46">
        <f ca="1">IFERROR(__xludf.DUMMYFUNCTION("""COMPUTED_VALUE"""),42500)</f>
        <v>42500</v>
      </c>
      <c r="O455" s="46">
        <f ca="1">IFERROR(__xludf.DUMMYFUNCTION("""COMPUTED_VALUE"""),0)</f>
        <v>0</v>
      </c>
      <c r="P455" s="46">
        <f ca="1">IFERROR(__xludf.DUMMYFUNCTION("""COMPUTED_VALUE"""),0)</f>
        <v>0</v>
      </c>
      <c r="Q455" s="47">
        <f ca="1">IFERROR(__xludf.DUMMYFUNCTION("""COMPUTED_VALUE"""),0)</f>
        <v>0</v>
      </c>
      <c r="R455" s="24">
        <f ca="1">IFERROR(__xludf.DUMMYFUNCTION("""COMPUTED_VALUE"""),0)</f>
        <v>0</v>
      </c>
      <c r="S455" s="23">
        <f ca="1">IFERROR(__xludf.DUMMYFUNCTION("""COMPUTED_VALUE"""),0)</f>
        <v>0</v>
      </c>
      <c r="T455" s="48">
        <f ca="1">IFERROR(__xludf.DUMMYFUNCTION("""COMPUTED_VALUE"""),0)</f>
        <v>0</v>
      </c>
      <c r="U455" s="47">
        <f ca="1">IFERROR(__xludf.DUMMYFUNCTION("""COMPUTED_VALUE"""),0)</f>
        <v>0</v>
      </c>
      <c r="V455" s="47">
        <f ca="1">IFERROR(__xludf.DUMMYFUNCTION("""COMPUTED_VALUE"""),0)</f>
        <v>0</v>
      </c>
      <c r="W455" s="47">
        <f ca="1">IFERROR(__xludf.DUMMYFUNCTION("""COMPUTED_VALUE"""),0)</f>
        <v>0</v>
      </c>
      <c r="X455" s="47">
        <f ca="1">IFERROR(__xludf.DUMMYFUNCTION("""COMPUTED_VALUE"""),0)</f>
        <v>0</v>
      </c>
      <c r="Y455" s="44">
        <f ca="1">IFERROR(__xludf.DUMMYFUNCTION("""COMPUTED_VALUE"""),0)</f>
        <v>0</v>
      </c>
      <c r="Z455" s="44">
        <f ca="1">IFERROR(__xludf.DUMMYFUNCTION("""COMPUTED_VALUE"""),0)</f>
        <v>0</v>
      </c>
      <c r="AA455" s="44">
        <f ca="1">IFERROR(__xludf.DUMMYFUNCTION("""COMPUTED_VALUE"""),0)</f>
        <v>0</v>
      </c>
      <c r="AB455" s="44">
        <f ca="1">IFERROR(__xludf.DUMMYFUNCTION("""COMPUTED_VALUE"""),0)</f>
        <v>0</v>
      </c>
      <c r="AC455" s="47">
        <f ca="1">IFERROR(__xludf.DUMMYFUNCTION("""COMPUTED_VALUE"""),0)</f>
        <v>0</v>
      </c>
      <c r="AD455" s="49"/>
      <c r="AE455" s="27"/>
    </row>
    <row r="456" spans="1:31" ht="14.3">
      <c r="A456" s="42" t="str">
        <f ca="1">IFERROR(__xludf.DUMMYFUNCTION("""COMPUTED_VALUE"""),"22SDSCE01234")</f>
        <v>22SDSCE01234</v>
      </c>
      <c r="B456" s="43" t="str">
        <f ca="1">IFERROR(__xludf.DUMMYFUNCTION("""COMPUTED_VALUE"""),"CHANCHAL KUMARI")</f>
        <v>CHANCHAL KUMARI</v>
      </c>
      <c r="C456" s="42" t="str">
        <f ca="1">IFERROR(__xludf.DUMMYFUNCTION("""COMPUTED_VALUE"""),"SDS")</f>
        <v>SDS</v>
      </c>
      <c r="D456" s="42" t="str">
        <f ca="1">IFERROR(__xludf.DUMMYFUNCTION("""COMPUTED_VALUE"""),"DCE")</f>
        <v>DCE</v>
      </c>
      <c r="E456" s="44">
        <f ca="1">IFERROR(__xludf.DUMMYFUNCTION("""COMPUTED_VALUE"""),4)</f>
        <v>4</v>
      </c>
      <c r="F456" s="42" t="str">
        <f ca="1">IFERROR(__xludf.DUMMYFUNCTION("""COMPUTED_VALUE"""),"BIHAR STUDENT")</f>
        <v>BIHAR STUDENT</v>
      </c>
      <c r="G456" s="42" t="str">
        <f ca="1">IFERROR(__xludf.DUMMYFUNCTION("""COMPUTED_VALUE"""),"BIHAR STUDENT")</f>
        <v>BIHAR STUDENT</v>
      </c>
      <c r="H456" s="2" t="str">
        <f ca="1">IFERROR(__xludf.DUMMYFUNCTION("""COMPUTED_VALUE"""),"DCE_2022-25")</f>
        <v>DCE_2022-25</v>
      </c>
      <c r="I456" s="45"/>
      <c r="J456" s="46">
        <f ca="1">IFERROR(__xludf.DUMMYFUNCTION("""COMPUTED_VALUE"""),42500)</f>
        <v>42500</v>
      </c>
      <c r="K456" s="46">
        <f ca="1">IFERROR(__xludf.DUMMYFUNCTION("""COMPUTED_VALUE"""),0)</f>
        <v>0</v>
      </c>
      <c r="L456" s="46">
        <f ca="1">IFERROR(__xludf.DUMMYFUNCTION("""COMPUTED_VALUE"""),0)</f>
        <v>0</v>
      </c>
      <c r="M456" s="47">
        <f ca="1">IFERROR(__xludf.DUMMYFUNCTION("""COMPUTED_VALUE"""),0)</f>
        <v>0</v>
      </c>
      <c r="N456" s="46">
        <f ca="1">IFERROR(__xludf.DUMMYFUNCTION("""COMPUTED_VALUE"""),42500)</f>
        <v>42500</v>
      </c>
      <c r="O456" s="46">
        <f ca="1">IFERROR(__xludf.DUMMYFUNCTION("""COMPUTED_VALUE"""),0)</f>
        <v>0</v>
      </c>
      <c r="P456" s="46">
        <f ca="1">IFERROR(__xludf.DUMMYFUNCTION("""COMPUTED_VALUE"""),0)</f>
        <v>0</v>
      </c>
      <c r="Q456" s="47">
        <f ca="1">IFERROR(__xludf.DUMMYFUNCTION("""COMPUTED_VALUE"""),0)</f>
        <v>0</v>
      </c>
      <c r="R456" s="24">
        <f ca="1">IFERROR(__xludf.DUMMYFUNCTION("""COMPUTED_VALUE"""),0)</f>
        <v>0</v>
      </c>
      <c r="S456" s="23">
        <f ca="1">IFERROR(__xludf.DUMMYFUNCTION("""COMPUTED_VALUE"""),0)</f>
        <v>0</v>
      </c>
      <c r="T456" s="48">
        <f ca="1">IFERROR(__xludf.DUMMYFUNCTION("""COMPUTED_VALUE"""),0)</f>
        <v>0</v>
      </c>
      <c r="U456" s="47">
        <f ca="1">IFERROR(__xludf.DUMMYFUNCTION("""COMPUTED_VALUE"""),0)</f>
        <v>0</v>
      </c>
      <c r="V456" s="47">
        <f ca="1">IFERROR(__xludf.DUMMYFUNCTION("""COMPUTED_VALUE"""),0)</f>
        <v>0</v>
      </c>
      <c r="W456" s="47">
        <f ca="1">IFERROR(__xludf.DUMMYFUNCTION("""COMPUTED_VALUE"""),0)</f>
        <v>0</v>
      </c>
      <c r="X456" s="47">
        <f ca="1">IFERROR(__xludf.DUMMYFUNCTION("""COMPUTED_VALUE"""),0)</f>
        <v>0</v>
      </c>
      <c r="Y456" s="44">
        <f ca="1">IFERROR(__xludf.DUMMYFUNCTION("""COMPUTED_VALUE"""),0)</f>
        <v>0</v>
      </c>
      <c r="Z456" s="44">
        <f ca="1">IFERROR(__xludf.DUMMYFUNCTION("""COMPUTED_VALUE"""),0)</f>
        <v>0</v>
      </c>
      <c r="AA456" s="44">
        <f ca="1">IFERROR(__xludf.DUMMYFUNCTION("""COMPUTED_VALUE"""),0)</f>
        <v>0</v>
      </c>
      <c r="AB456" s="44">
        <f ca="1">IFERROR(__xludf.DUMMYFUNCTION("""COMPUTED_VALUE"""),0)</f>
        <v>0</v>
      </c>
      <c r="AC456" s="47">
        <f ca="1">IFERROR(__xludf.DUMMYFUNCTION("""COMPUTED_VALUE"""),0)</f>
        <v>0</v>
      </c>
      <c r="AD456" s="49"/>
      <c r="AE456" s="27"/>
    </row>
    <row r="457" spans="1:31" ht="14.3">
      <c r="A457" s="42" t="str">
        <f ca="1">IFERROR(__xludf.DUMMYFUNCTION("""COMPUTED_VALUE"""),"22SDSCE01235")</f>
        <v>22SDSCE01235</v>
      </c>
      <c r="B457" s="43" t="str">
        <f ca="1">IFERROR(__xludf.DUMMYFUNCTION("""COMPUTED_VALUE"""),"KAJAL KUMARI")</f>
        <v>KAJAL KUMARI</v>
      </c>
      <c r="C457" s="42" t="str">
        <f ca="1">IFERROR(__xludf.DUMMYFUNCTION("""COMPUTED_VALUE"""),"SDS")</f>
        <v>SDS</v>
      </c>
      <c r="D457" s="42" t="str">
        <f ca="1">IFERROR(__xludf.DUMMYFUNCTION("""COMPUTED_VALUE"""),"DCE")</f>
        <v>DCE</v>
      </c>
      <c r="E457" s="44">
        <f ca="1">IFERROR(__xludf.DUMMYFUNCTION("""COMPUTED_VALUE"""),4)</f>
        <v>4</v>
      </c>
      <c r="F457" s="42" t="str">
        <f ca="1">IFERROR(__xludf.DUMMYFUNCTION("""COMPUTED_VALUE"""),"BIHAR STUDENT")</f>
        <v>BIHAR STUDENT</v>
      </c>
      <c r="G457" s="42" t="str">
        <f ca="1">IFERROR(__xludf.DUMMYFUNCTION("""COMPUTED_VALUE"""),"BIHAR STUDENT")</f>
        <v>BIHAR STUDENT</v>
      </c>
      <c r="H457" s="2" t="str">
        <f ca="1">IFERROR(__xludf.DUMMYFUNCTION("""COMPUTED_VALUE"""),"DCE_2022-25")</f>
        <v>DCE_2022-25</v>
      </c>
      <c r="I457" s="45"/>
      <c r="J457" s="46">
        <f ca="1">IFERROR(__xludf.DUMMYFUNCTION("""COMPUTED_VALUE"""),42500)</f>
        <v>42500</v>
      </c>
      <c r="K457" s="46">
        <f ca="1">IFERROR(__xludf.DUMMYFUNCTION("""COMPUTED_VALUE"""),0)</f>
        <v>0</v>
      </c>
      <c r="L457" s="46">
        <f ca="1">IFERROR(__xludf.DUMMYFUNCTION("""COMPUTED_VALUE"""),0)</f>
        <v>0</v>
      </c>
      <c r="M457" s="47">
        <f ca="1">IFERROR(__xludf.DUMMYFUNCTION("""COMPUTED_VALUE"""),0)</f>
        <v>0</v>
      </c>
      <c r="N457" s="46">
        <f ca="1">IFERROR(__xludf.DUMMYFUNCTION("""COMPUTED_VALUE"""),42500)</f>
        <v>42500</v>
      </c>
      <c r="O457" s="46">
        <f ca="1">IFERROR(__xludf.DUMMYFUNCTION("""COMPUTED_VALUE"""),0)</f>
        <v>0</v>
      </c>
      <c r="P457" s="46">
        <f ca="1">IFERROR(__xludf.DUMMYFUNCTION("""COMPUTED_VALUE"""),0)</f>
        <v>0</v>
      </c>
      <c r="Q457" s="47">
        <f ca="1">IFERROR(__xludf.DUMMYFUNCTION("""COMPUTED_VALUE"""),0)</f>
        <v>0</v>
      </c>
      <c r="R457" s="24">
        <f ca="1">IFERROR(__xludf.DUMMYFUNCTION("""COMPUTED_VALUE"""),0)</f>
        <v>0</v>
      </c>
      <c r="S457" s="23">
        <f ca="1">IFERROR(__xludf.DUMMYFUNCTION("""COMPUTED_VALUE"""),0)</f>
        <v>0</v>
      </c>
      <c r="T457" s="48">
        <f ca="1">IFERROR(__xludf.DUMMYFUNCTION("""COMPUTED_VALUE"""),0)</f>
        <v>0</v>
      </c>
      <c r="U457" s="47">
        <f ca="1">IFERROR(__xludf.DUMMYFUNCTION("""COMPUTED_VALUE"""),0)</f>
        <v>0</v>
      </c>
      <c r="V457" s="47">
        <f ca="1">IFERROR(__xludf.DUMMYFUNCTION("""COMPUTED_VALUE"""),0)</f>
        <v>0</v>
      </c>
      <c r="W457" s="47">
        <f ca="1">IFERROR(__xludf.DUMMYFUNCTION("""COMPUTED_VALUE"""),0)</f>
        <v>0</v>
      </c>
      <c r="X457" s="47">
        <f ca="1">IFERROR(__xludf.DUMMYFUNCTION("""COMPUTED_VALUE"""),0)</f>
        <v>0</v>
      </c>
      <c r="Y457" s="44">
        <f ca="1">IFERROR(__xludf.DUMMYFUNCTION("""COMPUTED_VALUE"""),0)</f>
        <v>0</v>
      </c>
      <c r="Z457" s="44">
        <f ca="1">IFERROR(__xludf.DUMMYFUNCTION("""COMPUTED_VALUE"""),0)</f>
        <v>0</v>
      </c>
      <c r="AA457" s="44">
        <f ca="1">IFERROR(__xludf.DUMMYFUNCTION("""COMPUTED_VALUE"""),0)</f>
        <v>0</v>
      </c>
      <c r="AB457" s="44">
        <f ca="1">IFERROR(__xludf.DUMMYFUNCTION("""COMPUTED_VALUE"""),0)</f>
        <v>0</v>
      </c>
      <c r="AC457" s="47">
        <f ca="1">IFERROR(__xludf.DUMMYFUNCTION("""COMPUTED_VALUE"""),0)</f>
        <v>0</v>
      </c>
      <c r="AD457" s="49"/>
      <c r="AE457" s="27"/>
    </row>
    <row r="458" spans="1:31" ht="14.3">
      <c r="A458" s="42" t="str">
        <f ca="1">IFERROR(__xludf.DUMMYFUNCTION("""COMPUTED_VALUE"""),"22SDSCE01236")</f>
        <v>22SDSCE01236</v>
      </c>
      <c r="B458" s="43" t="str">
        <f ca="1">IFERROR(__xludf.DUMMYFUNCTION("""COMPUTED_VALUE"""),"NILU KUMARI")</f>
        <v>NILU KUMARI</v>
      </c>
      <c r="C458" s="42" t="str">
        <f ca="1">IFERROR(__xludf.DUMMYFUNCTION("""COMPUTED_VALUE"""),"SDS")</f>
        <v>SDS</v>
      </c>
      <c r="D458" s="42" t="str">
        <f ca="1">IFERROR(__xludf.DUMMYFUNCTION("""COMPUTED_VALUE"""),"DCE")</f>
        <v>DCE</v>
      </c>
      <c r="E458" s="44">
        <f ca="1">IFERROR(__xludf.DUMMYFUNCTION("""COMPUTED_VALUE"""),4)</f>
        <v>4</v>
      </c>
      <c r="F458" s="42" t="str">
        <f ca="1">IFERROR(__xludf.DUMMYFUNCTION("""COMPUTED_VALUE"""),"BIHAR STUDENT")</f>
        <v>BIHAR STUDENT</v>
      </c>
      <c r="G458" s="42" t="str">
        <f ca="1">IFERROR(__xludf.DUMMYFUNCTION("""COMPUTED_VALUE"""),"BIHAR STUDENT")</f>
        <v>BIHAR STUDENT</v>
      </c>
      <c r="H458" s="2" t="str">
        <f ca="1">IFERROR(__xludf.DUMMYFUNCTION("""COMPUTED_VALUE"""),"DCE_2022-25")</f>
        <v>DCE_2022-25</v>
      </c>
      <c r="I458" s="45"/>
      <c r="J458" s="46">
        <f ca="1">IFERROR(__xludf.DUMMYFUNCTION("""COMPUTED_VALUE"""),42500)</f>
        <v>42500</v>
      </c>
      <c r="K458" s="46">
        <f ca="1">IFERROR(__xludf.DUMMYFUNCTION("""COMPUTED_VALUE"""),0)</f>
        <v>0</v>
      </c>
      <c r="L458" s="46">
        <f ca="1">IFERROR(__xludf.DUMMYFUNCTION("""COMPUTED_VALUE"""),0)</f>
        <v>0</v>
      </c>
      <c r="M458" s="47">
        <f ca="1">IFERROR(__xludf.DUMMYFUNCTION("""COMPUTED_VALUE"""),0)</f>
        <v>0</v>
      </c>
      <c r="N458" s="46">
        <f ca="1">IFERROR(__xludf.DUMMYFUNCTION("""COMPUTED_VALUE"""),42500)</f>
        <v>42500</v>
      </c>
      <c r="O458" s="46">
        <f ca="1">IFERROR(__xludf.DUMMYFUNCTION("""COMPUTED_VALUE"""),0)</f>
        <v>0</v>
      </c>
      <c r="P458" s="46">
        <f ca="1">IFERROR(__xludf.DUMMYFUNCTION("""COMPUTED_VALUE"""),0)</f>
        <v>0</v>
      </c>
      <c r="Q458" s="47">
        <f ca="1">IFERROR(__xludf.DUMMYFUNCTION("""COMPUTED_VALUE"""),0)</f>
        <v>0</v>
      </c>
      <c r="R458" s="24">
        <f ca="1">IFERROR(__xludf.DUMMYFUNCTION("""COMPUTED_VALUE"""),0)</f>
        <v>0</v>
      </c>
      <c r="S458" s="23">
        <f ca="1">IFERROR(__xludf.DUMMYFUNCTION("""COMPUTED_VALUE"""),0)</f>
        <v>0</v>
      </c>
      <c r="T458" s="48">
        <f ca="1">IFERROR(__xludf.DUMMYFUNCTION("""COMPUTED_VALUE"""),0)</f>
        <v>0</v>
      </c>
      <c r="U458" s="47">
        <f ca="1">IFERROR(__xludf.DUMMYFUNCTION("""COMPUTED_VALUE"""),0)</f>
        <v>0</v>
      </c>
      <c r="V458" s="47">
        <f ca="1">IFERROR(__xludf.DUMMYFUNCTION("""COMPUTED_VALUE"""),0)</f>
        <v>0</v>
      </c>
      <c r="W458" s="47">
        <f ca="1">IFERROR(__xludf.DUMMYFUNCTION("""COMPUTED_VALUE"""),0)</f>
        <v>0</v>
      </c>
      <c r="X458" s="47">
        <f ca="1">IFERROR(__xludf.DUMMYFUNCTION("""COMPUTED_VALUE"""),0)</f>
        <v>0</v>
      </c>
      <c r="Y458" s="44">
        <f ca="1">IFERROR(__xludf.DUMMYFUNCTION("""COMPUTED_VALUE"""),0)</f>
        <v>0</v>
      </c>
      <c r="Z458" s="44">
        <f ca="1">IFERROR(__xludf.DUMMYFUNCTION("""COMPUTED_VALUE"""),0)</f>
        <v>0</v>
      </c>
      <c r="AA458" s="44">
        <f ca="1">IFERROR(__xludf.DUMMYFUNCTION("""COMPUTED_VALUE"""),0)</f>
        <v>0</v>
      </c>
      <c r="AB458" s="44">
        <f ca="1">IFERROR(__xludf.DUMMYFUNCTION("""COMPUTED_VALUE"""),0)</f>
        <v>0</v>
      </c>
      <c r="AC458" s="47">
        <f ca="1">IFERROR(__xludf.DUMMYFUNCTION("""COMPUTED_VALUE"""),0)</f>
        <v>0</v>
      </c>
      <c r="AD458" s="49"/>
      <c r="AE458" s="27"/>
    </row>
    <row r="459" spans="1:31" ht="14.3">
      <c r="A459" s="42" t="str">
        <f ca="1">IFERROR(__xludf.DUMMYFUNCTION("""COMPUTED_VALUE"""),"22SDSCE01237")</f>
        <v>22SDSCE01237</v>
      </c>
      <c r="B459" s="43" t="str">
        <f ca="1">IFERROR(__xludf.DUMMYFUNCTION("""COMPUTED_VALUE"""),"NISHANT")</f>
        <v>NISHANT</v>
      </c>
      <c r="C459" s="42" t="str">
        <f ca="1">IFERROR(__xludf.DUMMYFUNCTION("""COMPUTED_VALUE"""),"SDS")</f>
        <v>SDS</v>
      </c>
      <c r="D459" s="42" t="str">
        <f ca="1">IFERROR(__xludf.DUMMYFUNCTION("""COMPUTED_VALUE"""),"DCE")</f>
        <v>DCE</v>
      </c>
      <c r="E459" s="44">
        <f ca="1">IFERROR(__xludf.DUMMYFUNCTION("""COMPUTED_VALUE"""),4)</f>
        <v>4</v>
      </c>
      <c r="F459" s="42" t="str">
        <f ca="1">IFERROR(__xludf.DUMMYFUNCTION("""COMPUTED_VALUE"""),"BIHAR STUDENT")</f>
        <v>BIHAR STUDENT</v>
      </c>
      <c r="G459" s="42" t="str">
        <f ca="1">IFERROR(__xludf.DUMMYFUNCTION("""COMPUTED_VALUE"""),"BIHAR STUDENT")</f>
        <v>BIHAR STUDENT</v>
      </c>
      <c r="H459" s="2" t="str">
        <f ca="1">IFERROR(__xludf.DUMMYFUNCTION("""COMPUTED_VALUE"""),"DCE_2022-25")</f>
        <v>DCE_2022-25</v>
      </c>
      <c r="I459" s="45"/>
      <c r="J459" s="46">
        <f ca="1">IFERROR(__xludf.DUMMYFUNCTION("""COMPUTED_VALUE"""),42500)</f>
        <v>42500</v>
      </c>
      <c r="K459" s="46">
        <f ca="1">IFERROR(__xludf.DUMMYFUNCTION("""COMPUTED_VALUE"""),0)</f>
        <v>0</v>
      </c>
      <c r="L459" s="46">
        <f ca="1">IFERROR(__xludf.DUMMYFUNCTION("""COMPUTED_VALUE"""),0)</f>
        <v>0</v>
      </c>
      <c r="M459" s="47">
        <f ca="1">IFERROR(__xludf.DUMMYFUNCTION("""COMPUTED_VALUE"""),0)</f>
        <v>0</v>
      </c>
      <c r="N459" s="46">
        <f ca="1">IFERROR(__xludf.DUMMYFUNCTION("""COMPUTED_VALUE"""),42500)</f>
        <v>42500</v>
      </c>
      <c r="O459" s="46">
        <f ca="1">IFERROR(__xludf.DUMMYFUNCTION("""COMPUTED_VALUE"""),0)</f>
        <v>0</v>
      </c>
      <c r="P459" s="46">
        <f ca="1">IFERROR(__xludf.DUMMYFUNCTION("""COMPUTED_VALUE"""),0)</f>
        <v>0</v>
      </c>
      <c r="Q459" s="47">
        <f ca="1">IFERROR(__xludf.DUMMYFUNCTION("""COMPUTED_VALUE"""),0)</f>
        <v>0</v>
      </c>
      <c r="R459" s="24">
        <f ca="1">IFERROR(__xludf.DUMMYFUNCTION("""COMPUTED_VALUE"""),0)</f>
        <v>0</v>
      </c>
      <c r="S459" s="23">
        <f ca="1">IFERROR(__xludf.DUMMYFUNCTION("""COMPUTED_VALUE"""),0)</f>
        <v>0</v>
      </c>
      <c r="T459" s="48">
        <f ca="1">IFERROR(__xludf.DUMMYFUNCTION("""COMPUTED_VALUE"""),0)</f>
        <v>0</v>
      </c>
      <c r="U459" s="47">
        <f ca="1">IFERROR(__xludf.DUMMYFUNCTION("""COMPUTED_VALUE"""),0)</f>
        <v>0</v>
      </c>
      <c r="V459" s="47">
        <f ca="1">IFERROR(__xludf.DUMMYFUNCTION("""COMPUTED_VALUE"""),0)</f>
        <v>0</v>
      </c>
      <c r="W459" s="47">
        <f ca="1">IFERROR(__xludf.DUMMYFUNCTION("""COMPUTED_VALUE"""),0)</f>
        <v>0</v>
      </c>
      <c r="X459" s="47">
        <f ca="1">IFERROR(__xludf.DUMMYFUNCTION("""COMPUTED_VALUE"""),0)</f>
        <v>0</v>
      </c>
      <c r="Y459" s="44">
        <f ca="1">IFERROR(__xludf.DUMMYFUNCTION("""COMPUTED_VALUE"""),0)</f>
        <v>0</v>
      </c>
      <c r="Z459" s="44">
        <f ca="1">IFERROR(__xludf.DUMMYFUNCTION("""COMPUTED_VALUE"""),0)</f>
        <v>0</v>
      </c>
      <c r="AA459" s="44">
        <f ca="1">IFERROR(__xludf.DUMMYFUNCTION("""COMPUTED_VALUE"""),0)</f>
        <v>0</v>
      </c>
      <c r="AB459" s="44">
        <f ca="1">IFERROR(__xludf.DUMMYFUNCTION("""COMPUTED_VALUE"""),0)</f>
        <v>0</v>
      </c>
      <c r="AC459" s="47">
        <f ca="1">IFERROR(__xludf.DUMMYFUNCTION("""COMPUTED_VALUE"""),0)</f>
        <v>0</v>
      </c>
      <c r="AD459" s="49"/>
      <c r="AE459" s="27"/>
    </row>
    <row r="460" spans="1:31" ht="14.3">
      <c r="A460" s="42" t="str">
        <f ca="1">IFERROR(__xludf.DUMMYFUNCTION("""COMPUTED_VALUE"""),"22SDSCE01238")</f>
        <v>22SDSCE01238</v>
      </c>
      <c r="B460" s="43" t="str">
        <f ca="1">IFERROR(__xludf.DUMMYFUNCTION("""COMPUTED_VALUE"""),"SAKSHI KUMARI")</f>
        <v>SAKSHI KUMARI</v>
      </c>
      <c r="C460" s="42" t="str">
        <f ca="1">IFERROR(__xludf.DUMMYFUNCTION("""COMPUTED_VALUE"""),"SDS")</f>
        <v>SDS</v>
      </c>
      <c r="D460" s="42" t="str">
        <f ca="1">IFERROR(__xludf.DUMMYFUNCTION("""COMPUTED_VALUE"""),"DCE")</f>
        <v>DCE</v>
      </c>
      <c r="E460" s="44">
        <f ca="1">IFERROR(__xludf.DUMMYFUNCTION("""COMPUTED_VALUE"""),4)</f>
        <v>4</v>
      </c>
      <c r="F460" s="42" t="str">
        <f ca="1">IFERROR(__xludf.DUMMYFUNCTION("""COMPUTED_VALUE"""),"BIHAR STUDENT")</f>
        <v>BIHAR STUDENT</v>
      </c>
      <c r="G460" s="42" t="str">
        <f ca="1">IFERROR(__xludf.DUMMYFUNCTION("""COMPUTED_VALUE"""),"BIHAR STUDENT")</f>
        <v>BIHAR STUDENT</v>
      </c>
      <c r="H460" s="2" t="str">
        <f ca="1">IFERROR(__xludf.DUMMYFUNCTION("""COMPUTED_VALUE"""),"DCE_2022-25")</f>
        <v>DCE_2022-25</v>
      </c>
      <c r="I460" s="45"/>
      <c r="J460" s="46">
        <f ca="1">IFERROR(__xludf.DUMMYFUNCTION("""COMPUTED_VALUE"""),42500)</f>
        <v>42500</v>
      </c>
      <c r="K460" s="46">
        <f ca="1">IFERROR(__xludf.DUMMYFUNCTION("""COMPUTED_VALUE"""),0)</f>
        <v>0</v>
      </c>
      <c r="L460" s="46">
        <f ca="1">IFERROR(__xludf.DUMMYFUNCTION("""COMPUTED_VALUE"""),0)</f>
        <v>0</v>
      </c>
      <c r="M460" s="47">
        <f ca="1">IFERROR(__xludf.DUMMYFUNCTION("""COMPUTED_VALUE"""),0)</f>
        <v>0</v>
      </c>
      <c r="N460" s="46">
        <f ca="1">IFERROR(__xludf.DUMMYFUNCTION("""COMPUTED_VALUE"""),42500)</f>
        <v>42500</v>
      </c>
      <c r="O460" s="46">
        <f ca="1">IFERROR(__xludf.DUMMYFUNCTION("""COMPUTED_VALUE"""),0)</f>
        <v>0</v>
      </c>
      <c r="P460" s="46">
        <f ca="1">IFERROR(__xludf.DUMMYFUNCTION("""COMPUTED_VALUE"""),0)</f>
        <v>0</v>
      </c>
      <c r="Q460" s="47">
        <f ca="1">IFERROR(__xludf.DUMMYFUNCTION("""COMPUTED_VALUE"""),0)</f>
        <v>0</v>
      </c>
      <c r="R460" s="24">
        <f ca="1">IFERROR(__xludf.DUMMYFUNCTION("""COMPUTED_VALUE"""),0)</f>
        <v>0</v>
      </c>
      <c r="S460" s="23">
        <f ca="1">IFERROR(__xludf.DUMMYFUNCTION("""COMPUTED_VALUE"""),0)</f>
        <v>0</v>
      </c>
      <c r="T460" s="48">
        <f ca="1">IFERROR(__xludf.DUMMYFUNCTION("""COMPUTED_VALUE"""),0)</f>
        <v>0</v>
      </c>
      <c r="U460" s="47">
        <f ca="1">IFERROR(__xludf.DUMMYFUNCTION("""COMPUTED_VALUE"""),0)</f>
        <v>0</v>
      </c>
      <c r="V460" s="47">
        <f ca="1">IFERROR(__xludf.DUMMYFUNCTION("""COMPUTED_VALUE"""),0)</f>
        <v>0</v>
      </c>
      <c r="W460" s="47">
        <f ca="1">IFERROR(__xludf.DUMMYFUNCTION("""COMPUTED_VALUE"""),0)</f>
        <v>0</v>
      </c>
      <c r="X460" s="47">
        <f ca="1">IFERROR(__xludf.DUMMYFUNCTION("""COMPUTED_VALUE"""),0)</f>
        <v>0</v>
      </c>
      <c r="Y460" s="44">
        <f ca="1">IFERROR(__xludf.DUMMYFUNCTION("""COMPUTED_VALUE"""),0)</f>
        <v>0</v>
      </c>
      <c r="Z460" s="44">
        <f ca="1">IFERROR(__xludf.DUMMYFUNCTION("""COMPUTED_VALUE"""),0)</f>
        <v>0</v>
      </c>
      <c r="AA460" s="44">
        <f ca="1">IFERROR(__xludf.DUMMYFUNCTION("""COMPUTED_VALUE"""),0)</f>
        <v>0</v>
      </c>
      <c r="AB460" s="44">
        <f ca="1">IFERROR(__xludf.DUMMYFUNCTION("""COMPUTED_VALUE"""),0)</f>
        <v>0</v>
      </c>
      <c r="AC460" s="47">
        <f ca="1">IFERROR(__xludf.DUMMYFUNCTION("""COMPUTED_VALUE"""),0)</f>
        <v>0</v>
      </c>
      <c r="AD460" s="49"/>
      <c r="AE460" s="27"/>
    </row>
    <row r="461" spans="1:31" ht="14.3">
      <c r="A461" s="42" t="str">
        <f ca="1">IFERROR(__xludf.DUMMYFUNCTION("""COMPUTED_VALUE"""),"22SDSCE01239")</f>
        <v>22SDSCE01239</v>
      </c>
      <c r="B461" s="43" t="str">
        <f ca="1">IFERROR(__xludf.DUMMYFUNCTION("""COMPUTED_VALUE"""),"SUGGI KUMARI")</f>
        <v>SUGGI KUMARI</v>
      </c>
      <c r="C461" s="42" t="str">
        <f ca="1">IFERROR(__xludf.DUMMYFUNCTION("""COMPUTED_VALUE"""),"SDS")</f>
        <v>SDS</v>
      </c>
      <c r="D461" s="42" t="str">
        <f ca="1">IFERROR(__xludf.DUMMYFUNCTION("""COMPUTED_VALUE"""),"DCE")</f>
        <v>DCE</v>
      </c>
      <c r="E461" s="44">
        <f ca="1">IFERROR(__xludf.DUMMYFUNCTION("""COMPUTED_VALUE"""),4)</f>
        <v>4</v>
      </c>
      <c r="F461" s="42" t="str">
        <f ca="1">IFERROR(__xludf.DUMMYFUNCTION("""COMPUTED_VALUE"""),"BIHAR STUDENT")</f>
        <v>BIHAR STUDENT</v>
      </c>
      <c r="G461" s="42" t="str">
        <f ca="1">IFERROR(__xludf.DUMMYFUNCTION("""COMPUTED_VALUE"""),"BIHAR STUDENT")</f>
        <v>BIHAR STUDENT</v>
      </c>
      <c r="H461" s="2" t="str">
        <f ca="1">IFERROR(__xludf.DUMMYFUNCTION("""COMPUTED_VALUE"""),"DCE_2022-25")</f>
        <v>DCE_2022-25</v>
      </c>
      <c r="I461" s="45"/>
      <c r="J461" s="46">
        <f ca="1">IFERROR(__xludf.DUMMYFUNCTION("""COMPUTED_VALUE"""),42500)</f>
        <v>42500</v>
      </c>
      <c r="K461" s="46">
        <f ca="1">IFERROR(__xludf.DUMMYFUNCTION("""COMPUTED_VALUE"""),0)</f>
        <v>0</v>
      </c>
      <c r="L461" s="46">
        <f ca="1">IFERROR(__xludf.DUMMYFUNCTION("""COMPUTED_VALUE"""),0)</f>
        <v>0</v>
      </c>
      <c r="M461" s="47">
        <f ca="1">IFERROR(__xludf.DUMMYFUNCTION("""COMPUTED_VALUE"""),0)</f>
        <v>0</v>
      </c>
      <c r="N461" s="46">
        <f ca="1">IFERROR(__xludf.DUMMYFUNCTION("""COMPUTED_VALUE"""),42500)</f>
        <v>42500</v>
      </c>
      <c r="O461" s="46">
        <f ca="1">IFERROR(__xludf.DUMMYFUNCTION("""COMPUTED_VALUE"""),0)</f>
        <v>0</v>
      </c>
      <c r="P461" s="46">
        <f ca="1">IFERROR(__xludf.DUMMYFUNCTION("""COMPUTED_VALUE"""),0)</f>
        <v>0</v>
      </c>
      <c r="Q461" s="47">
        <f ca="1">IFERROR(__xludf.DUMMYFUNCTION("""COMPUTED_VALUE"""),0)</f>
        <v>0</v>
      </c>
      <c r="R461" s="24">
        <f ca="1">IFERROR(__xludf.DUMMYFUNCTION("""COMPUTED_VALUE"""),0)</f>
        <v>0</v>
      </c>
      <c r="S461" s="23">
        <f ca="1">IFERROR(__xludf.DUMMYFUNCTION("""COMPUTED_VALUE"""),0)</f>
        <v>0</v>
      </c>
      <c r="T461" s="48">
        <f ca="1">IFERROR(__xludf.DUMMYFUNCTION("""COMPUTED_VALUE"""),0)</f>
        <v>0</v>
      </c>
      <c r="U461" s="47">
        <f ca="1">IFERROR(__xludf.DUMMYFUNCTION("""COMPUTED_VALUE"""),0)</f>
        <v>0</v>
      </c>
      <c r="V461" s="47">
        <f ca="1">IFERROR(__xludf.DUMMYFUNCTION("""COMPUTED_VALUE"""),0)</f>
        <v>0</v>
      </c>
      <c r="W461" s="47">
        <f ca="1">IFERROR(__xludf.DUMMYFUNCTION("""COMPUTED_VALUE"""),0)</f>
        <v>0</v>
      </c>
      <c r="X461" s="47">
        <f ca="1">IFERROR(__xludf.DUMMYFUNCTION("""COMPUTED_VALUE"""),0)</f>
        <v>0</v>
      </c>
      <c r="Y461" s="44">
        <f ca="1">IFERROR(__xludf.DUMMYFUNCTION("""COMPUTED_VALUE"""),0)</f>
        <v>0</v>
      </c>
      <c r="Z461" s="44">
        <f ca="1">IFERROR(__xludf.DUMMYFUNCTION("""COMPUTED_VALUE"""),0)</f>
        <v>0</v>
      </c>
      <c r="AA461" s="44">
        <f ca="1">IFERROR(__xludf.DUMMYFUNCTION("""COMPUTED_VALUE"""),0)</f>
        <v>0</v>
      </c>
      <c r="AB461" s="44">
        <f ca="1">IFERROR(__xludf.DUMMYFUNCTION("""COMPUTED_VALUE"""),0)</f>
        <v>0</v>
      </c>
      <c r="AC461" s="47">
        <f ca="1">IFERROR(__xludf.DUMMYFUNCTION("""COMPUTED_VALUE"""),0)</f>
        <v>0</v>
      </c>
      <c r="AD461" s="49"/>
      <c r="AE461" s="27"/>
    </row>
    <row r="462" spans="1:31" ht="14.3">
      <c r="A462" s="42" t="str">
        <f ca="1">IFERROR(__xludf.DUMMYFUNCTION("""COMPUTED_VALUE"""),"22SDSCE01240")</f>
        <v>22SDSCE01240</v>
      </c>
      <c r="B462" s="43" t="str">
        <f ca="1">IFERROR(__xludf.DUMMYFUNCTION("""COMPUTED_VALUE"""),"ANKUR KUMAR MANDAL")</f>
        <v>ANKUR KUMAR MANDAL</v>
      </c>
      <c r="C462" s="42" t="str">
        <f ca="1">IFERROR(__xludf.DUMMYFUNCTION("""COMPUTED_VALUE"""),"SDS")</f>
        <v>SDS</v>
      </c>
      <c r="D462" s="42" t="str">
        <f ca="1">IFERROR(__xludf.DUMMYFUNCTION("""COMPUTED_VALUE"""),"DCE")</f>
        <v>DCE</v>
      </c>
      <c r="E462" s="44">
        <f ca="1">IFERROR(__xludf.DUMMYFUNCTION("""COMPUTED_VALUE"""),4)</f>
        <v>4</v>
      </c>
      <c r="F462" s="42" t="str">
        <f ca="1">IFERROR(__xludf.DUMMYFUNCTION("""COMPUTED_VALUE"""),"BIHAR STUDENT")</f>
        <v>BIHAR STUDENT</v>
      </c>
      <c r="G462" s="42" t="str">
        <f ca="1">IFERROR(__xludf.DUMMYFUNCTION("""COMPUTED_VALUE"""),"BIHAR STUDENT")</f>
        <v>BIHAR STUDENT</v>
      </c>
      <c r="H462" s="2" t="str">
        <f ca="1">IFERROR(__xludf.DUMMYFUNCTION("""COMPUTED_VALUE"""),"DCE_2022-25")</f>
        <v>DCE_2022-25</v>
      </c>
      <c r="I462" s="45"/>
      <c r="J462" s="46">
        <f ca="1">IFERROR(__xludf.DUMMYFUNCTION("""COMPUTED_VALUE"""),42500)</f>
        <v>42500</v>
      </c>
      <c r="K462" s="46">
        <f ca="1">IFERROR(__xludf.DUMMYFUNCTION("""COMPUTED_VALUE"""),0)</f>
        <v>0</v>
      </c>
      <c r="L462" s="46">
        <f ca="1">IFERROR(__xludf.DUMMYFUNCTION("""COMPUTED_VALUE"""),0)</f>
        <v>0</v>
      </c>
      <c r="M462" s="47">
        <f ca="1">IFERROR(__xludf.DUMMYFUNCTION("""COMPUTED_VALUE"""),0)</f>
        <v>0</v>
      </c>
      <c r="N462" s="46">
        <f ca="1">IFERROR(__xludf.DUMMYFUNCTION("""COMPUTED_VALUE"""),42500)</f>
        <v>42500</v>
      </c>
      <c r="O462" s="46">
        <f ca="1">IFERROR(__xludf.DUMMYFUNCTION("""COMPUTED_VALUE"""),0)</f>
        <v>0</v>
      </c>
      <c r="P462" s="46">
        <f ca="1">IFERROR(__xludf.DUMMYFUNCTION("""COMPUTED_VALUE"""),0)</f>
        <v>0</v>
      </c>
      <c r="Q462" s="47">
        <f ca="1">IFERROR(__xludf.DUMMYFUNCTION("""COMPUTED_VALUE"""),0)</f>
        <v>0</v>
      </c>
      <c r="R462" s="24">
        <f ca="1">IFERROR(__xludf.DUMMYFUNCTION("""COMPUTED_VALUE"""),0)</f>
        <v>0</v>
      </c>
      <c r="S462" s="23">
        <f ca="1">IFERROR(__xludf.DUMMYFUNCTION("""COMPUTED_VALUE"""),0)</f>
        <v>0</v>
      </c>
      <c r="T462" s="48">
        <f ca="1">IFERROR(__xludf.DUMMYFUNCTION("""COMPUTED_VALUE"""),0)</f>
        <v>0</v>
      </c>
      <c r="U462" s="47">
        <f ca="1">IFERROR(__xludf.DUMMYFUNCTION("""COMPUTED_VALUE"""),0)</f>
        <v>0</v>
      </c>
      <c r="V462" s="47">
        <f ca="1">IFERROR(__xludf.DUMMYFUNCTION("""COMPUTED_VALUE"""),0)</f>
        <v>0</v>
      </c>
      <c r="W462" s="47">
        <f ca="1">IFERROR(__xludf.DUMMYFUNCTION("""COMPUTED_VALUE"""),0)</f>
        <v>0</v>
      </c>
      <c r="X462" s="47">
        <f ca="1">IFERROR(__xludf.DUMMYFUNCTION("""COMPUTED_VALUE"""),0)</f>
        <v>0</v>
      </c>
      <c r="Y462" s="44">
        <f ca="1">IFERROR(__xludf.DUMMYFUNCTION("""COMPUTED_VALUE"""),0)</f>
        <v>0</v>
      </c>
      <c r="Z462" s="44">
        <f ca="1">IFERROR(__xludf.DUMMYFUNCTION("""COMPUTED_VALUE"""),0)</f>
        <v>0</v>
      </c>
      <c r="AA462" s="44">
        <f ca="1">IFERROR(__xludf.DUMMYFUNCTION("""COMPUTED_VALUE"""),0)</f>
        <v>0</v>
      </c>
      <c r="AB462" s="44">
        <f ca="1">IFERROR(__xludf.DUMMYFUNCTION("""COMPUTED_VALUE"""),0)</f>
        <v>0</v>
      </c>
      <c r="AC462" s="47">
        <f ca="1">IFERROR(__xludf.DUMMYFUNCTION("""COMPUTED_VALUE"""),0)</f>
        <v>0</v>
      </c>
      <c r="AD462" s="49"/>
      <c r="AE462" s="27"/>
    </row>
    <row r="463" spans="1:31" ht="14.3">
      <c r="A463" s="42" t="str">
        <f ca="1">IFERROR(__xludf.DUMMYFUNCTION("""COMPUTED_VALUE"""),"22SDSCE01241")</f>
        <v>22SDSCE01241</v>
      </c>
      <c r="B463" s="43" t="str">
        <f ca="1">IFERROR(__xludf.DUMMYFUNCTION("""COMPUTED_VALUE"""),"ROSHAN KUMAR MANDAL")</f>
        <v>ROSHAN KUMAR MANDAL</v>
      </c>
      <c r="C463" s="42" t="str">
        <f ca="1">IFERROR(__xludf.DUMMYFUNCTION("""COMPUTED_VALUE"""),"SDS")</f>
        <v>SDS</v>
      </c>
      <c r="D463" s="42" t="str">
        <f ca="1">IFERROR(__xludf.DUMMYFUNCTION("""COMPUTED_VALUE"""),"DCE")</f>
        <v>DCE</v>
      </c>
      <c r="E463" s="44">
        <f ca="1">IFERROR(__xludf.DUMMYFUNCTION("""COMPUTED_VALUE"""),4)</f>
        <v>4</v>
      </c>
      <c r="F463" s="42" t="str">
        <f ca="1">IFERROR(__xludf.DUMMYFUNCTION("""COMPUTED_VALUE"""),"BIHAR STUDENT")</f>
        <v>BIHAR STUDENT</v>
      </c>
      <c r="G463" s="42" t="str">
        <f ca="1">IFERROR(__xludf.DUMMYFUNCTION("""COMPUTED_VALUE"""),"BIHAR STUDENT")</f>
        <v>BIHAR STUDENT</v>
      </c>
      <c r="H463" s="2" t="str">
        <f ca="1">IFERROR(__xludf.DUMMYFUNCTION("""COMPUTED_VALUE"""),"DCE_2022-25")</f>
        <v>DCE_2022-25</v>
      </c>
      <c r="I463" s="45"/>
      <c r="J463" s="46">
        <f ca="1">IFERROR(__xludf.DUMMYFUNCTION("""COMPUTED_VALUE"""),42500)</f>
        <v>42500</v>
      </c>
      <c r="K463" s="46">
        <f ca="1">IFERROR(__xludf.DUMMYFUNCTION("""COMPUTED_VALUE"""),0)</f>
        <v>0</v>
      </c>
      <c r="L463" s="46">
        <f ca="1">IFERROR(__xludf.DUMMYFUNCTION("""COMPUTED_VALUE"""),0)</f>
        <v>0</v>
      </c>
      <c r="M463" s="47">
        <f ca="1">IFERROR(__xludf.DUMMYFUNCTION("""COMPUTED_VALUE"""),0)</f>
        <v>0</v>
      </c>
      <c r="N463" s="46">
        <f ca="1">IFERROR(__xludf.DUMMYFUNCTION("""COMPUTED_VALUE"""),42500)</f>
        <v>42500</v>
      </c>
      <c r="O463" s="46">
        <f ca="1">IFERROR(__xludf.DUMMYFUNCTION("""COMPUTED_VALUE"""),0)</f>
        <v>0</v>
      </c>
      <c r="P463" s="46">
        <f ca="1">IFERROR(__xludf.DUMMYFUNCTION("""COMPUTED_VALUE"""),0)</f>
        <v>0</v>
      </c>
      <c r="Q463" s="47">
        <f ca="1">IFERROR(__xludf.DUMMYFUNCTION("""COMPUTED_VALUE"""),0)</f>
        <v>0</v>
      </c>
      <c r="R463" s="24">
        <f ca="1">IFERROR(__xludf.DUMMYFUNCTION("""COMPUTED_VALUE"""),0)</f>
        <v>0</v>
      </c>
      <c r="S463" s="23">
        <f ca="1">IFERROR(__xludf.DUMMYFUNCTION("""COMPUTED_VALUE"""),0)</f>
        <v>0</v>
      </c>
      <c r="T463" s="48">
        <f ca="1">IFERROR(__xludf.DUMMYFUNCTION("""COMPUTED_VALUE"""),0)</f>
        <v>0</v>
      </c>
      <c r="U463" s="47">
        <f ca="1">IFERROR(__xludf.DUMMYFUNCTION("""COMPUTED_VALUE"""),0)</f>
        <v>0</v>
      </c>
      <c r="V463" s="47">
        <f ca="1">IFERROR(__xludf.DUMMYFUNCTION("""COMPUTED_VALUE"""),0)</f>
        <v>0</v>
      </c>
      <c r="W463" s="47">
        <f ca="1">IFERROR(__xludf.DUMMYFUNCTION("""COMPUTED_VALUE"""),0)</f>
        <v>0</v>
      </c>
      <c r="X463" s="47">
        <f ca="1">IFERROR(__xludf.DUMMYFUNCTION("""COMPUTED_VALUE"""),0)</f>
        <v>0</v>
      </c>
      <c r="Y463" s="44">
        <f ca="1">IFERROR(__xludf.DUMMYFUNCTION("""COMPUTED_VALUE"""),0)</f>
        <v>0</v>
      </c>
      <c r="Z463" s="44">
        <f ca="1">IFERROR(__xludf.DUMMYFUNCTION("""COMPUTED_VALUE"""),0)</f>
        <v>0</v>
      </c>
      <c r="AA463" s="44">
        <f ca="1">IFERROR(__xludf.DUMMYFUNCTION("""COMPUTED_VALUE"""),0)</f>
        <v>0</v>
      </c>
      <c r="AB463" s="44">
        <f ca="1">IFERROR(__xludf.DUMMYFUNCTION("""COMPUTED_VALUE"""),0)</f>
        <v>0</v>
      </c>
      <c r="AC463" s="47">
        <f ca="1">IFERROR(__xludf.DUMMYFUNCTION("""COMPUTED_VALUE"""),0)</f>
        <v>0</v>
      </c>
      <c r="AD463" s="49"/>
      <c r="AE463" s="27"/>
    </row>
    <row r="464" spans="1:31" ht="14.3">
      <c r="A464" s="42" t="str">
        <f ca="1">IFERROR(__xludf.DUMMYFUNCTION("""COMPUTED_VALUE"""),"22SDSCE01242")</f>
        <v>22SDSCE01242</v>
      </c>
      <c r="B464" s="43" t="str">
        <f ca="1">IFERROR(__xludf.DUMMYFUNCTION("""COMPUTED_VALUE"""),"UTTAM KUMAR SINGH")</f>
        <v>UTTAM KUMAR SINGH</v>
      </c>
      <c r="C464" s="42" t="str">
        <f ca="1">IFERROR(__xludf.DUMMYFUNCTION("""COMPUTED_VALUE"""),"SDS")</f>
        <v>SDS</v>
      </c>
      <c r="D464" s="42" t="str">
        <f ca="1">IFERROR(__xludf.DUMMYFUNCTION("""COMPUTED_VALUE"""),"DCE")</f>
        <v>DCE</v>
      </c>
      <c r="E464" s="44">
        <f ca="1">IFERROR(__xludf.DUMMYFUNCTION("""COMPUTED_VALUE"""),4)</f>
        <v>4</v>
      </c>
      <c r="F464" s="42" t="str">
        <f ca="1">IFERROR(__xludf.DUMMYFUNCTION("""COMPUTED_VALUE"""),"BIHAR STUDENT")</f>
        <v>BIHAR STUDENT</v>
      </c>
      <c r="G464" s="42" t="str">
        <f ca="1">IFERROR(__xludf.DUMMYFUNCTION("""COMPUTED_VALUE"""),"BIHAR STUDENT")</f>
        <v>BIHAR STUDENT</v>
      </c>
      <c r="H464" s="2" t="str">
        <f ca="1">IFERROR(__xludf.DUMMYFUNCTION("""COMPUTED_VALUE"""),"DCE_2022-25")</f>
        <v>DCE_2022-25</v>
      </c>
      <c r="I464" s="45"/>
      <c r="J464" s="46">
        <f ca="1">IFERROR(__xludf.DUMMYFUNCTION("""COMPUTED_VALUE"""),42500)</f>
        <v>42500</v>
      </c>
      <c r="K464" s="46">
        <f ca="1">IFERROR(__xludf.DUMMYFUNCTION("""COMPUTED_VALUE"""),42500)</f>
        <v>42500</v>
      </c>
      <c r="L464" s="46">
        <f ca="1">IFERROR(__xludf.DUMMYFUNCTION("""COMPUTED_VALUE"""),0)</f>
        <v>0</v>
      </c>
      <c r="M464" s="47">
        <f ca="1">IFERROR(__xludf.DUMMYFUNCTION("""COMPUTED_VALUE"""),0)</f>
        <v>0</v>
      </c>
      <c r="N464" s="46">
        <f ca="1">IFERROR(__xludf.DUMMYFUNCTION("""COMPUTED_VALUE"""),0)</f>
        <v>0</v>
      </c>
      <c r="O464" s="46">
        <f ca="1">IFERROR(__xludf.DUMMYFUNCTION("""COMPUTED_VALUE"""),0)</f>
        <v>0</v>
      </c>
      <c r="P464" s="46">
        <f ca="1">IFERROR(__xludf.DUMMYFUNCTION("""COMPUTED_VALUE"""),0)</f>
        <v>0</v>
      </c>
      <c r="Q464" s="47">
        <f ca="1">IFERROR(__xludf.DUMMYFUNCTION("""COMPUTED_VALUE"""),0)</f>
        <v>0</v>
      </c>
      <c r="R464" s="24">
        <f ca="1">IFERROR(__xludf.DUMMYFUNCTION("""COMPUTED_VALUE"""),0)</f>
        <v>0</v>
      </c>
      <c r="S464" s="23">
        <f ca="1">IFERROR(__xludf.DUMMYFUNCTION("""COMPUTED_VALUE"""),0)</f>
        <v>0</v>
      </c>
      <c r="T464" s="48">
        <f ca="1">IFERROR(__xludf.DUMMYFUNCTION("""COMPUTED_VALUE"""),0)</f>
        <v>0</v>
      </c>
      <c r="U464" s="47">
        <f ca="1">IFERROR(__xludf.DUMMYFUNCTION("""COMPUTED_VALUE"""),0)</f>
        <v>0</v>
      </c>
      <c r="V464" s="47">
        <f ca="1">IFERROR(__xludf.DUMMYFUNCTION("""COMPUTED_VALUE"""),0)</f>
        <v>0</v>
      </c>
      <c r="W464" s="47">
        <f ca="1">IFERROR(__xludf.DUMMYFUNCTION("""COMPUTED_VALUE"""),0)</f>
        <v>0</v>
      </c>
      <c r="X464" s="47">
        <f ca="1">IFERROR(__xludf.DUMMYFUNCTION("""COMPUTED_VALUE"""),0)</f>
        <v>0</v>
      </c>
      <c r="Y464" s="44">
        <f ca="1">IFERROR(__xludf.DUMMYFUNCTION("""COMPUTED_VALUE"""),0)</f>
        <v>0</v>
      </c>
      <c r="Z464" s="44">
        <f ca="1">IFERROR(__xludf.DUMMYFUNCTION("""COMPUTED_VALUE"""),0)</f>
        <v>0</v>
      </c>
      <c r="AA464" s="44">
        <f ca="1">IFERROR(__xludf.DUMMYFUNCTION("""COMPUTED_VALUE"""),0)</f>
        <v>0</v>
      </c>
      <c r="AB464" s="44">
        <f ca="1">IFERROR(__xludf.DUMMYFUNCTION("""COMPUTED_VALUE"""),0)</f>
        <v>0</v>
      </c>
      <c r="AC464" s="47">
        <f ca="1">IFERROR(__xludf.DUMMYFUNCTION("""COMPUTED_VALUE"""),0)</f>
        <v>0</v>
      </c>
      <c r="AD464" s="49"/>
      <c r="AE464" s="27"/>
    </row>
    <row r="465" spans="1:31" ht="14.3">
      <c r="A465" s="42" t="str">
        <f ca="1">IFERROR(__xludf.DUMMYFUNCTION("""COMPUTED_VALUE"""),"22SDSCE01243")</f>
        <v>22SDSCE01243</v>
      </c>
      <c r="B465" s="43" t="str">
        <f ca="1">IFERROR(__xludf.DUMMYFUNCTION("""COMPUTED_VALUE"""),"ABHISHEK KUMAR")</f>
        <v>ABHISHEK KUMAR</v>
      </c>
      <c r="C465" s="42" t="str">
        <f ca="1">IFERROR(__xludf.DUMMYFUNCTION("""COMPUTED_VALUE"""),"SDS")</f>
        <v>SDS</v>
      </c>
      <c r="D465" s="42" t="str">
        <f ca="1">IFERROR(__xludf.DUMMYFUNCTION("""COMPUTED_VALUE"""),"DCE")</f>
        <v>DCE</v>
      </c>
      <c r="E465" s="44">
        <f ca="1">IFERROR(__xludf.DUMMYFUNCTION("""COMPUTED_VALUE"""),4)</f>
        <v>4</v>
      </c>
      <c r="F465" s="42" t="str">
        <f ca="1">IFERROR(__xludf.DUMMYFUNCTION("""COMPUTED_VALUE"""),"BIHAR STUDENT")</f>
        <v>BIHAR STUDENT</v>
      </c>
      <c r="G465" s="42" t="str">
        <f ca="1">IFERROR(__xludf.DUMMYFUNCTION("""COMPUTED_VALUE"""),"BIHAR STUDENT")</f>
        <v>BIHAR STUDENT</v>
      </c>
      <c r="H465" s="2" t="str">
        <f ca="1">IFERROR(__xludf.DUMMYFUNCTION("""COMPUTED_VALUE"""),"DCE_2022-25")</f>
        <v>DCE_2022-25</v>
      </c>
      <c r="I465" s="45"/>
      <c r="J465" s="46">
        <f ca="1">IFERROR(__xludf.DUMMYFUNCTION("""COMPUTED_VALUE"""),42500)</f>
        <v>42500</v>
      </c>
      <c r="K465" s="46">
        <f ca="1">IFERROR(__xludf.DUMMYFUNCTION("""COMPUTED_VALUE"""),0)</f>
        <v>0</v>
      </c>
      <c r="L465" s="46">
        <f ca="1">IFERROR(__xludf.DUMMYFUNCTION("""COMPUTED_VALUE"""),0)</f>
        <v>0</v>
      </c>
      <c r="M465" s="47">
        <f ca="1">IFERROR(__xludf.DUMMYFUNCTION("""COMPUTED_VALUE"""),0)</f>
        <v>0</v>
      </c>
      <c r="N465" s="46">
        <f ca="1">IFERROR(__xludf.DUMMYFUNCTION("""COMPUTED_VALUE"""),42500)</f>
        <v>42500</v>
      </c>
      <c r="O465" s="46">
        <f ca="1">IFERROR(__xludf.DUMMYFUNCTION("""COMPUTED_VALUE"""),0)</f>
        <v>0</v>
      </c>
      <c r="P465" s="46">
        <f ca="1">IFERROR(__xludf.DUMMYFUNCTION("""COMPUTED_VALUE"""),0)</f>
        <v>0</v>
      </c>
      <c r="Q465" s="47">
        <f ca="1">IFERROR(__xludf.DUMMYFUNCTION("""COMPUTED_VALUE"""),0)</f>
        <v>0</v>
      </c>
      <c r="R465" s="24">
        <f ca="1">IFERROR(__xludf.DUMMYFUNCTION("""COMPUTED_VALUE"""),0)</f>
        <v>0</v>
      </c>
      <c r="S465" s="23">
        <f ca="1">IFERROR(__xludf.DUMMYFUNCTION("""COMPUTED_VALUE"""),0)</f>
        <v>0</v>
      </c>
      <c r="T465" s="48">
        <f ca="1">IFERROR(__xludf.DUMMYFUNCTION("""COMPUTED_VALUE"""),0)</f>
        <v>0</v>
      </c>
      <c r="U465" s="47">
        <f ca="1">IFERROR(__xludf.DUMMYFUNCTION("""COMPUTED_VALUE"""),0)</f>
        <v>0</v>
      </c>
      <c r="V465" s="47">
        <f ca="1">IFERROR(__xludf.DUMMYFUNCTION("""COMPUTED_VALUE"""),0)</f>
        <v>0</v>
      </c>
      <c r="W465" s="47">
        <f ca="1">IFERROR(__xludf.DUMMYFUNCTION("""COMPUTED_VALUE"""),0)</f>
        <v>0</v>
      </c>
      <c r="X465" s="47">
        <f ca="1">IFERROR(__xludf.DUMMYFUNCTION("""COMPUTED_VALUE"""),0)</f>
        <v>0</v>
      </c>
      <c r="Y465" s="44">
        <f ca="1">IFERROR(__xludf.DUMMYFUNCTION("""COMPUTED_VALUE"""),0)</f>
        <v>0</v>
      </c>
      <c r="Z465" s="44">
        <f ca="1">IFERROR(__xludf.DUMMYFUNCTION("""COMPUTED_VALUE"""),0)</f>
        <v>0</v>
      </c>
      <c r="AA465" s="44">
        <f ca="1">IFERROR(__xludf.DUMMYFUNCTION("""COMPUTED_VALUE"""),0)</f>
        <v>0</v>
      </c>
      <c r="AB465" s="44">
        <f ca="1">IFERROR(__xludf.DUMMYFUNCTION("""COMPUTED_VALUE"""),0)</f>
        <v>0</v>
      </c>
      <c r="AC465" s="47">
        <f ca="1">IFERROR(__xludf.DUMMYFUNCTION("""COMPUTED_VALUE"""),0)</f>
        <v>0</v>
      </c>
      <c r="AD465" s="49"/>
      <c r="AE465" s="27"/>
    </row>
    <row r="466" spans="1:31" ht="14.3">
      <c r="A466" s="42" t="str">
        <f ca="1">IFERROR(__xludf.DUMMYFUNCTION("""COMPUTED_VALUE"""),"22SDSCE01244")</f>
        <v>22SDSCE01244</v>
      </c>
      <c r="B466" s="43" t="str">
        <f ca="1">IFERROR(__xludf.DUMMYFUNCTION("""COMPUTED_VALUE"""),"RANI KUMARI")</f>
        <v>RANI KUMARI</v>
      </c>
      <c r="C466" s="42" t="str">
        <f ca="1">IFERROR(__xludf.DUMMYFUNCTION("""COMPUTED_VALUE"""),"SDS")</f>
        <v>SDS</v>
      </c>
      <c r="D466" s="42" t="str">
        <f ca="1">IFERROR(__xludf.DUMMYFUNCTION("""COMPUTED_VALUE"""),"DCE")</f>
        <v>DCE</v>
      </c>
      <c r="E466" s="44">
        <f ca="1">IFERROR(__xludf.DUMMYFUNCTION("""COMPUTED_VALUE"""),4)</f>
        <v>4</v>
      </c>
      <c r="F466" s="42" t="str">
        <f ca="1">IFERROR(__xludf.DUMMYFUNCTION("""COMPUTED_VALUE"""),"BIHAR STUDENT")</f>
        <v>BIHAR STUDENT</v>
      </c>
      <c r="G466" s="42" t="str">
        <f ca="1">IFERROR(__xludf.DUMMYFUNCTION("""COMPUTED_VALUE"""),"BIHAR STUDENT")</f>
        <v>BIHAR STUDENT</v>
      </c>
      <c r="H466" s="2" t="str">
        <f ca="1">IFERROR(__xludf.DUMMYFUNCTION("""COMPUTED_VALUE"""),"DCE_2022-25")</f>
        <v>DCE_2022-25</v>
      </c>
      <c r="I466" s="45"/>
      <c r="J466" s="46">
        <f ca="1">IFERROR(__xludf.DUMMYFUNCTION("""COMPUTED_VALUE"""),42500)</f>
        <v>42500</v>
      </c>
      <c r="K466" s="46">
        <f ca="1">IFERROR(__xludf.DUMMYFUNCTION("""COMPUTED_VALUE"""),42500)</f>
        <v>42500</v>
      </c>
      <c r="L466" s="46">
        <f ca="1">IFERROR(__xludf.DUMMYFUNCTION("""COMPUTED_VALUE"""),0)</f>
        <v>0</v>
      </c>
      <c r="M466" s="47">
        <f ca="1">IFERROR(__xludf.DUMMYFUNCTION("""COMPUTED_VALUE"""),0)</f>
        <v>0</v>
      </c>
      <c r="N466" s="46">
        <f ca="1">IFERROR(__xludf.DUMMYFUNCTION("""COMPUTED_VALUE"""),0)</f>
        <v>0</v>
      </c>
      <c r="O466" s="46">
        <f ca="1">IFERROR(__xludf.DUMMYFUNCTION("""COMPUTED_VALUE"""),0)</f>
        <v>0</v>
      </c>
      <c r="P466" s="46">
        <f ca="1">IFERROR(__xludf.DUMMYFUNCTION("""COMPUTED_VALUE"""),0)</f>
        <v>0</v>
      </c>
      <c r="Q466" s="47">
        <f ca="1">IFERROR(__xludf.DUMMYFUNCTION("""COMPUTED_VALUE"""),0)</f>
        <v>0</v>
      </c>
      <c r="R466" s="24">
        <f ca="1">IFERROR(__xludf.DUMMYFUNCTION("""COMPUTED_VALUE"""),0)</f>
        <v>0</v>
      </c>
      <c r="S466" s="23">
        <f ca="1">IFERROR(__xludf.DUMMYFUNCTION("""COMPUTED_VALUE"""),0)</f>
        <v>0</v>
      </c>
      <c r="T466" s="48">
        <f ca="1">IFERROR(__xludf.DUMMYFUNCTION("""COMPUTED_VALUE"""),0)</f>
        <v>0</v>
      </c>
      <c r="U466" s="47">
        <f ca="1">IFERROR(__xludf.DUMMYFUNCTION("""COMPUTED_VALUE"""),0)</f>
        <v>0</v>
      </c>
      <c r="V466" s="47">
        <f ca="1">IFERROR(__xludf.DUMMYFUNCTION("""COMPUTED_VALUE"""),0)</f>
        <v>0</v>
      </c>
      <c r="W466" s="47">
        <f ca="1">IFERROR(__xludf.DUMMYFUNCTION("""COMPUTED_VALUE"""),0)</f>
        <v>0</v>
      </c>
      <c r="X466" s="47">
        <f ca="1">IFERROR(__xludf.DUMMYFUNCTION("""COMPUTED_VALUE"""),0)</f>
        <v>0</v>
      </c>
      <c r="Y466" s="44">
        <f ca="1">IFERROR(__xludf.DUMMYFUNCTION("""COMPUTED_VALUE"""),0)</f>
        <v>0</v>
      </c>
      <c r="Z466" s="44">
        <f ca="1">IFERROR(__xludf.DUMMYFUNCTION("""COMPUTED_VALUE"""),0)</f>
        <v>0</v>
      </c>
      <c r="AA466" s="44">
        <f ca="1">IFERROR(__xludf.DUMMYFUNCTION("""COMPUTED_VALUE"""),0)</f>
        <v>0</v>
      </c>
      <c r="AB466" s="44">
        <f ca="1">IFERROR(__xludf.DUMMYFUNCTION("""COMPUTED_VALUE"""),0)</f>
        <v>0</v>
      </c>
      <c r="AC466" s="47">
        <f ca="1">IFERROR(__xludf.DUMMYFUNCTION("""COMPUTED_VALUE"""),0)</f>
        <v>0</v>
      </c>
      <c r="AD466" s="49"/>
      <c r="AE466" s="27"/>
    </row>
    <row r="467" spans="1:31" ht="14.3">
      <c r="A467" s="42" t="str">
        <f ca="1">IFERROR(__xludf.DUMMYFUNCTION("""COMPUTED_VALUE"""),"22SDSCE01245")</f>
        <v>22SDSCE01245</v>
      </c>
      <c r="B467" s="43" t="str">
        <f ca="1">IFERROR(__xludf.DUMMYFUNCTION("""COMPUTED_VALUE"""),"KANCHAN KUMARI")</f>
        <v>KANCHAN KUMARI</v>
      </c>
      <c r="C467" s="42" t="str">
        <f ca="1">IFERROR(__xludf.DUMMYFUNCTION("""COMPUTED_VALUE"""),"SDS")</f>
        <v>SDS</v>
      </c>
      <c r="D467" s="42" t="str">
        <f ca="1">IFERROR(__xludf.DUMMYFUNCTION("""COMPUTED_VALUE"""),"DCE")</f>
        <v>DCE</v>
      </c>
      <c r="E467" s="44">
        <f ca="1">IFERROR(__xludf.DUMMYFUNCTION("""COMPUTED_VALUE"""),4)</f>
        <v>4</v>
      </c>
      <c r="F467" s="42" t="str">
        <f ca="1">IFERROR(__xludf.DUMMYFUNCTION("""COMPUTED_VALUE"""),"BIHAR STUDENT")</f>
        <v>BIHAR STUDENT</v>
      </c>
      <c r="G467" s="42" t="str">
        <f ca="1">IFERROR(__xludf.DUMMYFUNCTION("""COMPUTED_VALUE"""),"BIHAR STUDENT")</f>
        <v>BIHAR STUDENT</v>
      </c>
      <c r="H467" s="2" t="str">
        <f ca="1">IFERROR(__xludf.DUMMYFUNCTION("""COMPUTED_VALUE"""),"DCE_2022-25")</f>
        <v>DCE_2022-25</v>
      </c>
      <c r="I467" s="45"/>
      <c r="J467" s="46">
        <f ca="1">IFERROR(__xludf.DUMMYFUNCTION("""COMPUTED_VALUE"""),42500)</f>
        <v>42500</v>
      </c>
      <c r="K467" s="46">
        <f ca="1">IFERROR(__xludf.DUMMYFUNCTION("""COMPUTED_VALUE"""),42500)</f>
        <v>42500</v>
      </c>
      <c r="L467" s="46">
        <f ca="1">IFERROR(__xludf.DUMMYFUNCTION("""COMPUTED_VALUE"""),0)</f>
        <v>0</v>
      </c>
      <c r="M467" s="47">
        <f ca="1">IFERROR(__xludf.DUMMYFUNCTION("""COMPUTED_VALUE"""),0)</f>
        <v>0</v>
      </c>
      <c r="N467" s="46">
        <f ca="1">IFERROR(__xludf.DUMMYFUNCTION("""COMPUTED_VALUE"""),0)</f>
        <v>0</v>
      </c>
      <c r="O467" s="46">
        <f ca="1">IFERROR(__xludf.DUMMYFUNCTION("""COMPUTED_VALUE"""),0)</f>
        <v>0</v>
      </c>
      <c r="P467" s="46">
        <f ca="1">IFERROR(__xludf.DUMMYFUNCTION("""COMPUTED_VALUE"""),0)</f>
        <v>0</v>
      </c>
      <c r="Q467" s="47">
        <f ca="1">IFERROR(__xludf.DUMMYFUNCTION("""COMPUTED_VALUE"""),0)</f>
        <v>0</v>
      </c>
      <c r="R467" s="24">
        <f ca="1">IFERROR(__xludf.DUMMYFUNCTION("""COMPUTED_VALUE"""),0)</f>
        <v>0</v>
      </c>
      <c r="S467" s="23">
        <f ca="1">IFERROR(__xludf.DUMMYFUNCTION("""COMPUTED_VALUE"""),0)</f>
        <v>0</v>
      </c>
      <c r="T467" s="48">
        <f ca="1">IFERROR(__xludf.DUMMYFUNCTION("""COMPUTED_VALUE"""),0)</f>
        <v>0</v>
      </c>
      <c r="U467" s="47">
        <f ca="1">IFERROR(__xludf.DUMMYFUNCTION("""COMPUTED_VALUE"""),0)</f>
        <v>0</v>
      </c>
      <c r="V467" s="47">
        <f ca="1">IFERROR(__xludf.DUMMYFUNCTION("""COMPUTED_VALUE"""),0)</f>
        <v>0</v>
      </c>
      <c r="W467" s="47">
        <f ca="1">IFERROR(__xludf.DUMMYFUNCTION("""COMPUTED_VALUE"""),0)</f>
        <v>0</v>
      </c>
      <c r="X467" s="47">
        <f ca="1">IFERROR(__xludf.DUMMYFUNCTION("""COMPUTED_VALUE"""),0)</f>
        <v>0</v>
      </c>
      <c r="Y467" s="44">
        <f ca="1">IFERROR(__xludf.DUMMYFUNCTION("""COMPUTED_VALUE"""),0)</f>
        <v>0</v>
      </c>
      <c r="Z467" s="44">
        <f ca="1">IFERROR(__xludf.DUMMYFUNCTION("""COMPUTED_VALUE"""),0)</f>
        <v>0</v>
      </c>
      <c r="AA467" s="44">
        <f ca="1">IFERROR(__xludf.DUMMYFUNCTION("""COMPUTED_VALUE"""),0)</f>
        <v>0</v>
      </c>
      <c r="AB467" s="44">
        <f ca="1">IFERROR(__xludf.DUMMYFUNCTION("""COMPUTED_VALUE"""),0)</f>
        <v>0</v>
      </c>
      <c r="AC467" s="47">
        <f ca="1">IFERROR(__xludf.DUMMYFUNCTION("""COMPUTED_VALUE"""),0)</f>
        <v>0</v>
      </c>
      <c r="AD467" s="49"/>
      <c r="AE467" s="27"/>
    </row>
    <row r="468" spans="1:31" ht="14.3">
      <c r="A468" s="42" t="str">
        <f ca="1">IFERROR(__xludf.DUMMYFUNCTION("""COMPUTED_VALUE"""),"22SDSCE01246")</f>
        <v>22SDSCE01246</v>
      </c>
      <c r="B468" s="43" t="str">
        <f ca="1">IFERROR(__xludf.DUMMYFUNCTION("""COMPUTED_VALUE"""),"ABHISHEK YADAV")</f>
        <v>ABHISHEK YADAV</v>
      </c>
      <c r="C468" s="42" t="str">
        <f ca="1">IFERROR(__xludf.DUMMYFUNCTION("""COMPUTED_VALUE"""),"SDS")</f>
        <v>SDS</v>
      </c>
      <c r="D468" s="42" t="str">
        <f ca="1">IFERROR(__xludf.DUMMYFUNCTION("""COMPUTED_VALUE"""),"DCE")</f>
        <v>DCE</v>
      </c>
      <c r="E468" s="44">
        <f ca="1">IFERROR(__xludf.DUMMYFUNCTION("""COMPUTED_VALUE"""),4)</f>
        <v>4</v>
      </c>
      <c r="F468" s="42" t="str">
        <f ca="1">IFERROR(__xludf.DUMMYFUNCTION("""COMPUTED_VALUE"""),"BIHAR STUDENT")</f>
        <v>BIHAR STUDENT</v>
      </c>
      <c r="G468" s="42" t="str">
        <f ca="1">IFERROR(__xludf.DUMMYFUNCTION("""COMPUTED_VALUE"""),"BIHAR STUDENT")</f>
        <v>BIHAR STUDENT</v>
      </c>
      <c r="H468" s="2" t="str">
        <f ca="1">IFERROR(__xludf.DUMMYFUNCTION("""COMPUTED_VALUE"""),"DCE_2022-25")</f>
        <v>DCE_2022-25</v>
      </c>
      <c r="I468" s="45"/>
      <c r="J468" s="46">
        <f ca="1">IFERROR(__xludf.DUMMYFUNCTION("""COMPUTED_VALUE"""),42500)</f>
        <v>42500</v>
      </c>
      <c r="K468" s="46">
        <f ca="1">IFERROR(__xludf.DUMMYFUNCTION("""COMPUTED_VALUE"""),42500)</f>
        <v>42500</v>
      </c>
      <c r="L468" s="46">
        <f ca="1">IFERROR(__xludf.DUMMYFUNCTION("""COMPUTED_VALUE"""),0)</f>
        <v>0</v>
      </c>
      <c r="M468" s="47">
        <f ca="1">IFERROR(__xludf.DUMMYFUNCTION("""COMPUTED_VALUE"""),0)</f>
        <v>0</v>
      </c>
      <c r="N468" s="46">
        <f ca="1">IFERROR(__xludf.DUMMYFUNCTION("""COMPUTED_VALUE"""),0)</f>
        <v>0</v>
      </c>
      <c r="O468" s="46">
        <f ca="1">IFERROR(__xludf.DUMMYFUNCTION("""COMPUTED_VALUE"""),0)</f>
        <v>0</v>
      </c>
      <c r="P468" s="46">
        <f ca="1">IFERROR(__xludf.DUMMYFUNCTION("""COMPUTED_VALUE"""),0)</f>
        <v>0</v>
      </c>
      <c r="Q468" s="47">
        <f ca="1">IFERROR(__xludf.DUMMYFUNCTION("""COMPUTED_VALUE"""),0)</f>
        <v>0</v>
      </c>
      <c r="R468" s="24">
        <f ca="1">IFERROR(__xludf.DUMMYFUNCTION("""COMPUTED_VALUE"""),0)</f>
        <v>0</v>
      </c>
      <c r="S468" s="23">
        <f ca="1">IFERROR(__xludf.DUMMYFUNCTION("""COMPUTED_VALUE"""),0)</f>
        <v>0</v>
      </c>
      <c r="T468" s="48">
        <f ca="1">IFERROR(__xludf.DUMMYFUNCTION("""COMPUTED_VALUE"""),0)</f>
        <v>0</v>
      </c>
      <c r="U468" s="47">
        <f ca="1">IFERROR(__xludf.DUMMYFUNCTION("""COMPUTED_VALUE"""),0)</f>
        <v>0</v>
      </c>
      <c r="V468" s="47">
        <f ca="1">IFERROR(__xludf.DUMMYFUNCTION("""COMPUTED_VALUE"""),0)</f>
        <v>0</v>
      </c>
      <c r="W468" s="47">
        <f ca="1">IFERROR(__xludf.DUMMYFUNCTION("""COMPUTED_VALUE"""),0)</f>
        <v>0</v>
      </c>
      <c r="X468" s="47">
        <f ca="1">IFERROR(__xludf.DUMMYFUNCTION("""COMPUTED_VALUE"""),0)</f>
        <v>0</v>
      </c>
      <c r="Y468" s="44">
        <f ca="1">IFERROR(__xludf.DUMMYFUNCTION("""COMPUTED_VALUE"""),0)</f>
        <v>0</v>
      </c>
      <c r="Z468" s="44">
        <f ca="1">IFERROR(__xludf.DUMMYFUNCTION("""COMPUTED_VALUE"""),0)</f>
        <v>0</v>
      </c>
      <c r="AA468" s="44">
        <f ca="1">IFERROR(__xludf.DUMMYFUNCTION("""COMPUTED_VALUE"""),0)</f>
        <v>0</v>
      </c>
      <c r="AB468" s="44">
        <f ca="1">IFERROR(__xludf.DUMMYFUNCTION("""COMPUTED_VALUE"""),0)</f>
        <v>0</v>
      </c>
      <c r="AC468" s="47">
        <f ca="1">IFERROR(__xludf.DUMMYFUNCTION("""COMPUTED_VALUE"""),0)</f>
        <v>0</v>
      </c>
      <c r="AD468" s="49"/>
      <c r="AE468" s="27"/>
    </row>
    <row r="469" spans="1:31" ht="14.3">
      <c r="A469" s="42" t="str">
        <f ca="1">IFERROR(__xludf.DUMMYFUNCTION("""COMPUTED_VALUE"""),"22SDSCE01247")</f>
        <v>22SDSCE01247</v>
      </c>
      <c r="B469" s="43" t="str">
        <f ca="1">IFERROR(__xludf.DUMMYFUNCTION("""COMPUTED_VALUE"""),"MD IMRAN ALAM")</f>
        <v>MD IMRAN ALAM</v>
      </c>
      <c r="C469" s="42" t="str">
        <f ca="1">IFERROR(__xludf.DUMMYFUNCTION("""COMPUTED_VALUE"""),"SDS")</f>
        <v>SDS</v>
      </c>
      <c r="D469" s="42" t="str">
        <f ca="1">IFERROR(__xludf.DUMMYFUNCTION("""COMPUTED_VALUE"""),"DCE")</f>
        <v>DCE</v>
      </c>
      <c r="E469" s="44">
        <f ca="1">IFERROR(__xludf.DUMMYFUNCTION("""COMPUTED_VALUE"""),4)</f>
        <v>4</v>
      </c>
      <c r="F469" s="42" t="str">
        <f ca="1">IFERROR(__xludf.DUMMYFUNCTION("""COMPUTED_VALUE"""),"BIHAR STUDENT")</f>
        <v>BIHAR STUDENT</v>
      </c>
      <c r="G469" s="42" t="str">
        <f ca="1">IFERROR(__xludf.DUMMYFUNCTION("""COMPUTED_VALUE"""),"BIHAR STUDENT")</f>
        <v>BIHAR STUDENT</v>
      </c>
      <c r="H469" s="2" t="str">
        <f ca="1">IFERROR(__xludf.DUMMYFUNCTION("""COMPUTED_VALUE"""),"DCE_2022-25")</f>
        <v>DCE_2022-25</v>
      </c>
      <c r="I469" s="45"/>
      <c r="J469" s="46">
        <f ca="1">IFERROR(__xludf.DUMMYFUNCTION("""COMPUTED_VALUE"""),42500)</f>
        <v>42500</v>
      </c>
      <c r="K469" s="46">
        <f ca="1">IFERROR(__xludf.DUMMYFUNCTION("""COMPUTED_VALUE"""),0)</f>
        <v>0</v>
      </c>
      <c r="L469" s="46">
        <f ca="1">IFERROR(__xludf.DUMMYFUNCTION("""COMPUTED_VALUE"""),0)</f>
        <v>0</v>
      </c>
      <c r="M469" s="47">
        <f ca="1">IFERROR(__xludf.DUMMYFUNCTION("""COMPUTED_VALUE"""),0)</f>
        <v>0</v>
      </c>
      <c r="N469" s="46">
        <f ca="1">IFERROR(__xludf.DUMMYFUNCTION("""COMPUTED_VALUE"""),42500)</f>
        <v>42500</v>
      </c>
      <c r="O469" s="46">
        <f ca="1">IFERROR(__xludf.DUMMYFUNCTION("""COMPUTED_VALUE"""),0)</f>
        <v>0</v>
      </c>
      <c r="P469" s="46">
        <f ca="1">IFERROR(__xludf.DUMMYFUNCTION("""COMPUTED_VALUE"""),0)</f>
        <v>0</v>
      </c>
      <c r="Q469" s="47">
        <f ca="1">IFERROR(__xludf.DUMMYFUNCTION("""COMPUTED_VALUE"""),0)</f>
        <v>0</v>
      </c>
      <c r="R469" s="24">
        <f ca="1">IFERROR(__xludf.DUMMYFUNCTION("""COMPUTED_VALUE"""),0)</f>
        <v>0</v>
      </c>
      <c r="S469" s="23">
        <f ca="1">IFERROR(__xludf.DUMMYFUNCTION("""COMPUTED_VALUE"""),0)</f>
        <v>0</v>
      </c>
      <c r="T469" s="48">
        <f ca="1">IFERROR(__xludf.DUMMYFUNCTION("""COMPUTED_VALUE"""),0)</f>
        <v>0</v>
      </c>
      <c r="U469" s="47">
        <f ca="1">IFERROR(__xludf.DUMMYFUNCTION("""COMPUTED_VALUE"""),0)</f>
        <v>0</v>
      </c>
      <c r="V469" s="47">
        <f ca="1">IFERROR(__xludf.DUMMYFUNCTION("""COMPUTED_VALUE"""),0)</f>
        <v>0</v>
      </c>
      <c r="W469" s="47">
        <f ca="1">IFERROR(__xludf.DUMMYFUNCTION("""COMPUTED_VALUE"""),0)</f>
        <v>0</v>
      </c>
      <c r="X469" s="47">
        <f ca="1">IFERROR(__xludf.DUMMYFUNCTION("""COMPUTED_VALUE"""),0)</f>
        <v>0</v>
      </c>
      <c r="Y469" s="44">
        <f ca="1">IFERROR(__xludf.DUMMYFUNCTION("""COMPUTED_VALUE"""),0)</f>
        <v>0</v>
      </c>
      <c r="Z469" s="44">
        <f ca="1">IFERROR(__xludf.DUMMYFUNCTION("""COMPUTED_VALUE"""),0)</f>
        <v>0</v>
      </c>
      <c r="AA469" s="44">
        <f ca="1">IFERROR(__xludf.DUMMYFUNCTION("""COMPUTED_VALUE"""),0)</f>
        <v>0</v>
      </c>
      <c r="AB469" s="44">
        <f ca="1">IFERROR(__xludf.DUMMYFUNCTION("""COMPUTED_VALUE"""),0)</f>
        <v>0</v>
      </c>
      <c r="AC469" s="47">
        <f ca="1">IFERROR(__xludf.DUMMYFUNCTION("""COMPUTED_VALUE"""),0)</f>
        <v>0</v>
      </c>
      <c r="AD469" s="49"/>
      <c r="AE469" s="27"/>
    </row>
    <row r="470" spans="1:31" ht="14.3">
      <c r="A470" s="42" t="str">
        <f ca="1">IFERROR(__xludf.DUMMYFUNCTION("""COMPUTED_VALUE"""),"22SDSCE01248")</f>
        <v>22SDSCE01248</v>
      </c>
      <c r="B470" s="43" t="str">
        <f ca="1">IFERROR(__xludf.DUMMYFUNCTION("""COMPUTED_VALUE"""),"AVINASH KUMAR")</f>
        <v>AVINASH KUMAR</v>
      </c>
      <c r="C470" s="42" t="str">
        <f ca="1">IFERROR(__xludf.DUMMYFUNCTION("""COMPUTED_VALUE"""),"SDS")</f>
        <v>SDS</v>
      </c>
      <c r="D470" s="42" t="str">
        <f ca="1">IFERROR(__xludf.DUMMYFUNCTION("""COMPUTED_VALUE"""),"DCE")</f>
        <v>DCE</v>
      </c>
      <c r="E470" s="44">
        <f ca="1">IFERROR(__xludf.DUMMYFUNCTION("""COMPUTED_VALUE"""),4)</f>
        <v>4</v>
      </c>
      <c r="F470" s="42" t="str">
        <f ca="1">IFERROR(__xludf.DUMMYFUNCTION("""COMPUTED_VALUE"""),"BIHAR STUDENT")</f>
        <v>BIHAR STUDENT</v>
      </c>
      <c r="G470" s="42" t="str">
        <f ca="1">IFERROR(__xludf.DUMMYFUNCTION("""COMPUTED_VALUE"""),"BIHAR STUDENT")</f>
        <v>BIHAR STUDENT</v>
      </c>
      <c r="H470" s="2" t="str">
        <f ca="1">IFERROR(__xludf.DUMMYFUNCTION("""COMPUTED_VALUE"""),"DCE_2022-25")</f>
        <v>DCE_2022-25</v>
      </c>
      <c r="I470" s="45"/>
      <c r="J470" s="46">
        <f ca="1">IFERROR(__xludf.DUMMYFUNCTION("""COMPUTED_VALUE"""),42500)</f>
        <v>42500</v>
      </c>
      <c r="K470" s="46">
        <f ca="1">IFERROR(__xludf.DUMMYFUNCTION("""COMPUTED_VALUE"""),42500)</f>
        <v>42500</v>
      </c>
      <c r="L470" s="46">
        <f ca="1">IFERROR(__xludf.DUMMYFUNCTION("""COMPUTED_VALUE"""),0)</f>
        <v>0</v>
      </c>
      <c r="M470" s="47">
        <f ca="1">IFERROR(__xludf.DUMMYFUNCTION("""COMPUTED_VALUE"""),0)</f>
        <v>0</v>
      </c>
      <c r="N470" s="46">
        <f ca="1">IFERROR(__xludf.DUMMYFUNCTION("""COMPUTED_VALUE"""),0)</f>
        <v>0</v>
      </c>
      <c r="O470" s="46">
        <f ca="1">IFERROR(__xludf.DUMMYFUNCTION("""COMPUTED_VALUE"""),0)</f>
        <v>0</v>
      </c>
      <c r="P470" s="46">
        <f ca="1">IFERROR(__xludf.DUMMYFUNCTION("""COMPUTED_VALUE"""),0)</f>
        <v>0</v>
      </c>
      <c r="Q470" s="47">
        <f ca="1">IFERROR(__xludf.DUMMYFUNCTION("""COMPUTED_VALUE"""),0)</f>
        <v>0</v>
      </c>
      <c r="R470" s="24">
        <f ca="1">IFERROR(__xludf.DUMMYFUNCTION("""COMPUTED_VALUE"""),0)</f>
        <v>0</v>
      </c>
      <c r="S470" s="23">
        <f ca="1">IFERROR(__xludf.DUMMYFUNCTION("""COMPUTED_VALUE"""),0)</f>
        <v>0</v>
      </c>
      <c r="T470" s="48">
        <f ca="1">IFERROR(__xludf.DUMMYFUNCTION("""COMPUTED_VALUE"""),0)</f>
        <v>0</v>
      </c>
      <c r="U470" s="47">
        <f ca="1">IFERROR(__xludf.DUMMYFUNCTION("""COMPUTED_VALUE"""),0)</f>
        <v>0</v>
      </c>
      <c r="V470" s="47">
        <f ca="1">IFERROR(__xludf.DUMMYFUNCTION("""COMPUTED_VALUE"""),0)</f>
        <v>0</v>
      </c>
      <c r="W470" s="47">
        <f ca="1">IFERROR(__xludf.DUMMYFUNCTION("""COMPUTED_VALUE"""),0)</f>
        <v>0</v>
      </c>
      <c r="X470" s="47">
        <f ca="1">IFERROR(__xludf.DUMMYFUNCTION("""COMPUTED_VALUE"""),0)</f>
        <v>0</v>
      </c>
      <c r="Y470" s="44">
        <f ca="1">IFERROR(__xludf.DUMMYFUNCTION("""COMPUTED_VALUE"""),0)</f>
        <v>0</v>
      </c>
      <c r="Z470" s="44">
        <f ca="1">IFERROR(__xludf.DUMMYFUNCTION("""COMPUTED_VALUE"""),0)</f>
        <v>0</v>
      </c>
      <c r="AA470" s="44">
        <f ca="1">IFERROR(__xludf.DUMMYFUNCTION("""COMPUTED_VALUE"""),0)</f>
        <v>0</v>
      </c>
      <c r="AB470" s="44">
        <f ca="1">IFERROR(__xludf.DUMMYFUNCTION("""COMPUTED_VALUE"""),0)</f>
        <v>0</v>
      </c>
      <c r="AC470" s="47">
        <f ca="1">IFERROR(__xludf.DUMMYFUNCTION("""COMPUTED_VALUE"""),0)</f>
        <v>0</v>
      </c>
      <c r="AD470" s="49"/>
      <c r="AE470" s="27"/>
    </row>
    <row r="471" spans="1:31" ht="14.3">
      <c r="A471" s="42" t="str">
        <f ca="1">IFERROR(__xludf.DUMMYFUNCTION("""COMPUTED_VALUE"""),"22SDSCE01250")</f>
        <v>22SDSCE01250</v>
      </c>
      <c r="B471" s="43" t="str">
        <f ca="1">IFERROR(__xludf.DUMMYFUNCTION("""COMPUTED_VALUE"""),"ANISH PANDEY")</f>
        <v>ANISH PANDEY</v>
      </c>
      <c r="C471" s="42" t="str">
        <f ca="1">IFERROR(__xludf.DUMMYFUNCTION("""COMPUTED_VALUE"""),"SDS")</f>
        <v>SDS</v>
      </c>
      <c r="D471" s="42" t="str">
        <f ca="1">IFERROR(__xludf.DUMMYFUNCTION("""COMPUTED_VALUE"""),"DCE")</f>
        <v>DCE</v>
      </c>
      <c r="E471" s="44">
        <f ca="1">IFERROR(__xludf.DUMMYFUNCTION("""COMPUTED_VALUE"""),4)</f>
        <v>4</v>
      </c>
      <c r="F471" s="42" t="str">
        <f ca="1">IFERROR(__xludf.DUMMYFUNCTION("""COMPUTED_VALUE"""),"BIHAR STUDENT")</f>
        <v>BIHAR STUDENT</v>
      </c>
      <c r="G471" s="42" t="str">
        <f ca="1">IFERROR(__xludf.DUMMYFUNCTION("""COMPUTED_VALUE"""),"BIHAR STUDENT")</f>
        <v>BIHAR STUDENT</v>
      </c>
      <c r="H471" s="2" t="str">
        <f ca="1">IFERROR(__xludf.DUMMYFUNCTION("""COMPUTED_VALUE"""),"DCE_2022-25")</f>
        <v>DCE_2022-25</v>
      </c>
      <c r="I471" s="45"/>
      <c r="J471" s="46">
        <f ca="1">IFERROR(__xludf.DUMMYFUNCTION("""COMPUTED_VALUE"""),42500)</f>
        <v>42500</v>
      </c>
      <c r="K471" s="46">
        <f ca="1">IFERROR(__xludf.DUMMYFUNCTION("""COMPUTED_VALUE"""),0)</f>
        <v>0</v>
      </c>
      <c r="L471" s="46">
        <f ca="1">IFERROR(__xludf.DUMMYFUNCTION("""COMPUTED_VALUE"""),0)</f>
        <v>0</v>
      </c>
      <c r="M471" s="47">
        <f ca="1">IFERROR(__xludf.DUMMYFUNCTION("""COMPUTED_VALUE"""),0)</f>
        <v>0</v>
      </c>
      <c r="N471" s="46">
        <f ca="1">IFERROR(__xludf.DUMMYFUNCTION("""COMPUTED_VALUE"""),42500)</f>
        <v>42500</v>
      </c>
      <c r="O471" s="46">
        <f ca="1">IFERROR(__xludf.DUMMYFUNCTION("""COMPUTED_VALUE"""),0)</f>
        <v>0</v>
      </c>
      <c r="P471" s="46">
        <f ca="1">IFERROR(__xludf.DUMMYFUNCTION("""COMPUTED_VALUE"""),0)</f>
        <v>0</v>
      </c>
      <c r="Q471" s="47">
        <f ca="1">IFERROR(__xludf.DUMMYFUNCTION("""COMPUTED_VALUE"""),0)</f>
        <v>0</v>
      </c>
      <c r="R471" s="24">
        <f ca="1">IFERROR(__xludf.DUMMYFUNCTION("""COMPUTED_VALUE"""),0)</f>
        <v>0</v>
      </c>
      <c r="S471" s="23">
        <f ca="1">IFERROR(__xludf.DUMMYFUNCTION("""COMPUTED_VALUE"""),0)</f>
        <v>0</v>
      </c>
      <c r="T471" s="48">
        <f ca="1">IFERROR(__xludf.DUMMYFUNCTION("""COMPUTED_VALUE"""),0)</f>
        <v>0</v>
      </c>
      <c r="U471" s="47">
        <f ca="1">IFERROR(__xludf.DUMMYFUNCTION("""COMPUTED_VALUE"""),0)</f>
        <v>0</v>
      </c>
      <c r="V471" s="47">
        <f ca="1">IFERROR(__xludf.DUMMYFUNCTION("""COMPUTED_VALUE"""),0)</f>
        <v>0</v>
      </c>
      <c r="W471" s="47">
        <f ca="1">IFERROR(__xludf.DUMMYFUNCTION("""COMPUTED_VALUE"""),0)</f>
        <v>0</v>
      </c>
      <c r="X471" s="47">
        <f ca="1">IFERROR(__xludf.DUMMYFUNCTION("""COMPUTED_VALUE"""),0)</f>
        <v>0</v>
      </c>
      <c r="Y471" s="44">
        <f ca="1">IFERROR(__xludf.DUMMYFUNCTION("""COMPUTED_VALUE"""),0)</f>
        <v>0</v>
      </c>
      <c r="Z471" s="44">
        <f ca="1">IFERROR(__xludf.DUMMYFUNCTION("""COMPUTED_VALUE"""),0)</f>
        <v>0</v>
      </c>
      <c r="AA471" s="44">
        <f ca="1">IFERROR(__xludf.DUMMYFUNCTION("""COMPUTED_VALUE"""),0)</f>
        <v>0</v>
      </c>
      <c r="AB471" s="44">
        <f ca="1">IFERROR(__xludf.DUMMYFUNCTION("""COMPUTED_VALUE"""),0)</f>
        <v>0</v>
      </c>
      <c r="AC471" s="47">
        <f ca="1">IFERROR(__xludf.DUMMYFUNCTION("""COMPUTED_VALUE"""),0)</f>
        <v>0</v>
      </c>
      <c r="AD471" s="49"/>
      <c r="AE471" s="27"/>
    </row>
    <row r="472" spans="1:31" ht="14.3">
      <c r="A472" s="42" t="str">
        <f ca="1">IFERROR(__xludf.DUMMYFUNCTION("""COMPUTED_VALUE"""),"22SDSCE01251")</f>
        <v>22SDSCE01251</v>
      </c>
      <c r="B472" s="43" t="str">
        <f ca="1">IFERROR(__xludf.DUMMYFUNCTION("""COMPUTED_VALUE"""),"DEEPAK KUMAR SINGH")</f>
        <v>DEEPAK KUMAR SINGH</v>
      </c>
      <c r="C472" s="42" t="str">
        <f ca="1">IFERROR(__xludf.DUMMYFUNCTION("""COMPUTED_VALUE"""),"SDS")</f>
        <v>SDS</v>
      </c>
      <c r="D472" s="42" t="str">
        <f ca="1">IFERROR(__xludf.DUMMYFUNCTION("""COMPUTED_VALUE"""),"DCE")</f>
        <v>DCE</v>
      </c>
      <c r="E472" s="44">
        <f ca="1">IFERROR(__xludf.DUMMYFUNCTION("""COMPUTED_VALUE"""),4)</f>
        <v>4</v>
      </c>
      <c r="F472" s="42" t="str">
        <f ca="1">IFERROR(__xludf.DUMMYFUNCTION("""COMPUTED_VALUE"""),"BIHAR STUDENT")</f>
        <v>BIHAR STUDENT</v>
      </c>
      <c r="G472" s="42" t="str">
        <f ca="1">IFERROR(__xludf.DUMMYFUNCTION("""COMPUTED_VALUE"""),"BIHAR STUDENT")</f>
        <v>BIHAR STUDENT</v>
      </c>
      <c r="H472" s="2" t="str">
        <f ca="1">IFERROR(__xludf.DUMMYFUNCTION("""COMPUTED_VALUE"""),"DCE_2022-25")</f>
        <v>DCE_2022-25</v>
      </c>
      <c r="I472" s="45"/>
      <c r="J472" s="46">
        <f ca="1">IFERROR(__xludf.DUMMYFUNCTION("""COMPUTED_VALUE"""),42500)</f>
        <v>42500</v>
      </c>
      <c r="K472" s="46">
        <f ca="1">IFERROR(__xludf.DUMMYFUNCTION("""COMPUTED_VALUE"""),0)</f>
        <v>0</v>
      </c>
      <c r="L472" s="46">
        <f ca="1">IFERROR(__xludf.DUMMYFUNCTION("""COMPUTED_VALUE"""),0)</f>
        <v>0</v>
      </c>
      <c r="M472" s="47">
        <f ca="1">IFERROR(__xludf.DUMMYFUNCTION("""COMPUTED_VALUE"""),0)</f>
        <v>0</v>
      </c>
      <c r="N472" s="46">
        <f ca="1">IFERROR(__xludf.DUMMYFUNCTION("""COMPUTED_VALUE"""),42500)</f>
        <v>42500</v>
      </c>
      <c r="O472" s="46">
        <f ca="1">IFERROR(__xludf.DUMMYFUNCTION("""COMPUTED_VALUE"""),0)</f>
        <v>0</v>
      </c>
      <c r="P472" s="46">
        <f ca="1">IFERROR(__xludf.DUMMYFUNCTION("""COMPUTED_VALUE"""),0)</f>
        <v>0</v>
      </c>
      <c r="Q472" s="47">
        <f ca="1">IFERROR(__xludf.DUMMYFUNCTION("""COMPUTED_VALUE"""),0)</f>
        <v>0</v>
      </c>
      <c r="R472" s="24">
        <f ca="1">IFERROR(__xludf.DUMMYFUNCTION("""COMPUTED_VALUE"""),0)</f>
        <v>0</v>
      </c>
      <c r="S472" s="23">
        <f ca="1">IFERROR(__xludf.DUMMYFUNCTION("""COMPUTED_VALUE"""),0)</f>
        <v>0</v>
      </c>
      <c r="T472" s="48">
        <f ca="1">IFERROR(__xludf.DUMMYFUNCTION("""COMPUTED_VALUE"""),0)</f>
        <v>0</v>
      </c>
      <c r="U472" s="47">
        <f ca="1">IFERROR(__xludf.DUMMYFUNCTION("""COMPUTED_VALUE"""),0)</f>
        <v>0</v>
      </c>
      <c r="V472" s="47">
        <f ca="1">IFERROR(__xludf.DUMMYFUNCTION("""COMPUTED_VALUE"""),0)</f>
        <v>0</v>
      </c>
      <c r="W472" s="47">
        <f ca="1">IFERROR(__xludf.DUMMYFUNCTION("""COMPUTED_VALUE"""),0)</f>
        <v>0</v>
      </c>
      <c r="X472" s="47">
        <f ca="1">IFERROR(__xludf.DUMMYFUNCTION("""COMPUTED_VALUE"""),0)</f>
        <v>0</v>
      </c>
      <c r="Y472" s="44">
        <f ca="1">IFERROR(__xludf.DUMMYFUNCTION("""COMPUTED_VALUE"""),0)</f>
        <v>0</v>
      </c>
      <c r="Z472" s="44">
        <f ca="1">IFERROR(__xludf.DUMMYFUNCTION("""COMPUTED_VALUE"""),0)</f>
        <v>0</v>
      </c>
      <c r="AA472" s="44">
        <f ca="1">IFERROR(__xludf.DUMMYFUNCTION("""COMPUTED_VALUE"""),0)</f>
        <v>0</v>
      </c>
      <c r="AB472" s="44">
        <f ca="1">IFERROR(__xludf.DUMMYFUNCTION("""COMPUTED_VALUE"""),0)</f>
        <v>0</v>
      </c>
      <c r="AC472" s="47">
        <f ca="1">IFERROR(__xludf.DUMMYFUNCTION("""COMPUTED_VALUE"""),0)</f>
        <v>0</v>
      </c>
      <c r="AD472" s="49"/>
      <c r="AE472" s="27"/>
    </row>
    <row r="473" spans="1:31" ht="14.3">
      <c r="A473" s="42" t="str">
        <f ca="1">IFERROR(__xludf.DUMMYFUNCTION("""COMPUTED_VALUE"""),"22SDSCE01252")</f>
        <v>22SDSCE01252</v>
      </c>
      <c r="B473" s="43" t="str">
        <f ca="1">IFERROR(__xludf.DUMMYFUNCTION("""COMPUTED_VALUE"""),"MD ASHAD KAMAL")</f>
        <v>MD ASHAD KAMAL</v>
      </c>
      <c r="C473" s="42" t="str">
        <f ca="1">IFERROR(__xludf.DUMMYFUNCTION("""COMPUTED_VALUE"""),"SDS")</f>
        <v>SDS</v>
      </c>
      <c r="D473" s="42" t="str">
        <f ca="1">IFERROR(__xludf.DUMMYFUNCTION("""COMPUTED_VALUE"""),"DCE")</f>
        <v>DCE</v>
      </c>
      <c r="E473" s="44">
        <f ca="1">IFERROR(__xludf.DUMMYFUNCTION("""COMPUTED_VALUE"""),4)</f>
        <v>4</v>
      </c>
      <c r="F473" s="42" t="str">
        <f ca="1">IFERROR(__xludf.DUMMYFUNCTION("""COMPUTED_VALUE"""),"BIHAR STUDENT")</f>
        <v>BIHAR STUDENT</v>
      </c>
      <c r="G473" s="42" t="str">
        <f ca="1">IFERROR(__xludf.DUMMYFUNCTION("""COMPUTED_VALUE"""),"BIHAR STUDENT")</f>
        <v>BIHAR STUDENT</v>
      </c>
      <c r="H473" s="2" t="str">
        <f ca="1">IFERROR(__xludf.DUMMYFUNCTION("""COMPUTED_VALUE"""),"DCE_2022-25")</f>
        <v>DCE_2022-25</v>
      </c>
      <c r="I473" s="45"/>
      <c r="J473" s="46">
        <f ca="1">IFERROR(__xludf.DUMMYFUNCTION("""COMPUTED_VALUE"""),42500)</f>
        <v>42500</v>
      </c>
      <c r="K473" s="46">
        <f ca="1">IFERROR(__xludf.DUMMYFUNCTION("""COMPUTED_VALUE"""),0)</f>
        <v>0</v>
      </c>
      <c r="L473" s="46">
        <f ca="1">IFERROR(__xludf.DUMMYFUNCTION("""COMPUTED_VALUE"""),0)</f>
        <v>0</v>
      </c>
      <c r="M473" s="47">
        <f ca="1">IFERROR(__xludf.DUMMYFUNCTION("""COMPUTED_VALUE"""),0)</f>
        <v>0</v>
      </c>
      <c r="N473" s="46">
        <f ca="1">IFERROR(__xludf.DUMMYFUNCTION("""COMPUTED_VALUE"""),42500)</f>
        <v>42500</v>
      </c>
      <c r="O473" s="46">
        <f ca="1">IFERROR(__xludf.DUMMYFUNCTION("""COMPUTED_VALUE"""),0)</f>
        <v>0</v>
      </c>
      <c r="P473" s="46">
        <f ca="1">IFERROR(__xludf.DUMMYFUNCTION("""COMPUTED_VALUE"""),0)</f>
        <v>0</v>
      </c>
      <c r="Q473" s="47">
        <f ca="1">IFERROR(__xludf.DUMMYFUNCTION("""COMPUTED_VALUE"""),0)</f>
        <v>0</v>
      </c>
      <c r="R473" s="24">
        <f ca="1">IFERROR(__xludf.DUMMYFUNCTION("""COMPUTED_VALUE"""),0)</f>
        <v>0</v>
      </c>
      <c r="S473" s="23">
        <f ca="1">IFERROR(__xludf.DUMMYFUNCTION("""COMPUTED_VALUE"""),0)</f>
        <v>0</v>
      </c>
      <c r="T473" s="48">
        <f ca="1">IFERROR(__xludf.DUMMYFUNCTION("""COMPUTED_VALUE"""),0)</f>
        <v>0</v>
      </c>
      <c r="U473" s="47">
        <f ca="1">IFERROR(__xludf.DUMMYFUNCTION("""COMPUTED_VALUE"""),0)</f>
        <v>0</v>
      </c>
      <c r="V473" s="47">
        <f ca="1">IFERROR(__xludf.DUMMYFUNCTION("""COMPUTED_VALUE"""),0)</f>
        <v>0</v>
      </c>
      <c r="W473" s="47">
        <f ca="1">IFERROR(__xludf.DUMMYFUNCTION("""COMPUTED_VALUE"""),0)</f>
        <v>0</v>
      </c>
      <c r="X473" s="47">
        <f ca="1">IFERROR(__xludf.DUMMYFUNCTION("""COMPUTED_VALUE"""),0)</f>
        <v>0</v>
      </c>
      <c r="Y473" s="44">
        <f ca="1">IFERROR(__xludf.DUMMYFUNCTION("""COMPUTED_VALUE"""),0)</f>
        <v>0</v>
      </c>
      <c r="Z473" s="44">
        <f ca="1">IFERROR(__xludf.DUMMYFUNCTION("""COMPUTED_VALUE"""),0)</f>
        <v>0</v>
      </c>
      <c r="AA473" s="44">
        <f ca="1">IFERROR(__xludf.DUMMYFUNCTION("""COMPUTED_VALUE"""),0)</f>
        <v>0</v>
      </c>
      <c r="AB473" s="44">
        <f ca="1">IFERROR(__xludf.DUMMYFUNCTION("""COMPUTED_VALUE"""),0)</f>
        <v>0</v>
      </c>
      <c r="AC473" s="47">
        <f ca="1">IFERROR(__xludf.DUMMYFUNCTION("""COMPUTED_VALUE"""),0)</f>
        <v>0</v>
      </c>
      <c r="AD473" s="49"/>
      <c r="AE473" s="27"/>
    </row>
    <row r="474" spans="1:31" ht="14.3">
      <c r="A474" s="42" t="str">
        <f ca="1">IFERROR(__xludf.DUMMYFUNCTION("""COMPUTED_VALUE"""),"22SDSCE01253")</f>
        <v>22SDSCE01253</v>
      </c>
      <c r="B474" s="43" t="str">
        <f ca="1">IFERROR(__xludf.DUMMYFUNCTION("""COMPUTED_VALUE"""),"PREM KUMAR")</f>
        <v>PREM KUMAR</v>
      </c>
      <c r="C474" s="42" t="str">
        <f ca="1">IFERROR(__xludf.DUMMYFUNCTION("""COMPUTED_VALUE"""),"SDS")</f>
        <v>SDS</v>
      </c>
      <c r="D474" s="42" t="str">
        <f ca="1">IFERROR(__xludf.DUMMYFUNCTION("""COMPUTED_VALUE"""),"DCE")</f>
        <v>DCE</v>
      </c>
      <c r="E474" s="44">
        <f ca="1">IFERROR(__xludf.DUMMYFUNCTION("""COMPUTED_VALUE"""),4)</f>
        <v>4</v>
      </c>
      <c r="F474" s="42" t="str">
        <f ca="1">IFERROR(__xludf.DUMMYFUNCTION("""COMPUTED_VALUE"""),"BIHAR STUDENT")</f>
        <v>BIHAR STUDENT</v>
      </c>
      <c r="G474" s="42" t="str">
        <f ca="1">IFERROR(__xludf.DUMMYFUNCTION("""COMPUTED_VALUE"""),"BIHAR STUDENT")</f>
        <v>BIHAR STUDENT</v>
      </c>
      <c r="H474" s="2" t="str">
        <f ca="1">IFERROR(__xludf.DUMMYFUNCTION("""COMPUTED_VALUE"""),"DCE_2022-25")</f>
        <v>DCE_2022-25</v>
      </c>
      <c r="I474" s="45"/>
      <c r="J474" s="46">
        <f ca="1">IFERROR(__xludf.DUMMYFUNCTION("""COMPUTED_VALUE"""),42500)</f>
        <v>42500</v>
      </c>
      <c r="K474" s="46">
        <f ca="1">IFERROR(__xludf.DUMMYFUNCTION("""COMPUTED_VALUE"""),0)</f>
        <v>0</v>
      </c>
      <c r="L474" s="46">
        <f ca="1">IFERROR(__xludf.DUMMYFUNCTION("""COMPUTED_VALUE"""),0)</f>
        <v>0</v>
      </c>
      <c r="M474" s="47">
        <f ca="1">IFERROR(__xludf.DUMMYFUNCTION("""COMPUTED_VALUE"""),0)</f>
        <v>0</v>
      </c>
      <c r="N474" s="46">
        <f ca="1">IFERROR(__xludf.DUMMYFUNCTION("""COMPUTED_VALUE"""),42500)</f>
        <v>42500</v>
      </c>
      <c r="O474" s="46">
        <f ca="1">IFERROR(__xludf.DUMMYFUNCTION("""COMPUTED_VALUE"""),0)</f>
        <v>0</v>
      </c>
      <c r="P474" s="46">
        <f ca="1">IFERROR(__xludf.DUMMYFUNCTION("""COMPUTED_VALUE"""),0)</f>
        <v>0</v>
      </c>
      <c r="Q474" s="47">
        <f ca="1">IFERROR(__xludf.DUMMYFUNCTION("""COMPUTED_VALUE"""),0)</f>
        <v>0</v>
      </c>
      <c r="R474" s="24">
        <f ca="1">IFERROR(__xludf.DUMMYFUNCTION("""COMPUTED_VALUE"""),0)</f>
        <v>0</v>
      </c>
      <c r="S474" s="23">
        <f ca="1">IFERROR(__xludf.DUMMYFUNCTION("""COMPUTED_VALUE"""),0)</f>
        <v>0</v>
      </c>
      <c r="T474" s="48">
        <f ca="1">IFERROR(__xludf.DUMMYFUNCTION("""COMPUTED_VALUE"""),0)</f>
        <v>0</v>
      </c>
      <c r="U474" s="47">
        <f ca="1">IFERROR(__xludf.DUMMYFUNCTION("""COMPUTED_VALUE"""),0)</f>
        <v>0</v>
      </c>
      <c r="V474" s="47">
        <f ca="1">IFERROR(__xludf.DUMMYFUNCTION("""COMPUTED_VALUE"""),0)</f>
        <v>0</v>
      </c>
      <c r="W474" s="47">
        <f ca="1">IFERROR(__xludf.DUMMYFUNCTION("""COMPUTED_VALUE"""),0)</f>
        <v>0</v>
      </c>
      <c r="X474" s="47">
        <f ca="1">IFERROR(__xludf.DUMMYFUNCTION("""COMPUTED_VALUE"""),0)</f>
        <v>0</v>
      </c>
      <c r="Y474" s="44">
        <f ca="1">IFERROR(__xludf.DUMMYFUNCTION("""COMPUTED_VALUE"""),0)</f>
        <v>0</v>
      </c>
      <c r="Z474" s="44">
        <f ca="1">IFERROR(__xludf.DUMMYFUNCTION("""COMPUTED_VALUE"""),0)</f>
        <v>0</v>
      </c>
      <c r="AA474" s="44">
        <f ca="1">IFERROR(__xludf.DUMMYFUNCTION("""COMPUTED_VALUE"""),0)</f>
        <v>0</v>
      </c>
      <c r="AB474" s="44">
        <f ca="1">IFERROR(__xludf.DUMMYFUNCTION("""COMPUTED_VALUE"""),0)</f>
        <v>0</v>
      </c>
      <c r="AC474" s="47">
        <f ca="1">IFERROR(__xludf.DUMMYFUNCTION("""COMPUTED_VALUE"""),0)</f>
        <v>0</v>
      </c>
      <c r="AD474" s="49"/>
      <c r="AE474" s="27"/>
    </row>
    <row r="475" spans="1:31" ht="14.3">
      <c r="A475" s="42" t="str">
        <f ca="1">IFERROR(__xludf.DUMMYFUNCTION("""COMPUTED_VALUE"""),"22SDSCE01254")</f>
        <v>22SDSCE01254</v>
      </c>
      <c r="B475" s="43" t="str">
        <f ca="1">IFERROR(__xludf.DUMMYFUNCTION("""COMPUTED_VALUE"""),"SUMIT KUMAR")</f>
        <v>SUMIT KUMAR</v>
      </c>
      <c r="C475" s="42" t="str">
        <f ca="1">IFERROR(__xludf.DUMMYFUNCTION("""COMPUTED_VALUE"""),"SDS")</f>
        <v>SDS</v>
      </c>
      <c r="D475" s="42" t="str">
        <f ca="1">IFERROR(__xludf.DUMMYFUNCTION("""COMPUTED_VALUE"""),"DCE")</f>
        <v>DCE</v>
      </c>
      <c r="E475" s="44">
        <f ca="1">IFERROR(__xludf.DUMMYFUNCTION("""COMPUTED_VALUE"""),4)</f>
        <v>4</v>
      </c>
      <c r="F475" s="42" t="str">
        <f ca="1">IFERROR(__xludf.DUMMYFUNCTION("""COMPUTED_VALUE"""),"BIHAR STUDENT")</f>
        <v>BIHAR STUDENT</v>
      </c>
      <c r="G475" s="42" t="str">
        <f ca="1">IFERROR(__xludf.DUMMYFUNCTION("""COMPUTED_VALUE"""),"BIHAR STUDENT")</f>
        <v>BIHAR STUDENT</v>
      </c>
      <c r="H475" s="2" t="str">
        <f ca="1">IFERROR(__xludf.DUMMYFUNCTION("""COMPUTED_VALUE"""),"DCE_2022-25")</f>
        <v>DCE_2022-25</v>
      </c>
      <c r="I475" s="45"/>
      <c r="J475" s="46">
        <f ca="1">IFERROR(__xludf.DUMMYFUNCTION("""COMPUTED_VALUE"""),42500)</f>
        <v>42500</v>
      </c>
      <c r="K475" s="46">
        <f ca="1">IFERROR(__xludf.DUMMYFUNCTION("""COMPUTED_VALUE"""),0)</f>
        <v>0</v>
      </c>
      <c r="L475" s="46">
        <f ca="1">IFERROR(__xludf.DUMMYFUNCTION("""COMPUTED_VALUE"""),0)</f>
        <v>0</v>
      </c>
      <c r="M475" s="47">
        <f ca="1">IFERROR(__xludf.DUMMYFUNCTION("""COMPUTED_VALUE"""),0)</f>
        <v>0</v>
      </c>
      <c r="N475" s="46">
        <f ca="1">IFERROR(__xludf.DUMMYFUNCTION("""COMPUTED_VALUE"""),42500)</f>
        <v>42500</v>
      </c>
      <c r="O475" s="46">
        <f ca="1">IFERROR(__xludf.DUMMYFUNCTION("""COMPUTED_VALUE"""),0)</f>
        <v>0</v>
      </c>
      <c r="P475" s="46">
        <f ca="1">IFERROR(__xludf.DUMMYFUNCTION("""COMPUTED_VALUE"""),0)</f>
        <v>0</v>
      </c>
      <c r="Q475" s="47">
        <f ca="1">IFERROR(__xludf.DUMMYFUNCTION("""COMPUTED_VALUE"""),0)</f>
        <v>0</v>
      </c>
      <c r="R475" s="24">
        <f ca="1">IFERROR(__xludf.DUMMYFUNCTION("""COMPUTED_VALUE"""),0)</f>
        <v>0</v>
      </c>
      <c r="S475" s="23">
        <f ca="1">IFERROR(__xludf.DUMMYFUNCTION("""COMPUTED_VALUE"""),0)</f>
        <v>0</v>
      </c>
      <c r="T475" s="48">
        <f ca="1">IFERROR(__xludf.DUMMYFUNCTION("""COMPUTED_VALUE"""),0)</f>
        <v>0</v>
      </c>
      <c r="U475" s="47">
        <f ca="1">IFERROR(__xludf.DUMMYFUNCTION("""COMPUTED_VALUE"""),0)</f>
        <v>0</v>
      </c>
      <c r="V475" s="47">
        <f ca="1">IFERROR(__xludf.DUMMYFUNCTION("""COMPUTED_VALUE"""),0)</f>
        <v>0</v>
      </c>
      <c r="W475" s="47">
        <f ca="1">IFERROR(__xludf.DUMMYFUNCTION("""COMPUTED_VALUE"""),0)</f>
        <v>0</v>
      </c>
      <c r="X475" s="47">
        <f ca="1">IFERROR(__xludf.DUMMYFUNCTION("""COMPUTED_VALUE"""),0)</f>
        <v>0</v>
      </c>
      <c r="Y475" s="44">
        <f ca="1">IFERROR(__xludf.DUMMYFUNCTION("""COMPUTED_VALUE"""),0)</f>
        <v>0</v>
      </c>
      <c r="Z475" s="44">
        <f ca="1">IFERROR(__xludf.DUMMYFUNCTION("""COMPUTED_VALUE"""),0)</f>
        <v>0</v>
      </c>
      <c r="AA475" s="44">
        <f ca="1">IFERROR(__xludf.DUMMYFUNCTION("""COMPUTED_VALUE"""),0)</f>
        <v>0</v>
      </c>
      <c r="AB475" s="44">
        <f ca="1">IFERROR(__xludf.DUMMYFUNCTION("""COMPUTED_VALUE"""),0)</f>
        <v>0</v>
      </c>
      <c r="AC475" s="47">
        <f ca="1">IFERROR(__xludf.DUMMYFUNCTION("""COMPUTED_VALUE"""),0)</f>
        <v>0</v>
      </c>
      <c r="AD475" s="49"/>
      <c r="AE475" s="27"/>
    </row>
    <row r="476" spans="1:31" ht="14.3">
      <c r="A476" s="42" t="str">
        <f ca="1">IFERROR(__xludf.DUMMYFUNCTION("""COMPUTED_VALUE"""),"22SDSCE01255")</f>
        <v>22SDSCE01255</v>
      </c>
      <c r="B476" s="43" t="str">
        <f ca="1">IFERROR(__xludf.DUMMYFUNCTION("""COMPUTED_VALUE"""),"PREM SAGAR")</f>
        <v>PREM SAGAR</v>
      </c>
      <c r="C476" s="42" t="str">
        <f ca="1">IFERROR(__xludf.DUMMYFUNCTION("""COMPUTED_VALUE"""),"SDS")</f>
        <v>SDS</v>
      </c>
      <c r="D476" s="42" t="str">
        <f ca="1">IFERROR(__xludf.DUMMYFUNCTION("""COMPUTED_VALUE"""),"DCE")</f>
        <v>DCE</v>
      </c>
      <c r="E476" s="44">
        <f ca="1">IFERROR(__xludf.DUMMYFUNCTION("""COMPUTED_VALUE"""),4)</f>
        <v>4</v>
      </c>
      <c r="F476" s="42" t="str">
        <f ca="1">IFERROR(__xludf.DUMMYFUNCTION("""COMPUTED_VALUE"""),"BIHAR STUDENT")</f>
        <v>BIHAR STUDENT</v>
      </c>
      <c r="G476" s="42" t="str">
        <f ca="1">IFERROR(__xludf.DUMMYFUNCTION("""COMPUTED_VALUE"""),"BIHAR STUDENT")</f>
        <v>BIHAR STUDENT</v>
      </c>
      <c r="H476" s="2" t="str">
        <f ca="1">IFERROR(__xludf.DUMMYFUNCTION("""COMPUTED_VALUE"""),"DCE_2022-25")</f>
        <v>DCE_2022-25</v>
      </c>
      <c r="I476" s="45"/>
      <c r="J476" s="46">
        <f ca="1">IFERROR(__xludf.DUMMYFUNCTION("""COMPUTED_VALUE"""),42500)</f>
        <v>42500</v>
      </c>
      <c r="K476" s="46">
        <f ca="1">IFERROR(__xludf.DUMMYFUNCTION("""COMPUTED_VALUE"""),0)</f>
        <v>0</v>
      </c>
      <c r="L476" s="46">
        <f ca="1">IFERROR(__xludf.DUMMYFUNCTION("""COMPUTED_VALUE"""),0)</f>
        <v>0</v>
      </c>
      <c r="M476" s="47">
        <f ca="1">IFERROR(__xludf.DUMMYFUNCTION("""COMPUTED_VALUE"""),0)</f>
        <v>0</v>
      </c>
      <c r="N476" s="46">
        <f ca="1">IFERROR(__xludf.DUMMYFUNCTION("""COMPUTED_VALUE"""),42500)</f>
        <v>42500</v>
      </c>
      <c r="O476" s="46">
        <f ca="1">IFERROR(__xludf.DUMMYFUNCTION("""COMPUTED_VALUE"""),0)</f>
        <v>0</v>
      </c>
      <c r="P476" s="46">
        <f ca="1">IFERROR(__xludf.DUMMYFUNCTION("""COMPUTED_VALUE"""),0)</f>
        <v>0</v>
      </c>
      <c r="Q476" s="47">
        <f ca="1">IFERROR(__xludf.DUMMYFUNCTION("""COMPUTED_VALUE"""),0)</f>
        <v>0</v>
      </c>
      <c r="R476" s="24">
        <f ca="1">IFERROR(__xludf.DUMMYFUNCTION("""COMPUTED_VALUE"""),0)</f>
        <v>0</v>
      </c>
      <c r="S476" s="23">
        <f ca="1">IFERROR(__xludf.DUMMYFUNCTION("""COMPUTED_VALUE"""),0)</f>
        <v>0</v>
      </c>
      <c r="T476" s="48">
        <f ca="1">IFERROR(__xludf.DUMMYFUNCTION("""COMPUTED_VALUE"""),0)</f>
        <v>0</v>
      </c>
      <c r="U476" s="47">
        <f ca="1">IFERROR(__xludf.DUMMYFUNCTION("""COMPUTED_VALUE"""),0)</f>
        <v>0</v>
      </c>
      <c r="V476" s="47">
        <f ca="1">IFERROR(__xludf.DUMMYFUNCTION("""COMPUTED_VALUE"""),0)</f>
        <v>0</v>
      </c>
      <c r="W476" s="47">
        <f ca="1">IFERROR(__xludf.DUMMYFUNCTION("""COMPUTED_VALUE"""),0)</f>
        <v>0</v>
      </c>
      <c r="X476" s="47">
        <f ca="1">IFERROR(__xludf.DUMMYFUNCTION("""COMPUTED_VALUE"""),0)</f>
        <v>0</v>
      </c>
      <c r="Y476" s="44">
        <f ca="1">IFERROR(__xludf.DUMMYFUNCTION("""COMPUTED_VALUE"""),0)</f>
        <v>0</v>
      </c>
      <c r="Z476" s="44">
        <f ca="1">IFERROR(__xludf.DUMMYFUNCTION("""COMPUTED_VALUE"""),0)</f>
        <v>0</v>
      </c>
      <c r="AA476" s="44">
        <f ca="1">IFERROR(__xludf.DUMMYFUNCTION("""COMPUTED_VALUE"""),0)</f>
        <v>0</v>
      </c>
      <c r="AB476" s="44">
        <f ca="1">IFERROR(__xludf.DUMMYFUNCTION("""COMPUTED_VALUE"""),0)</f>
        <v>0</v>
      </c>
      <c r="AC476" s="47">
        <f ca="1">IFERROR(__xludf.DUMMYFUNCTION("""COMPUTED_VALUE"""),0)</f>
        <v>0</v>
      </c>
      <c r="AD476" s="49"/>
      <c r="AE476" s="27"/>
    </row>
    <row r="477" spans="1:31" ht="14.3">
      <c r="A477" s="42" t="str">
        <f ca="1">IFERROR(__xludf.DUMMYFUNCTION("""COMPUTED_VALUE"""),"22SDSCE01601")</f>
        <v>22SDSCE01601</v>
      </c>
      <c r="B477" s="43" t="str">
        <f ca="1">IFERROR(__xludf.DUMMYFUNCTION("""COMPUTED_VALUE"""),"BALRAM BARAI")</f>
        <v>BALRAM BARAI</v>
      </c>
      <c r="C477" s="42" t="str">
        <f ca="1">IFERROR(__xludf.DUMMYFUNCTION("""COMPUTED_VALUE"""),"SDS")</f>
        <v>SDS</v>
      </c>
      <c r="D477" s="42" t="str">
        <f ca="1">IFERROR(__xludf.DUMMYFUNCTION("""COMPUTED_VALUE"""),"DCE")</f>
        <v>DCE</v>
      </c>
      <c r="E477" s="44">
        <f ca="1">IFERROR(__xludf.DUMMYFUNCTION("""COMPUTED_VALUE"""),4)</f>
        <v>4</v>
      </c>
      <c r="F477" s="42" t="str">
        <f ca="1">IFERROR(__xludf.DUMMYFUNCTION("""COMPUTED_VALUE"""),"INTERNATIONAL")</f>
        <v>INTERNATIONAL</v>
      </c>
      <c r="G477" s="42" t="str">
        <f ca="1">IFERROR(__xludf.DUMMYFUNCTION("""COMPUTED_VALUE"""),"INR FEE STUDENT")</f>
        <v>INR FEE STUDENT</v>
      </c>
      <c r="H477" s="2" t="str">
        <f ca="1">IFERROR(__xludf.DUMMYFUNCTION("""COMPUTED_VALUE"""),"DCE_2022-25")</f>
        <v>DCE_2022-25</v>
      </c>
      <c r="I477" s="45"/>
      <c r="J477" s="46">
        <f ca="1">IFERROR(__xludf.DUMMYFUNCTION("""COMPUTED_VALUE"""),37500)</f>
        <v>37500</v>
      </c>
      <c r="K477" s="46">
        <f ca="1">IFERROR(__xludf.DUMMYFUNCTION("""COMPUTED_VALUE"""),0)</f>
        <v>0</v>
      </c>
      <c r="L477" s="46">
        <f ca="1">IFERROR(__xludf.DUMMYFUNCTION("""COMPUTED_VALUE"""),0)</f>
        <v>0</v>
      </c>
      <c r="M477" s="47">
        <f ca="1">IFERROR(__xludf.DUMMYFUNCTION("""COMPUTED_VALUE"""),0)</f>
        <v>0</v>
      </c>
      <c r="N477" s="46">
        <f ca="1">IFERROR(__xludf.DUMMYFUNCTION("""COMPUTED_VALUE"""),37500)</f>
        <v>37500</v>
      </c>
      <c r="O477" s="46">
        <f ca="1">IFERROR(__xludf.DUMMYFUNCTION("""COMPUTED_VALUE"""),0)</f>
        <v>0</v>
      </c>
      <c r="P477" s="46">
        <f ca="1">IFERROR(__xludf.DUMMYFUNCTION("""COMPUTED_VALUE"""),0)</f>
        <v>0</v>
      </c>
      <c r="Q477" s="47">
        <f ca="1">IFERROR(__xludf.DUMMYFUNCTION("""COMPUTED_VALUE"""),0)</f>
        <v>0</v>
      </c>
      <c r="R477" s="24">
        <f ca="1">IFERROR(__xludf.DUMMYFUNCTION("""COMPUTED_VALUE"""),0)</f>
        <v>0</v>
      </c>
      <c r="S477" s="23">
        <f ca="1">IFERROR(__xludf.DUMMYFUNCTION("""COMPUTED_VALUE"""),0)</f>
        <v>0</v>
      </c>
      <c r="T477" s="48">
        <f ca="1">IFERROR(__xludf.DUMMYFUNCTION("""COMPUTED_VALUE"""),0)</f>
        <v>0</v>
      </c>
      <c r="U477" s="47">
        <f ca="1">IFERROR(__xludf.DUMMYFUNCTION("""COMPUTED_VALUE"""),0)</f>
        <v>0</v>
      </c>
      <c r="V477" s="47">
        <f ca="1">IFERROR(__xludf.DUMMYFUNCTION("""COMPUTED_VALUE"""),0)</f>
        <v>0</v>
      </c>
      <c r="W477" s="47">
        <f ca="1">IFERROR(__xludf.DUMMYFUNCTION("""COMPUTED_VALUE"""),0)</f>
        <v>0</v>
      </c>
      <c r="X477" s="47">
        <f ca="1">IFERROR(__xludf.DUMMYFUNCTION("""COMPUTED_VALUE"""),0)</f>
        <v>0</v>
      </c>
      <c r="Y477" s="44">
        <f ca="1">IFERROR(__xludf.DUMMYFUNCTION("""COMPUTED_VALUE"""),0)</f>
        <v>0</v>
      </c>
      <c r="Z477" s="44">
        <f ca="1">IFERROR(__xludf.DUMMYFUNCTION("""COMPUTED_VALUE"""),0)</f>
        <v>0</v>
      </c>
      <c r="AA477" s="44">
        <f ca="1">IFERROR(__xludf.DUMMYFUNCTION("""COMPUTED_VALUE"""),0)</f>
        <v>0</v>
      </c>
      <c r="AB477" s="44">
        <f ca="1">IFERROR(__xludf.DUMMYFUNCTION("""COMPUTED_VALUE"""),0)</f>
        <v>0</v>
      </c>
      <c r="AC477" s="47">
        <f ca="1">IFERROR(__xludf.DUMMYFUNCTION("""COMPUTED_VALUE"""),0)</f>
        <v>0</v>
      </c>
      <c r="AD477" s="49"/>
      <c r="AE477" s="27"/>
    </row>
    <row r="478" spans="1:31" ht="14.3">
      <c r="A478" s="42" t="str">
        <f ca="1">IFERROR(__xludf.DUMMYFUNCTION("""COMPUTED_VALUE"""),"22SDSCE01602")</f>
        <v>22SDSCE01602</v>
      </c>
      <c r="B478" s="43" t="str">
        <f ca="1">IFERROR(__xludf.DUMMYFUNCTION("""COMPUTED_VALUE"""),"PRABIND KUMAR MANDAL")</f>
        <v>PRABIND KUMAR MANDAL</v>
      </c>
      <c r="C478" s="42" t="str">
        <f ca="1">IFERROR(__xludf.DUMMYFUNCTION("""COMPUTED_VALUE"""),"SDS")</f>
        <v>SDS</v>
      </c>
      <c r="D478" s="42" t="str">
        <f ca="1">IFERROR(__xludf.DUMMYFUNCTION("""COMPUTED_VALUE"""),"DCE")</f>
        <v>DCE</v>
      </c>
      <c r="E478" s="44">
        <f ca="1">IFERROR(__xludf.DUMMYFUNCTION("""COMPUTED_VALUE"""),4)</f>
        <v>4</v>
      </c>
      <c r="F478" s="42" t="str">
        <f ca="1">IFERROR(__xludf.DUMMYFUNCTION("""COMPUTED_VALUE"""),"INTERNATIONAL")</f>
        <v>INTERNATIONAL</v>
      </c>
      <c r="G478" s="42" t="str">
        <f ca="1">IFERROR(__xludf.DUMMYFUNCTION("""COMPUTED_VALUE"""),"INR FEE STUDENT")</f>
        <v>INR FEE STUDENT</v>
      </c>
      <c r="H478" s="2" t="str">
        <f ca="1">IFERROR(__xludf.DUMMYFUNCTION("""COMPUTED_VALUE"""),"DCE_2022-25")</f>
        <v>DCE_2022-25</v>
      </c>
      <c r="I478" s="45"/>
      <c r="J478" s="46">
        <f ca="1">IFERROR(__xludf.DUMMYFUNCTION("""COMPUTED_VALUE"""),37500)</f>
        <v>37500</v>
      </c>
      <c r="K478" s="46">
        <f ca="1">IFERROR(__xludf.DUMMYFUNCTION("""COMPUTED_VALUE"""),37500)</f>
        <v>37500</v>
      </c>
      <c r="L478" s="46">
        <f ca="1">IFERROR(__xludf.DUMMYFUNCTION("""COMPUTED_VALUE"""),0)</f>
        <v>0</v>
      </c>
      <c r="M478" s="47">
        <f ca="1">IFERROR(__xludf.DUMMYFUNCTION("""COMPUTED_VALUE"""),0)</f>
        <v>0</v>
      </c>
      <c r="N478" s="46">
        <f ca="1">IFERROR(__xludf.DUMMYFUNCTION("""COMPUTED_VALUE"""),0)</f>
        <v>0</v>
      </c>
      <c r="O478" s="46">
        <f ca="1">IFERROR(__xludf.DUMMYFUNCTION("""COMPUTED_VALUE"""),0)</f>
        <v>0</v>
      </c>
      <c r="P478" s="46">
        <f ca="1">IFERROR(__xludf.DUMMYFUNCTION("""COMPUTED_VALUE"""),0)</f>
        <v>0</v>
      </c>
      <c r="Q478" s="47">
        <f ca="1">IFERROR(__xludf.DUMMYFUNCTION("""COMPUTED_VALUE"""),0)</f>
        <v>0</v>
      </c>
      <c r="R478" s="24">
        <f ca="1">IFERROR(__xludf.DUMMYFUNCTION("""COMPUTED_VALUE"""),0)</f>
        <v>0</v>
      </c>
      <c r="S478" s="23">
        <f ca="1">IFERROR(__xludf.DUMMYFUNCTION("""COMPUTED_VALUE"""),0)</f>
        <v>0</v>
      </c>
      <c r="T478" s="48">
        <f ca="1">IFERROR(__xludf.DUMMYFUNCTION("""COMPUTED_VALUE"""),0)</f>
        <v>0</v>
      </c>
      <c r="U478" s="47">
        <f ca="1">IFERROR(__xludf.DUMMYFUNCTION("""COMPUTED_VALUE"""),0)</f>
        <v>0</v>
      </c>
      <c r="V478" s="47">
        <f ca="1">IFERROR(__xludf.DUMMYFUNCTION("""COMPUTED_VALUE"""),0)</f>
        <v>0</v>
      </c>
      <c r="W478" s="47">
        <f ca="1">IFERROR(__xludf.DUMMYFUNCTION("""COMPUTED_VALUE"""),0)</f>
        <v>0</v>
      </c>
      <c r="X478" s="47">
        <f ca="1">IFERROR(__xludf.DUMMYFUNCTION("""COMPUTED_VALUE"""),0)</f>
        <v>0</v>
      </c>
      <c r="Y478" s="44">
        <f ca="1">IFERROR(__xludf.DUMMYFUNCTION("""COMPUTED_VALUE"""),0)</f>
        <v>0</v>
      </c>
      <c r="Z478" s="44">
        <f ca="1">IFERROR(__xludf.DUMMYFUNCTION("""COMPUTED_VALUE"""),0)</f>
        <v>0</v>
      </c>
      <c r="AA478" s="44">
        <f ca="1">IFERROR(__xludf.DUMMYFUNCTION("""COMPUTED_VALUE"""),0)</f>
        <v>0</v>
      </c>
      <c r="AB478" s="44">
        <f ca="1">IFERROR(__xludf.DUMMYFUNCTION("""COMPUTED_VALUE"""),0)</f>
        <v>0</v>
      </c>
      <c r="AC478" s="47">
        <f ca="1">IFERROR(__xludf.DUMMYFUNCTION("""COMPUTED_VALUE"""),0)</f>
        <v>0</v>
      </c>
      <c r="AD478" s="49"/>
      <c r="AE478" s="27"/>
    </row>
    <row r="479" spans="1:31" ht="14.3">
      <c r="A479" s="42" t="str">
        <f ca="1">IFERROR(__xludf.DUMMYFUNCTION("""COMPUTED_VALUE"""),"22SDSCE01603")</f>
        <v>22SDSCE01603</v>
      </c>
      <c r="B479" s="43" t="str">
        <f ca="1">IFERROR(__xludf.DUMMYFUNCTION("""COMPUTED_VALUE"""),"TRIBHUWAN SARDAR")</f>
        <v>TRIBHUWAN SARDAR</v>
      </c>
      <c r="C479" s="42" t="str">
        <f ca="1">IFERROR(__xludf.DUMMYFUNCTION("""COMPUTED_VALUE"""),"SDS")</f>
        <v>SDS</v>
      </c>
      <c r="D479" s="42" t="str">
        <f ca="1">IFERROR(__xludf.DUMMYFUNCTION("""COMPUTED_VALUE"""),"DCE")</f>
        <v>DCE</v>
      </c>
      <c r="E479" s="44">
        <f ca="1">IFERROR(__xludf.DUMMYFUNCTION("""COMPUTED_VALUE"""),4)</f>
        <v>4</v>
      </c>
      <c r="F479" s="42" t="str">
        <f ca="1">IFERROR(__xludf.DUMMYFUNCTION("""COMPUTED_VALUE"""),"INTERNATIONAL")</f>
        <v>INTERNATIONAL</v>
      </c>
      <c r="G479" s="42" t="str">
        <f ca="1">IFERROR(__xludf.DUMMYFUNCTION("""COMPUTED_VALUE"""),"INR FEE STUDENT")</f>
        <v>INR FEE STUDENT</v>
      </c>
      <c r="H479" s="2" t="str">
        <f ca="1">IFERROR(__xludf.DUMMYFUNCTION("""COMPUTED_VALUE"""),"DCE_2022-25")</f>
        <v>DCE_2022-25</v>
      </c>
      <c r="I479" s="45"/>
      <c r="J479" s="46">
        <f ca="1">IFERROR(__xludf.DUMMYFUNCTION("""COMPUTED_VALUE"""),37500)</f>
        <v>37500</v>
      </c>
      <c r="K479" s="46">
        <f ca="1">IFERROR(__xludf.DUMMYFUNCTION("""COMPUTED_VALUE"""),25000)</f>
        <v>25000</v>
      </c>
      <c r="L479" s="46">
        <f ca="1">IFERROR(__xludf.DUMMYFUNCTION("""COMPUTED_VALUE"""),0)</f>
        <v>0</v>
      </c>
      <c r="M479" s="47">
        <f ca="1">IFERROR(__xludf.DUMMYFUNCTION("""COMPUTED_VALUE"""),0)</f>
        <v>0</v>
      </c>
      <c r="N479" s="46">
        <f ca="1">IFERROR(__xludf.DUMMYFUNCTION("""COMPUTED_VALUE"""),12500)</f>
        <v>12500</v>
      </c>
      <c r="O479" s="46">
        <f ca="1">IFERROR(__xludf.DUMMYFUNCTION("""COMPUTED_VALUE"""),0)</f>
        <v>0</v>
      </c>
      <c r="P479" s="46">
        <f ca="1">IFERROR(__xludf.DUMMYFUNCTION("""COMPUTED_VALUE"""),0)</f>
        <v>0</v>
      </c>
      <c r="Q479" s="47">
        <f ca="1">IFERROR(__xludf.DUMMYFUNCTION("""COMPUTED_VALUE"""),0)</f>
        <v>0</v>
      </c>
      <c r="R479" s="24">
        <f ca="1">IFERROR(__xludf.DUMMYFUNCTION("""COMPUTED_VALUE"""),0)</f>
        <v>0</v>
      </c>
      <c r="S479" s="23">
        <f ca="1">IFERROR(__xludf.DUMMYFUNCTION("""COMPUTED_VALUE"""),0)</f>
        <v>0</v>
      </c>
      <c r="T479" s="48">
        <f ca="1">IFERROR(__xludf.DUMMYFUNCTION("""COMPUTED_VALUE"""),0)</f>
        <v>0</v>
      </c>
      <c r="U479" s="47">
        <f ca="1">IFERROR(__xludf.DUMMYFUNCTION("""COMPUTED_VALUE"""),0)</f>
        <v>0</v>
      </c>
      <c r="V479" s="47">
        <f ca="1">IFERROR(__xludf.DUMMYFUNCTION("""COMPUTED_VALUE"""),0)</f>
        <v>0</v>
      </c>
      <c r="W479" s="47">
        <f ca="1">IFERROR(__xludf.DUMMYFUNCTION("""COMPUTED_VALUE"""),0)</f>
        <v>0</v>
      </c>
      <c r="X479" s="47">
        <f ca="1">IFERROR(__xludf.DUMMYFUNCTION("""COMPUTED_VALUE"""),0)</f>
        <v>0</v>
      </c>
      <c r="Y479" s="44">
        <f ca="1">IFERROR(__xludf.DUMMYFUNCTION("""COMPUTED_VALUE"""),0)</f>
        <v>0</v>
      </c>
      <c r="Z479" s="44">
        <f ca="1">IFERROR(__xludf.DUMMYFUNCTION("""COMPUTED_VALUE"""),0)</f>
        <v>0</v>
      </c>
      <c r="AA479" s="44">
        <f ca="1">IFERROR(__xludf.DUMMYFUNCTION("""COMPUTED_VALUE"""),0)</f>
        <v>0</v>
      </c>
      <c r="AB479" s="44">
        <f ca="1">IFERROR(__xludf.DUMMYFUNCTION("""COMPUTED_VALUE"""),0)</f>
        <v>0</v>
      </c>
      <c r="AC479" s="47">
        <f ca="1">IFERROR(__xludf.DUMMYFUNCTION("""COMPUTED_VALUE"""),0)</f>
        <v>0</v>
      </c>
      <c r="AD479" s="49"/>
      <c r="AE479" s="27"/>
    </row>
    <row r="480" spans="1:31" ht="14.3">
      <c r="A480" s="42" t="str">
        <f ca="1">IFERROR(__xludf.DUMMYFUNCTION("""COMPUTED_VALUE"""),"22SDSCE01605")</f>
        <v>22SDSCE01605</v>
      </c>
      <c r="B480" s="43" t="str">
        <f ca="1">IFERROR(__xludf.DUMMYFUNCTION("""COMPUTED_VALUE"""),"ANISH ADHIKARI")</f>
        <v>ANISH ADHIKARI</v>
      </c>
      <c r="C480" s="42" t="str">
        <f ca="1">IFERROR(__xludf.DUMMYFUNCTION("""COMPUTED_VALUE"""),"SDS")</f>
        <v>SDS</v>
      </c>
      <c r="D480" s="42" t="str">
        <f ca="1">IFERROR(__xludf.DUMMYFUNCTION("""COMPUTED_VALUE"""),"DCE")</f>
        <v>DCE</v>
      </c>
      <c r="E480" s="44">
        <f ca="1">IFERROR(__xludf.DUMMYFUNCTION("""COMPUTED_VALUE"""),4)</f>
        <v>4</v>
      </c>
      <c r="F480" s="42" t="str">
        <f ca="1">IFERROR(__xludf.DUMMYFUNCTION("""COMPUTED_VALUE"""),"INTERNATIONAL")</f>
        <v>INTERNATIONAL</v>
      </c>
      <c r="G480" s="42" t="str">
        <f ca="1">IFERROR(__xludf.DUMMYFUNCTION("""COMPUTED_VALUE"""),"INR FEE STUDENT")</f>
        <v>INR FEE STUDENT</v>
      </c>
      <c r="H480" s="2" t="str">
        <f ca="1">IFERROR(__xludf.DUMMYFUNCTION("""COMPUTED_VALUE"""),"DCE_2022-25")</f>
        <v>DCE_2022-25</v>
      </c>
      <c r="I480" s="45"/>
      <c r="J480" s="46">
        <f ca="1">IFERROR(__xludf.DUMMYFUNCTION("""COMPUTED_VALUE"""),37500)</f>
        <v>37500</v>
      </c>
      <c r="K480" s="46">
        <f ca="1">IFERROR(__xludf.DUMMYFUNCTION("""COMPUTED_VALUE"""),37500)</f>
        <v>37500</v>
      </c>
      <c r="L480" s="46">
        <f ca="1">IFERROR(__xludf.DUMMYFUNCTION("""COMPUTED_VALUE"""),0)</f>
        <v>0</v>
      </c>
      <c r="M480" s="47">
        <f ca="1">IFERROR(__xludf.DUMMYFUNCTION("""COMPUTED_VALUE"""),0)</f>
        <v>0</v>
      </c>
      <c r="N480" s="46">
        <f ca="1">IFERROR(__xludf.DUMMYFUNCTION("""COMPUTED_VALUE"""),0)</f>
        <v>0</v>
      </c>
      <c r="O480" s="46">
        <f ca="1">IFERROR(__xludf.DUMMYFUNCTION("""COMPUTED_VALUE"""),0)</f>
        <v>0</v>
      </c>
      <c r="P480" s="46">
        <f ca="1">IFERROR(__xludf.DUMMYFUNCTION("""COMPUTED_VALUE"""),0)</f>
        <v>0</v>
      </c>
      <c r="Q480" s="47">
        <f ca="1">IFERROR(__xludf.DUMMYFUNCTION("""COMPUTED_VALUE"""),0)</f>
        <v>0</v>
      </c>
      <c r="R480" s="24">
        <f ca="1">IFERROR(__xludf.DUMMYFUNCTION("""COMPUTED_VALUE"""),0)</f>
        <v>0</v>
      </c>
      <c r="S480" s="23">
        <f ca="1">IFERROR(__xludf.DUMMYFUNCTION("""COMPUTED_VALUE"""),0)</f>
        <v>0</v>
      </c>
      <c r="T480" s="48">
        <f ca="1">IFERROR(__xludf.DUMMYFUNCTION("""COMPUTED_VALUE"""),0)</f>
        <v>0</v>
      </c>
      <c r="U480" s="47">
        <f ca="1">IFERROR(__xludf.DUMMYFUNCTION("""COMPUTED_VALUE"""),0)</f>
        <v>0</v>
      </c>
      <c r="V480" s="47">
        <f ca="1">IFERROR(__xludf.DUMMYFUNCTION("""COMPUTED_VALUE"""),0)</f>
        <v>0</v>
      </c>
      <c r="W480" s="47">
        <f ca="1">IFERROR(__xludf.DUMMYFUNCTION("""COMPUTED_VALUE"""),0)</f>
        <v>0</v>
      </c>
      <c r="X480" s="47">
        <f ca="1">IFERROR(__xludf.DUMMYFUNCTION("""COMPUTED_VALUE"""),0)</f>
        <v>0</v>
      </c>
      <c r="Y480" s="44">
        <f ca="1">IFERROR(__xludf.DUMMYFUNCTION("""COMPUTED_VALUE"""),0)</f>
        <v>0</v>
      </c>
      <c r="Z480" s="44">
        <f ca="1">IFERROR(__xludf.DUMMYFUNCTION("""COMPUTED_VALUE"""),0)</f>
        <v>0</v>
      </c>
      <c r="AA480" s="44">
        <f ca="1">IFERROR(__xludf.DUMMYFUNCTION("""COMPUTED_VALUE"""),0)</f>
        <v>0</v>
      </c>
      <c r="AB480" s="44">
        <f ca="1">IFERROR(__xludf.DUMMYFUNCTION("""COMPUTED_VALUE"""),0)</f>
        <v>0</v>
      </c>
      <c r="AC480" s="47">
        <f ca="1">IFERROR(__xludf.DUMMYFUNCTION("""COMPUTED_VALUE"""),0)</f>
        <v>0</v>
      </c>
      <c r="AD480" s="49"/>
      <c r="AE480" s="27"/>
    </row>
    <row r="481" spans="1:31" ht="14.3">
      <c r="A481" s="42" t="str">
        <f ca="1">IFERROR(__xludf.DUMMYFUNCTION("""COMPUTED_VALUE"""),"22SDSCE01606")</f>
        <v>22SDSCE01606</v>
      </c>
      <c r="B481" s="43" t="str">
        <f ca="1">IFERROR(__xludf.DUMMYFUNCTION("""COMPUTED_VALUE"""),"ARMAN ANSARI")</f>
        <v>ARMAN ANSARI</v>
      </c>
      <c r="C481" s="42" t="str">
        <f ca="1">IFERROR(__xludf.DUMMYFUNCTION("""COMPUTED_VALUE"""),"SDS")</f>
        <v>SDS</v>
      </c>
      <c r="D481" s="42" t="str">
        <f ca="1">IFERROR(__xludf.DUMMYFUNCTION("""COMPUTED_VALUE"""),"DCE")</f>
        <v>DCE</v>
      </c>
      <c r="E481" s="44">
        <f ca="1">IFERROR(__xludf.DUMMYFUNCTION("""COMPUTED_VALUE"""),4)</f>
        <v>4</v>
      </c>
      <c r="F481" s="42" t="str">
        <f ca="1">IFERROR(__xludf.DUMMYFUNCTION("""COMPUTED_VALUE"""),"INTERNATIONAL")</f>
        <v>INTERNATIONAL</v>
      </c>
      <c r="G481" s="42" t="str">
        <f ca="1">IFERROR(__xludf.DUMMYFUNCTION("""COMPUTED_VALUE"""),"INR FEE STUDENT")</f>
        <v>INR FEE STUDENT</v>
      </c>
      <c r="H481" s="2" t="str">
        <f ca="1">IFERROR(__xludf.DUMMYFUNCTION("""COMPUTED_VALUE"""),"DCE_2022-25")</f>
        <v>DCE_2022-25</v>
      </c>
      <c r="I481" s="45"/>
      <c r="J481" s="46">
        <f ca="1">IFERROR(__xludf.DUMMYFUNCTION("""COMPUTED_VALUE"""),37500)</f>
        <v>37500</v>
      </c>
      <c r="K481" s="46">
        <f ca="1">IFERROR(__xludf.DUMMYFUNCTION("""COMPUTED_VALUE"""),37500)</f>
        <v>37500</v>
      </c>
      <c r="L481" s="46">
        <f ca="1">IFERROR(__xludf.DUMMYFUNCTION("""COMPUTED_VALUE"""),0)</f>
        <v>0</v>
      </c>
      <c r="M481" s="47">
        <f ca="1">IFERROR(__xludf.DUMMYFUNCTION("""COMPUTED_VALUE"""),0)</f>
        <v>0</v>
      </c>
      <c r="N481" s="46">
        <f ca="1">IFERROR(__xludf.DUMMYFUNCTION("""COMPUTED_VALUE"""),0)</f>
        <v>0</v>
      </c>
      <c r="O481" s="46">
        <f ca="1">IFERROR(__xludf.DUMMYFUNCTION("""COMPUTED_VALUE"""),0)</f>
        <v>0</v>
      </c>
      <c r="P481" s="46">
        <f ca="1">IFERROR(__xludf.DUMMYFUNCTION("""COMPUTED_VALUE"""),0)</f>
        <v>0</v>
      </c>
      <c r="Q481" s="47">
        <f ca="1">IFERROR(__xludf.DUMMYFUNCTION("""COMPUTED_VALUE"""),0)</f>
        <v>0</v>
      </c>
      <c r="R481" s="24">
        <f ca="1">IFERROR(__xludf.DUMMYFUNCTION("""COMPUTED_VALUE"""),0)</f>
        <v>0</v>
      </c>
      <c r="S481" s="23">
        <f ca="1">IFERROR(__xludf.DUMMYFUNCTION("""COMPUTED_VALUE"""),0)</f>
        <v>0</v>
      </c>
      <c r="T481" s="48">
        <f ca="1">IFERROR(__xludf.DUMMYFUNCTION("""COMPUTED_VALUE"""),0)</f>
        <v>0</v>
      </c>
      <c r="U481" s="47">
        <f ca="1">IFERROR(__xludf.DUMMYFUNCTION("""COMPUTED_VALUE"""),0)</f>
        <v>0</v>
      </c>
      <c r="V481" s="47">
        <f ca="1">IFERROR(__xludf.DUMMYFUNCTION("""COMPUTED_VALUE"""),0)</f>
        <v>0</v>
      </c>
      <c r="W481" s="47">
        <f ca="1">IFERROR(__xludf.DUMMYFUNCTION("""COMPUTED_VALUE"""),0)</f>
        <v>0</v>
      </c>
      <c r="X481" s="47">
        <f ca="1">IFERROR(__xludf.DUMMYFUNCTION("""COMPUTED_VALUE"""),0)</f>
        <v>0</v>
      </c>
      <c r="Y481" s="44">
        <f ca="1">IFERROR(__xludf.DUMMYFUNCTION("""COMPUTED_VALUE"""),0)</f>
        <v>0</v>
      </c>
      <c r="Z481" s="44">
        <f ca="1">IFERROR(__xludf.DUMMYFUNCTION("""COMPUTED_VALUE"""),0)</f>
        <v>0</v>
      </c>
      <c r="AA481" s="44">
        <f ca="1">IFERROR(__xludf.DUMMYFUNCTION("""COMPUTED_VALUE"""),0)</f>
        <v>0</v>
      </c>
      <c r="AB481" s="44">
        <f ca="1">IFERROR(__xludf.DUMMYFUNCTION("""COMPUTED_VALUE"""),0)</f>
        <v>0</v>
      </c>
      <c r="AC481" s="47">
        <f ca="1">IFERROR(__xludf.DUMMYFUNCTION("""COMPUTED_VALUE"""),0)</f>
        <v>0</v>
      </c>
      <c r="AD481" s="49"/>
      <c r="AE481" s="27"/>
    </row>
    <row r="482" spans="1:31" ht="14.3">
      <c r="A482" s="42" t="str">
        <f ca="1">IFERROR(__xludf.DUMMYFUNCTION("""COMPUTED_VALUE"""),"22SDSCE01607")</f>
        <v>22SDSCE01607</v>
      </c>
      <c r="B482" s="43" t="str">
        <f ca="1">IFERROR(__xludf.DUMMYFUNCTION("""COMPUTED_VALUE"""),"MAHBOOB ALAM DHUNIYA")</f>
        <v>MAHBOOB ALAM DHUNIYA</v>
      </c>
      <c r="C482" s="42" t="str">
        <f ca="1">IFERROR(__xludf.DUMMYFUNCTION("""COMPUTED_VALUE"""),"SDS")</f>
        <v>SDS</v>
      </c>
      <c r="D482" s="42" t="str">
        <f ca="1">IFERROR(__xludf.DUMMYFUNCTION("""COMPUTED_VALUE"""),"DCE")</f>
        <v>DCE</v>
      </c>
      <c r="E482" s="44">
        <f ca="1">IFERROR(__xludf.DUMMYFUNCTION("""COMPUTED_VALUE"""),4)</f>
        <v>4</v>
      </c>
      <c r="F482" s="42" t="str">
        <f ca="1">IFERROR(__xludf.DUMMYFUNCTION("""COMPUTED_VALUE"""),"INTERNATIONAL")</f>
        <v>INTERNATIONAL</v>
      </c>
      <c r="G482" s="42" t="str">
        <f ca="1">IFERROR(__xludf.DUMMYFUNCTION("""COMPUTED_VALUE"""),"INR FEE STUDENT")</f>
        <v>INR FEE STUDENT</v>
      </c>
      <c r="H482" s="2" t="str">
        <f ca="1">IFERROR(__xludf.DUMMYFUNCTION("""COMPUTED_VALUE"""),"DCE_2022-25")</f>
        <v>DCE_2022-25</v>
      </c>
      <c r="I482" s="45"/>
      <c r="J482" s="46">
        <f ca="1">IFERROR(__xludf.DUMMYFUNCTION("""COMPUTED_VALUE"""),37500)</f>
        <v>37500</v>
      </c>
      <c r="K482" s="46">
        <f ca="1">IFERROR(__xludf.DUMMYFUNCTION("""COMPUTED_VALUE"""),0)</f>
        <v>0</v>
      </c>
      <c r="L482" s="46">
        <f ca="1">IFERROR(__xludf.DUMMYFUNCTION("""COMPUTED_VALUE"""),0)</f>
        <v>0</v>
      </c>
      <c r="M482" s="47">
        <f ca="1">IFERROR(__xludf.DUMMYFUNCTION("""COMPUTED_VALUE"""),0)</f>
        <v>0</v>
      </c>
      <c r="N482" s="46">
        <f ca="1">IFERROR(__xludf.DUMMYFUNCTION("""COMPUTED_VALUE"""),37500)</f>
        <v>37500</v>
      </c>
      <c r="O482" s="46">
        <f ca="1">IFERROR(__xludf.DUMMYFUNCTION("""COMPUTED_VALUE"""),0)</f>
        <v>0</v>
      </c>
      <c r="P482" s="46">
        <f ca="1">IFERROR(__xludf.DUMMYFUNCTION("""COMPUTED_VALUE"""),0)</f>
        <v>0</v>
      </c>
      <c r="Q482" s="47">
        <f ca="1">IFERROR(__xludf.DUMMYFUNCTION("""COMPUTED_VALUE"""),0)</f>
        <v>0</v>
      </c>
      <c r="R482" s="24">
        <f ca="1">IFERROR(__xludf.DUMMYFUNCTION("""COMPUTED_VALUE"""),0)</f>
        <v>0</v>
      </c>
      <c r="S482" s="23">
        <f ca="1">IFERROR(__xludf.DUMMYFUNCTION("""COMPUTED_VALUE"""),0)</f>
        <v>0</v>
      </c>
      <c r="T482" s="48">
        <f ca="1">IFERROR(__xludf.DUMMYFUNCTION("""COMPUTED_VALUE"""),0)</f>
        <v>0</v>
      </c>
      <c r="U482" s="47">
        <f ca="1">IFERROR(__xludf.DUMMYFUNCTION("""COMPUTED_VALUE"""),0)</f>
        <v>0</v>
      </c>
      <c r="V482" s="47">
        <f ca="1">IFERROR(__xludf.DUMMYFUNCTION("""COMPUTED_VALUE"""),0)</f>
        <v>0</v>
      </c>
      <c r="W482" s="47">
        <f ca="1">IFERROR(__xludf.DUMMYFUNCTION("""COMPUTED_VALUE"""),0)</f>
        <v>0</v>
      </c>
      <c r="X482" s="47">
        <f ca="1">IFERROR(__xludf.DUMMYFUNCTION("""COMPUTED_VALUE"""),0)</f>
        <v>0</v>
      </c>
      <c r="Y482" s="44">
        <f ca="1">IFERROR(__xludf.DUMMYFUNCTION("""COMPUTED_VALUE"""),0)</f>
        <v>0</v>
      </c>
      <c r="Z482" s="44">
        <f ca="1">IFERROR(__xludf.DUMMYFUNCTION("""COMPUTED_VALUE"""),0)</f>
        <v>0</v>
      </c>
      <c r="AA482" s="44">
        <f ca="1">IFERROR(__xludf.DUMMYFUNCTION("""COMPUTED_VALUE"""),0)</f>
        <v>0</v>
      </c>
      <c r="AB482" s="44">
        <f ca="1">IFERROR(__xludf.DUMMYFUNCTION("""COMPUTED_VALUE"""),0)</f>
        <v>0</v>
      </c>
      <c r="AC482" s="47">
        <f ca="1">IFERROR(__xludf.DUMMYFUNCTION("""COMPUTED_VALUE"""),0)</f>
        <v>0</v>
      </c>
      <c r="AD482" s="49"/>
      <c r="AE482" s="27"/>
    </row>
    <row r="483" spans="1:31" ht="14.3">
      <c r="A483" s="42" t="str">
        <f ca="1">IFERROR(__xludf.DUMMYFUNCTION("""COMPUTED_VALUE"""),"22SDSCE01609")</f>
        <v>22SDSCE01609</v>
      </c>
      <c r="B483" s="43" t="str">
        <f ca="1">IFERROR(__xludf.DUMMYFUNCTION("""COMPUTED_VALUE"""),"SURENDRA KUMAR MAHATO")</f>
        <v>SURENDRA KUMAR MAHATO</v>
      </c>
      <c r="C483" s="42" t="str">
        <f ca="1">IFERROR(__xludf.DUMMYFUNCTION("""COMPUTED_VALUE"""),"SDS")</f>
        <v>SDS</v>
      </c>
      <c r="D483" s="42" t="str">
        <f ca="1">IFERROR(__xludf.DUMMYFUNCTION("""COMPUTED_VALUE"""),"DCE")</f>
        <v>DCE</v>
      </c>
      <c r="E483" s="44">
        <f ca="1">IFERROR(__xludf.DUMMYFUNCTION("""COMPUTED_VALUE"""),4)</f>
        <v>4</v>
      </c>
      <c r="F483" s="42" t="str">
        <f ca="1">IFERROR(__xludf.DUMMYFUNCTION("""COMPUTED_VALUE"""),"INTERNATIONAL")</f>
        <v>INTERNATIONAL</v>
      </c>
      <c r="G483" s="42" t="str">
        <f ca="1">IFERROR(__xludf.DUMMYFUNCTION("""COMPUTED_VALUE"""),"INR FEE STUDENT")</f>
        <v>INR FEE STUDENT</v>
      </c>
      <c r="H483" s="2" t="str">
        <f ca="1">IFERROR(__xludf.DUMMYFUNCTION("""COMPUTED_VALUE"""),"DCE_2022-25")</f>
        <v>DCE_2022-25</v>
      </c>
      <c r="I483" s="45"/>
      <c r="J483" s="46">
        <f ca="1">IFERROR(__xludf.DUMMYFUNCTION("""COMPUTED_VALUE"""),37500)</f>
        <v>37500</v>
      </c>
      <c r="K483" s="46">
        <f ca="1">IFERROR(__xludf.DUMMYFUNCTION("""COMPUTED_VALUE"""),37500)</f>
        <v>37500</v>
      </c>
      <c r="L483" s="46">
        <f ca="1">IFERROR(__xludf.DUMMYFUNCTION("""COMPUTED_VALUE"""),0)</f>
        <v>0</v>
      </c>
      <c r="M483" s="47">
        <f ca="1">IFERROR(__xludf.DUMMYFUNCTION("""COMPUTED_VALUE"""),0)</f>
        <v>0</v>
      </c>
      <c r="N483" s="46">
        <f ca="1">IFERROR(__xludf.DUMMYFUNCTION("""COMPUTED_VALUE"""),0)</f>
        <v>0</v>
      </c>
      <c r="O483" s="46">
        <f ca="1">IFERROR(__xludf.DUMMYFUNCTION("""COMPUTED_VALUE"""),0)</f>
        <v>0</v>
      </c>
      <c r="P483" s="46">
        <f ca="1">IFERROR(__xludf.DUMMYFUNCTION("""COMPUTED_VALUE"""),0)</f>
        <v>0</v>
      </c>
      <c r="Q483" s="47">
        <f ca="1">IFERROR(__xludf.DUMMYFUNCTION("""COMPUTED_VALUE"""),0)</f>
        <v>0</v>
      </c>
      <c r="R483" s="24">
        <f ca="1">IFERROR(__xludf.DUMMYFUNCTION("""COMPUTED_VALUE"""),0)</f>
        <v>0</v>
      </c>
      <c r="S483" s="23">
        <f ca="1">IFERROR(__xludf.DUMMYFUNCTION("""COMPUTED_VALUE"""),0)</f>
        <v>0</v>
      </c>
      <c r="T483" s="48">
        <f ca="1">IFERROR(__xludf.DUMMYFUNCTION("""COMPUTED_VALUE"""),0)</f>
        <v>0</v>
      </c>
      <c r="U483" s="47">
        <f ca="1">IFERROR(__xludf.DUMMYFUNCTION("""COMPUTED_VALUE"""),0)</f>
        <v>0</v>
      </c>
      <c r="V483" s="47">
        <f ca="1">IFERROR(__xludf.DUMMYFUNCTION("""COMPUTED_VALUE"""),0)</f>
        <v>0</v>
      </c>
      <c r="W483" s="47">
        <f ca="1">IFERROR(__xludf.DUMMYFUNCTION("""COMPUTED_VALUE"""),0)</f>
        <v>0</v>
      </c>
      <c r="X483" s="47">
        <f ca="1">IFERROR(__xludf.DUMMYFUNCTION("""COMPUTED_VALUE"""),0)</f>
        <v>0</v>
      </c>
      <c r="Y483" s="44">
        <f ca="1">IFERROR(__xludf.DUMMYFUNCTION("""COMPUTED_VALUE"""),0)</f>
        <v>0</v>
      </c>
      <c r="Z483" s="44">
        <f ca="1">IFERROR(__xludf.DUMMYFUNCTION("""COMPUTED_VALUE"""),0)</f>
        <v>0</v>
      </c>
      <c r="AA483" s="44">
        <f ca="1">IFERROR(__xludf.DUMMYFUNCTION("""COMPUTED_VALUE"""),0)</f>
        <v>0</v>
      </c>
      <c r="AB483" s="44">
        <f ca="1">IFERROR(__xludf.DUMMYFUNCTION("""COMPUTED_VALUE"""),0)</f>
        <v>0</v>
      </c>
      <c r="AC483" s="47">
        <f ca="1">IFERROR(__xludf.DUMMYFUNCTION("""COMPUTED_VALUE"""),0)</f>
        <v>0</v>
      </c>
      <c r="AD483" s="49"/>
      <c r="AE483" s="27"/>
    </row>
    <row r="484" spans="1:31" ht="14.3">
      <c r="A484" s="42" t="str">
        <f ca="1">IFERROR(__xludf.DUMMYFUNCTION("""COMPUTED_VALUE"""),"22SDSCE01610")</f>
        <v>22SDSCE01610</v>
      </c>
      <c r="B484" s="43" t="str">
        <f ca="1">IFERROR(__xludf.DUMMYFUNCTION("""COMPUTED_VALUE"""),"BIJAY KUMAR MURAW")</f>
        <v>BIJAY KUMAR MURAW</v>
      </c>
      <c r="C484" s="42" t="str">
        <f ca="1">IFERROR(__xludf.DUMMYFUNCTION("""COMPUTED_VALUE"""),"SDS")</f>
        <v>SDS</v>
      </c>
      <c r="D484" s="42" t="str">
        <f ca="1">IFERROR(__xludf.DUMMYFUNCTION("""COMPUTED_VALUE"""),"DCE")</f>
        <v>DCE</v>
      </c>
      <c r="E484" s="44">
        <f ca="1">IFERROR(__xludf.DUMMYFUNCTION("""COMPUTED_VALUE"""),4)</f>
        <v>4</v>
      </c>
      <c r="F484" s="42" t="str">
        <f ca="1">IFERROR(__xludf.DUMMYFUNCTION("""COMPUTED_VALUE"""),"INTERNATIONAL")</f>
        <v>INTERNATIONAL</v>
      </c>
      <c r="G484" s="42" t="str">
        <f ca="1">IFERROR(__xludf.DUMMYFUNCTION("""COMPUTED_VALUE"""),"INR FEE STUDENT")</f>
        <v>INR FEE STUDENT</v>
      </c>
      <c r="H484" s="2" t="str">
        <f ca="1">IFERROR(__xludf.DUMMYFUNCTION("""COMPUTED_VALUE"""),"DCE_2022-25")</f>
        <v>DCE_2022-25</v>
      </c>
      <c r="I484" s="45"/>
      <c r="J484" s="46">
        <f ca="1">IFERROR(__xludf.DUMMYFUNCTION("""COMPUTED_VALUE"""),37500)</f>
        <v>37500</v>
      </c>
      <c r="K484" s="46">
        <f ca="1">IFERROR(__xludf.DUMMYFUNCTION("""COMPUTED_VALUE"""),37500)</f>
        <v>37500</v>
      </c>
      <c r="L484" s="46">
        <f ca="1">IFERROR(__xludf.DUMMYFUNCTION("""COMPUTED_VALUE"""),0)</f>
        <v>0</v>
      </c>
      <c r="M484" s="47">
        <f ca="1">IFERROR(__xludf.DUMMYFUNCTION("""COMPUTED_VALUE"""),0)</f>
        <v>0</v>
      </c>
      <c r="N484" s="46">
        <f ca="1">IFERROR(__xludf.DUMMYFUNCTION("""COMPUTED_VALUE"""),0)</f>
        <v>0</v>
      </c>
      <c r="O484" s="46">
        <f ca="1">IFERROR(__xludf.DUMMYFUNCTION("""COMPUTED_VALUE"""),0)</f>
        <v>0</v>
      </c>
      <c r="P484" s="46">
        <f ca="1">IFERROR(__xludf.DUMMYFUNCTION("""COMPUTED_VALUE"""),0)</f>
        <v>0</v>
      </c>
      <c r="Q484" s="47">
        <f ca="1">IFERROR(__xludf.DUMMYFUNCTION("""COMPUTED_VALUE"""),0)</f>
        <v>0</v>
      </c>
      <c r="R484" s="24">
        <f ca="1">IFERROR(__xludf.DUMMYFUNCTION("""COMPUTED_VALUE"""),0)</f>
        <v>0</v>
      </c>
      <c r="S484" s="23">
        <f ca="1">IFERROR(__xludf.DUMMYFUNCTION("""COMPUTED_VALUE"""),0)</f>
        <v>0</v>
      </c>
      <c r="T484" s="48">
        <f ca="1">IFERROR(__xludf.DUMMYFUNCTION("""COMPUTED_VALUE"""),0)</f>
        <v>0</v>
      </c>
      <c r="U484" s="47">
        <f ca="1">IFERROR(__xludf.DUMMYFUNCTION("""COMPUTED_VALUE"""),0)</f>
        <v>0</v>
      </c>
      <c r="V484" s="47">
        <f ca="1">IFERROR(__xludf.DUMMYFUNCTION("""COMPUTED_VALUE"""),0)</f>
        <v>0</v>
      </c>
      <c r="W484" s="47">
        <f ca="1">IFERROR(__xludf.DUMMYFUNCTION("""COMPUTED_VALUE"""),0)</f>
        <v>0</v>
      </c>
      <c r="X484" s="47">
        <f ca="1">IFERROR(__xludf.DUMMYFUNCTION("""COMPUTED_VALUE"""),0)</f>
        <v>0</v>
      </c>
      <c r="Y484" s="44">
        <f ca="1">IFERROR(__xludf.DUMMYFUNCTION("""COMPUTED_VALUE"""),0)</f>
        <v>0</v>
      </c>
      <c r="Z484" s="44">
        <f ca="1">IFERROR(__xludf.DUMMYFUNCTION("""COMPUTED_VALUE"""),0)</f>
        <v>0</v>
      </c>
      <c r="AA484" s="44">
        <f ca="1">IFERROR(__xludf.DUMMYFUNCTION("""COMPUTED_VALUE"""),0)</f>
        <v>0</v>
      </c>
      <c r="AB484" s="44">
        <f ca="1">IFERROR(__xludf.DUMMYFUNCTION("""COMPUTED_VALUE"""),0)</f>
        <v>0</v>
      </c>
      <c r="AC484" s="47">
        <f ca="1">IFERROR(__xludf.DUMMYFUNCTION("""COMPUTED_VALUE"""),0)</f>
        <v>0</v>
      </c>
      <c r="AD484" s="49"/>
      <c r="AE484" s="27"/>
    </row>
    <row r="485" spans="1:31" ht="14.3">
      <c r="A485" s="42" t="str">
        <f ca="1">IFERROR(__xludf.DUMMYFUNCTION("""COMPUTED_VALUE"""),"22SDSCE01611")</f>
        <v>22SDSCE01611</v>
      </c>
      <c r="B485" s="43" t="str">
        <f ca="1">IFERROR(__xludf.DUMMYFUNCTION("""COMPUTED_VALUE"""),"BRIJMOHAN KALWAR")</f>
        <v>BRIJMOHAN KALWAR</v>
      </c>
      <c r="C485" s="42" t="str">
        <f ca="1">IFERROR(__xludf.DUMMYFUNCTION("""COMPUTED_VALUE"""),"SDS")</f>
        <v>SDS</v>
      </c>
      <c r="D485" s="42" t="str">
        <f ca="1">IFERROR(__xludf.DUMMYFUNCTION("""COMPUTED_VALUE"""),"DCE")</f>
        <v>DCE</v>
      </c>
      <c r="E485" s="44">
        <f ca="1">IFERROR(__xludf.DUMMYFUNCTION("""COMPUTED_VALUE"""),4)</f>
        <v>4</v>
      </c>
      <c r="F485" s="42" t="str">
        <f ca="1">IFERROR(__xludf.DUMMYFUNCTION("""COMPUTED_VALUE"""),"INTERNATIONAL")</f>
        <v>INTERNATIONAL</v>
      </c>
      <c r="G485" s="42" t="str">
        <f ca="1">IFERROR(__xludf.DUMMYFUNCTION("""COMPUTED_VALUE"""),"INR FEE STUDENT")</f>
        <v>INR FEE STUDENT</v>
      </c>
      <c r="H485" s="2" t="str">
        <f ca="1">IFERROR(__xludf.DUMMYFUNCTION("""COMPUTED_VALUE"""),"DCE_2022-25")</f>
        <v>DCE_2022-25</v>
      </c>
      <c r="I485" s="45"/>
      <c r="J485" s="46">
        <f ca="1">IFERROR(__xludf.DUMMYFUNCTION("""COMPUTED_VALUE"""),37500)</f>
        <v>37500</v>
      </c>
      <c r="K485" s="46">
        <f ca="1">IFERROR(__xludf.DUMMYFUNCTION("""COMPUTED_VALUE"""),37500)</f>
        <v>37500</v>
      </c>
      <c r="L485" s="46">
        <f ca="1">IFERROR(__xludf.DUMMYFUNCTION("""COMPUTED_VALUE"""),0)</f>
        <v>0</v>
      </c>
      <c r="M485" s="47">
        <f ca="1">IFERROR(__xludf.DUMMYFUNCTION("""COMPUTED_VALUE"""),0)</f>
        <v>0</v>
      </c>
      <c r="N485" s="46">
        <f ca="1">IFERROR(__xludf.DUMMYFUNCTION("""COMPUTED_VALUE"""),0)</f>
        <v>0</v>
      </c>
      <c r="O485" s="46">
        <f ca="1">IFERROR(__xludf.DUMMYFUNCTION("""COMPUTED_VALUE"""),0)</f>
        <v>0</v>
      </c>
      <c r="P485" s="46">
        <f ca="1">IFERROR(__xludf.DUMMYFUNCTION("""COMPUTED_VALUE"""),0)</f>
        <v>0</v>
      </c>
      <c r="Q485" s="47">
        <f ca="1">IFERROR(__xludf.DUMMYFUNCTION("""COMPUTED_VALUE"""),0)</f>
        <v>0</v>
      </c>
      <c r="R485" s="24">
        <f ca="1">IFERROR(__xludf.DUMMYFUNCTION("""COMPUTED_VALUE"""),0)</f>
        <v>0</v>
      </c>
      <c r="S485" s="23">
        <f ca="1">IFERROR(__xludf.DUMMYFUNCTION("""COMPUTED_VALUE"""),0)</f>
        <v>0</v>
      </c>
      <c r="T485" s="48">
        <f ca="1">IFERROR(__xludf.DUMMYFUNCTION("""COMPUTED_VALUE"""),0)</f>
        <v>0</v>
      </c>
      <c r="U485" s="47">
        <f ca="1">IFERROR(__xludf.DUMMYFUNCTION("""COMPUTED_VALUE"""),0)</f>
        <v>0</v>
      </c>
      <c r="V485" s="47">
        <f ca="1">IFERROR(__xludf.DUMMYFUNCTION("""COMPUTED_VALUE"""),0)</f>
        <v>0</v>
      </c>
      <c r="W485" s="47">
        <f ca="1">IFERROR(__xludf.DUMMYFUNCTION("""COMPUTED_VALUE"""),0)</f>
        <v>0</v>
      </c>
      <c r="X485" s="47">
        <f ca="1">IFERROR(__xludf.DUMMYFUNCTION("""COMPUTED_VALUE"""),0)</f>
        <v>0</v>
      </c>
      <c r="Y485" s="44">
        <f ca="1">IFERROR(__xludf.DUMMYFUNCTION("""COMPUTED_VALUE"""),0)</f>
        <v>0</v>
      </c>
      <c r="Z485" s="44">
        <f ca="1">IFERROR(__xludf.DUMMYFUNCTION("""COMPUTED_VALUE"""),0)</f>
        <v>0</v>
      </c>
      <c r="AA485" s="44">
        <f ca="1">IFERROR(__xludf.DUMMYFUNCTION("""COMPUTED_VALUE"""),0)</f>
        <v>0</v>
      </c>
      <c r="AB485" s="44">
        <f ca="1">IFERROR(__xludf.DUMMYFUNCTION("""COMPUTED_VALUE"""),0)</f>
        <v>0</v>
      </c>
      <c r="AC485" s="47">
        <f ca="1">IFERROR(__xludf.DUMMYFUNCTION("""COMPUTED_VALUE"""),0)</f>
        <v>0</v>
      </c>
      <c r="AD485" s="49"/>
      <c r="AE485" s="27"/>
    </row>
    <row r="486" spans="1:31" ht="14.3">
      <c r="A486" s="42" t="str">
        <f ca="1">IFERROR(__xludf.DUMMYFUNCTION("""COMPUTED_VALUE"""),"22SDSCE01612")</f>
        <v>22SDSCE01612</v>
      </c>
      <c r="B486" s="43" t="str">
        <f ca="1">IFERROR(__xludf.DUMMYFUNCTION("""COMPUTED_VALUE"""),"AAJAM HUSEN MUSALMAN")</f>
        <v>AAJAM HUSEN MUSALMAN</v>
      </c>
      <c r="C486" s="42" t="str">
        <f ca="1">IFERROR(__xludf.DUMMYFUNCTION("""COMPUTED_VALUE"""),"SDS")</f>
        <v>SDS</v>
      </c>
      <c r="D486" s="42" t="str">
        <f ca="1">IFERROR(__xludf.DUMMYFUNCTION("""COMPUTED_VALUE"""),"DCE")</f>
        <v>DCE</v>
      </c>
      <c r="E486" s="44">
        <f ca="1">IFERROR(__xludf.DUMMYFUNCTION("""COMPUTED_VALUE"""),4)</f>
        <v>4</v>
      </c>
      <c r="F486" s="42" t="str">
        <f ca="1">IFERROR(__xludf.DUMMYFUNCTION("""COMPUTED_VALUE"""),"INTERNATIONAL")</f>
        <v>INTERNATIONAL</v>
      </c>
      <c r="G486" s="42" t="str">
        <f ca="1">IFERROR(__xludf.DUMMYFUNCTION("""COMPUTED_VALUE"""),"INR FEE STUDENT")</f>
        <v>INR FEE STUDENT</v>
      </c>
      <c r="H486" s="2" t="str">
        <f ca="1">IFERROR(__xludf.DUMMYFUNCTION("""COMPUTED_VALUE"""),"DCE_2022-25")</f>
        <v>DCE_2022-25</v>
      </c>
      <c r="I486" s="45"/>
      <c r="J486" s="46">
        <f ca="1">IFERROR(__xludf.DUMMYFUNCTION("""COMPUTED_VALUE"""),37500)</f>
        <v>37500</v>
      </c>
      <c r="K486" s="46">
        <f ca="1">IFERROR(__xludf.DUMMYFUNCTION("""COMPUTED_VALUE"""),37500)</f>
        <v>37500</v>
      </c>
      <c r="L486" s="46">
        <f ca="1">IFERROR(__xludf.DUMMYFUNCTION("""COMPUTED_VALUE"""),0)</f>
        <v>0</v>
      </c>
      <c r="M486" s="47">
        <f ca="1">IFERROR(__xludf.DUMMYFUNCTION("""COMPUTED_VALUE"""),0)</f>
        <v>0</v>
      </c>
      <c r="N486" s="46">
        <f ca="1">IFERROR(__xludf.DUMMYFUNCTION("""COMPUTED_VALUE"""),0)</f>
        <v>0</v>
      </c>
      <c r="O486" s="46">
        <f ca="1">IFERROR(__xludf.DUMMYFUNCTION("""COMPUTED_VALUE"""),0)</f>
        <v>0</v>
      </c>
      <c r="P486" s="46">
        <f ca="1">IFERROR(__xludf.DUMMYFUNCTION("""COMPUTED_VALUE"""),0)</f>
        <v>0</v>
      </c>
      <c r="Q486" s="47">
        <f ca="1">IFERROR(__xludf.DUMMYFUNCTION("""COMPUTED_VALUE"""),0)</f>
        <v>0</v>
      </c>
      <c r="R486" s="24">
        <f ca="1">IFERROR(__xludf.DUMMYFUNCTION("""COMPUTED_VALUE"""),0)</f>
        <v>0</v>
      </c>
      <c r="S486" s="23">
        <f ca="1">IFERROR(__xludf.DUMMYFUNCTION("""COMPUTED_VALUE"""),0)</f>
        <v>0</v>
      </c>
      <c r="T486" s="48">
        <f ca="1">IFERROR(__xludf.DUMMYFUNCTION("""COMPUTED_VALUE"""),0)</f>
        <v>0</v>
      </c>
      <c r="U486" s="47">
        <f ca="1">IFERROR(__xludf.DUMMYFUNCTION("""COMPUTED_VALUE"""),0)</f>
        <v>0</v>
      </c>
      <c r="V486" s="47">
        <f ca="1">IFERROR(__xludf.DUMMYFUNCTION("""COMPUTED_VALUE"""),0)</f>
        <v>0</v>
      </c>
      <c r="W486" s="47">
        <f ca="1">IFERROR(__xludf.DUMMYFUNCTION("""COMPUTED_VALUE"""),0)</f>
        <v>0</v>
      </c>
      <c r="X486" s="47">
        <f ca="1">IFERROR(__xludf.DUMMYFUNCTION("""COMPUTED_VALUE"""),0)</f>
        <v>0</v>
      </c>
      <c r="Y486" s="44">
        <f ca="1">IFERROR(__xludf.DUMMYFUNCTION("""COMPUTED_VALUE"""),0)</f>
        <v>0</v>
      </c>
      <c r="Z486" s="44">
        <f ca="1">IFERROR(__xludf.DUMMYFUNCTION("""COMPUTED_VALUE"""),0)</f>
        <v>0</v>
      </c>
      <c r="AA486" s="44">
        <f ca="1">IFERROR(__xludf.DUMMYFUNCTION("""COMPUTED_VALUE"""),0)</f>
        <v>0</v>
      </c>
      <c r="AB486" s="44">
        <f ca="1">IFERROR(__xludf.DUMMYFUNCTION("""COMPUTED_VALUE"""),0)</f>
        <v>0</v>
      </c>
      <c r="AC486" s="47">
        <f ca="1">IFERROR(__xludf.DUMMYFUNCTION("""COMPUTED_VALUE"""),0)</f>
        <v>0</v>
      </c>
      <c r="AD486" s="49"/>
      <c r="AE486" s="27"/>
    </row>
    <row r="487" spans="1:31" ht="14.3">
      <c r="A487" s="42" t="str">
        <f ca="1">IFERROR(__xludf.DUMMYFUNCTION("""COMPUTED_VALUE"""),"22SDSCE01613")</f>
        <v>22SDSCE01613</v>
      </c>
      <c r="B487" s="43" t="str">
        <f ca="1">IFERROR(__xludf.DUMMYFUNCTION("""COMPUTED_VALUE"""),"PRIYANKA CHAI")</f>
        <v>PRIYANKA CHAI</v>
      </c>
      <c r="C487" s="42" t="str">
        <f ca="1">IFERROR(__xludf.DUMMYFUNCTION("""COMPUTED_VALUE"""),"SDS")</f>
        <v>SDS</v>
      </c>
      <c r="D487" s="42" t="str">
        <f ca="1">IFERROR(__xludf.DUMMYFUNCTION("""COMPUTED_VALUE"""),"DCE")</f>
        <v>DCE</v>
      </c>
      <c r="E487" s="44">
        <f ca="1">IFERROR(__xludf.DUMMYFUNCTION("""COMPUTED_VALUE"""),4)</f>
        <v>4</v>
      </c>
      <c r="F487" s="42" t="str">
        <f ca="1">IFERROR(__xludf.DUMMYFUNCTION("""COMPUTED_VALUE"""),"INTERNATIONAL")</f>
        <v>INTERNATIONAL</v>
      </c>
      <c r="G487" s="42" t="str">
        <f ca="1">IFERROR(__xludf.DUMMYFUNCTION("""COMPUTED_VALUE"""),"INR FEE STUDENT")</f>
        <v>INR FEE STUDENT</v>
      </c>
      <c r="H487" s="2" t="str">
        <f ca="1">IFERROR(__xludf.DUMMYFUNCTION("""COMPUTED_VALUE"""),"DCE_2022-25")</f>
        <v>DCE_2022-25</v>
      </c>
      <c r="I487" s="45"/>
      <c r="J487" s="46">
        <f ca="1">IFERROR(__xludf.DUMMYFUNCTION("""COMPUTED_VALUE"""),37500)</f>
        <v>37500</v>
      </c>
      <c r="K487" s="46">
        <f ca="1">IFERROR(__xludf.DUMMYFUNCTION("""COMPUTED_VALUE"""),0)</f>
        <v>0</v>
      </c>
      <c r="L487" s="46">
        <f ca="1">IFERROR(__xludf.DUMMYFUNCTION("""COMPUTED_VALUE"""),0)</f>
        <v>0</v>
      </c>
      <c r="M487" s="47">
        <f ca="1">IFERROR(__xludf.DUMMYFUNCTION("""COMPUTED_VALUE"""),0)</f>
        <v>0</v>
      </c>
      <c r="N487" s="46">
        <f ca="1">IFERROR(__xludf.DUMMYFUNCTION("""COMPUTED_VALUE"""),37500)</f>
        <v>37500</v>
      </c>
      <c r="O487" s="46">
        <f ca="1">IFERROR(__xludf.DUMMYFUNCTION("""COMPUTED_VALUE"""),0)</f>
        <v>0</v>
      </c>
      <c r="P487" s="46">
        <f ca="1">IFERROR(__xludf.DUMMYFUNCTION("""COMPUTED_VALUE"""),0)</f>
        <v>0</v>
      </c>
      <c r="Q487" s="47">
        <f ca="1">IFERROR(__xludf.DUMMYFUNCTION("""COMPUTED_VALUE"""),0)</f>
        <v>0</v>
      </c>
      <c r="R487" s="24">
        <f ca="1">IFERROR(__xludf.DUMMYFUNCTION("""COMPUTED_VALUE"""),0)</f>
        <v>0</v>
      </c>
      <c r="S487" s="23">
        <f ca="1">IFERROR(__xludf.DUMMYFUNCTION("""COMPUTED_VALUE"""),0)</f>
        <v>0</v>
      </c>
      <c r="T487" s="48">
        <f ca="1">IFERROR(__xludf.DUMMYFUNCTION("""COMPUTED_VALUE"""),0)</f>
        <v>0</v>
      </c>
      <c r="U487" s="47">
        <f ca="1">IFERROR(__xludf.DUMMYFUNCTION("""COMPUTED_VALUE"""),0)</f>
        <v>0</v>
      </c>
      <c r="V487" s="47">
        <f ca="1">IFERROR(__xludf.DUMMYFUNCTION("""COMPUTED_VALUE"""),0)</f>
        <v>0</v>
      </c>
      <c r="W487" s="47">
        <f ca="1">IFERROR(__xludf.DUMMYFUNCTION("""COMPUTED_VALUE"""),0)</f>
        <v>0</v>
      </c>
      <c r="X487" s="47">
        <f ca="1">IFERROR(__xludf.DUMMYFUNCTION("""COMPUTED_VALUE"""),0)</f>
        <v>0</v>
      </c>
      <c r="Y487" s="44">
        <f ca="1">IFERROR(__xludf.DUMMYFUNCTION("""COMPUTED_VALUE"""),0)</f>
        <v>0</v>
      </c>
      <c r="Z487" s="44">
        <f ca="1">IFERROR(__xludf.DUMMYFUNCTION("""COMPUTED_VALUE"""),0)</f>
        <v>0</v>
      </c>
      <c r="AA487" s="44">
        <f ca="1">IFERROR(__xludf.DUMMYFUNCTION("""COMPUTED_VALUE"""),0)</f>
        <v>0</v>
      </c>
      <c r="AB487" s="44">
        <f ca="1">IFERROR(__xludf.DUMMYFUNCTION("""COMPUTED_VALUE"""),0)</f>
        <v>0</v>
      </c>
      <c r="AC487" s="47">
        <f ca="1">IFERROR(__xludf.DUMMYFUNCTION("""COMPUTED_VALUE"""),0)</f>
        <v>0</v>
      </c>
      <c r="AD487" s="49"/>
      <c r="AE487" s="27"/>
    </row>
    <row r="488" spans="1:31" ht="14.3">
      <c r="A488" s="42" t="str">
        <f ca="1">IFERROR(__xludf.DUMMYFUNCTION("""COMPUTED_VALUE"""),"22SDSCE01614")</f>
        <v>22SDSCE01614</v>
      </c>
      <c r="B488" s="43" t="str">
        <f ca="1">IFERROR(__xludf.DUMMYFUNCTION("""COMPUTED_VALUE"""),"MD SAHID SAFI")</f>
        <v>MD SAHID SAFI</v>
      </c>
      <c r="C488" s="42" t="str">
        <f ca="1">IFERROR(__xludf.DUMMYFUNCTION("""COMPUTED_VALUE"""),"SDS")</f>
        <v>SDS</v>
      </c>
      <c r="D488" s="42" t="str">
        <f ca="1">IFERROR(__xludf.DUMMYFUNCTION("""COMPUTED_VALUE"""),"DCE")</f>
        <v>DCE</v>
      </c>
      <c r="E488" s="44">
        <f ca="1">IFERROR(__xludf.DUMMYFUNCTION("""COMPUTED_VALUE"""),4)</f>
        <v>4</v>
      </c>
      <c r="F488" s="42" t="str">
        <f ca="1">IFERROR(__xludf.DUMMYFUNCTION("""COMPUTED_VALUE"""),"INTERNATIONAL")</f>
        <v>INTERNATIONAL</v>
      </c>
      <c r="G488" s="42" t="str">
        <f ca="1">IFERROR(__xludf.DUMMYFUNCTION("""COMPUTED_VALUE"""),"INR FEE STUDENT")</f>
        <v>INR FEE STUDENT</v>
      </c>
      <c r="H488" s="2" t="str">
        <f ca="1">IFERROR(__xludf.DUMMYFUNCTION("""COMPUTED_VALUE"""),"DCE_2022-25")</f>
        <v>DCE_2022-25</v>
      </c>
      <c r="I488" s="45"/>
      <c r="J488" s="46">
        <f ca="1">IFERROR(__xludf.DUMMYFUNCTION("""COMPUTED_VALUE"""),37500)</f>
        <v>37500</v>
      </c>
      <c r="K488" s="46">
        <f ca="1">IFERROR(__xludf.DUMMYFUNCTION("""COMPUTED_VALUE"""),37500)</f>
        <v>37500</v>
      </c>
      <c r="L488" s="46">
        <f ca="1">IFERROR(__xludf.DUMMYFUNCTION("""COMPUTED_VALUE"""),0)</f>
        <v>0</v>
      </c>
      <c r="M488" s="47">
        <f ca="1">IFERROR(__xludf.DUMMYFUNCTION("""COMPUTED_VALUE"""),0)</f>
        <v>0</v>
      </c>
      <c r="N488" s="46">
        <f ca="1">IFERROR(__xludf.DUMMYFUNCTION("""COMPUTED_VALUE"""),0)</f>
        <v>0</v>
      </c>
      <c r="O488" s="46">
        <f ca="1">IFERROR(__xludf.DUMMYFUNCTION("""COMPUTED_VALUE"""),0)</f>
        <v>0</v>
      </c>
      <c r="P488" s="46">
        <f ca="1">IFERROR(__xludf.DUMMYFUNCTION("""COMPUTED_VALUE"""),0)</f>
        <v>0</v>
      </c>
      <c r="Q488" s="47">
        <f ca="1">IFERROR(__xludf.DUMMYFUNCTION("""COMPUTED_VALUE"""),0)</f>
        <v>0</v>
      </c>
      <c r="R488" s="24">
        <f ca="1">IFERROR(__xludf.DUMMYFUNCTION("""COMPUTED_VALUE"""),0)</f>
        <v>0</v>
      </c>
      <c r="S488" s="23">
        <f ca="1">IFERROR(__xludf.DUMMYFUNCTION("""COMPUTED_VALUE"""),0)</f>
        <v>0</v>
      </c>
      <c r="T488" s="48">
        <f ca="1">IFERROR(__xludf.DUMMYFUNCTION("""COMPUTED_VALUE"""),0)</f>
        <v>0</v>
      </c>
      <c r="U488" s="47">
        <f ca="1">IFERROR(__xludf.DUMMYFUNCTION("""COMPUTED_VALUE"""),0)</f>
        <v>0</v>
      </c>
      <c r="V488" s="47">
        <f ca="1">IFERROR(__xludf.DUMMYFUNCTION("""COMPUTED_VALUE"""),0)</f>
        <v>0</v>
      </c>
      <c r="W488" s="47">
        <f ca="1">IFERROR(__xludf.DUMMYFUNCTION("""COMPUTED_VALUE"""),0)</f>
        <v>0</v>
      </c>
      <c r="X488" s="47">
        <f ca="1">IFERROR(__xludf.DUMMYFUNCTION("""COMPUTED_VALUE"""),0)</f>
        <v>0</v>
      </c>
      <c r="Y488" s="44">
        <f ca="1">IFERROR(__xludf.DUMMYFUNCTION("""COMPUTED_VALUE"""),0)</f>
        <v>0</v>
      </c>
      <c r="Z488" s="44">
        <f ca="1">IFERROR(__xludf.DUMMYFUNCTION("""COMPUTED_VALUE"""),0)</f>
        <v>0</v>
      </c>
      <c r="AA488" s="44">
        <f ca="1">IFERROR(__xludf.DUMMYFUNCTION("""COMPUTED_VALUE"""),0)</f>
        <v>0</v>
      </c>
      <c r="AB488" s="44">
        <f ca="1">IFERROR(__xludf.DUMMYFUNCTION("""COMPUTED_VALUE"""),0)</f>
        <v>0</v>
      </c>
      <c r="AC488" s="47">
        <f ca="1">IFERROR(__xludf.DUMMYFUNCTION("""COMPUTED_VALUE"""),0)</f>
        <v>0</v>
      </c>
      <c r="AD488" s="49"/>
      <c r="AE488" s="27"/>
    </row>
    <row r="489" spans="1:31" ht="14.3">
      <c r="A489" s="42" t="str">
        <f ca="1">IFERROR(__xludf.DUMMYFUNCTION("""COMPUTED_VALUE"""),"22SDSCE01615")</f>
        <v>22SDSCE01615</v>
      </c>
      <c r="B489" s="43" t="str">
        <f ca="1">IFERROR(__xludf.DUMMYFUNCTION("""COMPUTED_VALUE"""),"SUMIT KUMAR CHAUDHARY")</f>
        <v>SUMIT KUMAR CHAUDHARY</v>
      </c>
      <c r="C489" s="42" t="str">
        <f ca="1">IFERROR(__xludf.DUMMYFUNCTION("""COMPUTED_VALUE"""),"SDS")</f>
        <v>SDS</v>
      </c>
      <c r="D489" s="42" t="str">
        <f ca="1">IFERROR(__xludf.DUMMYFUNCTION("""COMPUTED_VALUE"""),"DCE")</f>
        <v>DCE</v>
      </c>
      <c r="E489" s="44">
        <f ca="1">IFERROR(__xludf.DUMMYFUNCTION("""COMPUTED_VALUE"""),4)</f>
        <v>4</v>
      </c>
      <c r="F489" s="42" t="str">
        <f ca="1">IFERROR(__xludf.DUMMYFUNCTION("""COMPUTED_VALUE"""),"INTERNATIONAL")</f>
        <v>INTERNATIONAL</v>
      </c>
      <c r="G489" s="42" t="str">
        <f ca="1">IFERROR(__xludf.DUMMYFUNCTION("""COMPUTED_VALUE"""),"INR FEE STUDENT")</f>
        <v>INR FEE STUDENT</v>
      </c>
      <c r="H489" s="2" t="str">
        <f ca="1">IFERROR(__xludf.DUMMYFUNCTION("""COMPUTED_VALUE"""),"DCE_2022-25")</f>
        <v>DCE_2022-25</v>
      </c>
      <c r="I489" s="45"/>
      <c r="J489" s="46">
        <f ca="1">IFERROR(__xludf.DUMMYFUNCTION("""COMPUTED_VALUE"""),37500)</f>
        <v>37500</v>
      </c>
      <c r="K489" s="46">
        <f ca="1">IFERROR(__xludf.DUMMYFUNCTION("""COMPUTED_VALUE"""),37500)</f>
        <v>37500</v>
      </c>
      <c r="L489" s="46">
        <f ca="1">IFERROR(__xludf.DUMMYFUNCTION("""COMPUTED_VALUE"""),0)</f>
        <v>0</v>
      </c>
      <c r="M489" s="47">
        <f ca="1">IFERROR(__xludf.DUMMYFUNCTION("""COMPUTED_VALUE"""),0)</f>
        <v>0</v>
      </c>
      <c r="N489" s="46">
        <f ca="1">IFERROR(__xludf.DUMMYFUNCTION("""COMPUTED_VALUE"""),0)</f>
        <v>0</v>
      </c>
      <c r="O489" s="46">
        <f ca="1">IFERROR(__xludf.DUMMYFUNCTION("""COMPUTED_VALUE"""),0)</f>
        <v>0</v>
      </c>
      <c r="P489" s="46">
        <f ca="1">IFERROR(__xludf.DUMMYFUNCTION("""COMPUTED_VALUE"""),0)</f>
        <v>0</v>
      </c>
      <c r="Q489" s="47">
        <f ca="1">IFERROR(__xludf.DUMMYFUNCTION("""COMPUTED_VALUE"""),0)</f>
        <v>0</v>
      </c>
      <c r="R489" s="24">
        <f ca="1">IFERROR(__xludf.DUMMYFUNCTION("""COMPUTED_VALUE"""),0)</f>
        <v>0</v>
      </c>
      <c r="S489" s="23">
        <f ca="1">IFERROR(__xludf.DUMMYFUNCTION("""COMPUTED_VALUE"""),0)</f>
        <v>0</v>
      </c>
      <c r="T489" s="48">
        <f ca="1">IFERROR(__xludf.DUMMYFUNCTION("""COMPUTED_VALUE"""),0)</f>
        <v>0</v>
      </c>
      <c r="U489" s="47">
        <f ca="1">IFERROR(__xludf.DUMMYFUNCTION("""COMPUTED_VALUE"""),0)</f>
        <v>0</v>
      </c>
      <c r="V489" s="47">
        <f ca="1">IFERROR(__xludf.DUMMYFUNCTION("""COMPUTED_VALUE"""),0)</f>
        <v>0</v>
      </c>
      <c r="W489" s="47">
        <f ca="1">IFERROR(__xludf.DUMMYFUNCTION("""COMPUTED_VALUE"""),0)</f>
        <v>0</v>
      </c>
      <c r="X489" s="47">
        <f ca="1">IFERROR(__xludf.DUMMYFUNCTION("""COMPUTED_VALUE"""),0)</f>
        <v>0</v>
      </c>
      <c r="Y489" s="44">
        <f ca="1">IFERROR(__xludf.DUMMYFUNCTION("""COMPUTED_VALUE"""),0)</f>
        <v>0</v>
      </c>
      <c r="Z489" s="44">
        <f ca="1">IFERROR(__xludf.DUMMYFUNCTION("""COMPUTED_VALUE"""),0)</f>
        <v>0</v>
      </c>
      <c r="AA489" s="44">
        <f ca="1">IFERROR(__xludf.DUMMYFUNCTION("""COMPUTED_VALUE"""),0)</f>
        <v>0</v>
      </c>
      <c r="AB489" s="44">
        <f ca="1">IFERROR(__xludf.DUMMYFUNCTION("""COMPUTED_VALUE"""),0)</f>
        <v>0</v>
      </c>
      <c r="AC489" s="47">
        <f ca="1">IFERROR(__xludf.DUMMYFUNCTION("""COMPUTED_VALUE"""),0)</f>
        <v>0</v>
      </c>
      <c r="AD489" s="49"/>
      <c r="AE489" s="27"/>
    </row>
    <row r="490" spans="1:31" ht="14.3">
      <c r="A490" s="42" t="str">
        <f ca="1">IFERROR(__xludf.DUMMYFUNCTION("""COMPUTED_VALUE"""),"22SDSCE01616")</f>
        <v>22SDSCE01616</v>
      </c>
      <c r="B490" s="43" t="str">
        <f ca="1">IFERROR(__xludf.DUMMYFUNCTION("""COMPUTED_VALUE"""),"MANOJ KEWAT")</f>
        <v>MANOJ KEWAT</v>
      </c>
      <c r="C490" s="42" t="str">
        <f ca="1">IFERROR(__xludf.DUMMYFUNCTION("""COMPUTED_VALUE"""),"SDS")</f>
        <v>SDS</v>
      </c>
      <c r="D490" s="42" t="str">
        <f ca="1">IFERROR(__xludf.DUMMYFUNCTION("""COMPUTED_VALUE"""),"DCE")</f>
        <v>DCE</v>
      </c>
      <c r="E490" s="44">
        <f ca="1">IFERROR(__xludf.DUMMYFUNCTION("""COMPUTED_VALUE"""),4)</f>
        <v>4</v>
      </c>
      <c r="F490" s="42" t="str">
        <f ca="1">IFERROR(__xludf.DUMMYFUNCTION("""COMPUTED_VALUE"""),"INTERNATIONAL")</f>
        <v>INTERNATIONAL</v>
      </c>
      <c r="G490" s="42" t="str">
        <f ca="1">IFERROR(__xludf.DUMMYFUNCTION("""COMPUTED_VALUE"""),"INR FEE STUDENT")</f>
        <v>INR FEE STUDENT</v>
      </c>
      <c r="H490" s="2" t="str">
        <f ca="1">IFERROR(__xludf.DUMMYFUNCTION("""COMPUTED_VALUE"""),"DCE_2022-25")</f>
        <v>DCE_2022-25</v>
      </c>
      <c r="I490" s="45"/>
      <c r="J490" s="46">
        <f ca="1">IFERROR(__xludf.DUMMYFUNCTION("""COMPUTED_VALUE"""),37500)</f>
        <v>37500</v>
      </c>
      <c r="K490" s="46">
        <f ca="1">IFERROR(__xludf.DUMMYFUNCTION("""COMPUTED_VALUE"""),37500)</f>
        <v>37500</v>
      </c>
      <c r="L490" s="46">
        <f ca="1">IFERROR(__xludf.DUMMYFUNCTION("""COMPUTED_VALUE"""),0)</f>
        <v>0</v>
      </c>
      <c r="M490" s="47">
        <f ca="1">IFERROR(__xludf.DUMMYFUNCTION("""COMPUTED_VALUE"""),0)</f>
        <v>0</v>
      </c>
      <c r="N490" s="46">
        <f ca="1">IFERROR(__xludf.DUMMYFUNCTION("""COMPUTED_VALUE"""),0)</f>
        <v>0</v>
      </c>
      <c r="O490" s="46">
        <f ca="1">IFERROR(__xludf.DUMMYFUNCTION("""COMPUTED_VALUE"""),0)</f>
        <v>0</v>
      </c>
      <c r="P490" s="46">
        <f ca="1">IFERROR(__xludf.DUMMYFUNCTION("""COMPUTED_VALUE"""),0)</f>
        <v>0</v>
      </c>
      <c r="Q490" s="47">
        <f ca="1">IFERROR(__xludf.DUMMYFUNCTION("""COMPUTED_VALUE"""),0)</f>
        <v>0</v>
      </c>
      <c r="R490" s="24">
        <f ca="1">IFERROR(__xludf.DUMMYFUNCTION("""COMPUTED_VALUE"""),0)</f>
        <v>0</v>
      </c>
      <c r="S490" s="23">
        <f ca="1">IFERROR(__xludf.DUMMYFUNCTION("""COMPUTED_VALUE"""),0)</f>
        <v>0</v>
      </c>
      <c r="T490" s="48">
        <f ca="1">IFERROR(__xludf.DUMMYFUNCTION("""COMPUTED_VALUE"""),0)</f>
        <v>0</v>
      </c>
      <c r="U490" s="47">
        <f ca="1">IFERROR(__xludf.DUMMYFUNCTION("""COMPUTED_VALUE"""),0)</f>
        <v>0</v>
      </c>
      <c r="V490" s="47">
        <f ca="1">IFERROR(__xludf.DUMMYFUNCTION("""COMPUTED_VALUE"""),0)</f>
        <v>0</v>
      </c>
      <c r="W490" s="47">
        <f ca="1">IFERROR(__xludf.DUMMYFUNCTION("""COMPUTED_VALUE"""),0)</f>
        <v>0</v>
      </c>
      <c r="X490" s="47">
        <f ca="1">IFERROR(__xludf.DUMMYFUNCTION("""COMPUTED_VALUE"""),0)</f>
        <v>0</v>
      </c>
      <c r="Y490" s="44">
        <f ca="1">IFERROR(__xludf.DUMMYFUNCTION("""COMPUTED_VALUE"""),0)</f>
        <v>0</v>
      </c>
      <c r="Z490" s="44">
        <f ca="1">IFERROR(__xludf.DUMMYFUNCTION("""COMPUTED_VALUE"""),0)</f>
        <v>0</v>
      </c>
      <c r="AA490" s="44">
        <f ca="1">IFERROR(__xludf.DUMMYFUNCTION("""COMPUTED_VALUE"""),0)</f>
        <v>0</v>
      </c>
      <c r="AB490" s="44">
        <f ca="1">IFERROR(__xludf.DUMMYFUNCTION("""COMPUTED_VALUE"""),0)</f>
        <v>0</v>
      </c>
      <c r="AC490" s="47">
        <f ca="1">IFERROR(__xludf.DUMMYFUNCTION("""COMPUTED_VALUE"""),0)</f>
        <v>0</v>
      </c>
      <c r="AD490" s="49"/>
      <c r="AE490" s="27"/>
    </row>
    <row r="491" spans="1:31" ht="14.3">
      <c r="A491" s="42" t="str">
        <f ca="1">IFERROR(__xludf.DUMMYFUNCTION("""COMPUTED_VALUE"""),"22SDSCE01617")</f>
        <v>22SDSCE01617</v>
      </c>
      <c r="B491" s="43" t="str">
        <f ca="1">IFERROR(__xludf.DUMMYFUNCTION("""COMPUTED_VALUE"""),"BIBEK PRASAD SAH")</f>
        <v>BIBEK PRASAD SAH</v>
      </c>
      <c r="C491" s="42" t="str">
        <f ca="1">IFERROR(__xludf.DUMMYFUNCTION("""COMPUTED_VALUE"""),"SDS")</f>
        <v>SDS</v>
      </c>
      <c r="D491" s="42" t="str">
        <f ca="1">IFERROR(__xludf.DUMMYFUNCTION("""COMPUTED_VALUE"""),"DCE")</f>
        <v>DCE</v>
      </c>
      <c r="E491" s="44">
        <f ca="1">IFERROR(__xludf.DUMMYFUNCTION("""COMPUTED_VALUE"""),4)</f>
        <v>4</v>
      </c>
      <c r="F491" s="42" t="str">
        <f ca="1">IFERROR(__xludf.DUMMYFUNCTION("""COMPUTED_VALUE"""),"INTERNATIONAL")</f>
        <v>INTERNATIONAL</v>
      </c>
      <c r="G491" s="42" t="str">
        <f ca="1">IFERROR(__xludf.DUMMYFUNCTION("""COMPUTED_VALUE"""),"INR FEE STUDENT")</f>
        <v>INR FEE STUDENT</v>
      </c>
      <c r="H491" s="2" t="str">
        <f ca="1">IFERROR(__xludf.DUMMYFUNCTION("""COMPUTED_VALUE"""),"DCE_2022-25")</f>
        <v>DCE_2022-25</v>
      </c>
      <c r="I491" s="45"/>
      <c r="J491" s="46">
        <f ca="1">IFERROR(__xludf.DUMMYFUNCTION("""COMPUTED_VALUE"""),37500)</f>
        <v>37500</v>
      </c>
      <c r="K491" s="46">
        <f ca="1">IFERROR(__xludf.DUMMYFUNCTION("""COMPUTED_VALUE"""),37500)</f>
        <v>37500</v>
      </c>
      <c r="L491" s="46">
        <f ca="1">IFERROR(__xludf.DUMMYFUNCTION("""COMPUTED_VALUE"""),0)</f>
        <v>0</v>
      </c>
      <c r="M491" s="47">
        <f ca="1">IFERROR(__xludf.DUMMYFUNCTION("""COMPUTED_VALUE"""),0)</f>
        <v>0</v>
      </c>
      <c r="N491" s="46">
        <f ca="1">IFERROR(__xludf.DUMMYFUNCTION("""COMPUTED_VALUE"""),0)</f>
        <v>0</v>
      </c>
      <c r="O491" s="46">
        <f ca="1">IFERROR(__xludf.DUMMYFUNCTION("""COMPUTED_VALUE"""),0)</f>
        <v>0</v>
      </c>
      <c r="P491" s="46">
        <f ca="1">IFERROR(__xludf.DUMMYFUNCTION("""COMPUTED_VALUE"""),0)</f>
        <v>0</v>
      </c>
      <c r="Q491" s="47">
        <f ca="1">IFERROR(__xludf.DUMMYFUNCTION("""COMPUTED_VALUE"""),0)</f>
        <v>0</v>
      </c>
      <c r="R491" s="24">
        <f ca="1">IFERROR(__xludf.DUMMYFUNCTION("""COMPUTED_VALUE"""),0)</f>
        <v>0</v>
      </c>
      <c r="S491" s="23">
        <f ca="1">IFERROR(__xludf.DUMMYFUNCTION("""COMPUTED_VALUE"""),0)</f>
        <v>0</v>
      </c>
      <c r="T491" s="48">
        <f ca="1">IFERROR(__xludf.DUMMYFUNCTION("""COMPUTED_VALUE"""),0)</f>
        <v>0</v>
      </c>
      <c r="U491" s="47">
        <f ca="1">IFERROR(__xludf.DUMMYFUNCTION("""COMPUTED_VALUE"""),0)</f>
        <v>0</v>
      </c>
      <c r="V491" s="47">
        <f ca="1">IFERROR(__xludf.DUMMYFUNCTION("""COMPUTED_VALUE"""),0)</f>
        <v>0</v>
      </c>
      <c r="W491" s="47">
        <f ca="1">IFERROR(__xludf.DUMMYFUNCTION("""COMPUTED_VALUE"""),0)</f>
        <v>0</v>
      </c>
      <c r="X491" s="47">
        <f ca="1">IFERROR(__xludf.DUMMYFUNCTION("""COMPUTED_VALUE"""),0)</f>
        <v>0</v>
      </c>
      <c r="Y491" s="44">
        <f ca="1">IFERROR(__xludf.DUMMYFUNCTION("""COMPUTED_VALUE"""),0)</f>
        <v>0</v>
      </c>
      <c r="Z491" s="44">
        <f ca="1">IFERROR(__xludf.DUMMYFUNCTION("""COMPUTED_VALUE"""),0)</f>
        <v>0</v>
      </c>
      <c r="AA491" s="44">
        <f ca="1">IFERROR(__xludf.DUMMYFUNCTION("""COMPUTED_VALUE"""),0)</f>
        <v>0</v>
      </c>
      <c r="AB491" s="44">
        <f ca="1">IFERROR(__xludf.DUMMYFUNCTION("""COMPUTED_VALUE"""),0)</f>
        <v>0</v>
      </c>
      <c r="AC491" s="47">
        <f ca="1">IFERROR(__xludf.DUMMYFUNCTION("""COMPUTED_VALUE"""),0)</f>
        <v>0</v>
      </c>
      <c r="AD491" s="49"/>
      <c r="AE491" s="27"/>
    </row>
    <row r="492" spans="1:31" ht="14.3">
      <c r="A492" s="42" t="str">
        <f ca="1">IFERROR(__xludf.DUMMYFUNCTION("""COMPUTED_VALUE"""),"22SDSCE01618")</f>
        <v>22SDSCE01618</v>
      </c>
      <c r="B492" s="43" t="str">
        <f ca="1">IFERROR(__xludf.DUMMYFUNCTION("""COMPUTED_VALUE"""),"TILAK RAM LODH")</f>
        <v>TILAK RAM LODH</v>
      </c>
      <c r="C492" s="42" t="str">
        <f ca="1">IFERROR(__xludf.DUMMYFUNCTION("""COMPUTED_VALUE"""),"SDS")</f>
        <v>SDS</v>
      </c>
      <c r="D492" s="42" t="str">
        <f ca="1">IFERROR(__xludf.DUMMYFUNCTION("""COMPUTED_VALUE"""),"DCE")</f>
        <v>DCE</v>
      </c>
      <c r="E492" s="44">
        <f ca="1">IFERROR(__xludf.DUMMYFUNCTION("""COMPUTED_VALUE"""),4)</f>
        <v>4</v>
      </c>
      <c r="F492" s="42" t="str">
        <f ca="1">IFERROR(__xludf.DUMMYFUNCTION("""COMPUTED_VALUE"""),"INTERNATIONAL")</f>
        <v>INTERNATIONAL</v>
      </c>
      <c r="G492" s="42" t="str">
        <f ca="1">IFERROR(__xludf.DUMMYFUNCTION("""COMPUTED_VALUE"""),"INR FEE STUDENT")</f>
        <v>INR FEE STUDENT</v>
      </c>
      <c r="H492" s="2" t="str">
        <f ca="1">IFERROR(__xludf.DUMMYFUNCTION("""COMPUTED_VALUE"""),"DCE_2022-25")</f>
        <v>DCE_2022-25</v>
      </c>
      <c r="I492" s="45"/>
      <c r="J492" s="46">
        <f ca="1">IFERROR(__xludf.DUMMYFUNCTION("""COMPUTED_VALUE"""),37500)</f>
        <v>37500</v>
      </c>
      <c r="K492" s="46">
        <f ca="1">IFERROR(__xludf.DUMMYFUNCTION("""COMPUTED_VALUE"""),37500)</f>
        <v>37500</v>
      </c>
      <c r="L492" s="46">
        <f ca="1">IFERROR(__xludf.DUMMYFUNCTION("""COMPUTED_VALUE"""),0)</f>
        <v>0</v>
      </c>
      <c r="M492" s="47">
        <f ca="1">IFERROR(__xludf.DUMMYFUNCTION("""COMPUTED_VALUE"""),0)</f>
        <v>0</v>
      </c>
      <c r="N492" s="46">
        <f ca="1">IFERROR(__xludf.DUMMYFUNCTION("""COMPUTED_VALUE"""),0)</f>
        <v>0</v>
      </c>
      <c r="O492" s="46">
        <f ca="1">IFERROR(__xludf.DUMMYFUNCTION("""COMPUTED_VALUE"""),0)</f>
        <v>0</v>
      </c>
      <c r="P492" s="46">
        <f ca="1">IFERROR(__xludf.DUMMYFUNCTION("""COMPUTED_VALUE"""),0)</f>
        <v>0</v>
      </c>
      <c r="Q492" s="47">
        <f ca="1">IFERROR(__xludf.DUMMYFUNCTION("""COMPUTED_VALUE"""),0)</f>
        <v>0</v>
      </c>
      <c r="R492" s="24">
        <f ca="1">IFERROR(__xludf.DUMMYFUNCTION("""COMPUTED_VALUE"""),0)</f>
        <v>0</v>
      </c>
      <c r="S492" s="23">
        <f ca="1">IFERROR(__xludf.DUMMYFUNCTION("""COMPUTED_VALUE"""),0)</f>
        <v>0</v>
      </c>
      <c r="T492" s="48">
        <f ca="1">IFERROR(__xludf.DUMMYFUNCTION("""COMPUTED_VALUE"""),0)</f>
        <v>0</v>
      </c>
      <c r="U492" s="47">
        <f ca="1">IFERROR(__xludf.DUMMYFUNCTION("""COMPUTED_VALUE"""),0)</f>
        <v>0</v>
      </c>
      <c r="V492" s="47">
        <f ca="1">IFERROR(__xludf.DUMMYFUNCTION("""COMPUTED_VALUE"""),0)</f>
        <v>0</v>
      </c>
      <c r="W492" s="47">
        <f ca="1">IFERROR(__xludf.DUMMYFUNCTION("""COMPUTED_VALUE"""),0)</f>
        <v>0</v>
      </c>
      <c r="X492" s="47">
        <f ca="1">IFERROR(__xludf.DUMMYFUNCTION("""COMPUTED_VALUE"""),0)</f>
        <v>0</v>
      </c>
      <c r="Y492" s="44">
        <f ca="1">IFERROR(__xludf.DUMMYFUNCTION("""COMPUTED_VALUE"""),0)</f>
        <v>0</v>
      </c>
      <c r="Z492" s="44">
        <f ca="1">IFERROR(__xludf.DUMMYFUNCTION("""COMPUTED_VALUE"""),0)</f>
        <v>0</v>
      </c>
      <c r="AA492" s="44">
        <f ca="1">IFERROR(__xludf.DUMMYFUNCTION("""COMPUTED_VALUE"""),0)</f>
        <v>0</v>
      </c>
      <c r="AB492" s="44">
        <f ca="1">IFERROR(__xludf.DUMMYFUNCTION("""COMPUTED_VALUE"""),0)</f>
        <v>0</v>
      </c>
      <c r="AC492" s="47">
        <f ca="1">IFERROR(__xludf.DUMMYFUNCTION("""COMPUTED_VALUE"""),0)</f>
        <v>0</v>
      </c>
      <c r="AD492" s="49"/>
      <c r="AE492" s="27"/>
    </row>
    <row r="493" spans="1:31" ht="14.3">
      <c r="A493" s="42" t="str">
        <f ca="1">IFERROR(__xludf.DUMMYFUNCTION("""COMPUTED_VALUE"""),"22SDSCE01619")</f>
        <v>22SDSCE01619</v>
      </c>
      <c r="B493" s="43" t="str">
        <f ca="1">IFERROR(__xludf.DUMMYFUNCTION("""COMPUTED_VALUE"""),"PRINCE SAH")</f>
        <v>PRINCE SAH</v>
      </c>
      <c r="C493" s="42" t="str">
        <f ca="1">IFERROR(__xludf.DUMMYFUNCTION("""COMPUTED_VALUE"""),"SDS")</f>
        <v>SDS</v>
      </c>
      <c r="D493" s="42" t="str">
        <f ca="1">IFERROR(__xludf.DUMMYFUNCTION("""COMPUTED_VALUE"""),"DCE")</f>
        <v>DCE</v>
      </c>
      <c r="E493" s="44">
        <f ca="1">IFERROR(__xludf.DUMMYFUNCTION("""COMPUTED_VALUE"""),4)</f>
        <v>4</v>
      </c>
      <c r="F493" s="42" t="str">
        <f ca="1">IFERROR(__xludf.DUMMYFUNCTION("""COMPUTED_VALUE"""),"INTERNATIONAL")</f>
        <v>INTERNATIONAL</v>
      </c>
      <c r="G493" s="42" t="str">
        <f ca="1">IFERROR(__xludf.DUMMYFUNCTION("""COMPUTED_VALUE"""),"INR FEE STUDENT")</f>
        <v>INR FEE STUDENT</v>
      </c>
      <c r="H493" s="2" t="str">
        <f ca="1">IFERROR(__xludf.DUMMYFUNCTION("""COMPUTED_VALUE"""),"DCE_2022-25")</f>
        <v>DCE_2022-25</v>
      </c>
      <c r="I493" s="45"/>
      <c r="J493" s="46">
        <f ca="1">IFERROR(__xludf.DUMMYFUNCTION("""COMPUTED_VALUE"""),37500)</f>
        <v>37500</v>
      </c>
      <c r="K493" s="46">
        <f ca="1">IFERROR(__xludf.DUMMYFUNCTION("""COMPUTED_VALUE"""),37500)</f>
        <v>37500</v>
      </c>
      <c r="L493" s="46">
        <f ca="1">IFERROR(__xludf.DUMMYFUNCTION("""COMPUTED_VALUE"""),0)</f>
        <v>0</v>
      </c>
      <c r="M493" s="47">
        <f ca="1">IFERROR(__xludf.DUMMYFUNCTION("""COMPUTED_VALUE"""),0)</f>
        <v>0</v>
      </c>
      <c r="N493" s="46">
        <f ca="1">IFERROR(__xludf.DUMMYFUNCTION("""COMPUTED_VALUE"""),0)</f>
        <v>0</v>
      </c>
      <c r="O493" s="46">
        <f ca="1">IFERROR(__xludf.DUMMYFUNCTION("""COMPUTED_VALUE"""),0)</f>
        <v>0</v>
      </c>
      <c r="P493" s="46">
        <f ca="1">IFERROR(__xludf.DUMMYFUNCTION("""COMPUTED_VALUE"""),0)</f>
        <v>0</v>
      </c>
      <c r="Q493" s="47">
        <f ca="1">IFERROR(__xludf.DUMMYFUNCTION("""COMPUTED_VALUE"""),0)</f>
        <v>0</v>
      </c>
      <c r="R493" s="24">
        <f ca="1">IFERROR(__xludf.DUMMYFUNCTION("""COMPUTED_VALUE"""),0)</f>
        <v>0</v>
      </c>
      <c r="S493" s="23">
        <f ca="1">IFERROR(__xludf.DUMMYFUNCTION("""COMPUTED_VALUE"""),0)</f>
        <v>0</v>
      </c>
      <c r="T493" s="48">
        <f ca="1">IFERROR(__xludf.DUMMYFUNCTION("""COMPUTED_VALUE"""),0)</f>
        <v>0</v>
      </c>
      <c r="U493" s="47">
        <f ca="1">IFERROR(__xludf.DUMMYFUNCTION("""COMPUTED_VALUE"""),0)</f>
        <v>0</v>
      </c>
      <c r="V493" s="47">
        <f ca="1">IFERROR(__xludf.DUMMYFUNCTION("""COMPUTED_VALUE"""),0)</f>
        <v>0</v>
      </c>
      <c r="W493" s="47">
        <f ca="1">IFERROR(__xludf.DUMMYFUNCTION("""COMPUTED_VALUE"""),0)</f>
        <v>0</v>
      </c>
      <c r="X493" s="47">
        <f ca="1">IFERROR(__xludf.DUMMYFUNCTION("""COMPUTED_VALUE"""),0)</f>
        <v>0</v>
      </c>
      <c r="Y493" s="44">
        <f ca="1">IFERROR(__xludf.DUMMYFUNCTION("""COMPUTED_VALUE"""),0)</f>
        <v>0</v>
      </c>
      <c r="Z493" s="44">
        <f ca="1">IFERROR(__xludf.DUMMYFUNCTION("""COMPUTED_VALUE"""),0)</f>
        <v>0</v>
      </c>
      <c r="AA493" s="44">
        <f ca="1">IFERROR(__xludf.DUMMYFUNCTION("""COMPUTED_VALUE"""),0)</f>
        <v>0</v>
      </c>
      <c r="AB493" s="44">
        <f ca="1">IFERROR(__xludf.DUMMYFUNCTION("""COMPUTED_VALUE"""),0)</f>
        <v>0</v>
      </c>
      <c r="AC493" s="47">
        <f ca="1">IFERROR(__xludf.DUMMYFUNCTION("""COMPUTED_VALUE"""),0)</f>
        <v>0</v>
      </c>
      <c r="AD493" s="49"/>
      <c r="AE493" s="27"/>
    </row>
    <row r="494" spans="1:31" ht="14.3">
      <c r="A494" s="42" t="str">
        <f ca="1">IFERROR(__xludf.DUMMYFUNCTION("""COMPUTED_VALUE"""),"22SDSCE01620")</f>
        <v>22SDSCE01620</v>
      </c>
      <c r="B494" s="43" t="str">
        <f ca="1">IFERROR(__xludf.DUMMYFUNCTION("""COMPUTED_VALUE"""),"BIBEK SAH")</f>
        <v>BIBEK SAH</v>
      </c>
      <c r="C494" s="42" t="str">
        <f ca="1">IFERROR(__xludf.DUMMYFUNCTION("""COMPUTED_VALUE"""),"SDS")</f>
        <v>SDS</v>
      </c>
      <c r="D494" s="42" t="str">
        <f ca="1">IFERROR(__xludf.DUMMYFUNCTION("""COMPUTED_VALUE"""),"DCE")</f>
        <v>DCE</v>
      </c>
      <c r="E494" s="44">
        <f ca="1">IFERROR(__xludf.DUMMYFUNCTION("""COMPUTED_VALUE"""),4)</f>
        <v>4</v>
      </c>
      <c r="F494" s="42" t="str">
        <f ca="1">IFERROR(__xludf.DUMMYFUNCTION("""COMPUTED_VALUE"""),"INTERNATIONAL")</f>
        <v>INTERNATIONAL</v>
      </c>
      <c r="G494" s="42" t="str">
        <f ca="1">IFERROR(__xludf.DUMMYFUNCTION("""COMPUTED_VALUE"""),"INR FEE STUDENT")</f>
        <v>INR FEE STUDENT</v>
      </c>
      <c r="H494" s="2" t="str">
        <f ca="1">IFERROR(__xludf.DUMMYFUNCTION("""COMPUTED_VALUE"""),"DCE_2022-25")</f>
        <v>DCE_2022-25</v>
      </c>
      <c r="I494" s="45"/>
      <c r="J494" s="46">
        <f ca="1">IFERROR(__xludf.DUMMYFUNCTION("""COMPUTED_VALUE"""),37500)</f>
        <v>37500</v>
      </c>
      <c r="K494" s="46">
        <f ca="1">IFERROR(__xludf.DUMMYFUNCTION("""COMPUTED_VALUE"""),37500)</f>
        <v>37500</v>
      </c>
      <c r="L494" s="46">
        <f ca="1">IFERROR(__xludf.DUMMYFUNCTION("""COMPUTED_VALUE"""),0)</f>
        <v>0</v>
      </c>
      <c r="M494" s="47">
        <f ca="1">IFERROR(__xludf.DUMMYFUNCTION("""COMPUTED_VALUE"""),0)</f>
        <v>0</v>
      </c>
      <c r="N494" s="46">
        <f ca="1">IFERROR(__xludf.DUMMYFUNCTION("""COMPUTED_VALUE"""),0)</f>
        <v>0</v>
      </c>
      <c r="O494" s="46">
        <f ca="1">IFERROR(__xludf.DUMMYFUNCTION("""COMPUTED_VALUE"""),0)</f>
        <v>0</v>
      </c>
      <c r="P494" s="46">
        <f ca="1">IFERROR(__xludf.DUMMYFUNCTION("""COMPUTED_VALUE"""),0)</f>
        <v>0</v>
      </c>
      <c r="Q494" s="47">
        <f ca="1">IFERROR(__xludf.DUMMYFUNCTION("""COMPUTED_VALUE"""),0)</f>
        <v>0</v>
      </c>
      <c r="R494" s="24">
        <f ca="1">IFERROR(__xludf.DUMMYFUNCTION("""COMPUTED_VALUE"""),0)</f>
        <v>0</v>
      </c>
      <c r="S494" s="23">
        <f ca="1">IFERROR(__xludf.DUMMYFUNCTION("""COMPUTED_VALUE"""),0)</f>
        <v>0</v>
      </c>
      <c r="T494" s="48">
        <f ca="1">IFERROR(__xludf.DUMMYFUNCTION("""COMPUTED_VALUE"""),0)</f>
        <v>0</v>
      </c>
      <c r="U494" s="47">
        <f ca="1">IFERROR(__xludf.DUMMYFUNCTION("""COMPUTED_VALUE"""),0)</f>
        <v>0</v>
      </c>
      <c r="V494" s="47">
        <f ca="1">IFERROR(__xludf.DUMMYFUNCTION("""COMPUTED_VALUE"""),0)</f>
        <v>0</v>
      </c>
      <c r="W494" s="47">
        <f ca="1">IFERROR(__xludf.DUMMYFUNCTION("""COMPUTED_VALUE"""),0)</f>
        <v>0</v>
      </c>
      <c r="X494" s="47">
        <f ca="1">IFERROR(__xludf.DUMMYFUNCTION("""COMPUTED_VALUE"""),0)</f>
        <v>0</v>
      </c>
      <c r="Y494" s="44">
        <f ca="1">IFERROR(__xludf.DUMMYFUNCTION("""COMPUTED_VALUE"""),0)</f>
        <v>0</v>
      </c>
      <c r="Z494" s="44">
        <f ca="1">IFERROR(__xludf.DUMMYFUNCTION("""COMPUTED_VALUE"""),0)</f>
        <v>0</v>
      </c>
      <c r="AA494" s="44">
        <f ca="1">IFERROR(__xludf.DUMMYFUNCTION("""COMPUTED_VALUE"""),0)</f>
        <v>0</v>
      </c>
      <c r="AB494" s="44">
        <f ca="1">IFERROR(__xludf.DUMMYFUNCTION("""COMPUTED_VALUE"""),0)</f>
        <v>0</v>
      </c>
      <c r="AC494" s="47">
        <f ca="1">IFERROR(__xludf.DUMMYFUNCTION("""COMPUTED_VALUE"""),0)</f>
        <v>0</v>
      </c>
      <c r="AD494" s="49"/>
      <c r="AE494" s="27"/>
    </row>
    <row r="495" spans="1:31" ht="14.3">
      <c r="A495" s="42" t="str">
        <f ca="1">IFERROR(__xludf.DUMMYFUNCTION("""COMPUTED_VALUE"""),"22SDSCE01621")</f>
        <v>22SDSCE01621</v>
      </c>
      <c r="B495" s="43" t="str">
        <f ca="1">IFERROR(__xludf.DUMMYFUNCTION("""COMPUTED_VALUE"""),"ABDUL HAKIM")</f>
        <v>ABDUL HAKIM</v>
      </c>
      <c r="C495" s="42" t="str">
        <f ca="1">IFERROR(__xludf.DUMMYFUNCTION("""COMPUTED_VALUE"""),"SDS")</f>
        <v>SDS</v>
      </c>
      <c r="D495" s="42" t="str">
        <f ca="1">IFERROR(__xludf.DUMMYFUNCTION("""COMPUTED_VALUE"""),"DCE")</f>
        <v>DCE</v>
      </c>
      <c r="E495" s="44">
        <f ca="1">IFERROR(__xludf.DUMMYFUNCTION("""COMPUTED_VALUE"""),4)</f>
        <v>4</v>
      </c>
      <c r="F495" s="42" t="str">
        <f ca="1">IFERROR(__xludf.DUMMYFUNCTION("""COMPUTED_VALUE"""),"INTERNATIONAL")</f>
        <v>INTERNATIONAL</v>
      </c>
      <c r="G495" s="42" t="str">
        <f ca="1">IFERROR(__xludf.DUMMYFUNCTION("""COMPUTED_VALUE"""),"INR FEE STUDENT")</f>
        <v>INR FEE STUDENT</v>
      </c>
      <c r="H495" s="2" t="str">
        <f ca="1">IFERROR(__xludf.DUMMYFUNCTION("""COMPUTED_VALUE"""),"DCE_2022-25")</f>
        <v>DCE_2022-25</v>
      </c>
      <c r="I495" s="45"/>
      <c r="J495" s="46">
        <f ca="1">IFERROR(__xludf.DUMMYFUNCTION("""COMPUTED_VALUE"""),37500)</f>
        <v>37500</v>
      </c>
      <c r="K495" s="46">
        <f ca="1">IFERROR(__xludf.DUMMYFUNCTION("""COMPUTED_VALUE"""),37500)</f>
        <v>37500</v>
      </c>
      <c r="L495" s="46">
        <f ca="1">IFERROR(__xludf.DUMMYFUNCTION("""COMPUTED_VALUE"""),0)</f>
        <v>0</v>
      </c>
      <c r="M495" s="47">
        <f ca="1">IFERROR(__xludf.DUMMYFUNCTION("""COMPUTED_VALUE"""),0)</f>
        <v>0</v>
      </c>
      <c r="N495" s="46">
        <f ca="1">IFERROR(__xludf.DUMMYFUNCTION("""COMPUTED_VALUE"""),0)</f>
        <v>0</v>
      </c>
      <c r="O495" s="46">
        <f ca="1">IFERROR(__xludf.DUMMYFUNCTION("""COMPUTED_VALUE"""),0)</f>
        <v>0</v>
      </c>
      <c r="P495" s="46">
        <f ca="1">IFERROR(__xludf.DUMMYFUNCTION("""COMPUTED_VALUE"""),0)</f>
        <v>0</v>
      </c>
      <c r="Q495" s="47">
        <f ca="1">IFERROR(__xludf.DUMMYFUNCTION("""COMPUTED_VALUE"""),0)</f>
        <v>0</v>
      </c>
      <c r="R495" s="24">
        <f ca="1">IFERROR(__xludf.DUMMYFUNCTION("""COMPUTED_VALUE"""),0)</f>
        <v>0</v>
      </c>
      <c r="S495" s="23">
        <f ca="1">IFERROR(__xludf.DUMMYFUNCTION("""COMPUTED_VALUE"""),0)</f>
        <v>0</v>
      </c>
      <c r="T495" s="48">
        <f ca="1">IFERROR(__xludf.DUMMYFUNCTION("""COMPUTED_VALUE"""),0)</f>
        <v>0</v>
      </c>
      <c r="U495" s="47">
        <f ca="1">IFERROR(__xludf.DUMMYFUNCTION("""COMPUTED_VALUE"""),0)</f>
        <v>0</v>
      </c>
      <c r="V495" s="47">
        <f ca="1">IFERROR(__xludf.DUMMYFUNCTION("""COMPUTED_VALUE"""),0)</f>
        <v>0</v>
      </c>
      <c r="W495" s="47">
        <f ca="1">IFERROR(__xludf.DUMMYFUNCTION("""COMPUTED_VALUE"""),0)</f>
        <v>0</v>
      </c>
      <c r="X495" s="47">
        <f ca="1">IFERROR(__xludf.DUMMYFUNCTION("""COMPUTED_VALUE"""),0)</f>
        <v>0</v>
      </c>
      <c r="Y495" s="44">
        <f ca="1">IFERROR(__xludf.DUMMYFUNCTION("""COMPUTED_VALUE"""),0)</f>
        <v>0</v>
      </c>
      <c r="Z495" s="44">
        <f ca="1">IFERROR(__xludf.DUMMYFUNCTION("""COMPUTED_VALUE"""),0)</f>
        <v>0</v>
      </c>
      <c r="AA495" s="44">
        <f ca="1">IFERROR(__xludf.DUMMYFUNCTION("""COMPUTED_VALUE"""),0)</f>
        <v>0</v>
      </c>
      <c r="AB495" s="44">
        <f ca="1">IFERROR(__xludf.DUMMYFUNCTION("""COMPUTED_VALUE"""),0)</f>
        <v>0</v>
      </c>
      <c r="AC495" s="47">
        <f ca="1">IFERROR(__xludf.DUMMYFUNCTION("""COMPUTED_VALUE"""),0)</f>
        <v>0</v>
      </c>
      <c r="AD495" s="49"/>
      <c r="AE495" s="27"/>
    </row>
    <row r="496" spans="1:31" ht="14.3">
      <c r="A496" s="42" t="str">
        <f ca="1">IFERROR(__xludf.DUMMYFUNCTION("""COMPUTED_VALUE"""),"22SDSCE01622")</f>
        <v>22SDSCE01622</v>
      </c>
      <c r="B496" s="43" t="str">
        <f ca="1">IFERROR(__xludf.DUMMYFUNCTION("""COMPUTED_VALUE"""),"KRISHAN KANT SAH")</f>
        <v>KRISHAN KANT SAH</v>
      </c>
      <c r="C496" s="42" t="str">
        <f ca="1">IFERROR(__xludf.DUMMYFUNCTION("""COMPUTED_VALUE"""),"SDS")</f>
        <v>SDS</v>
      </c>
      <c r="D496" s="42" t="str">
        <f ca="1">IFERROR(__xludf.DUMMYFUNCTION("""COMPUTED_VALUE"""),"DCE")</f>
        <v>DCE</v>
      </c>
      <c r="E496" s="44">
        <f ca="1">IFERROR(__xludf.DUMMYFUNCTION("""COMPUTED_VALUE"""),4)</f>
        <v>4</v>
      </c>
      <c r="F496" s="42" t="str">
        <f ca="1">IFERROR(__xludf.DUMMYFUNCTION("""COMPUTED_VALUE"""),"INTERNATIONAL")</f>
        <v>INTERNATIONAL</v>
      </c>
      <c r="G496" s="42" t="str">
        <f ca="1">IFERROR(__xludf.DUMMYFUNCTION("""COMPUTED_VALUE"""),"INR FEE STUDENT")</f>
        <v>INR FEE STUDENT</v>
      </c>
      <c r="H496" s="2" t="str">
        <f ca="1">IFERROR(__xludf.DUMMYFUNCTION("""COMPUTED_VALUE"""),"DCE_2022-25")</f>
        <v>DCE_2022-25</v>
      </c>
      <c r="I496" s="45"/>
      <c r="J496" s="46">
        <f ca="1">IFERROR(__xludf.DUMMYFUNCTION("""COMPUTED_VALUE"""),37500)</f>
        <v>37500</v>
      </c>
      <c r="K496" s="46">
        <f ca="1">IFERROR(__xludf.DUMMYFUNCTION("""COMPUTED_VALUE"""),37500)</f>
        <v>37500</v>
      </c>
      <c r="L496" s="46">
        <f ca="1">IFERROR(__xludf.DUMMYFUNCTION("""COMPUTED_VALUE"""),0)</f>
        <v>0</v>
      </c>
      <c r="M496" s="47">
        <f ca="1">IFERROR(__xludf.DUMMYFUNCTION("""COMPUTED_VALUE"""),0)</f>
        <v>0</v>
      </c>
      <c r="N496" s="46">
        <f ca="1">IFERROR(__xludf.DUMMYFUNCTION("""COMPUTED_VALUE"""),0)</f>
        <v>0</v>
      </c>
      <c r="O496" s="46">
        <f ca="1">IFERROR(__xludf.DUMMYFUNCTION("""COMPUTED_VALUE"""),0)</f>
        <v>0</v>
      </c>
      <c r="P496" s="46">
        <f ca="1">IFERROR(__xludf.DUMMYFUNCTION("""COMPUTED_VALUE"""),0)</f>
        <v>0</v>
      </c>
      <c r="Q496" s="47">
        <f ca="1">IFERROR(__xludf.DUMMYFUNCTION("""COMPUTED_VALUE"""),0)</f>
        <v>0</v>
      </c>
      <c r="R496" s="24">
        <f ca="1">IFERROR(__xludf.DUMMYFUNCTION("""COMPUTED_VALUE"""),0)</f>
        <v>0</v>
      </c>
      <c r="S496" s="23">
        <f ca="1">IFERROR(__xludf.DUMMYFUNCTION("""COMPUTED_VALUE"""),0)</f>
        <v>0</v>
      </c>
      <c r="T496" s="48">
        <f ca="1">IFERROR(__xludf.DUMMYFUNCTION("""COMPUTED_VALUE"""),0)</f>
        <v>0</v>
      </c>
      <c r="U496" s="47">
        <f ca="1">IFERROR(__xludf.DUMMYFUNCTION("""COMPUTED_VALUE"""),0)</f>
        <v>0</v>
      </c>
      <c r="V496" s="47">
        <f ca="1">IFERROR(__xludf.DUMMYFUNCTION("""COMPUTED_VALUE"""),0)</f>
        <v>0</v>
      </c>
      <c r="W496" s="47">
        <f ca="1">IFERROR(__xludf.DUMMYFUNCTION("""COMPUTED_VALUE"""),0)</f>
        <v>0</v>
      </c>
      <c r="X496" s="47">
        <f ca="1">IFERROR(__xludf.DUMMYFUNCTION("""COMPUTED_VALUE"""),0)</f>
        <v>0</v>
      </c>
      <c r="Y496" s="44">
        <f ca="1">IFERROR(__xludf.DUMMYFUNCTION("""COMPUTED_VALUE"""),0)</f>
        <v>0</v>
      </c>
      <c r="Z496" s="44">
        <f ca="1">IFERROR(__xludf.DUMMYFUNCTION("""COMPUTED_VALUE"""),0)</f>
        <v>0</v>
      </c>
      <c r="AA496" s="44">
        <f ca="1">IFERROR(__xludf.DUMMYFUNCTION("""COMPUTED_VALUE"""),0)</f>
        <v>0</v>
      </c>
      <c r="AB496" s="44">
        <f ca="1">IFERROR(__xludf.DUMMYFUNCTION("""COMPUTED_VALUE"""),0)</f>
        <v>0</v>
      </c>
      <c r="AC496" s="47">
        <f ca="1">IFERROR(__xludf.DUMMYFUNCTION("""COMPUTED_VALUE"""),0)</f>
        <v>0</v>
      </c>
      <c r="AD496" s="49"/>
      <c r="AE496" s="27"/>
    </row>
    <row r="497" spans="1:31" ht="14.3">
      <c r="A497" s="42" t="str">
        <f ca="1">IFERROR(__xludf.DUMMYFUNCTION("""COMPUTED_VALUE"""),"22SDSCE01623")</f>
        <v>22SDSCE01623</v>
      </c>
      <c r="B497" s="43" t="str">
        <f ca="1">IFERROR(__xludf.DUMMYFUNCTION("""COMPUTED_VALUE"""),"ANUP THAKUR")</f>
        <v>ANUP THAKUR</v>
      </c>
      <c r="C497" s="42" t="str">
        <f ca="1">IFERROR(__xludf.DUMMYFUNCTION("""COMPUTED_VALUE"""),"SDS")</f>
        <v>SDS</v>
      </c>
      <c r="D497" s="42" t="str">
        <f ca="1">IFERROR(__xludf.DUMMYFUNCTION("""COMPUTED_VALUE"""),"DCE")</f>
        <v>DCE</v>
      </c>
      <c r="E497" s="44">
        <f ca="1">IFERROR(__xludf.DUMMYFUNCTION("""COMPUTED_VALUE"""),4)</f>
        <v>4</v>
      </c>
      <c r="F497" s="42" t="str">
        <f ca="1">IFERROR(__xludf.DUMMYFUNCTION("""COMPUTED_VALUE"""),"INTERNATIONAL")</f>
        <v>INTERNATIONAL</v>
      </c>
      <c r="G497" s="42" t="str">
        <f ca="1">IFERROR(__xludf.DUMMYFUNCTION("""COMPUTED_VALUE"""),"INR FEE STUDENT")</f>
        <v>INR FEE STUDENT</v>
      </c>
      <c r="H497" s="2" t="str">
        <f ca="1">IFERROR(__xludf.DUMMYFUNCTION("""COMPUTED_VALUE"""),"DCE_2022-25")</f>
        <v>DCE_2022-25</v>
      </c>
      <c r="I497" s="45"/>
      <c r="J497" s="46">
        <f ca="1">IFERROR(__xludf.DUMMYFUNCTION("""COMPUTED_VALUE"""),37500)</f>
        <v>37500</v>
      </c>
      <c r="K497" s="46">
        <f ca="1">IFERROR(__xludf.DUMMYFUNCTION("""COMPUTED_VALUE"""),37500)</f>
        <v>37500</v>
      </c>
      <c r="L497" s="46">
        <f ca="1">IFERROR(__xludf.DUMMYFUNCTION("""COMPUTED_VALUE"""),0)</f>
        <v>0</v>
      </c>
      <c r="M497" s="47">
        <f ca="1">IFERROR(__xludf.DUMMYFUNCTION("""COMPUTED_VALUE"""),0)</f>
        <v>0</v>
      </c>
      <c r="N497" s="46">
        <f ca="1">IFERROR(__xludf.DUMMYFUNCTION("""COMPUTED_VALUE"""),0)</f>
        <v>0</v>
      </c>
      <c r="O497" s="46">
        <f ca="1">IFERROR(__xludf.DUMMYFUNCTION("""COMPUTED_VALUE"""),0)</f>
        <v>0</v>
      </c>
      <c r="P497" s="46">
        <f ca="1">IFERROR(__xludf.DUMMYFUNCTION("""COMPUTED_VALUE"""),0)</f>
        <v>0</v>
      </c>
      <c r="Q497" s="47">
        <f ca="1">IFERROR(__xludf.DUMMYFUNCTION("""COMPUTED_VALUE"""),0)</f>
        <v>0</v>
      </c>
      <c r="R497" s="24">
        <f ca="1">IFERROR(__xludf.DUMMYFUNCTION("""COMPUTED_VALUE"""),0)</f>
        <v>0</v>
      </c>
      <c r="S497" s="23">
        <f ca="1">IFERROR(__xludf.DUMMYFUNCTION("""COMPUTED_VALUE"""),0)</f>
        <v>0</v>
      </c>
      <c r="T497" s="48">
        <f ca="1">IFERROR(__xludf.DUMMYFUNCTION("""COMPUTED_VALUE"""),0)</f>
        <v>0</v>
      </c>
      <c r="U497" s="47">
        <f ca="1">IFERROR(__xludf.DUMMYFUNCTION("""COMPUTED_VALUE"""),0)</f>
        <v>0</v>
      </c>
      <c r="V497" s="47">
        <f ca="1">IFERROR(__xludf.DUMMYFUNCTION("""COMPUTED_VALUE"""),0)</f>
        <v>0</v>
      </c>
      <c r="W497" s="47">
        <f ca="1">IFERROR(__xludf.DUMMYFUNCTION("""COMPUTED_VALUE"""),0)</f>
        <v>0</v>
      </c>
      <c r="X497" s="47">
        <f ca="1">IFERROR(__xludf.DUMMYFUNCTION("""COMPUTED_VALUE"""),0)</f>
        <v>0</v>
      </c>
      <c r="Y497" s="44">
        <f ca="1">IFERROR(__xludf.DUMMYFUNCTION("""COMPUTED_VALUE"""),0)</f>
        <v>0</v>
      </c>
      <c r="Z497" s="44">
        <f ca="1">IFERROR(__xludf.DUMMYFUNCTION("""COMPUTED_VALUE"""),0)</f>
        <v>0</v>
      </c>
      <c r="AA497" s="44">
        <f ca="1">IFERROR(__xludf.DUMMYFUNCTION("""COMPUTED_VALUE"""),0)</f>
        <v>0</v>
      </c>
      <c r="AB497" s="44">
        <f ca="1">IFERROR(__xludf.DUMMYFUNCTION("""COMPUTED_VALUE"""),0)</f>
        <v>0</v>
      </c>
      <c r="AC497" s="47">
        <f ca="1">IFERROR(__xludf.DUMMYFUNCTION("""COMPUTED_VALUE"""),0)</f>
        <v>0</v>
      </c>
      <c r="AD497" s="49"/>
      <c r="AE497" s="27"/>
    </row>
    <row r="498" spans="1:31" ht="14.3">
      <c r="A498" s="42" t="str">
        <f ca="1">IFERROR(__xludf.DUMMYFUNCTION("""COMPUTED_VALUE"""),"22SDSCE01624")</f>
        <v>22SDSCE01624</v>
      </c>
      <c r="B498" s="43" t="str">
        <f ca="1">IFERROR(__xludf.DUMMYFUNCTION("""COMPUTED_VALUE"""),"SUDIP CHAUDHARY")</f>
        <v>SUDIP CHAUDHARY</v>
      </c>
      <c r="C498" s="42" t="str">
        <f ca="1">IFERROR(__xludf.DUMMYFUNCTION("""COMPUTED_VALUE"""),"SDS")</f>
        <v>SDS</v>
      </c>
      <c r="D498" s="42" t="str">
        <f ca="1">IFERROR(__xludf.DUMMYFUNCTION("""COMPUTED_VALUE"""),"DCE")</f>
        <v>DCE</v>
      </c>
      <c r="E498" s="44">
        <f ca="1">IFERROR(__xludf.DUMMYFUNCTION("""COMPUTED_VALUE"""),4)</f>
        <v>4</v>
      </c>
      <c r="F498" s="42" t="str">
        <f ca="1">IFERROR(__xludf.DUMMYFUNCTION("""COMPUTED_VALUE"""),"INTERNATIONAL")</f>
        <v>INTERNATIONAL</v>
      </c>
      <c r="G498" s="42" t="str">
        <f ca="1">IFERROR(__xludf.DUMMYFUNCTION("""COMPUTED_VALUE"""),"INR FEE STUDENT")</f>
        <v>INR FEE STUDENT</v>
      </c>
      <c r="H498" s="2" t="str">
        <f ca="1">IFERROR(__xludf.DUMMYFUNCTION("""COMPUTED_VALUE"""),"DCE_2022-25")</f>
        <v>DCE_2022-25</v>
      </c>
      <c r="I498" s="45"/>
      <c r="J498" s="46">
        <f ca="1">IFERROR(__xludf.DUMMYFUNCTION("""COMPUTED_VALUE"""),37500)</f>
        <v>37500</v>
      </c>
      <c r="K498" s="46">
        <f ca="1">IFERROR(__xludf.DUMMYFUNCTION("""COMPUTED_VALUE"""),37500)</f>
        <v>37500</v>
      </c>
      <c r="L498" s="46">
        <f ca="1">IFERROR(__xludf.DUMMYFUNCTION("""COMPUTED_VALUE"""),0)</f>
        <v>0</v>
      </c>
      <c r="M498" s="47">
        <f ca="1">IFERROR(__xludf.DUMMYFUNCTION("""COMPUTED_VALUE"""),0)</f>
        <v>0</v>
      </c>
      <c r="N498" s="46">
        <f ca="1">IFERROR(__xludf.DUMMYFUNCTION("""COMPUTED_VALUE"""),0)</f>
        <v>0</v>
      </c>
      <c r="O498" s="46">
        <f ca="1">IFERROR(__xludf.DUMMYFUNCTION("""COMPUTED_VALUE"""),0)</f>
        <v>0</v>
      </c>
      <c r="P498" s="46">
        <f ca="1">IFERROR(__xludf.DUMMYFUNCTION("""COMPUTED_VALUE"""),0)</f>
        <v>0</v>
      </c>
      <c r="Q498" s="47">
        <f ca="1">IFERROR(__xludf.DUMMYFUNCTION("""COMPUTED_VALUE"""),0)</f>
        <v>0</v>
      </c>
      <c r="R498" s="24">
        <f ca="1">IFERROR(__xludf.DUMMYFUNCTION("""COMPUTED_VALUE"""),0)</f>
        <v>0</v>
      </c>
      <c r="S498" s="23">
        <f ca="1">IFERROR(__xludf.DUMMYFUNCTION("""COMPUTED_VALUE"""),0)</f>
        <v>0</v>
      </c>
      <c r="T498" s="48">
        <f ca="1">IFERROR(__xludf.DUMMYFUNCTION("""COMPUTED_VALUE"""),0)</f>
        <v>0</v>
      </c>
      <c r="U498" s="47">
        <f ca="1">IFERROR(__xludf.DUMMYFUNCTION("""COMPUTED_VALUE"""),0)</f>
        <v>0</v>
      </c>
      <c r="V498" s="47">
        <f ca="1">IFERROR(__xludf.DUMMYFUNCTION("""COMPUTED_VALUE"""),0)</f>
        <v>0</v>
      </c>
      <c r="W498" s="47">
        <f ca="1">IFERROR(__xludf.DUMMYFUNCTION("""COMPUTED_VALUE"""),0)</f>
        <v>0</v>
      </c>
      <c r="X498" s="47">
        <f ca="1">IFERROR(__xludf.DUMMYFUNCTION("""COMPUTED_VALUE"""),0)</f>
        <v>0</v>
      </c>
      <c r="Y498" s="44">
        <f ca="1">IFERROR(__xludf.DUMMYFUNCTION("""COMPUTED_VALUE"""),0)</f>
        <v>0</v>
      </c>
      <c r="Z498" s="44">
        <f ca="1">IFERROR(__xludf.DUMMYFUNCTION("""COMPUTED_VALUE"""),0)</f>
        <v>0</v>
      </c>
      <c r="AA498" s="44">
        <f ca="1">IFERROR(__xludf.DUMMYFUNCTION("""COMPUTED_VALUE"""),0)</f>
        <v>0</v>
      </c>
      <c r="AB498" s="44">
        <f ca="1">IFERROR(__xludf.DUMMYFUNCTION("""COMPUTED_VALUE"""),0)</f>
        <v>0</v>
      </c>
      <c r="AC498" s="47">
        <f ca="1">IFERROR(__xludf.DUMMYFUNCTION("""COMPUTED_VALUE"""),0)</f>
        <v>0</v>
      </c>
      <c r="AD498" s="49"/>
      <c r="AE498" s="27"/>
    </row>
    <row r="499" spans="1:31" ht="14.3">
      <c r="A499" s="42" t="str">
        <f ca="1">IFERROR(__xludf.DUMMYFUNCTION("""COMPUTED_VALUE"""),"22SDSCE01625")</f>
        <v>22SDSCE01625</v>
      </c>
      <c r="B499" s="43" t="str">
        <f ca="1">IFERROR(__xludf.DUMMYFUNCTION("""COMPUTED_VALUE"""),"SHIV SAGAR KOHAR")</f>
        <v>SHIV SAGAR KOHAR</v>
      </c>
      <c r="C499" s="42" t="str">
        <f ca="1">IFERROR(__xludf.DUMMYFUNCTION("""COMPUTED_VALUE"""),"SDS")</f>
        <v>SDS</v>
      </c>
      <c r="D499" s="42" t="str">
        <f ca="1">IFERROR(__xludf.DUMMYFUNCTION("""COMPUTED_VALUE"""),"DCE")</f>
        <v>DCE</v>
      </c>
      <c r="E499" s="44">
        <f ca="1">IFERROR(__xludf.DUMMYFUNCTION("""COMPUTED_VALUE"""),4)</f>
        <v>4</v>
      </c>
      <c r="F499" s="42" t="str">
        <f ca="1">IFERROR(__xludf.DUMMYFUNCTION("""COMPUTED_VALUE"""),"INTERNATIONAL")</f>
        <v>INTERNATIONAL</v>
      </c>
      <c r="G499" s="42" t="str">
        <f ca="1">IFERROR(__xludf.DUMMYFUNCTION("""COMPUTED_VALUE"""),"INR FEE STUDENT")</f>
        <v>INR FEE STUDENT</v>
      </c>
      <c r="H499" s="2" t="str">
        <f ca="1">IFERROR(__xludf.DUMMYFUNCTION("""COMPUTED_VALUE"""),"DCE_2022-25")</f>
        <v>DCE_2022-25</v>
      </c>
      <c r="I499" s="45"/>
      <c r="J499" s="46">
        <f ca="1">IFERROR(__xludf.DUMMYFUNCTION("""COMPUTED_VALUE"""),37500)</f>
        <v>37500</v>
      </c>
      <c r="K499" s="46">
        <f ca="1">IFERROR(__xludf.DUMMYFUNCTION("""COMPUTED_VALUE"""),37500)</f>
        <v>37500</v>
      </c>
      <c r="L499" s="46">
        <f ca="1">IFERROR(__xludf.DUMMYFUNCTION("""COMPUTED_VALUE"""),0)</f>
        <v>0</v>
      </c>
      <c r="M499" s="47">
        <f ca="1">IFERROR(__xludf.DUMMYFUNCTION("""COMPUTED_VALUE"""),0)</f>
        <v>0</v>
      </c>
      <c r="N499" s="46">
        <f ca="1">IFERROR(__xludf.DUMMYFUNCTION("""COMPUTED_VALUE"""),0)</f>
        <v>0</v>
      </c>
      <c r="O499" s="46">
        <f ca="1">IFERROR(__xludf.DUMMYFUNCTION("""COMPUTED_VALUE"""),0)</f>
        <v>0</v>
      </c>
      <c r="P499" s="46">
        <f ca="1">IFERROR(__xludf.DUMMYFUNCTION("""COMPUTED_VALUE"""),0)</f>
        <v>0</v>
      </c>
      <c r="Q499" s="47">
        <f ca="1">IFERROR(__xludf.DUMMYFUNCTION("""COMPUTED_VALUE"""),0)</f>
        <v>0</v>
      </c>
      <c r="R499" s="24">
        <f ca="1">IFERROR(__xludf.DUMMYFUNCTION("""COMPUTED_VALUE"""),0)</f>
        <v>0</v>
      </c>
      <c r="S499" s="23">
        <f ca="1">IFERROR(__xludf.DUMMYFUNCTION("""COMPUTED_VALUE"""),0)</f>
        <v>0</v>
      </c>
      <c r="T499" s="48">
        <f ca="1">IFERROR(__xludf.DUMMYFUNCTION("""COMPUTED_VALUE"""),0)</f>
        <v>0</v>
      </c>
      <c r="U499" s="47">
        <f ca="1">IFERROR(__xludf.DUMMYFUNCTION("""COMPUTED_VALUE"""),0)</f>
        <v>0</v>
      </c>
      <c r="V499" s="47">
        <f ca="1">IFERROR(__xludf.DUMMYFUNCTION("""COMPUTED_VALUE"""),0)</f>
        <v>0</v>
      </c>
      <c r="W499" s="47">
        <f ca="1">IFERROR(__xludf.DUMMYFUNCTION("""COMPUTED_VALUE"""),0)</f>
        <v>0</v>
      </c>
      <c r="X499" s="47">
        <f ca="1">IFERROR(__xludf.DUMMYFUNCTION("""COMPUTED_VALUE"""),0)</f>
        <v>0</v>
      </c>
      <c r="Y499" s="44">
        <f ca="1">IFERROR(__xludf.DUMMYFUNCTION("""COMPUTED_VALUE"""),0)</f>
        <v>0</v>
      </c>
      <c r="Z499" s="44">
        <f ca="1">IFERROR(__xludf.DUMMYFUNCTION("""COMPUTED_VALUE"""),0)</f>
        <v>0</v>
      </c>
      <c r="AA499" s="44">
        <f ca="1">IFERROR(__xludf.DUMMYFUNCTION("""COMPUTED_VALUE"""),0)</f>
        <v>0</v>
      </c>
      <c r="AB499" s="44">
        <f ca="1">IFERROR(__xludf.DUMMYFUNCTION("""COMPUTED_VALUE"""),0)</f>
        <v>0</v>
      </c>
      <c r="AC499" s="47">
        <f ca="1">IFERROR(__xludf.DUMMYFUNCTION("""COMPUTED_VALUE"""),0)</f>
        <v>0</v>
      </c>
      <c r="AD499" s="49"/>
      <c r="AE499" s="27"/>
    </row>
    <row r="500" spans="1:31" ht="14.3">
      <c r="A500" s="42" t="str">
        <f ca="1">IFERROR(__xludf.DUMMYFUNCTION("""COMPUTED_VALUE"""),"23SDSCE03901")</f>
        <v>23SDSCE03901</v>
      </c>
      <c r="B500" s="43" t="str">
        <f ca="1">IFERROR(__xludf.DUMMYFUNCTION("""COMPUTED_VALUE"""),"MUNGRA RAJ NILESH")</f>
        <v>MUNGRA RAJ NILESH</v>
      </c>
      <c r="C500" s="42" t="str">
        <f ca="1">IFERROR(__xludf.DUMMYFUNCTION("""COMPUTED_VALUE"""),"SDS")</f>
        <v>SDS</v>
      </c>
      <c r="D500" s="42" t="str">
        <f ca="1">IFERROR(__xludf.DUMMYFUNCTION("""COMPUTED_VALUE"""),"DCE")</f>
        <v>DCE</v>
      </c>
      <c r="E500" s="44">
        <f ca="1">IFERROR(__xludf.DUMMYFUNCTION("""COMPUTED_VALUE"""),4)</f>
        <v>4</v>
      </c>
      <c r="F500" s="42" t="str">
        <f ca="1">IFERROR(__xludf.DUMMYFUNCTION("""COMPUTED_VALUE"""),"7984658690
8141890031")</f>
        <v>7984658690
8141890031</v>
      </c>
      <c r="G500" s="42" t="str">
        <f ca="1">IFERROR(__xludf.DUMMYFUNCTION("""COMPUTED_VALUE"""),"7984658690
8141890031")</f>
        <v>7984658690
8141890031</v>
      </c>
      <c r="H500" s="2" t="str">
        <f ca="1">IFERROR(__xludf.DUMMYFUNCTION("""COMPUTED_VALUE"""),"DCE_2022-25")</f>
        <v>DCE_2022-25</v>
      </c>
      <c r="I500" s="45"/>
      <c r="J500" s="46">
        <f ca="1">IFERROR(__xludf.DUMMYFUNCTION("""COMPUTED_VALUE"""),25000)</f>
        <v>25000</v>
      </c>
      <c r="K500" s="46">
        <f ca="1">IFERROR(__xludf.DUMMYFUNCTION("""COMPUTED_VALUE"""),25000)</f>
        <v>25000</v>
      </c>
      <c r="L500" s="46">
        <f ca="1">IFERROR(__xludf.DUMMYFUNCTION("""COMPUTED_VALUE"""),0)</f>
        <v>0</v>
      </c>
      <c r="M500" s="47">
        <f ca="1">IFERROR(__xludf.DUMMYFUNCTION("""COMPUTED_VALUE"""),0)</f>
        <v>0</v>
      </c>
      <c r="N500" s="46">
        <f ca="1">IFERROR(__xludf.DUMMYFUNCTION("""COMPUTED_VALUE"""),0)</f>
        <v>0</v>
      </c>
      <c r="O500" s="46">
        <f ca="1">IFERROR(__xludf.DUMMYFUNCTION("""COMPUTED_VALUE"""),3000)</f>
        <v>3000</v>
      </c>
      <c r="P500" s="46">
        <f ca="1">IFERROR(__xludf.DUMMYFUNCTION("""COMPUTED_VALUE"""),3000)</f>
        <v>3000</v>
      </c>
      <c r="Q500" s="47">
        <f ca="1">IFERROR(__xludf.DUMMYFUNCTION("""COMPUTED_VALUE"""),0)</f>
        <v>0</v>
      </c>
      <c r="R500" s="24">
        <f ca="1">IFERROR(__xludf.DUMMYFUNCTION("""COMPUTED_VALUE"""),0)</f>
        <v>0</v>
      </c>
      <c r="S500" s="23">
        <f ca="1">IFERROR(__xludf.DUMMYFUNCTION("""COMPUTED_VALUE"""),0)</f>
        <v>0</v>
      </c>
      <c r="T500" s="48">
        <f ca="1">IFERROR(__xludf.DUMMYFUNCTION("""COMPUTED_VALUE"""),0)</f>
        <v>0</v>
      </c>
      <c r="U500" s="47">
        <f ca="1">IFERROR(__xludf.DUMMYFUNCTION("""COMPUTED_VALUE"""),0)</f>
        <v>0</v>
      </c>
      <c r="V500" s="47">
        <f ca="1">IFERROR(__xludf.DUMMYFUNCTION("""COMPUTED_VALUE"""),0)</f>
        <v>0</v>
      </c>
      <c r="W500" s="47">
        <f ca="1">IFERROR(__xludf.DUMMYFUNCTION("""COMPUTED_VALUE"""),0)</f>
        <v>0</v>
      </c>
      <c r="X500" s="47">
        <f ca="1">IFERROR(__xludf.DUMMYFUNCTION("""COMPUTED_VALUE"""),0)</f>
        <v>0</v>
      </c>
      <c r="Y500" s="44">
        <f ca="1">IFERROR(__xludf.DUMMYFUNCTION("""COMPUTED_VALUE"""),0)</f>
        <v>0</v>
      </c>
      <c r="Z500" s="44">
        <f ca="1">IFERROR(__xludf.DUMMYFUNCTION("""COMPUTED_VALUE"""),0)</f>
        <v>0</v>
      </c>
      <c r="AA500" s="44">
        <f ca="1">IFERROR(__xludf.DUMMYFUNCTION("""COMPUTED_VALUE"""),0)</f>
        <v>0</v>
      </c>
      <c r="AB500" s="44">
        <f ca="1">IFERROR(__xludf.DUMMYFUNCTION("""COMPUTED_VALUE"""),0)</f>
        <v>0</v>
      </c>
      <c r="AC500" s="47">
        <f ca="1">IFERROR(__xludf.DUMMYFUNCTION("""COMPUTED_VALUE"""),0)</f>
        <v>0</v>
      </c>
      <c r="AD500" s="49"/>
      <c r="AE500" s="27"/>
    </row>
    <row r="501" spans="1:31" ht="14.3">
      <c r="A501" s="42" t="str">
        <f ca="1">IFERROR(__xludf.DUMMYFUNCTION("""COMPUTED_VALUE"""),"22SDSCE01163")</f>
        <v>22SDSCE01163</v>
      </c>
      <c r="B501" s="43" t="str">
        <f ca="1">IFERROR(__xludf.DUMMYFUNCTION("""COMPUTED_VALUE"""),"KOTHIYA SANJAY MUKESHBHAI")</f>
        <v>KOTHIYA SANJAY MUKESHBHAI</v>
      </c>
      <c r="C501" s="42" t="str">
        <f ca="1">IFERROR(__xludf.DUMMYFUNCTION("""COMPUTED_VALUE"""),"SDS")</f>
        <v>SDS</v>
      </c>
      <c r="D501" s="42" t="str">
        <f ca="1">IFERROR(__xludf.DUMMYFUNCTION("""COMPUTED_VALUE"""),"DCE")</f>
        <v>DCE</v>
      </c>
      <c r="E501" s="44">
        <f ca="1">IFERROR(__xludf.DUMMYFUNCTION("""COMPUTED_VALUE"""),4)</f>
        <v>4</v>
      </c>
      <c r="F501" s="42" t="str">
        <f ca="1">IFERROR(__xludf.DUMMYFUNCTION("""COMPUTED_VALUE"""),"8866095805 9099201890")</f>
        <v>8866095805 9099201890</v>
      </c>
      <c r="G501" s="42" t="str">
        <f ca="1">IFERROR(__xludf.DUMMYFUNCTION("""COMPUTED_VALUE"""),"8866095805 9099201890")</f>
        <v>8866095805 9099201890</v>
      </c>
      <c r="H501" s="2" t="str">
        <f ca="1">IFERROR(__xludf.DUMMYFUNCTION("""COMPUTED_VALUE"""),"DCE_2022-25")</f>
        <v>DCE_2022-25</v>
      </c>
      <c r="I501" s="45"/>
      <c r="J501" s="46">
        <f ca="1">IFERROR(__xludf.DUMMYFUNCTION("""COMPUTED_VALUE"""),25000)</f>
        <v>25000</v>
      </c>
      <c r="K501" s="46">
        <f ca="1">IFERROR(__xludf.DUMMYFUNCTION("""COMPUTED_VALUE"""),25000)</f>
        <v>25000</v>
      </c>
      <c r="L501" s="46">
        <f ca="1">IFERROR(__xludf.DUMMYFUNCTION("""COMPUTED_VALUE"""),0)</f>
        <v>0</v>
      </c>
      <c r="M501" s="47">
        <f ca="1">IFERROR(__xludf.DUMMYFUNCTION("""COMPUTED_VALUE"""),0)</f>
        <v>0</v>
      </c>
      <c r="N501" s="46">
        <f ca="1">IFERROR(__xludf.DUMMYFUNCTION("""COMPUTED_VALUE"""),0)</f>
        <v>0</v>
      </c>
      <c r="O501" s="46">
        <f ca="1">IFERROR(__xludf.DUMMYFUNCTION("""COMPUTED_VALUE"""),3000)</f>
        <v>3000</v>
      </c>
      <c r="P501" s="46">
        <f ca="1">IFERROR(__xludf.DUMMYFUNCTION("""COMPUTED_VALUE"""),3000)</f>
        <v>3000</v>
      </c>
      <c r="Q501" s="47">
        <f ca="1">IFERROR(__xludf.DUMMYFUNCTION("""COMPUTED_VALUE"""),0)</f>
        <v>0</v>
      </c>
      <c r="R501" s="24">
        <f ca="1">IFERROR(__xludf.DUMMYFUNCTION("""COMPUTED_VALUE"""),0)</f>
        <v>0</v>
      </c>
      <c r="S501" s="23">
        <f ca="1">IFERROR(__xludf.DUMMYFUNCTION("""COMPUTED_VALUE"""),0)</f>
        <v>0</v>
      </c>
      <c r="T501" s="48">
        <f ca="1">IFERROR(__xludf.DUMMYFUNCTION("""COMPUTED_VALUE"""),0)</f>
        <v>0</v>
      </c>
      <c r="U501" s="47">
        <f ca="1">IFERROR(__xludf.DUMMYFUNCTION("""COMPUTED_VALUE"""),0)</f>
        <v>0</v>
      </c>
      <c r="V501" s="47">
        <f ca="1">IFERROR(__xludf.DUMMYFUNCTION("""COMPUTED_VALUE"""),0)</f>
        <v>0</v>
      </c>
      <c r="W501" s="47">
        <f ca="1">IFERROR(__xludf.DUMMYFUNCTION("""COMPUTED_VALUE"""),0)</f>
        <v>0</v>
      </c>
      <c r="X501" s="47">
        <f ca="1">IFERROR(__xludf.DUMMYFUNCTION("""COMPUTED_VALUE"""),0)</f>
        <v>0</v>
      </c>
      <c r="Y501" s="44">
        <f ca="1">IFERROR(__xludf.DUMMYFUNCTION("""COMPUTED_VALUE"""),0)</f>
        <v>0</v>
      </c>
      <c r="Z501" s="44">
        <f ca="1">IFERROR(__xludf.DUMMYFUNCTION("""COMPUTED_VALUE"""),0)</f>
        <v>0</v>
      </c>
      <c r="AA501" s="44">
        <f ca="1">IFERROR(__xludf.DUMMYFUNCTION("""COMPUTED_VALUE"""),0)</f>
        <v>0</v>
      </c>
      <c r="AB501" s="44">
        <f ca="1">IFERROR(__xludf.DUMMYFUNCTION("""COMPUTED_VALUE"""),0)</f>
        <v>0</v>
      </c>
      <c r="AC501" s="47">
        <f ca="1">IFERROR(__xludf.DUMMYFUNCTION("""COMPUTED_VALUE"""),0)</f>
        <v>0</v>
      </c>
      <c r="AD501" s="49"/>
      <c r="AE501" s="27"/>
    </row>
    <row r="502" spans="1:31" ht="28.55">
      <c r="A502" s="42" t="str">
        <f ca="1">IFERROR(__xludf.DUMMYFUNCTION("""COMPUTED_VALUE"""),"21SDSCE01008")</f>
        <v>21SDSCE01008</v>
      </c>
      <c r="B502" s="43" t="str">
        <f ca="1">IFERROR(__xludf.DUMMYFUNCTION("""COMPUTED_VALUE"""),"CHAUHAN MIRABEN MANSUKHBHAI")</f>
        <v>CHAUHAN MIRABEN MANSUKHBHAI</v>
      </c>
      <c r="C502" s="42" t="str">
        <f ca="1">IFERROR(__xludf.DUMMYFUNCTION("""COMPUTED_VALUE"""),"SDS")</f>
        <v>SDS</v>
      </c>
      <c r="D502" s="42" t="str">
        <f ca="1">IFERROR(__xludf.DUMMYFUNCTION("""COMPUTED_VALUE"""),"DCE")</f>
        <v>DCE</v>
      </c>
      <c r="E502" s="44">
        <f ca="1">IFERROR(__xludf.DUMMYFUNCTION("""COMPUTED_VALUE"""),6)</f>
        <v>6</v>
      </c>
      <c r="F502" s="42" t="str">
        <f ca="1">IFERROR(__xludf.DUMMYFUNCTION("""COMPUTED_VALUE"""),"6354250033
6354250033")</f>
        <v>6354250033
6354250033</v>
      </c>
      <c r="G502" s="42" t="str">
        <f ca="1">IFERROR(__xludf.DUMMYFUNCTION("""COMPUTED_VALUE"""),"6354250033
6354250033")</f>
        <v>6354250033
6354250033</v>
      </c>
      <c r="H502" s="2" t="str">
        <f ca="1">IFERROR(__xludf.DUMMYFUNCTION("""COMPUTED_VALUE"""),"DCE_2021-24")</f>
        <v>DCE_2021-24</v>
      </c>
      <c r="I502" s="45" t="str">
        <f ca="1">IFERROR(__xludf.DUMMYFUNCTION("""COMPUTED_VALUE"""),"FREESHIP CARD")</f>
        <v>FREESHIP CARD</v>
      </c>
      <c r="J502" s="46">
        <f ca="1">IFERROR(__xludf.DUMMYFUNCTION("""COMPUTED_VALUE"""),25000)</f>
        <v>25000</v>
      </c>
      <c r="K502" s="46">
        <f ca="1">IFERROR(__xludf.DUMMYFUNCTION("""COMPUTED_VALUE"""),0)</f>
        <v>0</v>
      </c>
      <c r="L502" s="46">
        <f ca="1">IFERROR(__xludf.DUMMYFUNCTION("""COMPUTED_VALUE"""),0)</f>
        <v>0</v>
      </c>
      <c r="M502" s="47">
        <f ca="1">IFERROR(__xludf.DUMMYFUNCTION("""COMPUTED_VALUE"""),0)</f>
        <v>0</v>
      </c>
      <c r="N502" s="46">
        <f ca="1">IFERROR(__xludf.DUMMYFUNCTION("""COMPUTED_VALUE"""),25000)</f>
        <v>25000</v>
      </c>
      <c r="O502" s="46">
        <f ca="1">IFERROR(__xludf.DUMMYFUNCTION("""COMPUTED_VALUE"""),3750)</f>
        <v>3750</v>
      </c>
      <c r="P502" s="46">
        <f ca="1">IFERROR(__xludf.DUMMYFUNCTION("""COMPUTED_VALUE"""),0)</f>
        <v>0</v>
      </c>
      <c r="Q502" s="47">
        <f ca="1">IFERROR(__xludf.DUMMYFUNCTION("""COMPUTED_VALUE"""),0)</f>
        <v>0</v>
      </c>
      <c r="R502" s="24">
        <f ca="1">IFERROR(__xludf.DUMMYFUNCTION("""COMPUTED_VALUE"""),0)</f>
        <v>0</v>
      </c>
      <c r="S502" s="23">
        <f ca="1">IFERROR(__xludf.DUMMYFUNCTION("""COMPUTED_VALUE"""),3750)</f>
        <v>3750</v>
      </c>
      <c r="T502" s="48">
        <f ca="1">IFERROR(__xludf.DUMMYFUNCTION("""COMPUTED_VALUE"""),0)</f>
        <v>0</v>
      </c>
      <c r="U502" s="47">
        <f ca="1">IFERROR(__xludf.DUMMYFUNCTION("""COMPUTED_VALUE"""),0)</f>
        <v>0</v>
      </c>
      <c r="V502" s="47">
        <f ca="1">IFERROR(__xludf.DUMMYFUNCTION("""COMPUTED_VALUE"""),0)</f>
        <v>0</v>
      </c>
      <c r="W502" s="47">
        <f ca="1">IFERROR(__xludf.DUMMYFUNCTION("""COMPUTED_VALUE"""),0)</f>
        <v>0</v>
      </c>
      <c r="X502" s="47">
        <f ca="1">IFERROR(__xludf.DUMMYFUNCTION("""COMPUTED_VALUE"""),0)</f>
        <v>0</v>
      </c>
      <c r="Y502" s="44">
        <f ca="1">IFERROR(__xludf.DUMMYFUNCTION("""COMPUTED_VALUE"""),0)</f>
        <v>0</v>
      </c>
      <c r="Z502" s="44">
        <f ca="1">IFERROR(__xludf.DUMMYFUNCTION("""COMPUTED_VALUE"""),0)</f>
        <v>0</v>
      </c>
      <c r="AA502" s="44">
        <f ca="1">IFERROR(__xludf.DUMMYFUNCTION("""COMPUTED_VALUE"""),0)</f>
        <v>0</v>
      </c>
      <c r="AB502" s="44">
        <f ca="1">IFERROR(__xludf.DUMMYFUNCTION("""COMPUTED_VALUE"""),0)</f>
        <v>0</v>
      </c>
      <c r="AC502" s="47">
        <f ca="1">IFERROR(__xludf.DUMMYFUNCTION("""COMPUTED_VALUE"""),0)</f>
        <v>0</v>
      </c>
      <c r="AD502" s="49" t="str">
        <f ca="1">IFERROR(__xludf.DUMMYFUNCTION("""COMPUTED_VALUE"""),"FREESHIPCARD STUDENT")</f>
        <v>FREESHIPCARD STUDENT</v>
      </c>
      <c r="AE502" s="27"/>
    </row>
    <row r="503" spans="1:31" ht="28.55">
      <c r="A503" s="42" t="str">
        <f ca="1">IFERROR(__xludf.DUMMYFUNCTION("""COMPUTED_VALUE"""),"21SDSCE01009")</f>
        <v>21SDSCE01009</v>
      </c>
      <c r="B503" s="43" t="str">
        <f ca="1">IFERROR(__xludf.DUMMYFUNCTION("""COMPUTED_VALUE"""),"CHAVDA KOMAL CHHAGANBHAI")</f>
        <v>CHAVDA KOMAL CHHAGANBHAI</v>
      </c>
      <c r="C503" s="42" t="str">
        <f ca="1">IFERROR(__xludf.DUMMYFUNCTION("""COMPUTED_VALUE"""),"SDS")</f>
        <v>SDS</v>
      </c>
      <c r="D503" s="42" t="str">
        <f ca="1">IFERROR(__xludf.DUMMYFUNCTION("""COMPUTED_VALUE"""),"DCE")</f>
        <v>DCE</v>
      </c>
      <c r="E503" s="44">
        <f ca="1">IFERROR(__xludf.DUMMYFUNCTION("""COMPUTED_VALUE"""),6)</f>
        <v>6</v>
      </c>
      <c r="F503" s="42" t="str">
        <f ca="1">IFERROR(__xludf.DUMMYFUNCTION("""COMPUTED_VALUE"""),"6354900648 7096084481")</f>
        <v>6354900648 7096084481</v>
      </c>
      <c r="G503" s="42" t="str">
        <f ca="1">IFERROR(__xludf.DUMMYFUNCTION("""COMPUTED_VALUE"""),"6354900648 7096084481")</f>
        <v>6354900648 7096084481</v>
      </c>
      <c r="H503" s="2" t="str">
        <f ca="1">IFERROR(__xludf.DUMMYFUNCTION("""COMPUTED_VALUE"""),"DCE_2021-24")</f>
        <v>DCE_2021-24</v>
      </c>
      <c r="I503" s="45" t="str">
        <f ca="1">IFERROR(__xludf.DUMMYFUNCTION("""COMPUTED_VALUE"""),"FREESHIP CARD")</f>
        <v>FREESHIP CARD</v>
      </c>
      <c r="J503" s="46">
        <f ca="1">IFERROR(__xludf.DUMMYFUNCTION("""COMPUTED_VALUE"""),61000)</f>
        <v>61000</v>
      </c>
      <c r="K503" s="46">
        <f ca="1">IFERROR(__xludf.DUMMYFUNCTION("""COMPUTED_VALUE"""),0)</f>
        <v>0</v>
      </c>
      <c r="L503" s="46">
        <f ca="1">IFERROR(__xludf.DUMMYFUNCTION("""COMPUTED_VALUE"""),0)</f>
        <v>0</v>
      </c>
      <c r="M503" s="47">
        <f ca="1">IFERROR(__xludf.DUMMYFUNCTION("""COMPUTED_VALUE"""),0)</f>
        <v>0</v>
      </c>
      <c r="N503" s="46">
        <f ca="1">IFERROR(__xludf.DUMMYFUNCTION("""COMPUTED_VALUE"""),61000)</f>
        <v>61000</v>
      </c>
      <c r="O503" s="46">
        <f ca="1">IFERROR(__xludf.DUMMYFUNCTION("""COMPUTED_VALUE"""),3750)</f>
        <v>3750</v>
      </c>
      <c r="P503" s="46">
        <f ca="1">IFERROR(__xludf.DUMMYFUNCTION("""COMPUTED_VALUE"""),3750)</f>
        <v>3750</v>
      </c>
      <c r="Q503" s="47">
        <f ca="1">IFERROR(__xludf.DUMMYFUNCTION("""COMPUTED_VALUE"""),0)</f>
        <v>0</v>
      </c>
      <c r="R503" s="24">
        <f ca="1">IFERROR(__xludf.DUMMYFUNCTION("""COMPUTED_VALUE"""),0)</f>
        <v>0</v>
      </c>
      <c r="S503" s="23">
        <f ca="1">IFERROR(__xludf.DUMMYFUNCTION("""COMPUTED_VALUE"""),0)</f>
        <v>0</v>
      </c>
      <c r="T503" s="48">
        <f ca="1">IFERROR(__xludf.DUMMYFUNCTION("""COMPUTED_VALUE"""),0)</f>
        <v>0</v>
      </c>
      <c r="U503" s="47">
        <f ca="1">IFERROR(__xludf.DUMMYFUNCTION("""COMPUTED_VALUE"""),0)</f>
        <v>0</v>
      </c>
      <c r="V503" s="47">
        <f ca="1">IFERROR(__xludf.DUMMYFUNCTION("""COMPUTED_VALUE"""),0)</f>
        <v>0</v>
      </c>
      <c r="W503" s="47">
        <f ca="1">IFERROR(__xludf.DUMMYFUNCTION("""COMPUTED_VALUE"""),0)</f>
        <v>0</v>
      </c>
      <c r="X503" s="47">
        <f ca="1">IFERROR(__xludf.DUMMYFUNCTION("""COMPUTED_VALUE"""),0)</f>
        <v>0</v>
      </c>
      <c r="Y503" s="44">
        <f ca="1">IFERROR(__xludf.DUMMYFUNCTION("""COMPUTED_VALUE"""),0)</f>
        <v>0</v>
      </c>
      <c r="Z503" s="44">
        <f ca="1">IFERROR(__xludf.DUMMYFUNCTION("""COMPUTED_VALUE"""),0)</f>
        <v>0</v>
      </c>
      <c r="AA503" s="44">
        <f ca="1">IFERROR(__xludf.DUMMYFUNCTION("""COMPUTED_VALUE"""),0)</f>
        <v>0</v>
      </c>
      <c r="AB503" s="44">
        <f ca="1">IFERROR(__xludf.DUMMYFUNCTION("""COMPUTED_VALUE"""),0)</f>
        <v>0</v>
      </c>
      <c r="AC503" s="47">
        <f ca="1">IFERROR(__xludf.DUMMYFUNCTION("""COMPUTED_VALUE"""),0)</f>
        <v>0</v>
      </c>
      <c r="AD503" s="49" t="str">
        <f ca="1">IFERROR(__xludf.DUMMYFUNCTION("""COMPUTED_VALUE"""),"FREESHIPCARD STUDENT")</f>
        <v>FREESHIPCARD STUDENT</v>
      </c>
      <c r="AE503" s="27"/>
    </row>
    <row r="504" spans="1:31" ht="14.3">
      <c r="A504" s="42" t="str">
        <f ca="1">IFERROR(__xludf.DUMMYFUNCTION("""COMPUTED_VALUE"""),"21SDSCE01016")</f>
        <v>21SDSCE01016</v>
      </c>
      <c r="B504" s="43" t="str">
        <f ca="1">IFERROR(__xludf.DUMMYFUNCTION("""COMPUTED_VALUE"""),"GADARA HASTIBEN KISHORBHAI")</f>
        <v>GADARA HASTIBEN KISHORBHAI</v>
      </c>
      <c r="C504" s="42" t="str">
        <f ca="1">IFERROR(__xludf.DUMMYFUNCTION("""COMPUTED_VALUE"""),"SDS")</f>
        <v>SDS</v>
      </c>
      <c r="D504" s="42" t="str">
        <f ca="1">IFERROR(__xludf.DUMMYFUNCTION("""COMPUTED_VALUE"""),"DCE")</f>
        <v>DCE</v>
      </c>
      <c r="E504" s="44">
        <f ca="1">IFERROR(__xludf.DUMMYFUNCTION("""COMPUTED_VALUE"""),6)</f>
        <v>6</v>
      </c>
      <c r="F504" s="42" t="str">
        <f ca="1">IFERROR(__xludf.DUMMYFUNCTION("""COMPUTED_VALUE"""),"9426125060 9879149334")</f>
        <v>9426125060 9879149334</v>
      </c>
      <c r="G504" s="42" t="str">
        <f ca="1">IFERROR(__xludf.DUMMYFUNCTION("""COMPUTED_VALUE"""),"9426125060 9879149334")</f>
        <v>9426125060 9879149334</v>
      </c>
      <c r="H504" s="2" t="str">
        <f ca="1">IFERROR(__xludf.DUMMYFUNCTION("""COMPUTED_VALUE"""),"DCE_2021-24")</f>
        <v>DCE_2021-24</v>
      </c>
      <c r="I504" s="45" t="str">
        <f ca="1">IFERROR(__xludf.DUMMYFUNCTION("""COMPUTED_VALUE"""),"MYSY")</f>
        <v>MYSY</v>
      </c>
      <c r="J504" s="46">
        <f ca="1">IFERROR(__xludf.DUMMYFUNCTION("""COMPUTED_VALUE"""),25000)</f>
        <v>25000</v>
      </c>
      <c r="K504" s="46">
        <f ca="1">IFERROR(__xludf.DUMMYFUNCTION("""COMPUTED_VALUE"""),0)</f>
        <v>0</v>
      </c>
      <c r="L504" s="46">
        <f ca="1">IFERROR(__xludf.DUMMYFUNCTION("""COMPUTED_VALUE"""),0)</f>
        <v>0</v>
      </c>
      <c r="M504" s="47">
        <f ca="1">IFERROR(__xludf.DUMMYFUNCTION("""COMPUTED_VALUE"""),0)</f>
        <v>0</v>
      </c>
      <c r="N504" s="46">
        <f ca="1">IFERROR(__xludf.DUMMYFUNCTION("""COMPUTED_VALUE"""),25000)</f>
        <v>25000</v>
      </c>
      <c r="O504" s="46">
        <f ca="1">IFERROR(__xludf.DUMMYFUNCTION("""COMPUTED_VALUE"""),3750)</f>
        <v>3750</v>
      </c>
      <c r="P504" s="46">
        <f ca="1">IFERROR(__xludf.DUMMYFUNCTION("""COMPUTED_VALUE"""),3750)</f>
        <v>3750</v>
      </c>
      <c r="Q504" s="47">
        <f ca="1">IFERROR(__xludf.DUMMYFUNCTION("""COMPUTED_VALUE"""),0)</f>
        <v>0</v>
      </c>
      <c r="R504" s="24">
        <f ca="1">IFERROR(__xludf.DUMMYFUNCTION("""COMPUTED_VALUE"""),0)</f>
        <v>0</v>
      </c>
      <c r="S504" s="23">
        <f ca="1">IFERROR(__xludf.DUMMYFUNCTION("""COMPUTED_VALUE"""),0)</f>
        <v>0</v>
      </c>
      <c r="T504" s="48">
        <f ca="1">IFERROR(__xludf.DUMMYFUNCTION("""COMPUTED_VALUE"""),0)</f>
        <v>0</v>
      </c>
      <c r="U504" s="47">
        <f ca="1">IFERROR(__xludf.DUMMYFUNCTION("""COMPUTED_VALUE"""),0)</f>
        <v>0</v>
      </c>
      <c r="V504" s="47">
        <f ca="1">IFERROR(__xludf.DUMMYFUNCTION("""COMPUTED_VALUE"""),0)</f>
        <v>0</v>
      </c>
      <c r="W504" s="47">
        <f ca="1">IFERROR(__xludf.DUMMYFUNCTION("""COMPUTED_VALUE"""),0)</f>
        <v>0</v>
      </c>
      <c r="X504" s="47">
        <f ca="1">IFERROR(__xludf.DUMMYFUNCTION("""COMPUTED_VALUE"""),0)</f>
        <v>0</v>
      </c>
      <c r="Y504" s="44">
        <f ca="1">IFERROR(__xludf.DUMMYFUNCTION("""COMPUTED_VALUE"""),0)</f>
        <v>0</v>
      </c>
      <c r="Z504" s="44">
        <f ca="1">IFERROR(__xludf.DUMMYFUNCTION("""COMPUTED_VALUE"""),0)</f>
        <v>0</v>
      </c>
      <c r="AA504" s="44">
        <f ca="1">IFERROR(__xludf.DUMMYFUNCTION("""COMPUTED_VALUE"""),0)</f>
        <v>0</v>
      </c>
      <c r="AB504" s="44">
        <f ca="1">IFERROR(__xludf.DUMMYFUNCTION("""COMPUTED_VALUE"""),0)</f>
        <v>0</v>
      </c>
      <c r="AC504" s="47">
        <f ca="1">IFERROR(__xludf.DUMMYFUNCTION("""COMPUTED_VALUE"""),0)</f>
        <v>0</v>
      </c>
      <c r="AD504" s="49" t="str">
        <f ca="1">IFERROR(__xludf.DUMMYFUNCTION("""COMPUTED_VALUE"""),"MYSY(50%) + KSPS(25%)")</f>
        <v>MYSY(50%) + KSPS(25%)</v>
      </c>
      <c r="AE504" s="27"/>
    </row>
    <row r="505" spans="1:31" ht="23.1">
      <c r="A505" s="42" t="str">
        <f ca="1">IFERROR(__xludf.DUMMYFUNCTION("""COMPUTED_VALUE"""),"21SDSCE01025")</f>
        <v>21SDSCE01025</v>
      </c>
      <c r="B505" s="43" t="str">
        <f ca="1">IFERROR(__xludf.DUMMYFUNCTION("""COMPUTED_VALUE"""),"POOJAN KALARIYA")</f>
        <v>POOJAN KALARIYA</v>
      </c>
      <c r="C505" s="42" t="str">
        <f ca="1">IFERROR(__xludf.DUMMYFUNCTION("""COMPUTED_VALUE"""),"SDS")</f>
        <v>SDS</v>
      </c>
      <c r="D505" s="42" t="str">
        <f ca="1">IFERROR(__xludf.DUMMYFUNCTION("""COMPUTED_VALUE"""),"DCE")</f>
        <v>DCE</v>
      </c>
      <c r="E505" s="44">
        <f ca="1">IFERROR(__xludf.DUMMYFUNCTION("""COMPUTED_VALUE"""),6)</f>
        <v>6</v>
      </c>
      <c r="F505" s="42" t="str">
        <f ca="1">IFERROR(__xludf.DUMMYFUNCTION("""COMPUTED_VALUE"""),"9099424384
9979994243")</f>
        <v>9099424384
9979994243</v>
      </c>
      <c r="G505" s="42" t="str">
        <f ca="1">IFERROR(__xludf.DUMMYFUNCTION("""COMPUTED_VALUE"""),"9099424384
9979994243")</f>
        <v>9099424384
9979994243</v>
      </c>
      <c r="H505" s="2" t="str">
        <f ca="1">IFERROR(__xludf.DUMMYFUNCTION("""COMPUTED_VALUE"""),"DCE_2021-24")</f>
        <v>DCE_2021-24</v>
      </c>
      <c r="I505" s="45" t="str">
        <f ca="1">IFERROR(__xludf.DUMMYFUNCTION("""COMPUTED_VALUE"""),"KSP")</f>
        <v>KSP</v>
      </c>
      <c r="J505" s="46">
        <f ca="1">IFERROR(__xludf.DUMMYFUNCTION("""COMPUTED_VALUE"""),25000)</f>
        <v>25000</v>
      </c>
      <c r="K505" s="46">
        <f ca="1">IFERROR(__xludf.DUMMYFUNCTION("""COMPUTED_VALUE"""),12500)</f>
        <v>12500</v>
      </c>
      <c r="L505" s="46">
        <f ca="1">IFERROR(__xludf.DUMMYFUNCTION("""COMPUTED_VALUE"""),0)</f>
        <v>0</v>
      </c>
      <c r="M505" s="47">
        <f ca="1">IFERROR(__xludf.DUMMYFUNCTION("""COMPUTED_VALUE"""),12500)</f>
        <v>12500</v>
      </c>
      <c r="N505" s="46">
        <f ca="1">IFERROR(__xludf.DUMMYFUNCTION("""COMPUTED_VALUE"""),0)</f>
        <v>0</v>
      </c>
      <c r="O505" s="46">
        <f ca="1">IFERROR(__xludf.DUMMYFUNCTION("""COMPUTED_VALUE"""),3750)</f>
        <v>3750</v>
      </c>
      <c r="P505" s="46">
        <f ca="1">IFERROR(__xludf.DUMMYFUNCTION("""COMPUTED_VALUE"""),3750)</f>
        <v>3750</v>
      </c>
      <c r="Q505" s="47">
        <f ca="1">IFERROR(__xludf.DUMMYFUNCTION("""COMPUTED_VALUE"""),0)</f>
        <v>0</v>
      </c>
      <c r="R505" s="24">
        <f ca="1">IFERROR(__xludf.DUMMYFUNCTION("""COMPUTED_VALUE"""),0)</f>
        <v>0</v>
      </c>
      <c r="S505" s="23">
        <f ca="1">IFERROR(__xludf.DUMMYFUNCTION("""COMPUTED_VALUE"""),0)</f>
        <v>0</v>
      </c>
      <c r="T505" s="48">
        <f ca="1">IFERROR(__xludf.DUMMYFUNCTION("""COMPUTED_VALUE"""),0)</f>
        <v>0</v>
      </c>
      <c r="U505" s="47">
        <f ca="1">IFERROR(__xludf.DUMMYFUNCTION("""COMPUTED_VALUE"""),0)</f>
        <v>0</v>
      </c>
      <c r="V505" s="47">
        <f ca="1">IFERROR(__xludf.DUMMYFUNCTION("""COMPUTED_VALUE"""),0)</f>
        <v>0</v>
      </c>
      <c r="W505" s="47">
        <f ca="1">IFERROR(__xludf.DUMMYFUNCTION("""COMPUTED_VALUE"""),0)</f>
        <v>0</v>
      </c>
      <c r="X505" s="47">
        <f ca="1">IFERROR(__xludf.DUMMYFUNCTION("""COMPUTED_VALUE"""),0)</f>
        <v>0</v>
      </c>
      <c r="Y505" s="44">
        <f ca="1">IFERROR(__xludf.DUMMYFUNCTION("""COMPUTED_VALUE"""),0)</f>
        <v>0</v>
      </c>
      <c r="Z505" s="44">
        <f ca="1">IFERROR(__xludf.DUMMYFUNCTION("""COMPUTED_VALUE"""),0)</f>
        <v>0</v>
      </c>
      <c r="AA505" s="44">
        <f ca="1">IFERROR(__xludf.DUMMYFUNCTION("""COMPUTED_VALUE"""),0)</f>
        <v>0</v>
      </c>
      <c r="AB505" s="44">
        <f ca="1">IFERROR(__xludf.DUMMYFUNCTION("""COMPUTED_VALUE"""),0)</f>
        <v>0</v>
      </c>
      <c r="AC505" s="47">
        <f ca="1">IFERROR(__xludf.DUMMYFUNCTION("""COMPUTED_VALUE"""),0)</f>
        <v>0</v>
      </c>
      <c r="AD505" s="49" t="str">
        <f ca="1">IFERROR(__xludf.DUMMYFUNCTION("""COMPUTED_VALUE"""),"RS 12500 PER SEM SCHOLARSHIP")</f>
        <v>RS 12500 PER SEM SCHOLARSHIP</v>
      </c>
      <c r="AE505" s="27"/>
    </row>
    <row r="506" spans="1:31" ht="23.1">
      <c r="A506" s="42" t="str">
        <f ca="1">IFERROR(__xludf.DUMMYFUNCTION("""COMPUTED_VALUE"""),"21SDSCE01026")</f>
        <v>21SDSCE01026</v>
      </c>
      <c r="B506" s="43" t="str">
        <f ca="1">IFERROR(__xludf.DUMMYFUNCTION("""COMPUTED_VALUE"""),"KAPUPARA KAUSHAL")</f>
        <v>KAPUPARA KAUSHAL</v>
      </c>
      <c r="C506" s="42" t="str">
        <f ca="1">IFERROR(__xludf.DUMMYFUNCTION("""COMPUTED_VALUE"""),"SDS")</f>
        <v>SDS</v>
      </c>
      <c r="D506" s="42" t="str">
        <f ca="1">IFERROR(__xludf.DUMMYFUNCTION("""COMPUTED_VALUE"""),"DCE")</f>
        <v>DCE</v>
      </c>
      <c r="E506" s="44">
        <f ca="1">IFERROR(__xludf.DUMMYFUNCTION("""COMPUTED_VALUE"""),6)</f>
        <v>6</v>
      </c>
      <c r="F506" s="42" t="str">
        <f ca="1">IFERROR(__xludf.DUMMYFUNCTION("""COMPUTED_VALUE"""),"9825911929
9426881307")</f>
        <v>9825911929
9426881307</v>
      </c>
      <c r="G506" s="42" t="str">
        <f ca="1">IFERROR(__xludf.DUMMYFUNCTION("""COMPUTED_VALUE"""),"9825911929
9426881307")</f>
        <v>9825911929
9426881307</v>
      </c>
      <c r="H506" s="2" t="str">
        <f ca="1">IFERROR(__xludf.DUMMYFUNCTION("""COMPUTED_VALUE"""),"DCE_2021-24")</f>
        <v>DCE_2021-24</v>
      </c>
      <c r="I506" s="45" t="str">
        <f ca="1">IFERROR(__xludf.DUMMYFUNCTION("""COMPUTED_VALUE"""),"KSP")</f>
        <v>KSP</v>
      </c>
      <c r="J506" s="46">
        <f ca="1">IFERROR(__xludf.DUMMYFUNCTION("""COMPUTED_VALUE"""),25000)</f>
        <v>25000</v>
      </c>
      <c r="K506" s="46">
        <f ca="1">IFERROR(__xludf.DUMMYFUNCTION("""COMPUTED_VALUE"""),0)</f>
        <v>0</v>
      </c>
      <c r="L506" s="46">
        <f ca="1">IFERROR(__xludf.DUMMYFUNCTION("""COMPUTED_VALUE"""),0)</f>
        <v>0</v>
      </c>
      <c r="M506" s="47">
        <f ca="1">IFERROR(__xludf.DUMMYFUNCTION("""COMPUTED_VALUE"""),6250)</f>
        <v>6250</v>
      </c>
      <c r="N506" s="46">
        <f ca="1">IFERROR(__xludf.DUMMYFUNCTION("""COMPUTED_VALUE"""),18750)</f>
        <v>18750</v>
      </c>
      <c r="O506" s="46">
        <f ca="1">IFERROR(__xludf.DUMMYFUNCTION("""COMPUTED_VALUE"""),3750)</f>
        <v>3750</v>
      </c>
      <c r="P506" s="46">
        <f ca="1">IFERROR(__xludf.DUMMYFUNCTION("""COMPUTED_VALUE"""),0)</f>
        <v>0</v>
      </c>
      <c r="Q506" s="47">
        <f ca="1">IFERROR(__xludf.DUMMYFUNCTION("""COMPUTED_VALUE"""),0)</f>
        <v>0</v>
      </c>
      <c r="R506" s="24">
        <f ca="1">IFERROR(__xludf.DUMMYFUNCTION("""COMPUTED_VALUE"""),0)</f>
        <v>0</v>
      </c>
      <c r="S506" s="23">
        <f ca="1">IFERROR(__xludf.DUMMYFUNCTION("""COMPUTED_VALUE"""),3750)</f>
        <v>3750</v>
      </c>
      <c r="T506" s="48">
        <f ca="1">IFERROR(__xludf.DUMMYFUNCTION("""COMPUTED_VALUE"""),0)</f>
        <v>0</v>
      </c>
      <c r="U506" s="47">
        <f ca="1">IFERROR(__xludf.DUMMYFUNCTION("""COMPUTED_VALUE"""),0)</f>
        <v>0</v>
      </c>
      <c r="V506" s="47">
        <f ca="1">IFERROR(__xludf.DUMMYFUNCTION("""COMPUTED_VALUE"""),0)</f>
        <v>0</v>
      </c>
      <c r="W506" s="47">
        <f ca="1">IFERROR(__xludf.DUMMYFUNCTION("""COMPUTED_VALUE"""),0)</f>
        <v>0</v>
      </c>
      <c r="X506" s="47">
        <f ca="1">IFERROR(__xludf.DUMMYFUNCTION("""COMPUTED_VALUE"""),0)</f>
        <v>0</v>
      </c>
      <c r="Y506" s="44">
        <f ca="1">IFERROR(__xludf.DUMMYFUNCTION("""COMPUTED_VALUE"""),0)</f>
        <v>0</v>
      </c>
      <c r="Z506" s="44">
        <f ca="1">IFERROR(__xludf.DUMMYFUNCTION("""COMPUTED_VALUE"""),0)</f>
        <v>0</v>
      </c>
      <c r="AA506" s="44">
        <f ca="1">IFERROR(__xludf.DUMMYFUNCTION("""COMPUTED_VALUE"""),0)</f>
        <v>0</v>
      </c>
      <c r="AB506" s="44">
        <f ca="1">IFERROR(__xludf.DUMMYFUNCTION("""COMPUTED_VALUE"""),0)</f>
        <v>0</v>
      </c>
      <c r="AC506" s="47">
        <f ca="1">IFERROR(__xludf.DUMMYFUNCTION("""COMPUTED_VALUE"""),0)</f>
        <v>0</v>
      </c>
      <c r="AD506" s="49" t="str">
        <f ca="1">IFERROR(__xludf.DUMMYFUNCTION("""COMPUTED_VALUE"""),"RS 6250 PER SEM SCHOLARSHIP (ksps 25%)")</f>
        <v>RS 6250 PER SEM SCHOLARSHIP (ksps 25%)</v>
      </c>
      <c r="AE506" s="27"/>
    </row>
    <row r="507" spans="1:31" ht="23.1">
      <c r="A507" s="42" t="str">
        <f ca="1">IFERROR(__xludf.DUMMYFUNCTION("""COMPUTED_VALUE"""),"21SDSCE01028")</f>
        <v>21SDSCE01028</v>
      </c>
      <c r="B507" s="43" t="str">
        <f ca="1">IFERROR(__xludf.DUMMYFUNCTION("""COMPUTED_VALUE"""),"KHAKHRIYA NENCY ATULKUMAR")</f>
        <v>KHAKHRIYA NENCY ATULKUMAR</v>
      </c>
      <c r="C507" s="42" t="str">
        <f ca="1">IFERROR(__xludf.DUMMYFUNCTION("""COMPUTED_VALUE"""),"SDS")</f>
        <v>SDS</v>
      </c>
      <c r="D507" s="42" t="str">
        <f ca="1">IFERROR(__xludf.DUMMYFUNCTION("""COMPUTED_VALUE"""),"DCE")</f>
        <v>DCE</v>
      </c>
      <c r="E507" s="44">
        <f ca="1">IFERROR(__xludf.DUMMYFUNCTION("""COMPUTED_VALUE"""),6)</f>
        <v>6</v>
      </c>
      <c r="F507" s="42" t="str">
        <f ca="1">IFERROR(__xludf.DUMMYFUNCTION("""COMPUTED_VALUE"""),"9426078318 9427245703")</f>
        <v>9426078318 9427245703</v>
      </c>
      <c r="G507" s="42" t="str">
        <f ca="1">IFERROR(__xludf.DUMMYFUNCTION("""COMPUTED_VALUE"""),"9426078318 9427245703")</f>
        <v>9426078318 9427245703</v>
      </c>
      <c r="H507" s="2" t="str">
        <f ca="1">IFERROR(__xludf.DUMMYFUNCTION("""COMPUTED_VALUE"""),"DCE_2021-24")</f>
        <v>DCE_2021-24</v>
      </c>
      <c r="I507" s="45" t="str">
        <f ca="1">IFERROR(__xludf.DUMMYFUNCTION("""COMPUTED_VALUE"""),"KSP")</f>
        <v>KSP</v>
      </c>
      <c r="J507" s="46">
        <f ca="1">IFERROR(__xludf.DUMMYFUNCTION("""COMPUTED_VALUE"""),25000)</f>
        <v>25000</v>
      </c>
      <c r="K507" s="46">
        <f ca="1">IFERROR(__xludf.DUMMYFUNCTION("""COMPUTED_VALUE"""),18750)</f>
        <v>18750</v>
      </c>
      <c r="L507" s="46">
        <f ca="1">IFERROR(__xludf.DUMMYFUNCTION("""COMPUTED_VALUE"""),0)</f>
        <v>0</v>
      </c>
      <c r="M507" s="47">
        <f ca="1">IFERROR(__xludf.DUMMYFUNCTION("""COMPUTED_VALUE"""),6250)</f>
        <v>6250</v>
      </c>
      <c r="N507" s="46">
        <f ca="1">IFERROR(__xludf.DUMMYFUNCTION("""COMPUTED_VALUE"""),0)</f>
        <v>0</v>
      </c>
      <c r="O507" s="46">
        <f ca="1">IFERROR(__xludf.DUMMYFUNCTION("""COMPUTED_VALUE"""),3750)</f>
        <v>3750</v>
      </c>
      <c r="P507" s="46">
        <f ca="1">IFERROR(__xludf.DUMMYFUNCTION("""COMPUTED_VALUE"""),3750)</f>
        <v>3750</v>
      </c>
      <c r="Q507" s="47">
        <f ca="1">IFERROR(__xludf.DUMMYFUNCTION("""COMPUTED_VALUE"""),0)</f>
        <v>0</v>
      </c>
      <c r="R507" s="24">
        <f ca="1">IFERROR(__xludf.DUMMYFUNCTION("""COMPUTED_VALUE"""),0)</f>
        <v>0</v>
      </c>
      <c r="S507" s="23">
        <f ca="1">IFERROR(__xludf.DUMMYFUNCTION("""COMPUTED_VALUE"""),0)</f>
        <v>0</v>
      </c>
      <c r="T507" s="48">
        <f ca="1">IFERROR(__xludf.DUMMYFUNCTION("""COMPUTED_VALUE"""),0)</f>
        <v>0</v>
      </c>
      <c r="U507" s="47">
        <f ca="1">IFERROR(__xludf.DUMMYFUNCTION("""COMPUTED_VALUE"""),0)</f>
        <v>0</v>
      </c>
      <c r="V507" s="47">
        <f ca="1">IFERROR(__xludf.DUMMYFUNCTION("""COMPUTED_VALUE"""),0)</f>
        <v>0</v>
      </c>
      <c r="W507" s="47">
        <f ca="1">IFERROR(__xludf.DUMMYFUNCTION("""COMPUTED_VALUE"""),0)</f>
        <v>0</v>
      </c>
      <c r="X507" s="47">
        <f ca="1">IFERROR(__xludf.DUMMYFUNCTION("""COMPUTED_VALUE"""),0)</f>
        <v>0</v>
      </c>
      <c r="Y507" s="44">
        <f ca="1">IFERROR(__xludf.DUMMYFUNCTION("""COMPUTED_VALUE"""),0)</f>
        <v>0</v>
      </c>
      <c r="Z507" s="44">
        <f ca="1">IFERROR(__xludf.DUMMYFUNCTION("""COMPUTED_VALUE"""),0)</f>
        <v>0</v>
      </c>
      <c r="AA507" s="44">
        <f ca="1">IFERROR(__xludf.DUMMYFUNCTION("""COMPUTED_VALUE"""),0)</f>
        <v>0</v>
      </c>
      <c r="AB507" s="44">
        <f ca="1">IFERROR(__xludf.DUMMYFUNCTION("""COMPUTED_VALUE"""),0)</f>
        <v>0</v>
      </c>
      <c r="AC507" s="47">
        <f ca="1">IFERROR(__xludf.DUMMYFUNCTION("""COMPUTED_VALUE"""),0)</f>
        <v>0</v>
      </c>
      <c r="AD507" s="49" t="str">
        <f ca="1">IFERROR(__xludf.DUMMYFUNCTION("""COMPUTED_VALUE"""),"RS 6250 PER SEM SCHOLARSHIP (ksps 25%)")</f>
        <v>RS 6250 PER SEM SCHOLARSHIP (ksps 25%)</v>
      </c>
      <c r="AE507" s="27"/>
    </row>
    <row r="508" spans="1:31" ht="14.3">
      <c r="A508" s="42" t="str">
        <f ca="1">IFERROR(__xludf.DUMMYFUNCTION("""COMPUTED_VALUE"""),"21SDSCE01033")</f>
        <v>21SDSCE01033</v>
      </c>
      <c r="B508" s="43" t="str">
        <f ca="1">IFERROR(__xludf.DUMMYFUNCTION("""COMPUTED_VALUE"""),"LAKKAD SRUSHTI PANKAJBHAI")</f>
        <v>LAKKAD SRUSHTI PANKAJBHAI</v>
      </c>
      <c r="C508" s="42" t="str">
        <f ca="1">IFERROR(__xludf.DUMMYFUNCTION("""COMPUTED_VALUE"""),"SDS")</f>
        <v>SDS</v>
      </c>
      <c r="D508" s="42" t="str">
        <f ca="1">IFERROR(__xludf.DUMMYFUNCTION("""COMPUTED_VALUE"""),"DCE")</f>
        <v>DCE</v>
      </c>
      <c r="E508" s="44">
        <f ca="1">IFERROR(__xludf.DUMMYFUNCTION("""COMPUTED_VALUE"""),6)</f>
        <v>6</v>
      </c>
      <c r="F508" s="42" t="str">
        <f ca="1">IFERROR(__xludf.DUMMYFUNCTION("""COMPUTED_VALUE"""),"8401955970
8401955970")</f>
        <v>8401955970
8401955970</v>
      </c>
      <c r="G508" s="42" t="str">
        <f ca="1">IFERROR(__xludf.DUMMYFUNCTION("""COMPUTED_VALUE"""),"8401955970
8401955970")</f>
        <v>8401955970
8401955970</v>
      </c>
      <c r="H508" s="2" t="str">
        <f ca="1">IFERROR(__xludf.DUMMYFUNCTION("""COMPUTED_VALUE"""),"DCE_2021-24")</f>
        <v>DCE_2021-24</v>
      </c>
      <c r="I508" s="45" t="str">
        <f ca="1">IFERROR(__xludf.DUMMYFUNCTION("""COMPUTED_VALUE"""),"MYSY")</f>
        <v>MYSY</v>
      </c>
      <c r="J508" s="46">
        <f ca="1">IFERROR(__xludf.DUMMYFUNCTION("""COMPUTED_VALUE"""),25000)</f>
        <v>25000</v>
      </c>
      <c r="K508" s="46">
        <f ca="1">IFERROR(__xludf.DUMMYFUNCTION("""COMPUTED_VALUE"""),0)</f>
        <v>0</v>
      </c>
      <c r="L508" s="46">
        <f ca="1">IFERROR(__xludf.DUMMYFUNCTION("""COMPUTED_VALUE"""),0)</f>
        <v>0</v>
      </c>
      <c r="M508" s="47">
        <f ca="1">IFERROR(__xludf.DUMMYFUNCTION("""COMPUTED_VALUE"""),0)</f>
        <v>0</v>
      </c>
      <c r="N508" s="46">
        <f ca="1">IFERROR(__xludf.DUMMYFUNCTION("""COMPUTED_VALUE"""),25000)</f>
        <v>25000</v>
      </c>
      <c r="O508" s="46">
        <f ca="1">IFERROR(__xludf.DUMMYFUNCTION("""COMPUTED_VALUE"""),3750)</f>
        <v>3750</v>
      </c>
      <c r="P508" s="46">
        <f ca="1">IFERROR(__xludf.DUMMYFUNCTION("""COMPUTED_VALUE"""),3750)</f>
        <v>3750</v>
      </c>
      <c r="Q508" s="47">
        <f ca="1">IFERROR(__xludf.DUMMYFUNCTION("""COMPUTED_VALUE"""),0)</f>
        <v>0</v>
      </c>
      <c r="R508" s="24">
        <f ca="1">IFERROR(__xludf.DUMMYFUNCTION("""COMPUTED_VALUE"""),0)</f>
        <v>0</v>
      </c>
      <c r="S508" s="23">
        <f ca="1">IFERROR(__xludf.DUMMYFUNCTION("""COMPUTED_VALUE"""),0)</f>
        <v>0</v>
      </c>
      <c r="T508" s="48">
        <f ca="1">IFERROR(__xludf.DUMMYFUNCTION("""COMPUTED_VALUE"""),0)</f>
        <v>0</v>
      </c>
      <c r="U508" s="47">
        <f ca="1">IFERROR(__xludf.DUMMYFUNCTION("""COMPUTED_VALUE"""),0)</f>
        <v>0</v>
      </c>
      <c r="V508" s="47">
        <f ca="1">IFERROR(__xludf.DUMMYFUNCTION("""COMPUTED_VALUE"""),0)</f>
        <v>0</v>
      </c>
      <c r="W508" s="47">
        <f ca="1">IFERROR(__xludf.DUMMYFUNCTION("""COMPUTED_VALUE"""),0)</f>
        <v>0</v>
      </c>
      <c r="X508" s="47">
        <f ca="1">IFERROR(__xludf.DUMMYFUNCTION("""COMPUTED_VALUE"""),0)</f>
        <v>0</v>
      </c>
      <c r="Y508" s="44">
        <f ca="1">IFERROR(__xludf.DUMMYFUNCTION("""COMPUTED_VALUE"""),0)</f>
        <v>0</v>
      </c>
      <c r="Z508" s="44">
        <f ca="1">IFERROR(__xludf.DUMMYFUNCTION("""COMPUTED_VALUE"""),0)</f>
        <v>0</v>
      </c>
      <c r="AA508" s="44">
        <f ca="1">IFERROR(__xludf.DUMMYFUNCTION("""COMPUTED_VALUE"""),0)</f>
        <v>0</v>
      </c>
      <c r="AB508" s="44">
        <f ca="1">IFERROR(__xludf.DUMMYFUNCTION("""COMPUTED_VALUE"""),0)</f>
        <v>0</v>
      </c>
      <c r="AC508" s="47">
        <f ca="1">IFERROR(__xludf.DUMMYFUNCTION("""COMPUTED_VALUE"""),0)</f>
        <v>0</v>
      </c>
      <c r="AD508" s="49" t="str">
        <f ca="1">IFERROR(__xludf.DUMMYFUNCTION("""COMPUTED_VALUE"""),"MYSY(50%) + KSPS(50%)")</f>
        <v>MYSY(50%) + KSPS(50%)</v>
      </c>
      <c r="AE508" s="27"/>
    </row>
    <row r="509" spans="1:31" ht="14.3">
      <c r="A509" s="42" t="str">
        <f ca="1">IFERROR(__xludf.DUMMYFUNCTION("""COMPUTED_VALUE"""),"21SDSCE01037")</f>
        <v>21SDSCE01037</v>
      </c>
      <c r="B509" s="43" t="str">
        <f ca="1">IFERROR(__xludf.DUMMYFUNCTION("""COMPUTED_VALUE"""),"PADALIYA MALVI RAYAPALBHAI")</f>
        <v>PADALIYA MALVI RAYAPALBHAI</v>
      </c>
      <c r="C509" s="42" t="str">
        <f ca="1">IFERROR(__xludf.DUMMYFUNCTION("""COMPUTED_VALUE"""),"SDS")</f>
        <v>SDS</v>
      </c>
      <c r="D509" s="42" t="str">
        <f ca="1">IFERROR(__xludf.DUMMYFUNCTION("""COMPUTED_VALUE"""),"DCE")</f>
        <v>DCE</v>
      </c>
      <c r="E509" s="44">
        <f ca="1">IFERROR(__xludf.DUMMYFUNCTION("""COMPUTED_VALUE"""),6)</f>
        <v>6</v>
      </c>
      <c r="F509" s="42" t="str">
        <f ca="1">IFERROR(__xludf.DUMMYFUNCTION("""COMPUTED_VALUE"""),"7096094393
9898303197")</f>
        <v>7096094393
9898303197</v>
      </c>
      <c r="G509" s="42" t="str">
        <f ca="1">IFERROR(__xludf.DUMMYFUNCTION("""COMPUTED_VALUE"""),"7096094393
9898303197")</f>
        <v>7096094393
9898303197</v>
      </c>
      <c r="H509" s="2" t="str">
        <f ca="1">IFERROR(__xludf.DUMMYFUNCTION("""COMPUTED_VALUE"""),"DCE_2021-24")</f>
        <v>DCE_2021-24</v>
      </c>
      <c r="I509" s="45" t="str">
        <f ca="1">IFERROR(__xludf.DUMMYFUNCTION("""COMPUTED_VALUE"""),"MYSY")</f>
        <v>MYSY</v>
      </c>
      <c r="J509" s="46">
        <f ca="1">IFERROR(__xludf.DUMMYFUNCTION("""COMPUTED_VALUE"""),25000)</f>
        <v>25000</v>
      </c>
      <c r="K509" s="46">
        <f ca="1">IFERROR(__xludf.DUMMYFUNCTION("""COMPUTED_VALUE"""),0)</f>
        <v>0</v>
      </c>
      <c r="L509" s="46">
        <f ca="1">IFERROR(__xludf.DUMMYFUNCTION("""COMPUTED_VALUE"""),0)</f>
        <v>0</v>
      </c>
      <c r="M509" s="47">
        <f ca="1">IFERROR(__xludf.DUMMYFUNCTION("""COMPUTED_VALUE"""),0)</f>
        <v>0</v>
      </c>
      <c r="N509" s="46">
        <f ca="1">IFERROR(__xludf.DUMMYFUNCTION("""COMPUTED_VALUE"""),25000)</f>
        <v>25000</v>
      </c>
      <c r="O509" s="46">
        <f ca="1">IFERROR(__xludf.DUMMYFUNCTION("""COMPUTED_VALUE"""),3750)</f>
        <v>3750</v>
      </c>
      <c r="P509" s="46">
        <f ca="1">IFERROR(__xludf.DUMMYFUNCTION("""COMPUTED_VALUE"""),3750)</f>
        <v>3750</v>
      </c>
      <c r="Q509" s="47">
        <f ca="1">IFERROR(__xludf.DUMMYFUNCTION("""COMPUTED_VALUE"""),0)</f>
        <v>0</v>
      </c>
      <c r="R509" s="24">
        <f ca="1">IFERROR(__xludf.DUMMYFUNCTION("""COMPUTED_VALUE"""),0)</f>
        <v>0</v>
      </c>
      <c r="S509" s="23">
        <f ca="1">IFERROR(__xludf.DUMMYFUNCTION("""COMPUTED_VALUE"""),0)</f>
        <v>0</v>
      </c>
      <c r="T509" s="48">
        <f ca="1">IFERROR(__xludf.DUMMYFUNCTION("""COMPUTED_VALUE"""),0)</f>
        <v>0</v>
      </c>
      <c r="U509" s="47">
        <f ca="1">IFERROR(__xludf.DUMMYFUNCTION("""COMPUTED_VALUE"""),0)</f>
        <v>0</v>
      </c>
      <c r="V509" s="47">
        <f ca="1">IFERROR(__xludf.DUMMYFUNCTION("""COMPUTED_VALUE"""),0)</f>
        <v>0</v>
      </c>
      <c r="W509" s="47">
        <f ca="1">IFERROR(__xludf.DUMMYFUNCTION("""COMPUTED_VALUE"""),0)</f>
        <v>0</v>
      </c>
      <c r="X509" s="47">
        <f ca="1">IFERROR(__xludf.DUMMYFUNCTION("""COMPUTED_VALUE"""),0)</f>
        <v>0</v>
      </c>
      <c r="Y509" s="44">
        <f ca="1">IFERROR(__xludf.DUMMYFUNCTION("""COMPUTED_VALUE"""),0)</f>
        <v>0</v>
      </c>
      <c r="Z509" s="44">
        <f ca="1">IFERROR(__xludf.DUMMYFUNCTION("""COMPUTED_VALUE"""),0)</f>
        <v>0</v>
      </c>
      <c r="AA509" s="44">
        <f ca="1">IFERROR(__xludf.DUMMYFUNCTION("""COMPUTED_VALUE"""),0)</f>
        <v>0</v>
      </c>
      <c r="AB509" s="44">
        <f ca="1">IFERROR(__xludf.DUMMYFUNCTION("""COMPUTED_VALUE"""),0)</f>
        <v>0</v>
      </c>
      <c r="AC509" s="47">
        <f ca="1">IFERROR(__xludf.DUMMYFUNCTION("""COMPUTED_VALUE"""),0)</f>
        <v>0</v>
      </c>
      <c r="AD509" s="49" t="str">
        <f ca="1">IFERROR(__xludf.DUMMYFUNCTION("""COMPUTED_VALUE"""),"MYSY(50%) + KSPS(50%)")</f>
        <v>MYSY(50%) + KSPS(50%)</v>
      </c>
      <c r="AE509" s="27"/>
    </row>
    <row r="510" spans="1:31" ht="14.3">
      <c r="A510" s="42" t="str">
        <f ca="1">IFERROR(__xludf.DUMMYFUNCTION("""COMPUTED_VALUE"""),"21SDSCE01038")</f>
        <v>21SDSCE01038</v>
      </c>
      <c r="B510" s="43" t="str">
        <f ca="1">IFERROR(__xludf.DUMMYFUNCTION("""COMPUTED_VALUE"""),"PADDHARIYA MOHIT KAUSHIK")</f>
        <v>PADDHARIYA MOHIT KAUSHIK</v>
      </c>
      <c r="C510" s="42" t="str">
        <f ca="1">IFERROR(__xludf.DUMMYFUNCTION("""COMPUTED_VALUE"""),"SDS")</f>
        <v>SDS</v>
      </c>
      <c r="D510" s="42" t="str">
        <f ca="1">IFERROR(__xludf.DUMMYFUNCTION("""COMPUTED_VALUE"""),"DCE")</f>
        <v>DCE</v>
      </c>
      <c r="E510" s="44">
        <f ca="1">IFERROR(__xludf.DUMMYFUNCTION("""COMPUTED_VALUE"""),6)</f>
        <v>6</v>
      </c>
      <c r="F510" s="42" t="str">
        <f ca="1">IFERROR(__xludf.DUMMYFUNCTION("""COMPUTED_VALUE"""),"9427241506
8849452295")</f>
        <v>9427241506
8849452295</v>
      </c>
      <c r="G510" s="42" t="str">
        <f ca="1">IFERROR(__xludf.DUMMYFUNCTION("""COMPUTED_VALUE"""),"9427241506
8849452295")</f>
        <v>9427241506
8849452295</v>
      </c>
      <c r="H510" s="2" t="str">
        <f ca="1">IFERROR(__xludf.DUMMYFUNCTION("""COMPUTED_VALUE"""),"DCE_2021-24")</f>
        <v>DCE_2021-24</v>
      </c>
      <c r="I510" s="45" t="str">
        <f ca="1">IFERROR(__xludf.DUMMYFUNCTION("""COMPUTED_VALUE"""),"MYSY")</f>
        <v>MYSY</v>
      </c>
      <c r="J510" s="46">
        <f ca="1">IFERROR(__xludf.DUMMYFUNCTION("""COMPUTED_VALUE"""),25000)</f>
        <v>25000</v>
      </c>
      <c r="K510" s="46">
        <f ca="1">IFERROR(__xludf.DUMMYFUNCTION("""COMPUTED_VALUE"""),0)</f>
        <v>0</v>
      </c>
      <c r="L510" s="46">
        <f ca="1">IFERROR(__xludf.DUMMYFUNCTION("""COMPUTED_VALUE"""),0)</f>
        <v>0</v>
      </c>
      <c r="M510" s="47">
        <f ca="1">IFERROR(__xludf.DUMMYFUNCTION("""COMPUTED_VALUE"""),0)</f>
        <v>0</v>
      </c>
      <c r="N510" s="46">
        <f ca="1">IFERROR(__xludf.DUMMYFUNCTION("""COMPUTED_VALUE"""),25000)</f>
        <v>25000</v>
      </c>
      <c r="O510" s="46">
        <f ca="1">IFERROR(__xludf.DUMMYFUNCTION("""COMPUTED_VALUE"""),3750)</f>
        <v>3750</v>
      </c>
      <c r="P510" s="46">
        <f ca="1">IFERROR(__xludf.DUMMYFUNCTION("""COMPUTED_VALUE"""),3750)</f>
        <v>3750</v>
      </c>
      <c r="Q510" s="47">
        <f ca="1">IFERROR(__xludf.DUMMYFUNCTION("""COMPUTED_VALUE"""),0)</f>
        <v>0</v>
      </c>
      <c r="R510" s="24">
        <f ca="1">IFERROR(__xludf.DUMMYFUNCTION("""COMPUTED_VALUE"""),0)</f>
        <v>0</v>
      </c>
      <c r="S510" s="23">
        <f ca="1">IFERROR(__xludf.DUMMYFUNCTION("""COMPUTED_VALUE"""),0)</f>
        <v>0</v>
      </c>
      <c r="T510" s="48">
        <f ca="1">IFERROR(__xludf.DUMMYFUNCTION("""COMPUTED_VALUE"""),0)</f>
        <v>0</v>
      </c>
      <c r="U510" s="47">
        <f ca="1">IFERROR(__xludf.DUMMYFUNCTION("""COMPUTED_VALUE"""),0)</f>
        <v>0</v>
      </c>
      <c r="V510" s="47">
        <f ca="1">IFERROR(__xludf.DUMMYFUNCTION("""COMPUTED_VALUE"""),0)</f>
        <v>0</v>
      </c>
      <c r="W510" s="47">
        <f ca="1">IFERROR(__xludf.DUMMYFUNCTION("""COMPUTED_VALUE"""),0)</f>
        <v>0</v>
      </c>
      <c r="X510" s="47">
        <f ca="1">IFERROR(__xludf.DUMMYFUNCTION("""COMPUTED_VALUE"""),0)</f>
        <v>0</v>
      </c>
      <c r="Y510" s="44">
        <f ca="1">IFERROR(__xludf.DUMMYFUNCTION("""COMPUTED_VALUE"""),0)</f>
        <v>0</v>
      </c>
      <c r="Z510" s="44">
        <f ca="1">IFERROR(__xludf.DUMMYFUNCTION("""COMPUTED_VALUE"""),0)</f>
        <v>0</v>
      </c>
      <c r="AA510" s="44">
        <f ca="1">IFERROR(__xludf.DUMMYFUNCTION("""COMPUTED_VALUE"""),0)</f>
        <v>0</v>
      </c>
      <c r="AB510" s="44">
        <f ca="1">IFERROR(__xludf.DUMMYFUNCTION("""COMPUTED_VALUE"""),0)</f>
        <v>0</v>
      </c>
      <c r="AC510" s="47">
        <f ca="1">IFERROR(__xludf.DUMMYFUNCTION("""COMPUTED_VALUE"""),0)</f>
        <v>0</v>
      </c>
      <c r="AD510" s="49" t="str">
        <f ca="1">IFERROR(__xludf.DUMMYFUNCTION("""COMPUTED_VALUE"""),"MYSY(50%) + KSPS(50%)")</f>
        <v>MYSY(50%) + KSPS(50%)</v>
      </c>
      <c r="AE510" s="27"/>
    </row>
    <row r="511" spans="1:31" ht="28.55">
      <c r="A511" s="42" t="str">
        <f ca="1">IFERROR(__xludf.DUMMYFUNCTION("""COMPUTED_VALUE"""),"21SDSCE01040")</f>
        <v>21SDSCE01040</v>
      </c>
      <c r="B511" s="43" t="str">
        <f ca="1">IFERROR(__xludf.DUMMYFUNCTION("""COMPUTED_VALUE"""),"RAKHSHIYA PRITIBEN BABUBHAI")</f>
        <v>RAKHSHIYA PRITIBEN BABUBHAI</v>
      </c>
      <c r="C511" s="42" t="str">
        <f ca="1">IFERROR(__xludf.DUMMYFUNCTION("""COMPUTED_VALUE"""),"SDS")</f>
        <v>SDS</v>
      </c>
      <c r="D511" s="42" t="str">
        <f ca="1">IFERROR(__xludf.DUMMYFUNCTION("""COMPUTED_VALUE"""),"DCE")</f>
        <v>DCE</v>
      </c>
      <c r="E511" s="44">
        <f ca="1">IFERROR(__xludf.DUMMYFUNCTION("""COMPUTED_VALUE"""),6)</f>
        <v>6</v>
      </c>
      <c r="F511" s="42" t="str">
        <f ca="1">IFERROR(__xludf.DUMMYFUNCTION("""COMPUTED_VALUE"""),"8980691181 9662458875")</f>
        <v>8980691181 9662458875</v>
      </c>
      <c r="G511" s="42" t="str">
        <f ca="1">IFERROR(__xludf.DUMMYFUNCTION("""COMPUTED_VALUE"""),"8980691181 9662458875")</f>
        <v>8980691181 9662458875</v>
      </c>
      <c r="H511" s="2" t="str">
        <f ca="1">IFERROR(__xludf.DUMMYFUNCTION("""COMPUTED_VALUE"""),"DCE_2021-24")</f>
        <v>DCE_2021-24</v>
      </c>
      <c r="I511" s="45" t="str">
        <f ca="1">IFERROR(__xludf.DUMMYFUNCTION("""COMPUTED_VALUE"""),"FREESHIP CARD")</f>
        <v>FREESHIP CARD</v>
      </c>
      <c r="J511" s="46">
        <f ca="1">IFERROR(__xludf.DUMMYFUNCTION("""COMPUTED_VALUE"""),25000)</f>
        <v>25000</v>
      </c>
      <c r="K511" s="46">
        <f ca="1">IFERROR(__xludf.DUMMYFUNCTION("""COMPUTED_VALUE"""),0)</f>
        <v>0</v>
      </c>
      <c r="L511" s="46">
        <f ca="1">IFERROR(__xludf.DUMMYFUNCTION("""COMPUTED_VALUE"""),0)</f>
        <v>0</v>
      </c>
      <c r="M511" s="47">
        <f ca="1">IFERROR(__xludf.DUMMYFUNCTION("""COMPUTED_VALUE"""),0)</f>
        <v>0</v>
      </c>
      <c r="N511" s="46">
        <f ca="1">IFERROR(__xludf.DUMMYFUNCTION("""COMPUTED_VALUE"""),25000)</f>
        <v>25000</v>
      </c>
      <c r="O511" s="46">
        <f ca="1">IFERROR(__xludf.DUMMYFUNCTION("""COMPUTED_VALUE"""),3750)</f>
        <v>3750</v>
      </c>
      <c r="P511" s="46">
        <f ca="1">IFERROR(__xludf.DUMMYFUNCTION("""COMPUTED_VALUE"""),0)</f>
        <v>0</v>
      </c>
      <c r="Q511" s="47">
        <f ca="1">IFERROR(__xludf.DUMMYFUNCTION("""COMPUTED_VALUE"""),0)</f>
        <v>0</v>
      </c>
      <c r="R511" s="24">
        <f ca="1">IFERROR(__xludf.DUMMYFUNCTION("""COMPUTED_VALUE"""),0)</f>
        <v>0</v>
      </c>
      <c r="S511" s="23">
        <f ca="1">IFERROR(__xludf.DUMMYFUNCTION("""COMPUTED_VALUE"""),3750)</f>
        <v>3750</v>
      </c>
      <c r="T511" s="48">
        <f ca="1">IFERROR(__xludf.DUMMYFUNCTION("""COMPUTED_VALUE"""),0)</f>
        <v>0</v>
      </c>
      <c r="U511" s="47">
        <f ca="1">IFERROR(__xludf.DUMMYFUNCTION("""COMPUTED_VALUE"""),0)</f>
        <v>0</v>
      </c>
      <c r="V511" s="47">
        <f ca="1">IFERROR(__xludf.DUMMYFUNCTION("""COMPUTED_VALUE"""),0)</f>
        <v>0</v>
      </c>
      <c r="W511" s="47">
        <f ca="1">IFERROR(__xludf.DUMMYFUNCTION("""COMPUTED_VALUE"""),0)</f>
        <v>0</v>
      </c>
      <c r="X511" s="47">
        <f ca="1">IFERROR(__xludf.DUMMYFUNCTION("""COMPUTED_VALUE"""),0)</f>
        <v>0</v>
      </c>
      <c r="Y511" s="44">
        <f ca="1">IFERROR(__xludf.DUMMYFUNCTION("""COMPUTED_VALUE"""),0)</f>
        <v>0</v>
      </c>
      <c r="Z511" s="44">
        <f ca="1">IFERROR(__xludf.DUMMYFUNCTION("""COMPUTED_VALUE"""),0)</f>
        <v>0</v>
      </c>
      <c r="AA511" s="44">
        <f ca="1">IFERROR(__xludf.DUMMYFUNCTION("""COMPUTED_VALUE"""),0)</f>
        <v>0</v>
      </c>
      <c r="AB511" s="44">
        <f ca="1">IFERROR(__xludf.DUMMYFUNCTION("""COMPUTED_VALUE"""),0)</f>
        <v>0</v>
      </c>
      <c r="AC511" s="47">
        <f ca="1">IFERROR(__xludf.DUMMYFUNCTION("""COMPUTED_VALUE"""),0)</f>
        <v>0</v>
      </c>
      <c r="AD511" s="49" t="str">
        <f ca="1">IFERROR(__xludf.DUMMYFUNCTION("""COMPUTED_VALUE"""),"FREESHIPCARD STUDENT")</f>
        <v>FREESHIPCARD STUDENT</v>
      </c>
      <c r="AE511" s="27"/>
    </row>
    <row r="512" spans="1:31" ht="14.3">
      <c r="A512" s="42" t="str">
        <f ca="1">IFERROR(__xludf.DUMMYFUNCTION("""COMPUTED_VALUE"""),"21SDSCE01042")</f>
        <v>21SDSCE01042</v>
      </c>
      <c r="B512" s="43" t="str">
        <f ca="1">IFERROR(__xludf.DUMMYFUNCTION("""COMPUTED_VALUE"""),"RANPARIYA PRUTHA CHANDRAKANTBHAI")</f>
        <v>RANPARIYA PRUTHA CHANDRAKANTBHAI</v>
      </c>
      <c r="C512" s="42" t="str">
        <f ca="1">IFERROR(__xludf.DUMMYFUNCTION("""COMPUTED_VALUE"""),"SDS")</f>
        <v>SDS</v>
      </c>
      <c r="D512" s="42" t="str">
        <f ca="1">IFERROR(__xludf.DUMMYFUNCTION("""COMPUTED_VALUE"""),"DCE")</f>
        <v>DCE</v>
      </c>
      <c r="E512" s="44">
        <f ca="1">IFERROR(__xludf.DUMMYFUNCTION("""COMPUTED_VALUE"""),6)</f>
        <v>6</v>
      </c>
      <c r="F512" s="42" t="str">
        <f ca="1">IFERROR(__xludf.DUMMYFUNCTION("""COMPUTED_VALUE"""),"8200080872 9512568643")</f>
        <v>8200080872 9512568643</v>
      </c>
      <c r="G512" s="42" t="str">
        <f ca="1">IFERROR(__xludf.DUMMYFUNCTION("""COMPUTED_VALUE"""),"8200080872 9512568643")</f>
        <v>8200080872 9512568643</v>
      </c>
      <c r="H512" s="2" t="str">
        <f ca="1">IFERROR(__xludf.DUMMYFUNCTION("""COMPUTED_VALUE"""),"DCE_2021-24")</f>
        <v>DCE_2021-24</v>
      </c>
      <c r="I512" s="45" t="str">
        <f ca="1">IFERROR(__xludf.DUMMYFUNCTION("""COMPUTED_VALUE"""),"MYSY")</f>
        <v>MYSY</v>
      </c>
      <c r="J512" s="46">
        <f ca="1">IFERROR(__xludf.DUMMYFUNCTION("""COMPUTED_VALUE"""),25000)</f>
        <v>25000</v>
      </c>
      <c r="K512" s="46">
        <f ca="1">IFERROR(__xludf.DUMMYFUNCTION("""COMPUTED_VALUE"""),0)</f>
        <v>0</v>
      </c>
      <c r="L512" s="46">
        <f ca="1">IFERROR(__xludf.DUMMYFUNCTION("""COMPUTED_VALUE"""),0)</f>
        <v>0</v>
      </c>
      <c r="M512" s="47">
        <f ca="1">IFERROR(__xludf.DUMMYFUNCTION("""COMPUTED_VALUE"""),0)</f>
        <v>0</v>
      </c>
      <c r="N512" s="46">
        <f ca="1">IFERROR(__xludf.DUMMYFUNCTION("""COMPUTED_VALUE"""),25000)</f>
        <v>25000</v>
      </c>
      <c r="O512" s="46">
        <f ca="1">IFERROR(__xludf.DUMMYFUNCTION("""COMPUTED_VALUE"""),3750)</f>
        <v>3750</v>
      </c>
      <c r="P512" s="46">
        <f ca="1">IFERROR(__xludf.DUMMYFUNCTION("""COMPUTED_VALUE"""),3750)</f>
        <v>3750</v>
      </c>
      <c r="Q512" s="47">
        <f ca="1">IFERROR(__xludf.DUMMYFUNCTION("""COMPUTED_VALUE"""),0)</f>
        <v>0</v>
      </c>
      <c r="R512" s="24">
        <f ca="1">IFERROR(__xludf.DUMMYFUNCTION("""COMPUTED_VALUE"""),0)</f>
        <v>0</v>
      </c>
      <c r="S512" s="23">
        <f ca="1">IFERROR(__xludf.DUMMYFUNCTION("""COMPUTED_VALUE"""),0)</f>
        <v>0</v>
      </c>
      <c r="T512" s="48">
        <f ca="1">IFERROR(__xludf.DUMMYFUNCTION("""COMPUTED_VALUE"""),0)</f>
        <v>0</v>
      </c>
      <c r="U512" s="47">
        <f ca="1">IFERROR(__xludf.DUMMYFUNCTION("""COMPUTED_VALUE"""),0)</f>
        <v>0</v>
      </c>
      <c r="V512" s="47">
        <f ca="1">IFERROR(__xludf.DUMMYFUNCTION("""COMPUTED_VALUE"""),0)</f>
        <v>0</v>
      </c>
      <c r="W512" s="47">
        <f ca="1">IFERROR(__xludf.DUMMYFUNCTION("""COMPUTED_VALUE"""),0)</f>
        <v>0</v>
      </c>
      <c r="X512" s="47">
        <f ca="1">IFERROR(__xludf.DUMMYFUNCTION("""COMPUTED_VALUE"""),0)</f>
        <v>0</v>
      </c>
      <c r="Y512" s="44">
        <f ca="1">IFERROR(__xludf.DUMMYFUNCTION("""COMPUTED_VALUE"""),0)</f>
        <v>0</v>
      </c>
      <c r="Z512" s="44">
        <f ca="1">IFERROR(__xludf.DUMMYFUNCTION("""COMPUTED_VALUE"""),0)</f>
        <v>0</v>
      </c>
      <c r="AA512" s="44">
        <f ca="1">IFERROR(__xludf.DUMMYFUNCTION("""COMPUTED_VALUE"""),0)</f>
        <v>0</v>
      </c>
      <c r="AB512" s="44">
        <f ca="1">IFERROR(__xludf.DUMMYFUNCTION("""COMPUTED_VALUE"""),0)</f>
        <v>0</v>
      </c>
      <c r="AC512" s="47">
        <f ca="1">IFERROR(__xludf.DUMMYFUNCTION("""COMPUTED_VALUE"""),0)</f>
        <v>0</v>
      </c>
      <c r="AD512" s="49" t="str">
        <f ca="1">IFERROR(__xludf.DUMMYFUNCTION("""COMPUTED_VALUE"""),"MYSY(50%) + KSPS(50%)")</f>
        <v>MYSY(50%) + KSPS(50%)</v>
      </c>
      <c r="AE512" s="27"/>
    </row>
    <row r="513" spans="1:31" ht="28.55">
      <c r="A513" s="42" t="str">
        <f ca="1">IFERROR(__xludf.DUMMYFUNCTION("""COMPUTED_VALUE"""),"21SDSCE01045")</f>
        <v>21SDSCE01045</v>
      </c>
      <c r="B513" s="43" t="str">
        <f ca="1">IFERROR(__xludf.DUMMYFUNCTION("""COMPUTED_VALUE"""),"SARVAIYA RAVIRAJ JAGDISHBHAI")</f>
        <v>SARVAIYA RAVIRAJ JAGDISHBHAI</v>
      </c>
      <c r="C513" s="42" t="str">
        <f ca="1">IFERROR(__xludf.DUMMYFUNCTION("""COMPUTED_VALUE"""),"SDS")</f>
        <v>SDS</v>
      </c>
      <c r="D513" s="42" t="str">
        <f ca="1">IFERROR(__xludf.DUMMYFUNCTION("""COMPUTED_VALUE"""),"DCE")</f>
        <v>DCE</v>
      </c>
      <c r="E513" s="44">
        <f ca="1">IFERROR(__xludf.DUMMYFUNCTION("""COMPUTED_VALUE"""),6)</f>
        <v>6</v>
      </c>
      <c r="F513" s="42" t="str">
        <f ca="1">IFERROR(__xludf.DUMMYFUNCTION("""COMPUTED_VALUE"""),"6356994493 9879819944")</f>
        <v>6356994493 9879819944</v>
      </c>
      <c r="G513" s="42" t="str">
        <f ca="1">IFERROR(__xludf.DUMMYFUNCTION("""COMPUTED_VALUE"""),"6356994493 9879819944")</f>
        <v>6356994493 9879819944</v>
      </c>
      <c r="H513" s="2" t="str">
        <f ca="1">IFERROR(__xludf.DUMMYFUNCTION("""COMPUTED_VALUE"""),"DCE_2021-24")</f>
        <v>DCE_2021-24</v>
      </c>
      <c r="I513" s="45" t="str">
        <f ca="1">IFERROR(__xludf.DUMMYFUNCTION("""COMPUTED_VALUE"""),"FREESHIP CARD")</f>
        <v>FREESHIP CARD</v>
      </c>
      <c r="J513" s="46">
        <f ca="1">IFERROR(__xludf.DUMMYFUNCTION("""COMPUTED_VALUE"""),25000)</f>
        <v>25000</v>
      </c>
      <c r="K513" s="46">
        <f ca="1">IFERROR(__xludf.DUMMYFUNCTION("""COMPUTED_VALUE"""),0)</f>
        <v>0</v>
      </c>
      <c r="L513" s="46">
        <f ca="1">IFERROR(__xludf.DUMMYFUNCTION("""COMPUTED_VALUE"""),0)</f>
        <v>0</v>
      </c>
      <c r="M513" s="47">
        <f ca="1">IFERROR(__xludf.DUMMYFUNCTION("""COMPUTED_VALUE"""),0)</f>
        <v>0</v>
      </c>
      <c r="N513" s="46">
        <f ca="1">IFERROR(__xludf.DUMMYFUNCTION("""COMPUTED_VALUE"""),25000)</f>
        <v>25000</v>
      </c>
      <c r="O513" s="46">
        <f ca="1">IFERROR(__xludf.DUMMYFUNCTION("""COMPUTED_VALUE"""),3750)</f>
        <v>3750</v>
      </c>
      <c r="P513" s="46">
        <f ca="1">IFERROR(__xludf.DUMMYFUNCTION("""COMPUTED_VALUE"""),0)</f>
        <v>0</v>
      </c>
      <c r="Q513" s="47">
        <f ca="1">IFERROR(__xludf.DUMMYFUNCTION("""COMPUTED_VALUE"""),0)</f>
        <v>0</v>
      </c>
      <c r="R513" s="24">
        <f ca="1">IFERROR(__xludf.DUMMYFUNCTION("""COMPUTED_VALUE"""),0)</f>
        <v>0</v>
      </c>
      <c r="S513" s="23">
        <f ca="1">IFERROR(__xludf.DUMMYFUNCTION("""COMPUTED_VALUE"""),3750)</f>
        <v>3750</v>
      </c>
      <c r="T513" s="48">
        <f ca="1">IFERROR(__xludf.DUMMYFUNCTION("""COMPUTED_VALUE"""),0)</f>
        <v>0</v>
      </c>
      <c r="U513" s="47">
        <f ca="1">IFERROR(__xludf.DUMMYFUNCTION("""COMPUTED_VALUE"""),0)</f>
        <v>0</v>
      </c>
      <c r="V513" s="47">
        <f ca="1">IFERROR(__xludf.DUMMYFUNCTION("""COMPUTED_VALUE"""),0)</f>
        <v>0</v>
      </c>
      <c r="W513" s="47">
        <f ca="1">IFERROR(__xludf.DUMMYFUNCTION("""COMPUTED_VALUE"""),0)</f>
        <v>0</v>
      </c>
      <c r="X513" s="47">
        <f ca="1">IFERROR(__xludf.DUMMYFUNCTION("""COMPUTED_VALUE"""),0)</f>
        <v>0</v>
      </c>
      <c r="Y513" s="44">
        <f ca="1">IFERROR(__xludf.DUMMYFUNCTION("""COMPUTED_VALUE"""),0)</f>
        <v>0</v>
      </c>
      <c r="Z513" s="44">
        <f ca="1">IFERROR(__xludf.DUMMYFUNCTION("""COMPUTED_VALUE"""),0)</f>
        <v>0</v>
      </c>
      <c r="AA513" s="44">
        <f ca="1">IFERROR(__xludf.DUMMYFUNCTION("""COMPUTED_VALUE"""),0)</f>
        <v>0</v>
      </c>
      <c r="AB513" s="44">
        <f ca="1">IFERROR(__xludf.DUMMYFUNCTION("""COMPUTED_VALUE"""),0)</f>
        <v>0</v>
      </c>
      <c r="AC513" s="47">
        <f ca="1">IFERROR(__xludf.DUMMYFUNCTION("""COMPUTED_VALUE"""),0)</f>
        <v>0</v>
      </c>
      <c r="AD513" s="49" t="str">
        <f ca="1">IFERROR(__xludf.DUMMYFUNCTION("""COMPUTED_VALUE"""),"FREESHIPCARD STUDENT")</f>
        <v>FREESHIPCARD STUDENT</v>
      </c>
      <c r="AE513" s="27"/>
    </row>
    <row r="514" spans="1:31" ht="14.3">
      <c r="A514" s="42" t="str">
        <f ca="1">IFERROR(__xludf.DUMMYFUNCTION("""COMPUTED_VALUE"""),"21SDSCE01051")</f>
        <v>21SDSCE01051</v>
      </c>
      <c r="B514" s="43" t="str">
        <f ca="1">IFERROR(__xludf.DUMMYFUNCTION("""COMPUTED_VALUE"""),"SOLANKI NISHA HARESHBHAI")</f>
        <v>SOLANKI NISHA HARESHBHAI</v>
      </c>
      <c r="C514" s="42" t="str">
        <f ca="1">IFERROR(__xludf.DUMMYFUNCTION("""COMPUTED_VALUE"""),"SDS")</f>
        <v>SDS</v>
      </c>
      <c r="D514" s="42" t="str">
        <f ca="1">IFERROR(__xludf.DUMMYFUNCTION("""COMPUTED_VALUE"""),"DCE")</f>
        <v>DCE</v>
      </c>
      <c r="E514" s="44">
        <f ca="1">IFERROR(__xludf.DUMMYFUNCTION("""COMPUTED_VALUE"""),6)</f>
        <v>6</v>
      </c>
      <c r="F514" s="42" t="str">
        <f ca="1">IFERROR(__xludf.DUMMYFUNCTION("""COMPUTED_VALUE"""),"9510175688 8000030368")</f>
        <v>9510175688 8000030368</v>
      </c>
      <c r="G514" s="42" t="str">
        <f ca="1">IFERROR(__xludf.DUMMYFUNCTION("""COMPUTED_VALUE"""),"9510175688 8000030368")</f>
        <v>9510175688 8000030368</v>
      </c>
      <c r="H514" s="2" t="str">
        <f ca="1">IFERROR(__xludf.DUMMYFUNCTION("""COMPUTED_VALUE"""),"DCE_2021-24")</f>
        <v>DCE_2021-24</v>
      </c>
      <c r="I514" s="45" t="str">
        <f ca="1">IFERROR(__xludf.DUMMYFUNCTION("""COMPUTED_VALUE"""),"MYSY")</f>
        <v>MYSY</v>
      </c>
      <c r="J514" s="46">
        <f ca="1">IFERROR(__xludf.DUMMYFUNCTION("""COMPUTED_VALUE"""),25000)</f>
        <v>25000</v>
      </c>
      <c r="K514" s="46">
        <f ca="1">IFERROR(__xludf.DUMMYFUNCTION("""COMPUTED_VALUE"""),0)</f>
        <v>0</v>
      </c>
      <c r="L514" s="46">
        <f ca="1">IFERROR(__xludf.DUMMYFUNCTION("""COMPUTED_VALUE"""),0)</f>
        <v>0</v>
      </c>
      <c r="M514" s="47">
        <f ca="1">IFERROR(__xludf.DUMMYFUNCTION("""COMPUTED_VALUE"""),0)</f>
        <v>0</v>
      </c>
      <c r="N514" s="46">
        <f ca="1">IFERROR(__xludf.DUMMYFUNCTION("""COMPUTED_VALUE"""),25000)</f>
        <v>25000</v>
      </c>
      <c r="O514" s="46">
        <f ca="1">IFERROR(__xludf.DUMMYFUNCTION("""COMPUTED_VALUE"""),3750)</f>
        <v>3750</v>
      </c>
      <c r="P514" s="46">
        <f ca="1">IFERROR(__xludf.DUMMYFUNCTION("""COMPUTED_VALUE"""),0)</f>
        <v>0</v>
      </c>
      <c r="Q514" s="47">
        <f ca="1">IFERROR(__xludf.DUMMYFUNCTION("""COMPUTED_VALUE"""),0)</f>
        <v>0</v>
      </c>
      <c r="R514" s="24">
        <f ca="1">IFERROR(__xludf.DUMMYFUNCTION("""COMPUTED_VALUE"""),0)</f>
        <v>0</v>
      </c>
      <c r="S514" s="23">
        <f ca="1">IFERROR(__xludf.DUMMYFUNCTION("""COMPUTED_VALUE"""),3750)</f>
        <v>3750</v>
      </c>
      <c r="T514" s="48">
        <f ca="1">IFERROR(__xludf.DUMMYFUNCTION("""COMPUTED_VALUE"""),0)</f>
        <v>0</v>
      </c>
      <c r="U514" s="47">
        <f ca="1">IFERROR(__xludf.DUMMYFUNCTION("""COMPUTED_VALUE"""),0)</f>
        <v>0</v>
      </c>
      <c r="V514" s="47">
        <f ca="1">IFERROR(__xludf.DUMMYFUNCTION("""COMPUTED_VALUE"""),0)</f>
        <v>0</v>
      </c>
      <c r="W514" s="47">
        <f ca="1">IFERROR(__xludf.DUMMYFUNCTION("""COMPUTED_VALUE"""),0)</f>
        <v>0</v>
      </c>
      <c r="X514" s="47">
        <f ca="1">IFERROR(__xludf.DUMMYFUNCTION("""COMPUTED_VALUE"""),0)</f>
        <v>0</v>
      </c>
      <c r="Y514" s="44">
        <f ca="1">IFERROR(__xludf.DUMMYFUNCTION("""COMPUTED_VALUE"""),0)</f>
        <v>0</v>
      </c>
      <c r="Z514" s="44">
        <f ca="1">IFERROR(__xludf.DUMMYFUNCTION("""COMPUTED_VALUE"""),0)</f>
        <v>0</v>
      </c>
      <c r="AA514" s="44">
        <f ca="1">IFERROR(__xludf.DUMMYFUNCTION("""COMPUTED_VALUE"""),0)</f>
        <v>0</v>
      </c>
      <c r="AB514" s="44">
        <f ca="1">IFERROR(__xludf.DUMMYFUNCTION("""COMPUTED_VALUE"""),0)</f>
        <v>0</v>
      </c>
      <c r="AC514" s="47">
        <f ca="1">IFERROR(__xludf.DUMMYFUNCTION("""COMPUTED_VALUE"""),0)</f>
        <v>0</v>
      </c>
      <c r="AD514" s="49" t="str">
        <f ca="1">IFERROR(__xludf.DUMMYFUNCTION("""COMPUTED_VALUE"""),"MYSY(50%)+KSPS(25%)")</f>
        <v>MYSY(50%)+KSPS(25%)</v>
      </c>
      <c r="AE514" s="27"/>
    </row>
    <row r="515" spans="1:31" ht="14.3">
      <c r="A515" s="42" t="str">
        <f ca="1">IFERROR(__xludf.DUMMYFUNCTION("""COMPUTED_VALUE"""),"21SDSCE01054")</f>
        <v>21SDSCE01054</v>
      </c>
      <c r="B515" s="43" t="str">
        <f ca="1">IFERROR(__xludf.DUMMYFUNCTION("""COMPUTED_VALUE"""),"VYAS KANDARP JITENDRA")</f>
        <v>VYAS KANDARP JITENDRA</v>
      </c>
      <c r="C515" s="42" t="str">
        <f ca="1">IFERROR(__xludf.DUMMYFUNCTION("""COMPUTED_VALUE"""),"SDS")</f>
        <v>SDS</v>
      </c>
      <c r="D515" s="42" t="str">
        <f ca="1">IFERROR(__xludf.DUMMYFUNCTION("""COMPUTED_VALUE"""),"DCE")</f>
        <v>DCE</v>
      </c>
      <c r="E515" s="44">
        <f ca="1">IFERROR(__xludf.DUMMYFUNCTION("""COMPUTED_VALUE"""),6)</f>
        <v>6</v>
      </c>
      <c r="F515" s="42" t="str">
        <f ca="1">IFERROR(__xludf.DUMMYFUNCTION("""COMPUTED_VALUE"""),"9408518180 9033730010")</f>
        <v>9408518180 9033730010</v>
      </c>
      <c r="G515" s="42" t="str">
        <f ca="1">IFERROR(__xludf.DUMMYFUNCTION("""COMPUTED_VALUE"""),"9408518180 9033730010")</f>
        <v>9408518180 9033730010</v>
      </c>
      <c r="H515" s="2" t="str">
        <f ca="1">IFERROR(__xludf.DUMMYFUNCTION("""COMPUTED_VALUE"""),"DCE_2021-24")</f>
        <v>DCE_2021-24</v>
      </c>
      <c r="I515" s="45"/>
      <c r="J515" s="46">
        <f ca="1">IFERROR(__xludf.DUMMYFUNCTION("""COMPUTED_VALUE"""),25000)</f>
        <v>25000</v>
      </c>
      <c r="K515" s="46">
        <f ca="1">IFERROR(__xludf.DUMMYFUNCTION("""COMPUTED_VALUE"""),25000)</f>
        <v>25000</v>
      </c>
      <c r="L515" s="46">
        <f ca="1">IFERROR(__xludf.DUMMYFUNCTION("""COMPUTED_VALUE"""),0)</f>
        <v>0</v>
      </c>
      <c r="M515" s="47">
        <f ca="1">IFERROR(__xludf.DUMMYFUNCTION("""COMPUTED_VALUE"""),0)</f>
        <v>0</v>
      </c>
      <c r="N515" s="46">
        <f ca="1">IFERROR(__xludf.DUMMYFUNCTION("""COMPUTED_VALUE"""),0)</f>
        <v>0</v>
      </c>
      <c r="O515" s="46">
        <f ca="1">IFERROR(__xludf.DUMMYFUNCTION("""COMPUTED_VALUE"""),3750)</f>
        <v>3750</v>
      </c>
      <c r="P515" s="46">
        <f ca="1">IFERROR(__xludf.DUMMYFUNCTION("""COMPUTED_VALUE"""),3750)</f>
        <v>3750</v>
      </c>
      <c r="Q515" s="47">
        <f ca="1">IFERROR(__xludf.DUMMYFUNCTION("""COMPUTED_VALUE"""),0)</f>
        <v>0</v>
      </c>
      <c r="R515" s="24">
        <f ca="1">IFERROR(__xludf.DUMMYFUNCTION("""COMPUTED_VALUE"""),0)</f>
        <v>0</v>
      </c>
      <c r="S515" s="23">
        <f ca="1">IFERROR(__xludf.DUMMYFUNCTION("""COMPUTED_VALUE"""),0)</f>
        <v>0</v>
      </c>
      <c r="T515" s="48">
        <f ca="1">IFERROR(__xludf.DUMMYFUNCTION("""COMPUTED_VALUE"""),0)</f>
        <v>0</v>
      </c>
      <c r="U515" s="47">
        <f ca="1">IFERROR(__xludf.DUMMYFUNCTION("""COMPUTED_VALUE"""),0)</f>
        <v>0</v>
      </c>
      <c r="V515" s="47">
        <f ca="1">IFERROR(__xludf.DUMMYFUNCTION("""COMPUTED_VALUE"""),0)</f>
        <v>0</v>
      </c>
      <c r="W515" s="47">
        <f ca="1">IFERROR(__xludf.DUMMYFUNCTION("""COMPUTED_VALUE"""),0)</f>
        <v>0</v>
      </c>
      <c r="X515" s="47">
        <f ca="1">IFERROR(__xludf.DUMMYFUNCTION("""COMPUTED_VALUE"""),0)</f>
        <v>0</v>
      </c>
      <c r="Y515" s="44">
        <f ca="1">IFERROR(__xludf.DUMMYFUNCTION("""COMPUTED_VALUE"""),0)</f>
        <v>0</v>
      </c>
      <c r="Z515" s="44">
        <f ca="1">IFERROR(__xludf.DUMMYFUNCTION("""COMPUTED_VALUE"""),0)</f>
        <v>0</v>
      </c>
      <c r="AA515" s="44">
        <f ca="1">IFERROR(__xludf.DUMMYFUNCTION("""COMPUTED_VALUE"""),0)</f>
        <v>0</v>
      </c>
      <c r="AB515" s="44">
        <f ca="1">IFERROR(__xludf.DUMMYFUNCTION("""COMPUTED_VALUE"""),0)</f>
        <v>0</v>
      </c>
      <c r="AC515" s="47">
        <f ca="1">IFERROR(__xludf.DUMMYFUNCTION("""COMPUTED_VALUE"""),0)</f>
        <v>0</v>
      </c>
      <c r="AD515" s="49"/>
      <c r="AE515" s="27"/>
    </row>
    <row r="516" spans="1:31" ht="14.3">
      <c r="A516" s="42" t="str">
        <f ca="1">IFERROR(__xludf.DUMMYFUNCTION("""COMPUTED_VALUE"""),"21SDSCE01058")</f>
        <v>21SDSCE01058</v>
      </c>
      <c r="B516" s="43" t="str">
        <f ca="1">IFERROR(__xludf.DUMMYFUNCTION("""COMPUTED_VALUE"""),"BATHANI HEET MAHESHBHAI")</f>
        <v>BATHANI HEET MAHESHBHAI</v>
      </c>
      <c r="C516" s="42" t="str">
        <f ca="1">IFERROR(__xludf.DUMMYFUNCTION("""COMPUTED_VALUE"""),"SDS")</f>
        <v>SDS</v>
      </c>
      <c r="D516" s="42" t="str">
        <f ca="1">IFERROR(__xludf.DUMMYFUNCTION("""COMPUTED_VALUE"""),"DCE")</f>
        <v>DCE</v>
      </c>
      <c r="E516" s="44">
        <f ca="1">IFERROR(__xludf.DUMMYFUNCTION("""COMPUTED_VALUE"""),6)</f>
        <v>6</v>
      </c>
      <c r="F516" s="42" t="str">
        <f ca="1">IFERROR(__xludf.DUMMYFUNCTION("""COMPUTED_VALUE"""),"9313338641 9427721285")</f>
        <v>9313338641 9427721285</v>
      </c>
      <c r="G516" s="42" t="str">
        <f ca="1">IFERROR(__xludf.DUMMYFUNCTION("""COMPUTED_VALUE"""),"9313338641 9427721285")</f>
        <v>9313338641 9427721285</v>
      </c>
      <c r="H516" s="2" t="str">
        <f ca="1">IFERROR(__xludf.DUMMYFUNCTION("""COMPUTED_VALUE"""),"DCE_2021-24")</f>
        <v>DCE_2021-24</v>
      </c>
      <c r="I516" s="45"/>
      <c r="J516" s="46">
        <f ca="1">IFERROR(__xludf.DUMMYFUNCTION("""COMPUTED_VALUE"""),25000)</f>
        <v>25000</v>
      </c>
      <c r="K516" s="46">
        <f ca="1">IFERROR(__xludf.DUMMYFUNCTION("""COMPUTED_VALUE"""),25000)</f>
        <v>25000</v>
      </c>
      <c r="L516" s="46">
        <f ca="1">IFERROR(__xludf.DUMMYFUNCTION("""COMPUTED_VALUE"""),0)</f>
        <v>0</v>
      </c>
      <c r="M516" s="47">
        <f ca="1">IFERROR(__xludf.DUMMYFUNCTION("""COMPUTED_VALUE"""),0)</f>
        <v>0</v>
      </c>
      <c r="N516" s="46">
        <f ca="1">IFERROR(__xludf.DUMMYFUNCTION("""COMPUTED_VALUE"""),0)</f>
        <v>0</v>
      </c>
      <c r="O516" s="46">
        <f ca="1">IFERROR(__xludf.DUMMYFUNCTION("""COMPUTED_VALUE"""),3750)</f>
        <v>3750</v>
      </c>
      <c r="P516" s="46">
        <f ca="1">IFERROR(__xludf.DUMMYFUNCTION("""COMPUTED_VALUE"""),3750)</f>
        <v>3750</v>
      </c>
      <c r="Q516" s="47">
        <f ca="1">IFERROR(__xludf.DUMMYFUNCTION("""COMPUTED_VALUE"""),0)</f>
        <v>0</v>
      </c>
      <c r="R516" s="24">
        <f ca="1">IFERROR(__xludf.DUMMYFUNCTION("""COMPUTED_VALUE"""),0)</f>
        <v>0</v>
      </c>
      <c r="S516" s="23">
        <f ca="1">IFERROR(__xludf.DUMMYFUNCTION("""COMPUTED_VALUE"""),0)</f>
        <v>0</v>
      </c>
      <c r="T516" s="48">
        <f ca="1">IFERROR(__xludf.DUMMYFUNCTION("""COMPUTED_VALUE"""),0)</f>
        <v>0</v>
      </c>
      <c r="U516" s="47">
        <f ca="1">IFERROR(__xludf.DUMMYFUNCTION("""COMPUTED_VALUE"""),0)</f>
        <v>0</v>
      </c>
      <c r="V516" s="47">
        <f ca="1">IFERROR(__xludf.DUMMYFUNCTION("""COMPUTED_VALUE"""),0)</f>
        <v>0</v>
      </c>
      <c r="W516" s="47">
        <f ca="1">IFERROR(__xludf.DUMMYFUNCTION("""COMPUTED_VALUE"""),0)</f>
        <v>0</v>
      </c>
      <c r="X516" s="47">
        <f ca="1">IFERROR(__xludf.DUMMYFUNCTION("""COMPUTED_VALUE"""),0)</f>
        <v>0</v>
      </c>
      <c r="Y516" s="44">
        <f ca="1">IFERROR(__xludf.DUMMYFUNCTION("""COMPUTED_VALUE"""),0)</f>
        <v>0</v>
      </c>
      <c r="Z516" s="44">
        <f ca="1">IFERROR(__xludf.DUMMYFUNCTION("""COMPUTED_VALUE"""),0)</f>
        <v>0</v>
      </c>
      <c r="AA516" s="44">
        <f ca="1">IFERROR(__xludf.DUMMYFUNCTION("""COMPUTED_VALUE"""),0)</f>
        <v>0</v>
      </c>
      <c r="AB516" s="44">
        <f ca="1">IFERROR(__xludf.DUMMYFUNCTION("""COMPUTED_VALUE"""),0)</f>
        <v>0</v>
      </c>
      <c r="AC516" s="47">
        <f ca="1">IFERROR(__xludf.DUMMYFUNCTION("""COMPUTED_VALUE"""),0)</f>
        <v>0</v>
      </c>
      <c r="AD516" s="49"/>
      <c r="AE516" s="27"/>
    </row>
    <row r="517" spans="1:31" ht="28.55">
      <c r="A517" s="42" t="str">
        <f ca="1">IFERROR(__xludf.DUMMYFUNCTION("""COMPUTED_VALUE"""),"21SDSCE01061")</f>
        <v>21SDSCE01061</v>
      </c>
      <c r="B517" s="43" t="str">
        <f ca="1">IFERROR(__xludf.DUMMYFUNCTION("""COMPUTED_VALUE"""),"CHAVDA KRISH JAYANTIBHAI")</f>
        <v>CHAVDA KRISH JAYANTIBHAI</v>
      </c>
      <c r="C517" s="42" t="str">
        <f ca="1">IFERROR(__xludf.DUMMYFUNCTION("""COMPUTED_VALUE"""),"SDS")</f>
        <v>SDS</v>
      </c>
      <c r="D517" s="42" t="str">
        <f ca="1">IFERROR(__xludf.DUMMYFUNCTION("""COMPUTED_VALUE"""),"DCE")</f>
        <v>DCE</v>
      </c>
      <c r="E517" s="44">
        <f ca="1">IFERROR(__xludf.DUMMYFUNCTION("""COMPUTED_VALUE"""),6)</f>
        <v>6</v>
      </c>
      <c r="F517" s="42" t="str">
        <f ca="1">IFERROR(__xludf.DUMMYFUNCTION("""COMPUTED_VALUE"""),"9913238695
9913238695")</f>
        <v>9913238695
9913238695</v>
      </c>
      <c r="G517" s="42" t="str">
        <f ca="1">IFERROR(__xludf.DUMMYFUNCTION("""COMPUTED_VALUE"""),"9913238695
9913238695")</f>
        <v>9913238695
9913238695</v>
      </c>
      <c r="H517" s="2" t="str">
        <f ca="1">IFERROR(__xludf.DUMMYFUNCTION("""COMPUTED_VALUE"""),"DCE_2021-24")</f>
        <v>DCE_2021-24</v>
      </c>
      <c r="I517" s="45" t="str">
        <f ca="1">IFERROR(__xludf.DUMMYFUNCTION("""COMPUTED_VALUE"""),"FREESHIP CARD")</f>
        <v>FREESHIP CARD</v>
      </c>
      <c r="J517" s="46">
        <f ca="1">IFERROR(__xludf.DUMMYFUNCTION("""COMPUTED_VALUE"""),25000)</f>
        <v>25000</v>
      </c>
      <c r="K517" s="46">
        <f ca="1">IFERROR(__xludf.DUMMYFUNCTION("""COMPUTED_VALUE"""),0)</f>
        <v>0</v>
      </c>
      <c r="L517" s="46">
        <f ca="1">IFERROR(__xludf.DUMMYFUNCTION("""COMPUTED_VALUE"""),0)</f>
        <v>0</v>
      </c>
      <c r="M517" s="47">
        <f ca="1">IFERROR(__xludf.DUMMYFUNCTION("""COMPUTED_VALUE"""),0)</f>
        <v>0</v>
      </c>
      <c r="N517" s="46">
        <f ca="1">IFERROR(__xludf.DUMMYFUNCTION("""COMPUTED_VALUE"""),25000)</f>
        <v>25000</v>
      </c>
      <c r="O517" s="46">
        <f ca="1">IFERROR(__xludf.DUMMYFUNCTION("""COMPUTED_VALUE"""),3750)</f>
        <v>3750</v>
      </c>
      <c r="P517" s="46">
        <f ca="1">IFERROR(__xludf.DUMMYFUNCTION("""COMPUTED_VALUE"""),0)</f>
        <v>0</v>
      </c>
      <c r="Q517" s="47">
        <f ca="1">IFERROR(__xludf.DUMMYFUNCTION("""COMPUTED_VALUE"""),0)</f>
        <v>0</v>
      </c>
      <c r="R517" s="24">
        <f ca="1">IFERROR(__xludf.DUMMYFUNCTION("""COMPUTED_VALUE"""),0)</f>
        <v>0</v>
      </c>
      <c r="S517" s="23">
        <f ca="1">IFERROR(__xludf.DUMMYFUNCTION("""COMPUTED_VALUE"""),3750)</f>
        <v>3750</v>
      </c>
      <c r="T517" s="48">
        <f ca="1">IFERROR(__xludf.DUMMYFUNCTION("""COMPUTED_VALUE"""),0)</f>
        <v>0</v>
      </c>
      <c r="U517" s="47">
        <f ca="1">IFERROR(__xludf.DUMMYFUNCTION("""COMPUTED_VALUE"""),0)</f>
        <v>0</v>
      </c>
      <c r="V517" s="47">
        <f ca="1">IFERROR(__xludf.DUMMYFUNCTION("""COMPUTED_VALUE"""),0)</f>
        <v>0</v>
      </c>
      <c r="W517" s="47">
        <f ca="1">IFERROR(__xludf.DUMMYFUNCTION("""COMPUTED_VALUE"""),0)</f>
        <v>0</v>
      </c>
      <c r="X517" s="47">
        <f ca="1">IFERROR(__xludf.DUMMYFUNCTION("""COMPUTED_VALUE"""),0)</f>
        <v>0</v>
      </c>
      <c r="Y517" s="44">
        <f ca="1">IFERROR(__xludf.DUMMYFUNCTION("""COMPUTED_VALUE"""),0)</f>
        <v>0</v>
      </c>
      <c r="Z517" s="44">
        <f ca="1">IFERROR(__xludf.DUMMYFUNCTION("""COMPUTED_VALUE"""),0)</f>
        <v>0</v>
      </c>
      <c r="AA517" s="44">
        <f ca="1">IFERROR(__xludf.DUMMYFUNCTION("""COMPUTED_VALUE"""),0)</f>
        <v>0</v>
      </c>
      <c r="AB517" s="44">
        <f ca="1">IFERROR(__xludf.DUMMYFUNCTION("""COMPUTED_VALUE"""),0)</f>
        <v>0</v>
      </c>
      <c r="AC517" s="47">
        <f ca="1">IFERROR(__xludf.DUMMYFUNCTION("""COMPUTED_VALUE"""),0)</f>
        <v>0</v>
      </c>
      <c r="AD517" s="49" t="str">
        <f ca="1">IFERROR(__xludf.DUMMYFUNCTION("""COMPUTED_VALUE"""),"FREESHIPCARD STUDENT")</f>
        <v>FREESHIPCARD STUDENT</v>
      </c>
      <c r="AE517" s="27"/>
    </row>
    <row r="518" spans="1:31" ht="28.55">
      <c r="A518" s="42" t="str">
        <f ca="1">IFERROR(__xludf.DUMMYFUNCTION("""COMPUTED_VALUE"""),"21SDSCE01062")</f>
        <v>21SDSCE01062</v>
      </c>
      <c r="B518" s="43" t="str">
        <f ca="1">IFERROR(__xludf.DUMMYFUNCTION("""COMPUTED_VALUE"""),"CHAVDA MITESH NARESHBHAI")</f>
        <v>CHAVDA MITESH NARESHBHAI</v>
      </c>
      <c r="C518" s="42" t="str">
        <f ca="1">IFERROR(__xludf.DUMMYFUNCTION("""COMPUTED_VALUE"""),"SDS")</f>
        <v>SDS</v>
      </c>
      <c r="D518" s="42" t="str">
        <f ca="1">IFERROR(__xludf.DUMMYFUNCTION("""COMPUTED_VALUE"""),"DCE")</f>
        <v>DCE</v>
      </c>
      <c r="E518" s="44">
        <f ca="1">IFERROR(__xludf.DUMMYFUNCTION("""COMPUTED_VALUE"""),6)</f>
        <v>6</v>
      </c>
      <c r="F518" s="42" t="str">
        <f ca="1">IFERROR(__xludf.DUMMYFUNCTION("""COMPUTED_VALUE"""),"9879884507 
9426484507")</f>
        <v>9879884507 
9426484507</v>
      </c>
      <c r="G518" s="42" t="str">
        <f ca="1">IFERROR(__xludf.DUMMYFUNCTION("""COMPUTED_VALUE"""),"9879884507 
9426484507")</f>
        <v>9879884507 
9426484507</v>
      </c>
      <c r="H518" s="2" t="str">
        <f ca="1">IFERROR(__xludf.DUMMYFUNCTION("""COMPUTED_VALUE"""),"DCE_2021-24")</f>
        <v>DCE_2021-24</v>
      </c>
      <c r="I518" s="45" t="str">
        <f ca="1">IFERROR(__xludf.DUMMYFUNCTION("""COMPUTED_VALUE"""),"FREESHIP CARD")</f>
        <v>FREESHIP CARD</v>
      </c>
      <c r="J518" s="46">
        <f ca="1">IFERROR(__xludf.DUMMYFUNCTION("""COMPUTED_VALUE"""),25000)</f>
        <v>25000</v>
      </c>
      <c r="K518" s="46">
        <f ca="1">IFERROR(__xludf.DUMMYFUNCTION("""COMPUTED_VALUE"""),0)</f>
        <v>0</v>
      </c>
      <c r="L518" s="46">
        <f ca="1">IFERROR(__xludf.DUMMYFUNCTION("""COMPUTED_VALUE"""),0)</f>
        <v>0</v>
      </c>
      <c r="M518" s="47">
        <f ca="1">IFERROR(__xludf.DUMMYFUNCTION("""COMPUTED_VALUE"""),0)</f>
        <v>0</v>
      </c>
      <c r="N518" s="46">
        <f ca="1">IFERROR(__xludf.DUMMYFUNCTION("""COMPUTED_VALUE"""),25000)</f>
        <v>25000</v>
      </c>
      <c r="O518" s="46">
        <f ca="1">IFERROR(__xludf.DUMMYFUNCTION("""COMPUTED_VALUE"""),3750)</f>
        <v>3750</v>
      </c>
      <c r="P518" s="46">
        <f ca="1">IFERROR(__xludf.DUMMYFUNCTION("""COMPUTED_VALUE"""),0)</f>
        <v>0</v>
      </c>
      <c r="Q518" s="47">
        <f ca="1">IFERROR(__xludf.DUMMYFUNCTION("""COMPUTED_VALUE"""),0)</f>
        <v>0</v>
      </c>
      <c r="R518" s="24">
        <f ca="1">IFERROR(__xludf.DUMMYFUNCTION("""COMPUTED_VALUE"""),0)</f>
        <v>0</v>
      </c>
      <c r="S518" s="23">
        <f ca="1">IFERROR(__xludf.DUMMYFUNCTION("""COMPUTED_VALUE"""),3750)</f>
        <v>3750</v>
      </c>
      <c r="T518" s="48">
        <f ca="1">IFERROR(__xludf.DUMMYFUNCTION("""COMPUTED_VALUE"""),0)</f>
        <v>0</v>
      </c>
      <c r="U518" s="47">
        <f ca="1">IFERROR(__xludf.DUMMYFUNCTION("""COMPUTED_VALUE"""),0)</f>
        <v>0</v>
      </c>
      <c r="V518" s="47">
        <f ca="1">IFERROR(__xludf.DUMMYFUNCTION("""COMPUTED_VALUE"""),0)</f>
        <v>0</v>
      </c>
      <c r="W518" s="47">
        <f ca="1">IFERROR(__xludf.DUMMYFUNCTION("""COMPUTED_VALUE"""),0)</f>
        <v>0</v>
      </c>
      <c r="X518" s="47">
        <f ca="1">IFERROR(__xludf.DUMMYFUNCTION("""COMPUTED_VALUE"""),0)</f>
        <v>0</v>
      </c>
      <c r="Y518" s="44">
        <f ca="1">IFERROR(__xludf.DUMMYFUNCTION("""COMPUTED_VALUE"""),0)</f>
        <v>0</v>
      </c>
      <c r="Z518" s="44">
        <f ca="1">IFERROR(__xludf.DUMMYFUNCTION("""COMPUTED_VALUE"""),0)</f>
        <v>0</v>
      </c>
      <c r="AA518" s="44">
        <f ca="1">IFERROR(__xludf.DUMMYFUNCTION("""COMPUTED_VALUE"""),0)</f>
        <v>0</v>
      </c>
      <c r="AB518" s="44">
        <f ca="1">IFERROR(__xludf.DUMMYFUNCTION("""COMPUTED_VALUE"""),0)</f>
        <v>0</v>
      </c>
      <c r="AC518" s="47">
        <f ca="1">IFERROR(__xludf.DUMMYFUNCTION("""COMPUTED_VALUE"""),0)</f>
        <v>0</v>
      </c>
      <c r="AD518" s="49" t="str">
        <f ca="1">IFERROR(__xludf.DUMMYFUNCTION("""COMPUTED_VALUE"""),"FREESHIPCARD STUDENT")</f>
        <v>FREESHIPCARD STUDENT</v>
      </c>
      <c r="AE518" s="27"/>
    </row>
    <row r="519" spans="1:31" ht="28.55">
      <c r="A519" s="42" t="str">
        <f ca="1">IFERROR(__xludf.DUMMYFUNCTION("""COMPUTED_VALUE"""),"21SDSCE01063")</f>
        <v>21SDSCE01063</v>
      </c>
      <c r="B519" s="43" t="str">
        <f ca="1">IFERROR(__xludf.DUMMYFUNCTION("""COMPUTED_VALUE"""),"DAFDA HARSHADBHAI RAMESHBHAI")</f>
        <v>DAFDA HARSHADBHAI RAMESHBHAI</v>
      </c>
      <c r="C519" s="42" t="str">
        <f ca="1">IFERROR(__xludf.DUMMYFUNCTION("""COMPUTED_VALUE"""),"SDS")</f>
        <v>SDS</v>
      </c>
      <c r="D519" s="42" t="str">
        <f ca="1">IFERROR(__xludf.DUMMYFUNCTION("""COMPUTED_VALUE"""),"DCE")</f>
        <v>DCE</v>
      </c>
      <c r="E519" s="44">
        <f ca="1">IFERROR(__xludf.DUMMYFUNCTION("""COMPUTED_VALUE"""),6)</f>
        <v>6</v>
      </c>
      <c r="F519" s="42" t="str">
        <f ca="1">IFERROR(__xludf.DUMMYFUNCTION("""COMPUTED_VALUE"""),"9429336635 9687232004")</f>
        <v>9429336635 9687232004</v>
      </c>
      <c r="G519" s="42" t="str">
        <f ca="1">IFERROR(__xludf.DUMMYFUNCTION("""COMPUTED_VALUE"""),"9429336635 9687232004")</f>
        <v>9429336635 9687232004</v>
      </c>
      <c r="H519" s="2" t="str">
        <f ca="1">IFERROR(__xludf.DUMMYFUNCTION("""COMPUTED_VALUE"""),"DCE_2021-24")</f>
        <v>DCE_2021-24</v>
      </c>
      <c r="I519" s="45" t="str">
        <f ca="1">IFERROR(__xludf.DUMMYFUNCTION("""COMPUTED_VALUE"""),"FREESHIP CARD")</f>
        <v>FREESHIP CARD</v>
      </c>
      <c r="J519" s="46">
        <f ca="1">IFERROR(__xludf.DUMMYFUNCTION("""COMPUTED_VALUE"""),25000)</f>
        <v>25000</v>
      </c>
      <c r="K519" s="46">
        <f ca="1">IFERROR(__xludf.DUMMYFUNCTION("""COMPUTED_VALUE"""),0)</f>
        <v>0</v>
      </c>
      <c r="L519" s="46">
        <f ca="1">IFERROR(__xludf.DUMMYFUNCTION("""COMPUTED_VALUE"""),0)</f>
        <v>0</v>
      </c>
      <c r="M519" s="47">
        <f ca="1">IFERROR(__xludf.DUMMYFUNCTION("""COMPUTED_VALUE"""),0)</f>
        <v>0</v>
      </c>
      <c r="N519" s="46">
        <f ca="1">IFERROR(__xludf.DUMMYFUNCTION("""COMPUTED_VALUE"""),25000)</f>
        <v>25000</v>
      </c>
      <c r="O519" s="46">
        <f ca="1">IFERROR(__xludf.DUMMYFUNCTION("""COMPUTED_VALUE"""),3750)</f>
        <v>3750</v>
      </c>
      <c r="P519" s="46">
        <f ca="1">IFERROR(__xludf.DUMMYFUNCTION("""COMPUTED_VALUE"""),0)</f>
        <v>0</v>
      </c>
      <c r="Q519" s="47">
        <f ca="1">IFERROR(__xludf.DUMMYFUNCTION("""COMPUTED_VALUE"""),0)</f>
        <v>0</v>
      </c>
      <c r="R519" s="24">
        <f ca="1">IFERROR(__xludf.DUMMYFUNCTION("""COMPUTED_VALUE"""),0)</f>
        <v>0</v>
      </c>
      <c r="S519" s="23">
        <f ca="1">IFERROR(__xludf.DUMMYFUNCTION("""COMPUTED_VALUE"""),3750)</f>
        <v>3750</v>
      </c>
      <c r="T519" s="48">
        <f ca="1">IFERROR(__xludf.DUMMYFUNCTION("""COMPUTED_VALUE"""),0)</f>
        <v>0</v>
      </c>
      <c r="U519" s="47">
        <f ca="1">IFERROR(__xludf.DUMMYFUNCTION("""COMPUTED_VALUE"""),0)</f>
        <v>0</v>
      </c>
      <c r="V519" s="47">
        <f ca="1">IFERROR(__xludf.DUMMYFUNCTION("""COMPUTED_VALUE"""),0)</f>
        <v>0</v>
      </c>
      <c r="W519" s="47">
        <f ca="1">IFERROR(__xludf.DUMMYFUNCTION("""COMPUTED_VALUE"""),0)</f>
        <v>0</v>
      </c>
      <c r="X519" s="47">
        <f ca="1">IFERROR(__xludf.DUMMYFUNCTION("""COMPUTED_VALUE"""),0)</f>
        <v>0</v>
      </c>
      <c r="Y519" s="44">
        <f ca="1">IFERROR(__xludf.DUMMYFUNCTION("""COMPUTED_VALUE"""),0)</f>
        <v>0</v>
      </c>
      <c r="Z519" s="44">
        <f ca="1">IFERROR(__xludf.DUMMYFUNCTION("""COMPUTED_VALUE"""),0)</f>
        <v>0</v>
      </c>
      <c r="AA519" s="44">
        <f ca="1">IFERROR(__xludf.DUMMYFUNCTION("""COMPUTED_VALUE"""),0)</f>
        <v>0</v>
      </c>
      <c r="AB519" s="44">
        <f ca="1">IFERROR(__xludf.DUMMYFUNCTION("""COMPUTED_VALUE"""),0)</f>
        <v>0</v>
      </c>
      <c r="AC519" s="47">
        <f ca="1">IFERROR(__xludf.DUMMYFUNCTION("""COMPUTED_VALUE"""),0)</f>
        <v>0</v>
      </c>
      <c r="AD519" s="49" t="str">
        <f ca="1">IFERROR(__xludf.DUMMYFUNCTION("""COMPUTED_VALUE"""),"FREESHIPCARD STUDENT")</f>
        <v>FREESHIPCARD STUDENT</v>
      </c>
      <c r="AE519" s="27"/>
    </row>
    <row r="520" spans="1:31" ht="28.55">
      <c r="A520" s="42" t="str">
        <f ca="1">IFERROR(__xludf.DUMMYFUNCTION("""COMPUTED_VALUE"""),"21SDSCE01065")</f>
        <v>21SDSCE01065</v>
      </c>
      <c r="B520" s="43" t="str">
        <f ca="1">IFERROR(__xludf.DUMMYFUNCTION("""COMPUTED_VALUE"""),"DANGAR DISHA RAJUBHAI")</f>
        <v>DANGAR DISHA RAJUBHAI</v>
      </c>
      <c r="C520" s="42" t="str">
        <f ca="1">IFERROR(__xludf.DUMMYFUNCTION("""COMPUTED_VALUE"""),"SDS")</f>
        <v>SDS</v>
      </c>
      <c r="D520" s="42" t="str">
        <f ca="1">IFERROR(__xludf.DUMMYFUNCTION("""COMPUTED_VALUE"""),"DCE")</f>
        <v>DCE</v>
      </c>
      <c r="E520" s="44">
        <f ca="1">IFERROR(__xludf.DUMMYFUNCTION("""COMPUTED_VALUE"""),6)</f>
        <v>6</v>
      </c>
      <c r="F520" s="42" t="str">
        <f ca="1">IFERROR(__xludf.DUMMYFUNCTION("""COMPUTED_VALUE"""),"9157860233 9574470233")</f>
        <v>9157860233 9574470233</v>
      </c>
      <c r="G520" s="42" t="str">
        <f ca="1">IFERROR(__xludf.DUMMYFUNCTION("""COMPUTED_VALUE"""),"9157860233 9574470233")</f>
        <v>9157860233 9574470233</v>
      </c>
      <c r="H520" s="2" t="str">
        <f ca="1">IFERROR(__xludf.DUMMYFUNCTION("""COMPUTED_VALUE"""),"DCE_2021-24")</f>
        <v>DCE_2021-24</v>
      </c>
      <c r="I520" s="45" t="str">
        <f ca="1">IFERROR(__xludf.DUMMYFUNCTION("""COMPUTED_VALUE"""),"FREESHIP CARD")</f>
        <v>FREESHIP CARD</v>
      </c>
      <c r="J520" s="46">
        <f ca="1">IFERROR(__xludf.DUMMYFUNCTION("""COMPUTED_VALUE"""),25000)</f>
        <v>25000</v>
      </c>
      <c r="K520" s="46">
        <f ca="1">IFERROR(__xludf.DUMMYFUNCTION("""COMPUTED_VALUE"""),0)</f>
        <v>0</v>
      </c>
      <c r="L520" s="46">
        <f ca="1">IFERROR(__xludf.DUMMYFUNCTION("""COMPUTED_VALUE"""),0)</f>
        <v>0</v>
      </c>
      <c r="M520" s="47">
        <f ca="1">IFERROR(__xludf.DUMMYFUNCTION("""COMPUTED_VALUE"""),0)</f>
        <v>0</v>
      </c>
      <c r="N520" s="46">
        <f ca="1">IFERROR(__xludf.DUMMYFUNCTION("""COMPUTED_VALUE"""),25000)</f>
        <v>25000</v>
      </c>
      <c r="O520" s="46">
        <f ca="1">IFERROR(__xludf.DUMMYFUNCTION("""COMPUTED_VALUE"""),3750)</f>
        <v>3750</v>
      </c>
      <c r="P520" s="46">
        <f ca="1">IFERROR(__xludf.DUMMYFUNCTION("""COMPUTED_VALUE"""),0)</f>
        <v>0</v>
      </c>
      <c r="Q520" s="47">
        <f ca="1">IFERROR(__xludf.DUMMYFUNCTION("""COMPUTED_VALUE"""),0)</f>
        <v>0</v>
      </c>
      <c r="R520" s="24">
        <f ca="1">IFERROR(__xludf.DUMMYFUNCTION("""COMPUTED_VALUE"""),0)</f>
        <v>0</v>
      </c>
      <c r="S520" s="23">
        <f ca="1">IFERROR(__xludf.DUMMYFUNCTION("""COMPUTED_VALUE"""),3750)</f>
        <v>3750</v>
      </c>
      <c r="T520" s="48">
        <f ca="1">IFERROR(__xludf.DUMMYFUNCTION("""COMPUTED_VALUE"""),0)</f>
        <v>0</v>
      </c>
      <c r="U520" s="47">
        <f ca="1">IFERROR(__xludf.DUMMYFUNCTION("""COMPUTED_VALUE"""),0)</f>
        <v>0</v>
      </c>
      <c r="V520" s="47">
        <f ca="1">IFERROR(__xludf.DUMMYFUNCTION("""COMPUTED_VALUE"""),0)</f>
        <v>0</v>
      </c>
      <c r="W520" s="47">
        <f ca="1">IFERROR(__xludf.DUMMYFUNCTION("""COMPUTED_VALUE"""),0)</f>
        <v>0</v>
      </c>
      <c r="X520" s="47">
        <f ca="1">IFERROR(__xludf.DUMMYFUNCTION("""COMPUTED_VALUE"""),0)</f>
        <v>0</v>
      </c>
      <c r="Y520" s="44">
        <f ca="1">IFERROR(__xludf.DUMMYFUNCTION("""COMPUTED_VALUE"""),0)</f>
        <v>0</v>
      </c>
      <c r="Z520" s="44">
        <f ca="1">IFERROR(__xludf.DUMMYFUNCTION("""COMPUTED_VALUE"""),0)</f>
        <v>0</v>
      </c>
      <c r="AA520" s="44">
        <f ca="1">IFERROR(__xludf.DUMMYFUNCTION("""COMPUTED_VALUE"""),0)</f>
        <v>0</v>
      </c>
      <c r="AB520" s="44">
        <f ca="1">IFERROR(__xludf.DUMMYFUNCTION("""COMPUTED_VALUE"""),0)</f>
        <v>0</v>
      </c>
      <c r="AC520" s="47">
        <f ca="1">IFERROR(__xludf.DUMMYFUNCTION("""COMPUTED_VALUE"""),0)</f>
        <v>0</v>
      </c>
      <c r="AD520" s="49" t="str">
        <f ca="1">IFERROR(__xludf.DUMMYFUNCTION("""COMPUTED_VALUE"""),"FREESHIPCARD STUDENT")</f>
        <v>FREESHIPCARD STUDENT</v>
      </c>
      <c r="AE520" s="27"/>
    </row>
    <row r="521" spans="1:31" ht="14.3">
      <c r="A521" s="42" t="str">
        <f ca="1">IFERROR(__xludf.DUMMYFUNCTION("""COMPUTED_VALUE"""),"21SDSCE01080")</f>
        <v>21SDSCE01080</v>
      </c>
      <c r="B521" s="43" t="str">
        <f ca="1">IFERROR(__xludf.DUMMYFUNCTION("""COMPUTED_VALUE"""),"KORADIYA ISHA VITHALBHAI")</f>
        <v>KORADIYA ISHA VITHALBHAI</v>
      </c>
      <c r="C521" s="42" t="str">
        <f ca="1">IFERROR(__xludf.DUMMYFUNCTION("""COMPUTED_VALUE"""),"SDS")</f>
        <v>SDS</v>
      </c>
      <c r="D521" s="42" t="str">
        <f ca="1">IFERROR(__xludf.DUMMYFUNCTION("""COMPUTED_VALUE"""),"DCE")</f>
        <v>DCE</v>
      </c>
      <c r="E521" s="44">
        <f ca="1">IFERROR(__xludf.DUMMYFUNCTION("""COMPUTED_VALUE"""),6)</f>
        <v>6</v>
      </c>
      <c r="F521" s="42" t="str">
        <f ca="1">IFERROR(__xludf.DUMMYFUNCTION("""COMPUTED_VALUE"""),"6354909454 7874970140")</f>
        <v>6354909454 7874970140</v>
      </c>
      <c r="G521" s="42" t="str">
        <f ca="1">IFERROR(__xludf.DUMMYFUNCTION("""COMPUTED_VALUE"""),"6354909454 7874970140")</f>
        <v>6354909454 7874970140</v>
      </c>
      <c r="H521" s="2" t="str">
        <f ca="1">IFERROR(__xludf.DUMMYFUNCTION("""COMPUTED_VALUE"""),"DCE_2021-24")</f>
        <v>DCE_2021-24</v>
      </c>
      <c r="I521" s="45" t="str">
        <f ca="1">IFERROR(__xludf.DUMMYFUNCTION("""COMPUTED_VALUE"""),"MYSY")</f>
        <v>MYSY</v>
      </c>
      <c r="J521" s="46">
        <f ca="1">IFERROR(__xludf.DUMMYFUNCTION("""COMPUTED_VALUE"""),25000)</f>
        <v>25000</v>
      </c>
      <c r="K521" s="46">
        <f ca="1">IFERROR(__xludf.DUMMYFUNCTION("""COMPUTED_VALUE"""),0)</f>
        <v>0</v>
      </c>
      <c r="L521" s="46">
        <f ca="1">IFERROR(__xludf.DUMMYFUNCTION("""COMPUTED_VALUE"""),0)</f>
        <v>0</v>
      </c>
      <c r="M521" s="47">
        <f ca="1">IFERROR(__xludf.DUMMYFUNCTION("""COMPUTED_VALUE"""),0)</f>
        <v>0</v>
      </c>
      <c r="N521" s="46">
        <f ca="1">IFERROR(__xludf.DUMMYFUNCTION("""COMPUTED_VALUE"""),25000)</f>
        <v>25000</v>
      </c>
      <c r="O521" s="46">
        <f ca="1">IFERROR(__xludf.DUMMYFUNCTION("""COMPUTED_VALUE"""),3750)</f>
        <v>3750</v>
      </c>
      <c r="P521" s="46">
        <f ca="1">IFERROR(__xludf.DUMMYFUNCTION("""COMPUTED_VALUE"""),3750)</f>
        <v>3750</v>
      </c>
      <c r="Q521" s="47">
        <f ca="1">IFERROR(__xludf.DUMMYFUNCTION("""COMPUTED_VALUE"""),0)</f>
        <v>0</v>
      </c>
      <c r="R521" s="24">
        <f ca="1">IFERROR(__xludf.DUMMYFUNCTION("""COMPUTED_VALUE"""),0)</f>
        <v>0</v>
      </c>
      <c r="S521" s="23">
        <f ca="1">IFERROR(__xludf.DUMMYFUNCTION("""COMPUTED_VALUE"""),0)</f>
        <v>0</v>
      </c>
      <c r="T521" s="48">
        <f ca="1">IFERROR(__xludf.DUMMYFUNCTION("""COMPUTED_VALUE"""),0)</f>
        <v>0</v>
      </c>
      <c r="U521" s="47">
        <f ca="1">IFERROR(__xludf.DUMMYFUNCTION("""COMPUTED_VALUE"""),0)</f>
        <v>0</v>
      </c>
      <c r="V521" s="47">
        <f ca="1">IFERROR(__xludf.DUMMYFUNCTION("""COMPUTED_VALUE"""),0)</f>
        <v>0</v>
      </c>
      <c r="W521" s="47">
        <f ca="1">IFERROR(__xludf.DUMMYFUNCTION("""COMPUTED_VALUE"""),0)</f>
        <v>0</v>
      </c>
      <c r="X521" s="47">
        <f ca="1">IFERROR(__xludf.DUMMYFUNCTION("""COMPUTED_VALUE"""),0)</f>
        <v>0</v>
      </c>
      <c r="Y521" s="44">
        <f ca="1">IFERROR(__xludf.DUMMYFUNCTION("""COMPUTED_VALUE"""),0)</f>
        <v>0</v>
      </c>
      <c r="Z521" s="44">
        <f ca="1">IFERROR(__xludf.DUMMYFUNCTION("""COMPUTED_VALUE"""),0)</f>
        <v>0</v>
      </c>
      <c r="AA521" s="44">
        <f ca="1">IFERROR(__xludf.DUMMYFUNCTION("""COMPUTED_VALUE"""),0)</f>
        <v>0</v>
      </c>
      <c r="AB521" s="44">
        <f ca="1">IFERROR(__xludf.DUMMYFUNCTION("""COMPUTED_VALUE"""),0)</f>
        <v>0</v>
      </c>
      <c r="AC521" s="47">
        <f ca="1">IFERROR(__xludf.DUMMYFUNCTION("""COMPUTED_VALUE"""),0)</f>
        <v>0</v>
      </c>
      <c r="AD521" s="49" t="str">
        <f ca="1">IFERROR(__xludf.DUMMYFUNCTION("""COMPUTED_VALUE"""),"MYSY(50%) + KAPS(50%)")</f>
        <v>MYSY(50%) + KAPS(50%)</v>
      </c>
      <c r="AE521" s="27"/>
    </row>
    <row r="522" spans="1:31" ht="14.3">
      <c r="A522" s="42" t="str">
        <f ca="1">IFERROR(__xludf.DUMMYFUNCTION("""COMPUTED_VALUE"""),"21SDSCE01081")</f>
        <v>21SDSCE01081</v>
      </c>
      <c r="B522" s="43" t="str">
        <f ca="1">IFERROR(__xludf.DUMMYFUNCTION("""COMPUTED_VALUE"""),"KOTADIYA JENISH VIPULBHAI")</f>
        <v>KOTADIYA JENISH VIPULBHAI</v>
      </c>
      <c r="C522" s="42" t="str">
        <f ca="1">IFERROR(__xludf.DUMMYFUNCTION("""COMPUTED_VALUE"""),"SDS")</f>
        <v>SDS</v>
      </c>
      <c r="D522" s="42" t="str">
        <f ca="1">IFERROR(__xludf.DUMMYFUNCTION("""COMPUTED_VALUE"""),"DCE")</f>
        <v>DCE</v>
      </c>
      <c r="E522" s="44">
        <f ca="1">IFERROR(__xludf.DUMMYFUNCTION("""COMPUTED_VALUE"""),6)</f>
        <v>6</v>
      </c>
      <c r="F522" s="42" t="str">
        <f ca="1">IFERROR(__xludf.DUMMYFUNCTION("""COMPUTED_VALUE"""),"9909191045
9408178814")</f>
        <v>9909191045
9408178814</v>
      </c>
      <c r="G522" s="42" t="str">
        <f ca="1">IFERROR(__xludf.DUMMYFUNCTION("""COMPUTED_VALUE"""),"9909191045
9408178814")</f>
        <v>9909191045
9408178814</v>
      </c>
      <c r="H522" s="2" t="str">
        <f ca="1">IFERROR(__xludf.DUMMYFUNCTION("""COMPUTED_VALUE"""),"DCE_2021-24")</f>
        <v>DCE_2021-24</v>
      </c>
      <c r="I522" s="45"/>
      <c r="J522" s="46">
        <f ca="1">IFERROR(__xludf.DUMMYFUNCTION("""COMPUTED_VALUE"""),25000)</f>
        <v>25000</v>
      </c>
      <c r="K522" s="46">
        <f ca="1">IFERROR(__xludf.DUMMYFUNCTION("""COMPUTED_VALUE"""),25000)</f>
        <v>25000</v>
      </c>
      <c r="L522" s="46">
        <f ca="1">IFERROR(__xludf.DUMMYFUNCTION("""COMPUTED_VALUE"""),0)</f>
        <v>0</v>
      </c>
      <c r="M522" s="47">
        <f ca="1">IFERROR(__xludf.DUMMYFUNCTION("""COMPUTED_VALUE"""),0)</f>
        <v>0</v>
      </c>
      <c r="N522" s="46">
        <f ca="1">IFERROR(__xludf.DUMMYFUNCTION("""COMPUTED_VALUE"""),0)</f>
        <v>0</v>
      </c>
      <c r="O522" s="46">
        <f ca="1">IFERROR(__xludf.DUMMYFUNCTION("""COMPUTED_VALUE"""),3750)</f>
        <v>3750</v>
      </c>
      <c r="P522" s="46">
        <f ca="1">IFERROR(__xludf.DUMMYFUNCTION("""COMPUTED_VALUE"""),3750)</f>
        <v>3750</v>
      </c>
      <c r="Q522" s="47">
        <f ca="1">IFERROR(__xludf.DUMMYFUNCTION("""COMPUTED_VALUE"""),0)</f>
        <v>0</v>
      </c>
      <c r="R522" s="24">
        <f ca="1">IFERROR(__xludf.DUMMYFUNCTION("""COMPUTED_VALUE"""),0)</f>
        <v>0</v>
      </c>
      <c r="S522" s="23">
        <f ca="1">IFERROR(__xludf.DUMMYFUNCTION("""COMPUTED_VALUE"""),0)</f>
        <v>0</v>
      </c>
      <c r="T522" s="48">
        <f ca="1">IFERROR(__xludf.DUMMYFUNCTION("""COMPUTED_VALUE"""),0)</f>
        <v>0</v>
      </c>
      <c r="U522" s="47">
        <f ca="1">IFERROR(__xludf.DUMMYFUNCTION("""COMPUTED_VALUE"""),0)</f>
        <v>0</v>
      </c>
      <c r="V522" s="47">
        <f ca="1">IFERROR(__xludf.DUMMYFUNCTION("""COMPUTED_VALUE"""),0)</f>
        <v>0</v>
      </c>
      <c r="W522" s="47">
        <f ca="1">IFERROR(__xludf.DUMMYFUNCTION("""COMPUTED_VALUE"""),0)</f>
        <v>0</v>
      </c>
      <c r="X522" s="47">
        <f ca="1">IFERROR(__xludf.DUMMYFUNCTION("""COMPUTED_VALUE"""),0)</f>
        <v>0</v>
      </c>
      <c r="Y522" s="44">
        <f ca="1">IFERROR(__xludf.DUMMYFUNCTION("""COMPUTED_VALUE"""),0)</f>
        <v>0</v>
      </c>
      <c r="Z522" s="44">
        <f ca="1">IFERROR(__xludf.DUMMYFUNCTION("""COMPUTED_VALUE"""),0)</f>
        <v>0</v>
      </c>
      <c r="AA522" s="44">
        <f ca="1">IFERROR(__xludf.DUMMYFUNCTION("""COMPUTED_VALUE"""),0)</f>
        <v>0</v>
      </c>
      <c r="AB522" s="44">
        <f ca="1">IFERROR(__xludf.DUMMYFUNCTION("""COMPUTED_VALUE"""),0)</f>
        <v>0</v>
      </c>
      <c r="AC522" s="47">
        <f ca="1">IFERROR(__xludf.DUMMYFUNCTION("""COMPUTED_VALUE"""),0)</f>
        <v>0</v>
      </c>
      <c r="AD522" s="49"/>
      <c r="AE522" s="27"/>
    </row>
    <row r="523" spans="1:31" ht="14.3">
      <c r="A523" s="42" t="str">
        <f ca="1">IFERROR(__xludf.DUMMYFUNCTION("""COMPUTED_VALUE"""),"21SDSCE01085")</f>
        <v>21SDSCE01085</v>
      </c>
      <c r="B523" s="43" t="str">
        <f ca="1">IFERROR(__xludf.DUMMYFUNCTION("""COMPUTED_VALUE"""),"NANANIYA HARSHIT CHANDARKANT")</f>
        <v>NANANIYA HARSHIT CHANDARKANT</v>
      </c>
      <c r="C523" s="42" t="str">
        <f ca="1">IFERROR(__xludf.DUMMYFUNCTION("""COMPUTED_VALUE"""),"SDS")</f>
        <v>SDS</v>
      </c>
      <c r="D523" s="42" t="str">
        <f ca="1">IFERROR(__xludf.DUMMYFUNCTION("""COMPUTED_VALUE"""),"DCE")</f>
        <v>DCE</v>
      </c>
      <c r="E523" s="44">
        <f ca="1">IFERROR(__xludf.DUMMYFUNCTION("""COMPUTED_VALUE"""),6)</f>
        <v>6</v>
      </c>
      <c r="F523" s="42" t="str">
        <f ca="1">IFERROR(__xludf.DUMMYFUNCTION("""COMPUTED_VALUE"""),"9265265100 7043565348")</f>
        <v>9265265100 7043565348</v>
      </c>
      <c r="G523" s="42" t="str">
        <f ca="1">IFERROR(__xludf.DUMMYFUNCTION("""COMPUTED_VALUE"""),"9265265100 7043565348")</f>
        <v>9265265100 7043565348</v>
      </c>
      <c r="H523" s="2" t="str">
        <f ca="1">IFERROR(__xludf.DUMMYFUNCTION("""COMPUTED_VALUE"""),"DCE_2021-24")</f>
        <v>DCE_2021-24</v>
      </c>
      <c r="I523" s="45" t="str">
        <f ca="1">IFERROR(__xludf.DUMMYFUNCTION("""COMPUTED_VALUE"""),"MYSY")</f>
        <v>MYSY</v>
      </c>
      <c r="J523" s="46">
        <f ca="1">IFERROR(__xludf.DUMMYFUNCTION("""COMPUTED_VALUE"""),25000)</f>
        <v>25000</v>
      </c>
      <c r="K523" s="46">
        <f ca="1">IFERROR(__xludf.DUMMYFUNCTION("""COMPUTED_VALUE"""),25000)</f>
        <v>25000</v>
      </c>
      <c r="L523" s="46">
        <f ca="1">IFERROR(__xludf.DUMMYFUNCTION("""COMPUTED_VALUE"""),0)</f>
        <v>0</v>
      </c>
      <c r="M523" s="47">
        <f ca="1">IFERROR(__xludf.DUMMYFUNCTION("""COMPUTED_VALUE"""),0)</f>
        <v>0</v>
      </c>
      <c r="N523" s="46">
        <f ca="1">IFERROR(__xludf.DUMMYFUNCTION("""COMPUTED_VALUE"""),0)</f>
        <v>0</v>
      </c>
      <c r="O523" s="46">
        <f ca="1">IFERROR(__xludf.DUMMYFUNCTION("""COMPUTED_VALUE"""),3750)</f>
        <v>3750</v>
      </c>
      <c r="P523" s="46">
        <f ca="1">IFERROR(__xludf.DUMMYFUNCTION("""COMPUTED_VALUE"""),3750)</f>
        <v>3750</v>
      </c>
      <c r="Q523" s="47">
        <f ca="1">IFERROR(__xludf.DUMMYFUNCTION("""COMPUTED_VALUE"""),0)</f>
        <v>0</v>
      </c>
      <c r="R523" s="24">
        <f ca="1">IFERROR(__xludf.DUMMYFUNCTION("""COMPUTED_VALUE"""),0)</f>
        <v>0</v>
      </c>
      <c r="S523" s="23">
        <f ca="1">IFERROR(__xludf.DUMMYFUNCTION("""COMPUTED_VALUE"""),0)</f>
        <v>0</v>
      </c>
      <c r="T523" s="48">
        <f ca="1">IFERROR(__xludf.DUMMYFUNCTION("""COMPUTED_VALUE"""),0)</f>
        <v>0</v>
      </c>
      <c r="U523" s="47">
        <f ca="1">IFERROR(__xludf.DUMMYFUNCTION("""COMPUTED_VALUE"""),0)</f>
        <v>0</v>
      </c>
      <c r="V523" s="47">
        <f ca="1">IFERROR(__xludf.DUMMYFUNCTION("""COMPUTED_VALUE"""),0)</f>
        <v>0</v>
      </c>
      <c r="W523" s="47">
        <f ca="1">IFERROR(__xludf.DUMMYFUNCTION("""COMPUTED_VALUE"""),0)</f>
        <v>0</v>
      </c>
      <c r="X523" s="47">
        <f ca="1">IFERROR(__xludf.DUMMYFUNCTION("""COMPUTED_VALUE"""),0)</f>
        <v>0</v>
      </c>
      <c r="Y523" s="44">
        <f ca="1">IFERROR(__xludf.DUMMYFUNCTION("""COMPUTED_VALUE"""),0)</f>
        <v>0</v>
      </c>
      <c r="Z523" s="44">
        <f ca="1">IFERROR(__xludf.DUMMYFUNCTION("""COMPUTED_VALUE"""),0)</f>
        <v>0</v>
      </c>
      <c r="AA523" s="44">
        <f ca="1">IFERROR(__xludf.DUMMYFUNCTION("""COMPUTED_VALUE"""),0)</f>
        <v>0</v>
      </c>
      <c r="AB523" s="44">
        <f ca="1">IFERROR(__xludf.DUMMYFUNCTION("""COMPUTED_VALUE"""),0)</f>
        <v>0</v>
      </c>
      <c r="AC523" s="47">
        <f ca="1">IFERROR(__xludf.DUMMYFUNCTION("""COMPUTED_VALUE"""),0)</f>
        <v>0</v>
      </c>
      <c r="AD523" s="49" t="str">
        <f ca="1">IFERROR(__xludf.DUMMYFUNCTION("""COMPUTED_VALUE"""),"MYSY(50%)+KSPS(25%)")</f>
        <v>MYSY(50%)+KSPS(25%)</v>
      </c>
      <c r="AE523" s="27"/>
    </row>
    <row r="524" spans="1:31" ht="28.55">
      <c r="A524" s="42" t="str">
        <f ca="1">IFERROR(__xludf.DUMMYFUNCTION("""COMPUTED_VALUE"""),"21SDSCE01091")</f>
        <v>21SDSCE01091</v>
      </c>
      <c r="B524" s="43" t="str">
        <f ca="1">IFERROR(__xludf.DUMMYFUNCTION("""COMPUTED_VALUE"""),"PARMAR PIYUSHBHAI MEGHRAJBHAI")</f>
        <v>PARMAR PIYUSHBHAI MEGHRAJBHAI</v>
      </c>
      <c r="C524" s="42" t="str">
        <f ca="1">IFERROR(__xludf.DUMMYFUNCTION("""COMPUTED_VALUE"""),"SDS")</f>
        <v>SDS</v>
      </c>
      <c r="D524" s="42" t="str">
        <f ca="1">IFERROR(__xludf.DUMMYFUNCTION("""COMPUTED_VALUE"""),"DCE")</f>
        <v>DCE</v>
      </c>
      <c r="E524" s="44">
        <f ca="1">IFERROR(__xludf.DUMMYFUNCTION("""COMPUTED_VALUE"""),6)</f>
        <v>6</v>
      </c>
      <c r="F524" s="42" t="str">
        <f ca="1">IFERROR(__xludf.DUMMYFUNCTION("""COMPUTED_VALUE"""),"9104457019 9924557019")</f>
        <v>9104457019 9924557019</v>
      </c>
      <c r="G524" s="42" t="str">
        <f ca="1">IFERROR(__xludf.DUMMYFUNCTION("""COMPUTED_VALUE"""),"9104457019 9924557019")</f>
        <v>9104457019 9924557019</v>
      </c>
      <c r="H524" s="2" t="str">
        <f ca="1">IFERROR(__xludf.DUMMYFUNCTION("""COMPUTED_VALUE"""),"DCE_2021-24")</f>
        <v>DCE_2021-24</v>
      </c>
      <c r="I524" s="45" t="str">
        <f ca="1">IFERROR(__xludf.DUMMYFUNCTION("""COMPUTED_VALUE"""),"FREESHIP CARD")</f>
        <v>FREESHIP CARD</v>
      </c>
      <c r="J524" s="46">
        <f ca="1">IFERROR(__xludf.DUMMYFUNCTION("""COMPUTED_VALUE"""),25000)</f>
        <v>25000</v>
      </c>
      <c r="K524" s="46">
        <f ca="1">IFERROR(__xludf.DUMMYFUNCTION("""COMPUTED_VALUE"""),0)</f>
        <v>0</v>
      </c>
      <c r="L524" s="46">
        <f ca="1">IFERROR(__xludf.DUMMYFUNCTION("""COMPUTED_VALUE"""),0)</f>
        <v>0</v>
      </c>
      <c r="M524" s="47">
        <f ca="1">IFERROR(__xludf.DUMMYFUNCTION("""COMPUTED_VALUE"""),0)</f>
        <v>0</v>
      </c>
      <c r="N524" s="46">
        <f ca="1">IFERROR(__xludf.DUMMYFUNCTION("""COMPUTED_VALUE"""),25000)</f>
        <v>25000</v>
      </c>
      <c r="O524" s="46">
        <f ca="1">IFERROR(__xludf.DUMMYFUNCTION("""COMPUTED_VALUE"""),3750)</f>
        <v>3750</v>
      </c>
      <c r="P524" s="46">
        <f ca="1">IFERROR(__xludf.DUMMYFUNCTION("""COMPUTED_VALUE"""),0)</f>
        <v>0</v>
      </c>
      <c r="Q524" s="47">
        <f ca="1">IFERROR(__xludf.DUMMYFUNCTION("""COMPUTED_VALUE"""),0)</f>
        <v>0</v>
      </c>
      <c r="R524" s="24">
        <f ca="1">IFERROR(__xludf.DUMMYFUNCTION("""COMPUTED_VALUE"""),0)</f>
        <v>0</v>
      </c>
      <c r="S524" s="23">
        <f ca="1">IFERROR(__xludf.DUMMYFUNCTION("""COMPUTED_VALUE"""),3750)</f>
        <v>3750</v>
      </c>
      <c r="T524" s="48">
        <f ca="1">IFERROR(__xludf.DUMMYFUNCTION("""COMPUTED_VALUE"""),0)</f>
        <v>0</v>
      </c>
      <c r="U524" s="47">
        <f ca="1">IFERROR(__xludf.DUMMYFUNCTION("""COMPUTED_VALUE"""),0)</f>
        <v>0</v>
      </c>
      <c r="V524" s="47">
        <f ca="1">IFERROR(__xludf.DUMMYFUNCTION("""COMPUTED_VALUE"""),0)</f>
        <v>0</v>
      </c>
      <c r="W524" s="47">
        <f ca="1">IFERROR(__xludf.DUMMYFUNCTION("""COMPUTED_VALUE"""),0)</f>
        <v>0</v>
      </c>
      <c r="X524" s="47">
        <f ca="1">IFERROR(__xludf.DUMMYFUNCTION("""COMPUTED_VALUE"""),0)</f>
        <v>0</v>
      </c>
      <c r="Y524" s="44">
        <f ca="1">IFERROR(__xludf.DUMMYFUNCTION("""COMPUTED_VALUE"""),0)</f>
        <v>0</v>
      </c>
      <c r="Z524" s="44">
        <f ca="1">IFERROR(__xludf.DUMMYFUNCTION("""COMPUTED_VALUE"""),0)</f>
        <v>0</v>
      </c>
      <c r="AA524" s="44">
        <f ca="1">IFERROR(__xludf.DUMMYFUNCTION("""COMPUTED_VALUE"""),0)</f>
        <v>0</v>
      </c>
      <c r="AB524" s="44">
        <f ca="1">IFERROR(__xludf.DUMMYFUNCTION("""COMPUTED_VALUE"""),0)</f>
        <v>0</v>
      </c>
      <c r="AC524" s="47">
        <f ca="1">IFERROR(__xludf.DUMMYFUNCTION("""COMPUTED_VALUE"""),0)</f>
        <v>0</v>
      </c>
      <c r="AD524" s="49" t="str">
        <f ca="1">IFERROR(__xludf.DUMMYFUNCTION("""COMPUTED_VALUE"""),"FREESHIPCARD STUDENT")</f>
        <v>FREESHIPCARD STUDENT</v>
      </c>
      <c r="AE524" s="27"/>
    </row>
    <row r="525" spans="1:31" ht="14.3">
      <c r="A525" s="42" t="str">
        <f ca="1">IFERROR(__xludf.DUMMYFUNCTION("""COMPUTED_VALUE"""),"21SDSCE01092")</f>
        <v>21SDSCE01092</v>
      </c>
      <c r="B525" s="43" t="str">
        <f ca="1">IFERROR(__xludf.DUMMYFUNCTION("""COMPUTED_VALUE"""),"PARMAR VIRAJ MANISHBHAI")</f>
        <v>PARMAR VIRAJ MANISHBHAI</v>
      </c>
      <c r="C525" s="42" t="str">
        <f ca="1">IFERROR(__xludf.DUMMYFUNCTION("""COMPUTED_VALUE"""),"SDS")</f>
        <v>SDS</v>
      </c>
      <c r="D525" s="42" t="str">
        <f ca="1">IFERROR(__xludf.DUMMYFUNCTION("""COMPUTED_VALUE"""),"DCE")</f>
        <v>DCE</v>
      </c>
      <c r="E525" s="44">
        <f ca="1">IFERROR(__xludf.DUMMYFUNCTION("""COMPUTED_VALUE"""),6)</f>
        <v>6</v>
      </c>
      <c r="F525" s="42" t="str">
        <f ca="1">IFERROR(__xludf.DUMMYFUNCTION("""COMPUTED_VALUE"""),"9714757515
9714757515")</f>
        <v>9714757515
9714757515</v>
      </c>
      <c r="G525" s="42" t="str">
        <f ca="1">IFERROR(__xludf.DUMMYFUNCTION("""COMPUTED_VALUE"""),"9714757515
9714757515")</f>
        <v>9714757515
9714757515</v>
      </c>
      <c r="H525" s="2" t="str">
        <f ca="1">IFERROR(__xludf.DUMMYFUNCTION("""COMPUTED_VALUE"""),"DCE_2021-24")</f>
        <v>DCE_2021-24</v>
      </c>
      <c r="I525" s="45"/>
      <c r="J525" s="46">
        <f ca="1">IFERROR(__xludf.DUMMYFUNCTION("""COMPUTED_VALUE"""),25000)</f>
        <v>25000</v>
      </c>
      <c r="K525" s="46">
        <f ca="1">IFERROR(__xludf.DUMMYFUNCTION("""COMPUTED_VALUE"""),25000)</f>
        <v>25000</v>
      </c>
      <c r="L525" s="46">
        <f ca="1">IFERROR(__xludf.DUMMYFUNCTION("""COMPUTED_VALUE"""),0)</f>
        <v>0</v>
      </c>
      <c r="M525" s="47">
        <f ca="1">IFERROR(__xludf.DUMMYFUNCTION("""COMPUTED_VALUE"""),0)</f>
        <v>0</v>
      </c>
      <c r="N525" s="46">
        <f ca="1">IFERROR(__xludf.DUMMYFUNCTION("""COMPUTED_VALUE"""),0)</f>
        <v>0</v>
      </c>
      <c r="O525" s="46">
        <f ca="1">IFERROR(__xludf.DUMMYFUNCTION("""COMPUTED_VALUE"""),3750)</f>
        <v>3750</v>
      </c>
      <c r="P525" s="46">
        <f ca="1">IFERROR(__xludf.DUMMYFUNCTION("""COMPUTED_VALUE"""),3750)</f>
        <v>3750</v>
      </c>
      <c r="Q525" s="47">
        <f ca="1">IFERROR(__xludf.DUMMYFUNCTION("""COMPUTED_VALUE"""),0)</f>
        <v>0</v>
      </c>
      <c r="R525" s="24">
        <f ca="1">IFERROR(__xludf.DUMMYFUNCTION("""COMPUTED_VALUE"""),0)</f>
        <v>0</v>
      </c>
      <c r="S525" s="23">
        <f ca="1">IFERROR(__xludf.DUMMYFUNCTION("""COMPUTED_VALUE"""),0)</f>
        <v>0</v>
      </c>
      <c r="T525" s="48">
        <f ca="1">IFERROR(__xludf.DUMMYFUNCTION("""COMPUTED_VALUE"""),0)</f>
        <v>0</v>
      </c>
      <c r="U525" s="47">
        <f ca="1">IFERROR(__xludf.DUMMYFUNCTION("""COMPUTED_VALUE"""),0)</f>
        <v>0</v>
      </c>
      <c r="V525" s="47">
        <f ca="1">IFERROR(__xludf.DUMMYFUNCTION("""COMPUTED_VALUE"""),0)</f>
        <v>0</v>
      </c>
      <c r="W525" s="47">
        <f ca="1">IFERROR(__xludf.DUMMYFUNCTION("""COMPUTED_VALUE"""),0)</f>
        <v>0</v>
      </c>
      <c r="X525" s="47">
        <f ca="1">IFERROR(__xludf.DUMMYFUNCTION("""COMPUTED_VALUE"""),0)</f>
        <v>0</v>
      </c>
      <c r="Y525" s="44">
        <f ca="1">IFERROR(__xludf.DUMMYFUNCTION("""COMPUTED_VALUE"""),0)</f>
        <v>0</v>
      </c>
      <c r="Z525" s="44">
        <f ca="1">IFERROR(__xludf.DUMMYFUNCTION("""COMPUTED_VALUE"""),0)</f>
        <v>0</v>
      </c>
      <c r="AA525" s="44">
        <f ca="1">IFERROR(__xludf.DUMMYFUNCTION("""COMPUTED_VALUE"""),0)</f>
        <v>0</v>
      </c>
      <c r="AB525" s="44">
        <f ca="1">IFERROR(__xludf.DUMMYFUNCTION("""COMPUTED_VALUE"""),0)</f>
        <v>0</v>
      </c>
      <c r="AC525" s="47">
        <f ca="1">IFERROR(__xludf.DUMMYFUNCTION("""COMPUTED_VALUE"""),0)</f>
        <v>0</v>
      </c>
      <c r="AD525" s="49"/>
      <c r="AE525" s="27"/>
    </row>
    <row r="526" spans="1:31" ht="14.3">
      <c r="A526" s="42" t="str">
        <f ca="1">IFERROR(__xludf.DUMMYFUNCTION("""COMPUTED_VALUE"""),"21SDSCE01094")</f>
        <v>21SDSCE01094</v>
      </c>
      <c r="B526" s="43" t="str">
        <f ca="1">IFERROR(__xludf.DUMMYFUNCTION("""COMPUTED_VALUE"""),"PATEL DREAMBEN VIMALBHAI")</f>
        <v>PATEL DREAMBEN VIMALBHAI</v>
      </c>
      <c r="C526" s="42" t="str">
        <f ca="1">IFERROR(__xludf.DUMMYFUNCTION("""COMPUTED_VALUE"""),"SDS")</f>
        <v>SDS</v>
      </c>
      <c r="D526" s="42" t="str">
        <f ca="1">IFERROR(__xludf.DUMMYFUNCTION("""COMPUTED_VALUE"""),"DCE")</f>
        <v>DCE</v>
      </c>
      <c r="E526" s="44">
        <f ca="1">IFERROR(__xludf.DUMMYFUNCTION("""COMPUTED_VALUE"""),6)</f>
        <v>6</v>
      </c>
      <c r="F526" s="42" t="str">
        <f ca="1">IFERROR(__xludf.DUMMYFUNCTION("""COMPUTED_VALUE"""),"9313934471 9638478700")</f>
        <v>9313934471 9638478700</v>
      </c>
      <c r="G526" s="42" t="str">
        <f ca="1">IFERROR(__xludf.DUMMYFUNCTION("""COMPUTED_VALUE"""),"9313934471 9638478700")</f>
        <v>9313934471 9638478700</v>
      </c>
      <c r="H526" s="2" t="str">
        <f ca="1">IFERROR(__xludf.DUMMYFUNCTION("""COMPUTED_VALUE"""),"DCE_2021-24")</f>
        <v>DCE_2021-24</v>
      </c>
      <c r="I526" s="45" t="str">
        <f ca="1">IFERROR(__xludf.DUMMYFUNCTION("""COMPUTED_VALUE"""),"MYSY")</f>
        <v>MYSY</v>
      </c>
      <c r="J526" s="46">
        <f ca="1">IFERROR(__xludf.DUMMYFUNCTION("""COMPUTED_VALUE"""),25000)</f>
        <v>25000</v>
      </c>
      <c r="K526" s="46">
        <f ca="1">IFERROR(__xludf.DUMMYFUNCTION("""COMPUTED_VALUE"""),0)</f>
        <v>0</v>
      </c>
      <c r="L526" s="46">
        <f ca="1">IFERROR(__xludf.DUMMYFUNCTION("""COMPUTED_VALUE"""),0)</f>
        <v>0</v>
      </c>
      <c r="M526" s="47">
        <f ca="1">IFERROR(__xludf.DUMMYFUNCTION("""COMPUTED_VALUE"""),0)</f>
        <v>0</v>
      </c>
      <c r="N526" s="46">
        <f ca="1">IFERROR(__xludf.DUMMYFUNCTION("""COMPUTED_VALUE"""),25000)</f>
        <v>25000</v>
      </c>
      <c r="O526" s="46">
        <f ca="1">IFERROR(__xludf.DUMMYFUNCTION("""COMPUTED_VALUE"""),3750)</f>
        <v>3750</v>
      </c>
      <c r="P526" s="46">
        <f ca="1">IFERROR(__xludf.DUMMYFUNCTION("""COMPUTED_VALUE"""),3750)</f>
        <v>3750</v>
      </c>
      <c r="Q526" s="47">
        <f ca="1">IFERROR(__xludf.DUMMYFUNCTION("""COMPUTED_VALUE"""),0)</f>
        <v>0</v>
      </c>
      <c r="R526" s="24">
        <f ca="1">IFERROR(__xludf.DUMMYFUNCTION("""COMPUTED_VALUE"""),0)</f>
        <v>0</v>
      </c>
      <c r="S526" s="23">
        <f ca="1">IFERROR(__xludf.DUMMYFUNCTION("""COMPUTED_VALUE"""),0)</f>
        <v>0</v>
      </c>
      <c r="T526" s="48">
        <f ca="1">IFERROR(__xludf.DUMMYFUNCTION("""COMPUTED_VALUE"""),0)</f>
        <v>0</v>
      </c>
      <c r="U526" s="47">
        <f ca="1">IFERROR(__xludf.DUMMYFUNCTION("""COMPUTED_VALUE"""),0)</f>
        <v>0</v>
      </c>
      <c r="V526" s="47">
        <f ca="1">IFERROR(__xludf.DUMMYFUNCTION("""COMPUTED_VALUE"""),0)</f>
        <v>0</v>
      </c>
      <c r="W526" s="47">
        <f ca="1">IFERROR(__xludf.DUMMYFUNCTION("""COMPUTED_VALUE"""),0)</f>
        <v>0</v>
      </c>
      <c r="X526" s="47">
        <f ca="1">IFERROR(__xludf.DUMMYFUNCTION("""COMPUTED_VALUE"""),0)</f>
        <v>0</v>
      </c>
      <c r="Y526" s="44">
        <f ca="1">IFERROR(__xludf.DUMMYFUNCTION("""COMPUTED_VALUE"""),0)</f>
        <v>0</v>
      </c>
      <c r="Z526" s="44">
        <f ca="1">IFERROR(__xludf.DUMMYFUNCTION("""COMPUTED_VALUE"""),0)</f>
        <v>0</v>
      </c>
      <c r="AA526" s="44">
        <f ca="1">IFERROR(__xludf.DUMMYFUNCTION("""COMPUTED_VALUE"""),0)</f>
        <v>0</v>
      </c>
      <c r="AB526" s="44">
        <f ca="1">IFERROR(__xludf.DUMMYFUNCTION("""COMPUTED_VALUE"""),0)</f>
        <v>0</v>
      </c>
      <c r="AC526" s="47">
        <f ca="1">IFERROR(__xludf.DUMMYFUNCTION("""COMPUTED_VALUE"""),0)</f>
        <v>0</v>
      </c>
      <c r="AD526" s="49" t="str">
        <f ca="1">IFERROR(__xludf.DUMMYFUNCTION("""COMPUTED_VALUE"""),"KSPS(50%) + MYSY(50%)")</f>
        <v>KSPS(50%) + MYSY(50%)</v>
      </c>
      <c r="AE526" s="27"/>
    </row>
    <row r="527" spans="1:31" ht="14.3">
      <c r="A527" s="42" t="str">
        <f ca="1">IFERROR(__xludf.DUMMYFUNCTION("""COMPUTED_VALUE"""),"21SDSCE01099")</f>
        <v>21SDSCE01099</v>
      </c>
      <c r="B527" s="43" t="str">
        <f ca="1">IFERROR(__xludf.DUMMYFUNCTION("""COMPUTED_VALUE"""),"RASHIYA HEMAL HARESHBHAI")</f>
        <v>RASHIYA HEMAL HARESHBHAI</v>
      </c>
      <c r="C527" s="42" t="str">
        <f ca="1">IFERROR(__xludf.DUMMYFUNCTION("""COMPUTED_VALUE"""),"SDS")</f>
        <v>SDS</v>
      </c>
      <c r="D527" s="42" t="str">
        <f ca="1">IFERROR(__xludf.DUMMYFUNCTION("""COMPUTED_VALUE"""),"DCE")</f>
        <v>DCE</v>
      </c>
      <c r="E527" s="44">
        <f ca="1">IFERROR(__xludf.DUMMYFUNCTION("""COMPUTED_VALUE"""),6)</f>
        <v>6</v>
      </c>
      <c r="F527" s="42" t="str">
        <f ca="1">IFERROR(__xludf.DUMMYFUNCTION("""COMPUTED_VALUE"""),"6352359094 6355078575")</f>
        <v>6352359094 6355078575</v>
      </c>
      <c r="G527" s="42" t="str">
        <f ca="1">IFERROR(__xludf.DUMMYFUNCTION("""COMPUTED_VALUE"""),"6352359094 6355078575")</f>
        <v>6352359094 6355078575</v>
      </c>
      <c r="H527" s="2" t="str">
        <f ca="1">IFERROR(__xludf.DUMMYFUNCTION("""COMPUTED_VALUE"""),"DCE_2021-24")</f>
        <v>DCE_2021-24</v>
      </c>
      <c r="I527" s="45" t="str">
        <f ca="1">IFERROR(__xludf.DUMMYFUNCTION("""COMPUTED_VALUE"""),"MYSY")</f>
        <v>MYSY</v>
      </c>
      <c r="J527" s="46">
        <f ca="1">IFERROR(__xludf.DUMMYFUNCTION("""COMPUTED_VALUE"""),25000)</f>
        <v>25000</v>
      </c>
      <c r="K527" s="46">
        <f ca="1">IFERROR(__xludf.DUMMYFUNCTION("""COMPUTED_VALUE"""),0)</f>
        <v>0</v>
      </c>
      <c r="L527" s="46">
        <f ca="1">IFERROR(__xludf.DUMMYFUNCTION("""COMPUTED_VALUE"""),0)</f>
        <v>0</v>
      </c>
      <c r="M527" s="47">
        <f ca="1">IFERROR(__xludf.DUMMYFUNCTION("""COMPUTED_VALUE"""),0)</f>
        <v>0</v>
      </c>
      <c r="N527" s="46">
        <f ca="1">IFERROR(__xludf.DUMMYFUNCTION("""COMPUTED_VALUE"""),25000)</f>
        <v>25000</v>
      </c>
      <c r="O527" s="46">
        <f ca="1">IFERROR(__xludf.DUMMYFUNCTION("""COMPUTED_VALUE"""),3750)</f>
        <v>3750</v>
      </c>
      <c r="P527" s="46">
        <f ca="1">IFERROR(__xludf.DUMMYFUNCTION("""COMPUTED_VALUE"""),3750)</f>
        <v>3750</v>
      </c>
      <c r="Q527" s="47">
        <f ca="1">IFERROR(__xludf.DUMMYFUNCTION("""COMPUTED_VALUE"""),0)</f>
        <v>0</v>
      </c>
      <c r="R527" s="24">
        <f ca="1">IFERROR(__xludf.DUMMYFUNCTION("""COMPUTED_VALUE"""),0)</f>
        <v>0</v>
      </c>
      <c r="S527" s="23">
        <f ca="1">IFERROR(__xludf.DUMMYFUNCTION("""COMPUTED_VALUE"""),0)</f>
        <v>0</v>
      </c>
      <c r="T527" s="48">
        <f ca="1">IFERROR(__xludf.DUMMYFUNCTION("""COMPUTED_VALUE"""),0)</f>
        <v>0</v>
      </c>
      <c r="U527" s="47">
        <f ca="1">IFERROR(__xludf.DUMMYFUNCTION("""COMPUTED_VALUE"""),0)</f>
        <v>0</v>
      </c>
      <c r="V527" s="47">
        <f ca="1">IFERROR(__xludf.DUMMYFUNCTION("""COMPUTED_VALUE"""),0)</f>
        <v>0</v>
      </c>
      <c r="W527" s="47">
        <f ca="1">IFERROR(__xludf.DUMMYFUNCTION("""COMPUTED_VALUE"""),0)</f>
        <v>0</v>
      </c>
      <c r="X527" s="47">
        <f ca="1">IFERROR(__xludf.DUMMYFUNCTION("""COMPUTED_VALUE"""),0)</f>
        <v>0</v>
      </c>
      <c r="Y527" s="44">
        <f ca="1">IFERROR(__xludf.DUMMYFUNCTION("""COMPUTED_VALUE"""),0)</f>
        <v>0</v>
      </c>
      <c r="Z527" s="44">
        <f ca="1">IFERROR(__xludf.DUMMYFUNCTION("""COMPUTED_VALUE"""),0)</f>
        <v>0</v>
      </c>
      <c r="AA527" s="44">
        <f ca="1">IFERROR(__xludf.DUMMYFUNCTION("""COMPUTED_VALUE"""),0)</f>
        <v>0</v>
      </c>
      <c r="AB527" s="44">
        <f ca="1">IFERROR(__xludf.DUMMYFUNCTION("""COMPUTED_VALUE"""),0)</f>
        <v>0</v>
      </c>
      <c r="AC527" s="47">
        <f ca="1">IFERROR(__xludf.DUMMYFUNCTION("""COMPUTED_VALUE"""),0)</f>
        <v>0</v>
      </c>
      <c r="AD527" s="49" t="str">
        <f ca="1">IFERROR(__xludf.DUMMYFUNCTION("""COMPUTED_VALUE"""),"MYSY(50%)+KSPS(25%)")</f>
        <v>MYSY(50%)+KSPS(25%)</v>
      </c>
      <c r="AE527" s="27"/>
    </row>
    <row r="528" spans="1:31" ht="28.55">
      <c r="A528" s="42" t="str">
        <f ca="1">IFERROR(__xludf.DUMMYFUNCTION("""COMPUTED_VALUE"""),"21SDSCE01100")</f>
        <v>21SDSCE01100</v>
      </c>
      <c r="B528" s="43" t="str">
        <f ca="1">IFERROR(__xludf.DUMMYFUNCTION("""COMPUTED_VALUE"""),"RATHOD ROHANBHAI JITENDRABHAI")</f>
        <v>RATHOD ROHANBHAI JITENDRABHAI</v>
      </c>
      <c r="C528" s="42" t="str">
        <f ca="1">IFERROR(__xludf.DUMMYFUNCTION("""COMPUTED_VALUE"""),"SDS")</f>
        <v>SDS</v>
      </c>
      <c r="D528" s="42" t="str">
        <f ca="1">IFERROR(__xludf.DUMMYFUNCTION("""COMPUTED_VALUE"""),"DCE")</f>
        <v>DCE</v>
      </c>
      <c r="E528" s="44">
        <f ca="1">IFERROR(__xludf.DUMMYFUNCTION("""COMPUTED_VALUE"""),6)</f>
        <v>6</v>
      </c>
      <c r="F528" s="42" t="str">
        <f ca="1">IFERROR(__xludf.DUMMYFUNCTION("""COMPUTED_VALUE"""),"7778095490 6351541593")</f>
        <v>7778095490 6351541593</v>
      </c>
      <c r="G528" s="42" t="str">
        <f ca="1">IFERROR(__xludf.DUMMYFUNCTION("""COMPUTED_VALUE"""),"7778095490 6351541593")</f>
        <v>7778095490 6351541593</v>
      </c>
      <c r="H528" s="2" t="str">
        <f ca="1">IFERROR(__xludf.DUMMYFUNCTION("""COMPUTED_VALUE"""),"DCE_2021-24")</f>
        <v>DCE_2021-24</v>
      </c>
      <c r="I528" s="45" t="str">
        <f ca="1">IFERROR(__xludf.DUMMYFUNCTION("""COMPUTED_VALUE"""),"FREESHIP CARD")</f>
        <v>FREESHIP CARD</v>
      </c>
      <c r="J528" s="46">
        <f ca="1">IFERROR(__xludf.DUMMYFUNCTION("""COMPUTED_VALUE"""),25000)</f>
        <v>25000</v>
      </c>
      <c r="K528" s="46">
        <f ca="1">IFERROR(__xludf.DUMMYFUNCTION("""COMPUTED_VALUE"""),0)</f>
        <v>0</v>
      </c>
      <c r="L528" s="46">
        <f ca="1">IFERROR(__xludf.DUMMYFUNCTION("""COMPUTED_VALUE"""),0)</f>
        <v>0</v>
      </c>
      <c r="M528" s="47">
        <f ca="1">IFERROR(__xludf.DUMMYFUNCTION("""COMPUTED_VALUE"""),0)</f>
        <v>0</v>
      </c>
      <c r="N528" s="46">
        <f ca="1">IFERROR(__xludf.DUMMYFUNCTION("""COMPUTED_VALUE"""),25000)</f>
        <v>25000</v>
      </c>
      <c r="O528" s="46">
        <f ca="1">IFERROR(__xludf.DUMMYFUNCTION("""COMPUTED_VALUE"""),3750)</f>
        <v>3750</v>
      </c>
      <c r="P528" s="46">
        <f ca="1">IFERROR(__xludf.DUMMYFUNCTION("""COMPUTED_VALUE"""),0)</f>
        <v>0</v>
      </c>
      <c r="Q528" s="47">
        <f ca="1">IFERROR(__xludf.DUMMYFUNCTION("""COMPUTED_VALUE"""),0)</f>
        <v>0</v>
      </c>
      <c r="R528" s="24">
        <f ca="1">IFERROR(__xludf.DUMMYFUNCTION("""COMPUTED_VALUE"""),0)</f>
        <v>0</v>
      </c>
      <c r="S528" s="23">
        <f ca="1">IFERROR(__xludf.DUMMYFUNCTION("""COMPUTED_VALUE"""),3750)</f>
        <v>3750</v>
      </c>
      <c r="T528" s="48">
        <f ca="1">IFERROR(__xludf.DUMMYFUNCTION("""COMPUTED_VALUE"""),0)</f>
        <v>0</v>
      </c>
      <c r="U528" s="47">
        <f ca="1">IFERROR(__xludf.DUMMYFUNCTION("""COMPUTED_VALUE"""),0)</f>
        <v>0</v>
      </c>
      <c r="V528" s="47">
        <f ca="1">IFERROR(__xludf.DUMMYFUNCTION("""COMPUTED_VALUE"""),0)</f>
        <v>0</v>
      </c>
      <c r="W528" s="47">
        <f ca="1">IFERROR(__xludf.DUMMYFUNCTION("""COMPUTED_VALUE"""),0)</f>
        <v>0</v>
      </c>
      <c r="X528" s="47">
        <f ca="1">IFERROR(__xludf.DUMMYFUNCTION("""COMPUTED_VALUE"""),0)</f>
        <v>0</v>
      </c>
      <c r="Y528" s="44">
        <f ca="1">IFERROR(__xludf.DUMMYFUNCTION("""COMPUTED_VALUE"""),0)</f>
        <v>0</v>
      </c>
      <c r="Z528" s="44">
        <f ca="1">IFERROR(__xludf.DUMMYFUNCTION("""COMPUTED_VALUE"""),0)</f>
        <v>0</v>
      </c>
      <c r="AA528" s="44">
        <f ca="1">IFERROR(__xludf.DUMMYFUNCTION("""COMPUTED_VALUE"""),0)</f>
        <v>0</v>
      </c>
      <c r="AB528" s="44">
        <f ca="1">IFERROR(__xludf.DUMMYFUNCTION("""COMPUTED_VALUE"""),0)</f>
        <v>0</v>
      </c>
      <c r="AC528" s="47">
        <f ca="1">IFERROR(__xludf.DUMMYFUNCTION("""COMPUTED_VALUE"""),0)</f>
        <v>0</v>
      </c>
      <c r="AD528" s="49" t="str">
        <f ca="1">IFERROR(__xludf.DUMMYFUNCTION("""COMPUTED_VALUE"""),"FREESHIPCARD STUDENT")</f>
        <v>FREESHIPCARD STUDENT</v>
      </c>
      <c r="AE528" s="27"/>
    </row>
    <row r="529" spans="1:31" ht="14.3">
      <c r="A529" s="42" t="str">
        <f ca="1">IFERROR(__xludf.DUMMYFUNCTION("""COMPUTED_VALUE"""),"21SDSCE01101")</f>
        <v>21SDSCE01101</v>
      </c>
      <c r="B529" s="43" t="str">
        <f ca="1">IFERROR(__xludf.DUMMYFUNCTION("""COMPUTED_VALUE"""),"RAVALIYA TUSHAR MAHESHBHAI")</f>
        <v>RAVALIYA TUSHAR MAHESHBHAI</v>
      </c>
      <c r="C529" s="42" t="str">
        <f ca="1">IFERROR(__xludf.DUMMYFUNCTION("""COMPUTED_VALUE"""),"SDS")</f>
        <v>SDS</v>
      </c>
      <c r="D529" s="42" t="str">
        <f ca="1">IFERROR(__xludf.DUMMYFUNCTION("""COMPUTED_VALUE"""),"DCE")</f>
        <v>DCE</v>
      </c>
      <c r="E529" s="44">
        <f ca="1">IFERROR(__xludf.DUMMYFUNCTION("""COMPUTED_VALUE"""),6)</f>
        <v>6</v>
      </c>
      <c r="F529" s="42" t="str">
        <f ca="1">IFERROR(__xludf.DUMMYFUNCTION("""COMPUTED_VALUE"""),"8238186558 
9898917906")</f>
        <v>8238186558 
9898917906</v>
      </c>
      <c r="G529" s="42" t="str">
        <f ca="1">IFERROR(__xludf.DUMMYFUNCTION("""COMPUTED_VALUE"""),"8238186558 
9898917906")</f>
        <v>8238186558 
9898917906</v>
      </c>
      <c r="H529" s="2" t="str">
        <f ca="1">IFERROR(__xludf.DUMMYFUNCTION("""COMPUTED_VALUE"""),"DCE_2021-24")</f>
        <v>DCE_2021-24</v>
      </c>
      <c r="I529" s="45"/>
      <c r="J529" s="46">
        <f ca="1">IFERROR(__xludf.DUMMYFUNCTION("""COMPUTED_VALUE"""),25000)</f>
        <v>25000</v>
      </c>
      <c r="K529" s="46">
        <f ca="1">IFERROR(__xludf.DUMMYFUNCTION("""COMPUTED_VALUE"""),25000)</f>
        <v>25000</v>
      </c>
      <c r="L529" s="46">
        <f ca="1">IFERROR(__xludf.DUMMYFUNCTION("""COMPUTED_VALUE"""),0)</f>
        <v>0</v>
      </c>
      <c r="M529" s="47">
        <f ca="1">IFERROR(__xludf.DUMMYFUNCTION("""COMPUTED_VALUE"""),0)</f>
        <v>0</v>
      </c>
      <c r="N529" s="46">
        <f ca="1">IFERROR(__xludf.DUMMYFUNCTION("""COMPUTED_VALUE"""),0)</f>
        <v>0</v>
      </c>
      <c r="O529" s="46">
        <f ca="1">IFERROR(__xludf.DUMMYFUNCTION("""COMPUTED_VALUE"""),3750)</f>
        <v>3750</v>
      </c>
      <c r="P529" s="46">
        <f ca="1">IFERROR(__xludf.DUMMYFUNCTION("""COMPUTED_VALUE"""),3750)</f>
        <v>3750</v>
      </c>
      <c r="Q529" s="47">
        <f ca="1">IFERROR(__xludf.DUMMYFUNCTION("""COMPUTED_VALUE"""),0)</f>
        <v>0</v>
      </c>
      <c r="R529" s="24">
        <f ca="1">IFERROR(__xludf.DUMMYFUNCTION("""COMPUTED_VALUE"""),0)</f>
        <v>0</v>
      </c>
      <c r="S529" s="23">
        <f ca="1">IFERROR(__xludf.DUMMYFUNCTION("""COMPUTED_VALUE"""),0)</f>
        <v>0</v>
      </c>
      <c r="T529" s="48">
        <f ca="1">IFERROR(__xludf.DUMMYFUNCTION("""COMPUTED_VALUE"""),0)</f>
        <v>0</v>
      </c>
      <c r="U529" s="47">
        <f ca="1">IFERROR(__xludf.DUMMYFUNCTION("""COMPUTED_VALUE"""),0)</f>
        <v>0</v>
      </c>
      <c r="V529" s="47">
        <f ca="1">IFERROR(__xludf.DUMMYFUNCTION("""COMPUTED_VALUE"""),0)</f>
        <v>0</v>
      </c>
      <c r="W529" s="47">
        <f ca="1">IFERROR(__xludf.DUMMYFUNCTION("""COMPUTED_VALUE"""),0)</f>
        <v>0</v>
      </c>
      <c r="X529" s="47">
        <f ca="1">IFERROR(__xludf.DUMMYFUNCTION("""COMPUTED_VALUE"""),0)</f>
        <v>0</v>
      </c>
      <c r="Y529" s="44">
        <f ca="1">IFERROR(__xludf.DUMMYFUNCTION("""COMPUTED_VALUE"""),0)</f>
        <v>0</v>
      </c>
      <c r="Z529" s="44">
        <f ca="1">IFERROR(__xludf.DUMMYFUNCTION("""COMPUTED_VALUE"""),0)</f>
        <v>0</v>
      </c>
      <c r="AA529" s="44">
        <f ca="1">IFERROR(__xludf.DUMMYFUNCTION("""COMPUTED_VALUE"""),0)</f>
        <v>0</v>
      </c>
      <c r="AB529" s="44">
        <f ca="1">IFERROR(__xludf.DUMMYFUNCTION("""COMPUTED_VALUE"""),0)</f>
        <v>0</v>
      </c>
      <c r="AC529" s="47">
        <f ca="1">IFERROR(__xludf.DUMMYFUNCTION("""COMPUTED_VALUE"""),0)</f>
        <v>0</v>
      </c>
      <c r="AD529" s="49"/>
      <c r="AE529" s="27"/>
    </row>
    <row r="530" spans="1:31" ht="14.3">
      <c r="A530" s="42" t="str">
        <f ca="1">IFERROR(__xludf.DUMMYFUNCTION("""COMPUTED_VALUE"""),"21SDSCE01102")</f>
        <v>21SDSCE01102</v>
      </c>
      <c r="B530" s="43" t="str">
        <f ca="1">IFERROR(__xludf.DUMMYFUNCTION("""COMPUTED_VALUE"""),"RAVANI ARMAN IMRANBHAI")</f>
        <v>RAVANI ARMAN IMRANBHAI</v>
      </c>
      <c r="C530" s="42" t="str">
        <f ca="1">IFERROR(__xludf.DUMMYFUNCTION("""COMPUTED_VALUE"""),"SDS")</f>
        <v>SDS</v>
      </c>
      <c r="D530" s="42" t="str">
        <f ca="1">IFERROR(__xludf.DUMMYFUNCTION("""COMPUTED_VALUE"""),"DCE")</f>
        <v>DCE</v>
      </c>
      <c r="E530" s="44">
        <f ca="1">IFERROR(__xludf.DUMMYFUNCTION("""COMPUTED_VALUE"""),6)</f>
        <v>6</v>
      </c>
      <c r="F530" s="42" t="str">
        <f ca="1">IFERROR(__xludf.DUMMYFUNCTION("""COMPUTED_VALUE"""),"7801973789 9374242443")</f>
        <v>7801973789 9374242443</v>
      </c>
      <c r="G530" s="42" t="str">
        <f ca="1">IFERROR(__xludf.DUMMYFUNCTION("""COMPUTED_VALUE"""),"7801973789 9374242443")</f>
        <v>7801973789 9374242443</v>
      </c>
      <c r="H530" s="2" t="str">
        <f ca="1">IFERROR(__xludf.DUMMYFUNCTION("""COMPUTED_VALUE"""),"DCE_2021-24")</f>
        <v>DCE_2021-24</v>
      </c>
      <c r="I530" s="45"/>
      <c r="J530" s="46">
        <f ca="1">IFERROR(__xludf.DUMMYFUNCTION("""COMPUTED_VALUE"""),25000)</f>
        <v>25000</v>
      </c>
      <c r="K530" s="46">
        <f ca="1">IFERROR(__xludf.DUMMYFUNCTION("""COMPUTED_VALUE"""),0)</f>
        <v>0</v>
      </c>
      <c r="L530" s="46">
        <f ca="1">IFERROR(__xludf.DUMMYFUNCTION("""COMPUTED_VALUE"""),0)</f>
        <v>0</v>
      </c>
      <c r="M530" s="47">
        <f ca="1">IFERROR(__xludf.DUMMYFUNCTION("""COMPUTED_VALUE"""),0)</f>
        <v>0</v>
      </c>
      <c r="N530" s="46">
        <f ca="1">IFERROR(__xludf.DUMMYFUNCTION("""COMPUTED_VALUE"""),25000)</f>
        <v>25000</v>
      </c>
      <c r="O530" s="46">
        <f ca="1">IFERROR(__xludf.DUMMYFUNCTION("""COMPUTED_VALUE"""),3750)</f>
        <v>3750</v>
      </c>
      <c r="P530" s="46">
        <f ca="1">IFERROR(__xludf.DUMMYFUNCTION("""COMPUTED_VALUE"""),0)</f>
        <v>0</v>
      </c>
      <c r="Q530" s="47">
        <f ca="1">IFERROR(__xludf.DUMMYFUNCTION("""COMPUTED_VALUE"""),0)</f>
        <v>0</v>
      </c>
      <c r="R530" s="24">
        <f ca="1">IFERROR(__xludf.DUMMYFUNCTION("""COMPUTED_VALUE"""),0)</f>
        <v>0</v>
      </c>
      <c r="S530" s="23">
        <f ca="1">IFERROR(__xludf.DUMMYFUNCTION("""COMPUTED_VALUE"""),3750)</f>
        <v>3750</v>
      </c>
      <c r="T530" s="48">
        <f ca="1">IFERROR(__xludf.DUMMYFUNCTION("""COMPUTED_VALUE"""),0)</f>
        <v>0</v>
      </c>
      <c r="U530" s="47">
        <f ca="1">IFERROR(__xludf.DUMMYFUNCTION("""COMPUTED_VALUE"""),0)</f>
        <v>0</v>
      </c>
      <c r="V530" s="47">
        <f ca="1">IFERROR(__xludf.DUMMYFUNCTION("""COMPUTED_VALUE"""),0)</f>
        <v>0</v>
      </c>
      <c r="W530" s="47">
        <f ca="1">IFERROR(__xludf.DUMMYFUNCTION("""COMPUTED_VALUE"""),0)</f>
        <v>0</v>
      </c>
      <c r="X530" s="47">
        <f ca="1">IFERROR(__xludf.DUMMYFUNCTION("""COMPUTED_VALUE"""),0)</f>
        <v>0</v>
      </c>
      <c r="Y530" s="44">
        <f ca="1">IFERROR(__xludf.DUMMYFUNCTION("""COMPUTED_VALUE"""),0)</f>
        <v>0</v>
      </c>
      <c r="Z530" s="44">
        <f ca="1">IFERROR(__xludf.DUMMYFUNCTION("""COMPUTED_VALUE"""),0)</f>
        <v>0</v>
      </c>
      <c r="AA530" s="44">
        <f ca="1">IFERROR(__xludf.DUMMYFUNCTION("""COMPUTED_VALUE"""),0)</f>
        <v>0</v>
      </c>
      <c r="AB530" s="44">
        <f ca="1">IFERROR(__xludf.DUMMYFUNCTION("""COMPUTED_VALUE"""),0)</f>
        <v>0</v>
      </c>
      <c r="AC530" s="47">
        <f ca="1">IFERROR(__xludf.DUMMYFUNCTION("""COMPUTED_VALUE"""),0)</f>
        <v>0</v>
      </c>
      <c r="AD530" s="49"/>
      <c r="AE530" s="27"/>
    </row>
    <row r="531" spans="1:31" ht="14.3">
      <c r="A531" s="42" t="str">
        <f ca="1">IFERROR(__xludf.DUMMYFUNCTION("""COMPUTED_VALUE"""),"21SDSCE01107")</f>
        <v>21SDSCE01107</v>
      </c>
      <c r="B531" s="43" t="str">
        <f ca="1">IFERROR(__xludf.DUMMYFUNCTION("""COMPUTED_VALUE"""),"TERAVADIYA HARMIS KISHORBHAI")</f>
        <v>TERAVADIYA HARMIS KISHORBHAI</v>
      </c>
      <c r="C531" s="42" t="str">
        <f ca="1">IFERROR(__xludf.DUMMYFUNCTION("""COMPUTED_VALUE"""),"SDS")</f>
        <v>SDS</v>
      </c>
      <c r="D531" s="42" t="str">
        <f ca="1">IFERROR(__xludf.DUMMYFUNCTION("""COMPUTED_VALUE"""),"DCE")</f>
        <v>DCE</v>
      </c>
      <c r="E531" s="44">
        <f ca="1">IFERROR(__xludf.DUMMYFUNCTION("""COMPUTED_VALUE"""),6)</f>
        <v>6</v>
      </c>
      <c r="F531" s="42" t="str">
        <f ca="1">IFERROR(__xludf.DUMMYFUNCTION("""COMPUTED_VALUE"""),"8160331232
8160331232")</f>
        <v>8160331232
8160331232</v>
      </c>
      <c r="G531" s="42" t="str">
        <f ca="1">IFERROR(__xludf.DUMMYFUNCTION("""COMPUTED_VALUE"""),"8160331232
8160331232")</f>
        <v>8160331232
8160331232</v>
      </c>
      <c r="H531" s="2" t="str">
        <f ca="1">IFERROR(__xludf.DUMMYFUNCTION("""COMPUTED_VALUE"""),"DCE_2021-24")</f>
        <v>DCE_2021-24</v>
      </c>
      <c r="I531" s="45" t="str">
        <f ca="1">IFERROR(__xludf.DUMMYFUNCTION("""COMPUTED_VALUE"""),"MYSY")</f>
        <v>MYSY</v>
      </c>
      <c r="J531" s="46">
        <f ca="1">IFERROR(__xludf.DUMMYFUNCTION("""COMPUTED_VALUE"""),25000)</f>
        <v>25000</v>
      </c>
      <c r="K531" s="46">
        <f ca="1">IFERROR(__xludf.DUMMYFUNCTION("""COMPUTED_VALUE"""),25000)</f>
        <v>25000</v>
      </c>
      <c r="L531" s="46">
        <f ca="1">IFERROR(__xludf.DUMMYFUNCTION("""COMPUTED_VALUE"""),0)</f>
        <v>0</v>
      </c>
      <c r="M531" s="47">
        <f ca="1">IFERROR(__xludf.DUMMYFUNCTION("""COMPUTED_VALUE"""),0)</f>
        <v>0</v>
      </c>
      <c r="N531" s="46">
        <f ca="1">IFERROR(__xludf.DUMMYFUNCTION("""COMPUTED_VALUE"""),0)</f>
        <v>0</v>
      </c>
      <c r="O531" s="46">
        <f ca="1">IFERROR(__xludf.DUMMYFUNCTION("""COMPUTED_VALUE"""),3750)</f>
        <v>3750</v>
      </c>
      <c r="P531" s="46">
        <f ca="1">IFERROR(__xludf.DUMMYFUNCTION("""COMPUTED_VALUE"""),3750)</f>
        <v>3750</v>
      </c>
      <c r="Q531" s="47">
        <f ca="1">IFERROR(__xludf.DUMMYFUNCTION("""COMPUTED_VALUE"""),0)</f>
        <v>0</v>
      </c>
      <c r="R531" s="24">
        <f ca="1">IFERROR(__xludf.DUMMYFUNCTION("""COMPUTED_VALUE"""),0)</f>
        <v>0</v>
      </c>
      <c r="S531" s="23">
        <f ca="1">IFERROR(__xludf.DUMMYFUNCTION("""COMPUTED_VALUE"""),0)</f>
        <v>0</v>
      </c>
      <c r="T531" s="48">
        <f ca="1">IFERROR(__xludf.DUMMYFUNCTION("""COMPUTED_VALUE"""),0)</f>
        <v>0</v>
      </c>
      <c r="U531" s="47">
        <f ca="1">IFERROR(__xludf.DUMMYFUNCTION("""COMPUTED_VALUE"""),0)</f>
        <v>0</v>
      </c>
      <c r="V531" s="47">
        <f ca="1">IFERROR(__xludf.DUMMYFUNCTION("""COMPUTED_VALUE"""),0)</f>
        <v>0</v>
      </c>
      <c r="W531" s="47">
        <f ca="1">IFERROR(__xludf.DUMMYFUNCTION("""COMPUTED_VALUE"""),0)</f>
        <v>0</v>
      </c>
      <c r="X531" s="47">
        <f ca="1">IFERROR(__xludf.DUMMYFUNCTION("""COMPUTED_VALUE"""),0)</f>
        <v>0</v>
      </c>
      <c r="Y531" s="44">
        <f ca="1">IFERROR(__xludf.DUMMYFUNCTION("""COMPUTED_VALUE"""),0)</f>
        <v>0</v>
      </c>
      <c r="Z531" s="44">
        <f ca="1">IFERROR(__xludf.DUMMYFUNCTION("""COMPUTED_VALUE"""),0)</f>
        <v>0</v>
      </c>
      <c r="AA531" s="44">
        <f ca="1">IFERROR(__xludf.DUMMYFUNCTION("""COMPUTED_VALUE"""),0)</f>
        <v>0</v>
      </c>
      <c r="AB531" s="44">
        <f ca="1">IFERROR(__xludf.DUMMYFUNCTION("""COMPUTED_VALUE"""),0)</f>
        <v>0</v>
      </c>
      <c r="AC531" s="47">
        <f ca="1">IFERROR(__xludf.DUMMYFUNCTION("""COMPUTED_VALUE"""),0)</f>
        <v>0</v>
      </c>
      <c r="AD531" s="49" t="str">
        <f ca="1">IFERROR(__xludf.DUMMYFUNCTION("""COMPUTED_VALUE"""),"MYSY(50%) + KSPS(50%)")</f>
        <v>MYSY(50%) + KSPS(50%)</v>
      </c>
      <c r="AE531" s="27"/>
    </row>
    <row r="532" spans="1:31" ht="14.3">
      <c r="A532" s="42" t="str">
        <f ca="1">IFERROR(__xludf.DUMMYFUNCTION("""COMPUTED_VALUE"""),"21SDSCE01114")</f>
        <v>21SDSCE01114</v>
      </c>
      <c r="B532" s="43" t="str">
        <f ca="1">IFERROR(__xludf.DUMMYFUNCTION("""COMPUTED_VALUE"""),"AMIPARA PARTH DINESHBHAI")</f>
        <v>AMIPARA PARTH DINESHBHAI</v>
      </c>
      <c r="C532" s="42" t="str">
        <f ca="1">IFERROR(__xludf.DUMMYFUNCTION("""COMPUTED_VALUE"""),"SDS")</f>
        <v>SDS</v>
      </c>
      <c r="D532" s="42" t="str">
        <f ca="1">IFERROR(__xludf.DUMMYFUNCTION("""COMPUTED_VALUE"""),"DCE")</f>
        <v>DCE</v>
      </c>
      <c r="E532" s="44">
        <f ca="1">IFERROR(__xludf.DUMMYFUNCTION("""COMPUTED_VALUE"""),6)</f>
        <v>6</v>
      </c>
      <c r="F532" s="42" t="str">
        <f ca="1">IFERROR(__xludf.DUMMYFUNCTION("""COMPUTED_VALUE"""),"8160452749
8160452749")</f>
        <v>8160452749
8160452749</v>
      </c>
      <c r="G532" s="42" t="str">
        <f ca="1">IFERROR(__xludf.DUMMYFUNCTION("""COMPUTED_VALUE"""),"8160452749
8160452749")</f>
        <v>8160452749
8160452749</v>
      </c>
      <c r="H532" s="2" t="str">
        <f ca="1">IFERROR(__xludf.DUMMYFUNCTION("""COMPUTED_VALUE"""),"DCE_2021-24")</f>
        <v>DCE_2021-24</v>
      </c>
      <c r="I532" s="45" t="str">
        <f ca="1">IFERROR(__xludf.DUMMYFUNCTION("""COMPUTED_VALUE"""),"MYSY")</f>
        <v>MYSY</v>
      </c>
      <c r="J532" s="46">
        <f ca="1">IFERROR(__xludf.DUMMYFUNCTION("""COMPUTED_VALUE"""),25000)</f>
        <v>25000</v>
      </c>
      <c r="K532" s="46">
        <f ca="1">IFERROR(__xludf.DUMMYFUNCTION("""COMPUTED_VALUE"""),0)</f>
        <v>0</v>
      </c>
      <c r="L532" s="46">
        <f ca="1">IFERROR(__xludf.DUMMYFUNCTION("""COMPUTED_VALUE"""),0)</f>
        <v>0</v>
      </c>
      <c r="M532" s="47">
        <f ca="1">IFERROR(__xludf.DUMMYFUNCTION("""COMPUTED_VALUE"""),0)</f>
        <v>0</v>
      </c>
      <c r="N532" s="46">
        <f ca="1">IFERROR(__xludf.DUMMYFUNCTION("""COMPUTED_VALUE"""),25000)</f>
        <v>25000</v>
      </c>
      <c r="O532" s="46">
        <f ca="1">IFERROR(__xludf.DUMMYFUNCTION("""COMPUTED_VALUE"""),3750)</f>
        <v>3750</v>
      </c>
      <c r="P532" s="46">
        <f ca="1">IFERROR(__xludf.DUMMYFUNCTION("""COMPUTED_VALUE"""),3750)</f>
        <v>3750</v>
      </c>
      <c r="Q532" s="47">
        <f ca="1">IFERROR(__xludf.DUMMYFUNCTION("""COMPUTED_VALUE"""),0)</f>
        <v>0</v>
      </c>
      <c r="R532" s="24">
        <f ca="1">IFERROR(__xludf.DUMMYFUNCTION("""COMPUTED_VALUE"""),0)</f>
        <v>0</v>
      </c>
      <c r="S532" s="23">
        <f ca="1">IFERROR(__xludf.DUMMYFUNCTION("""COMPUTED_VALUE"""),0)</f>
        <v>0</v>
      </c>
      <c r="T532" s="48">
        <f ca="1">IFERROR(__xludf.DUMMYFUNCTION("""COMPUTED_VALUE"""),0)</f>
        <v>0</v>
      </c>
      <c r="U532" s="47">
        <f ca="1">IFERROR(__xludf.DUMMYFUNCTION("""COMPUTED_VALUE"""),0)</f>
        <v>0</v>
      </c>
      <c r="V532" s="47">
        <f ca="1">IFERROR(__xludf.DUMMYFUNCTION("""COMPUTED_VALUE"""),0)</f>
        <v>0</v>
      </c>
      <c r="W532" s="47">
        <f ca="1">IFERROR(__xludf.DUMMYFUNCTION("""COMPUTED_VALUE"""),0)</f>
        <v>0</v>
      </c>
      <c r="X532" s="47">
        <f ca="1">IFERROR(__xludf.DUMMYFUNCTION("""COMPUTED_VALUE"""),0)</f>
        <v>0</v>
      </c>
      <c r="Y532" s="44">
        <f ca="1">IFERROR(__xludf.DUMMYFUNCTION("""COMPUTED_VALUE"""),0)</f>
        <v>0</v>
      </c>
      <c r="Z532" s="44">
        <f ca="1">IFERROR(__xludf.DUMMYFUNCTION("""COMPUTED_VALUE"""),0)</f>
        <v>0</v>
      </c>
      <c r="AA532" s="44">
        <f ca="1">IFERROR(__xludf.DUMMYFUNCTION("""COMPUTED_VALUE"""),0)</f>
        <v>0</v>
      </c>
      <c r="AB532" s="44">
        <f ca="1">IFERROR(__xludf.DUMMYFUNCTION("""COMPUTED_VALUE"""),0)</f>
        <v>0</v>
      </c>
      <c r="AC532" s="47">
        <f ca="1">IFERROR(__xludf.DUMMYFUNCTION("""COMPUTED_VALUE"""),0)</f>
        <v>0</v>
      </c>
      <c r="AD532" s="49" t="str">
        <f ca="1">IFERROR(__xludf.DUMMYFUNCTION("""COMPUTED_VALUE"""),"MYSY(50%) + KSPS(25%)")</f>
        <v>MYSY(50%) + KSPS(25%)</v>
      </c>
      <c r="AE532" s="27"/>
    </row>
    <row r="533" spans="1:31" ht="14.3">
      <c r="A533" s="42" t="str">
        <f ca="1">IFERROR(__xludf.DUMMYFUNCTION("""COMPUTED_VALUE"""),"21SDSCE01117")</f>
        <v>21SDSCE01117</v>
      </c>
      <c r="B533" s="43" t="str">
        <f ca="1">IFERROR(__xludf.DUMMYFUNCTION("""COMPUTED_VALUE"""),"BHANDERI JEEL RASIKBHAI")</f>
        <v>BHANDERI JEEL RASIKBHAI</v>
      </c>
      <c r="C533" s="42" t="str">
        <f ca="1">IFERROR(__xludf.DUMMYFUNCTION("""COMPUTED_VALUE"""),"SDS")</f>
        <v>SDS</v>
      </c>
      <c r="D533" s="42" t="str">
        <f ca="1">IFERROR(__xludf.DUMMYFUNCTION("""COMPUTED_VALUE"""),"DCE")</f>
        <v>DCE</v>
      </c>
      <c r="E533" s="44">
        <f ca="1">IFERROR(__xludf.DUMMYFUNCTION("""COMPUTED_VALUE"""),6)</f>
        <v>6</v>
      </c>
      <c r="F533" s="42" t="str">
        <f ca="1">IFERROR(__xludf.DUMMYFUNCTION("""COMPUTED_VALUE"""),"9913036345
9510533770")</f>
        <v>9913036345
9510533770</v>
      </c>
      <c r="G533" s="42" t="str">
        <f ca="1">IFERROR(__xludf.DUMMYFUNCTION("""COMPUTED_VALUE"""),"9913036345
9510533770")</f>
        <v>9913036345
9510533770</v>
      </c>
      <c r="H533" s="2" t="str">
        <f ca="1">IFERROR(__xludf.DUMMYFUNCTION("""COMPUTED_VALUE"""),"DCE_2021-24")</f>
        <v>DCE_2021-24</v>
      </c>
      <c r="I533" s="45" t="str">
        <f ca="1">IFERROR(__xludf.DUMMYFUNCTION("""COMPUTED_VALUE"""),"MYSY")</f>
        <v>MYSY</v>
      </c>
      <c r="J533" s="46">
        <f ca="1">IFERROR(__xludf.DUMMYFUNCTION("""COMPUTED_VALUE"""),25000)</f>
        <v>25000</v>
      </c>
      <c r="K533" s="46">
        <f ca="1">IFERROR(__xludf.DUMMYFUNCTION("""COMPUTED_VALUE"""),25000)</f>
        <v>25000</v>
      </c>
      <c r="L533" s="46">
        <f ca="1">IFERROR(__xludf.DUMMYFUNCTION("""COMPUTED_VALUE"""),0)</f>
        <v>0</v>
      </c>
      <c r="M533" s="47">
        <f ca="1">IFERROR(__xludf.DUMMYFUNCTION("""COMPUTED_VALUE"""),0)</f>
        <v>0</v>
      </c>
      <c r="N533" s="46">
        <f ca="1">IFERROR(__xludf.DUMMYFUNCTION("""COMPUTED_VALUE"""),0)</f>
        <v>0</v>
      </c>
      <c r="O533" s="46">
        <f ca="1">IFERROR(__xludf.DUMMYFUNCTION("""COMPUTED_VALUE"""),3750)</f>
        <v>3750</v>
      </c>
      <c r="P533" s="46">
        <f ca="1">IFERROR(__xludf.DUMMYFUNCTION("""COMPUTED_VALUE"""),3750)</f>
        <v>3750</v>
      </c>
      <c r="Q533" s="47">
        <f ca="1">IFERROR(__xludf.DUMMYFUNCTION("""COMPUTED_VALUE"""),0)</f>
        <v>0</v>
      </c>
      <c r="R533" s="24">
        <f ca="1">IFERROR(__xludf.DUMMYFUNCTION("""COMPUTED_VALUE"""),0)</f>
        <v>0</v>
      </c>
      <c r="S533" s="23">
        <f ca="1">IFERROR(__xludf.DUMMYFUNCTION("""COMPUTED_VALUE"""),0)</f>
        <v>0</v>
      </c>
      <c r="T533" s="48">
        <f ca="1">IFERROR(__xludf.DUMMYFUNCTION("""COMPUTED_VALUE"""),0)</f>
        <v>0</v>
      </c>
      <c r="U533" s="47">
        <f ca="1">IFERROR(__xludf.DUMMYFUNCTION("""COMPUTED_VALUE"""),0)</f>
        <v>0</v>
      </c>
      <c r="V533" s="47">
        <f ca="1">IFERROR(__xludf.DUMMYFUNCTION("""COMPUTED_VALUE"""),0)</f>
        <v>0</v>
      </c>
      <c r="W533" s="47">
        <f ca="1">IFERROR(__xludf.DUMMYFUNCTION("""COMPUTED_VALUE"""),0)</f>
        <v>0</v>
      </c>
      <c r="X533" s="47">
        <f ca="1">IFERROR(__xludf.DUMMYFUNCTION("""COMPUTED_VALUE"""),0)</f>
        <v>0</v>
      </c>
      <c r="Y533" s="44">
        <f ca="1">IFERROR(__xludf.DUMMYFUNCTION("""COMPUTED_VALUE"""),0)</f>
        <v>0</v>
      </c>
      <c r="Z533" s="44">
        <f ca="1">IFERROR(__xludf.DUMMYFUNCTION("""COMPUTED_VALUE"""),0)</f>
        <v>0</v>
      </c>
      <c r="AA533" s="44">
        <f ca="1">IFERROR(__xludf.DUMMYFUNCTION("""COMPUTED_VALUE"""),0)</f>
        <v>0</v>
      </c>
      <c r="AB533" s="44">
        <f ca="1">IFERROR(__xludf.DUMMYFUNCTION("""COMPUTED_VALUE"""),0)</f>
        <v>0</v>
      </c>
      <c r="AC533" s="47">
        <f ca="1">IFERROR(__xludf.DUMMYFUNCTION("""COMPUTED_VALUE"""),0)</f>
        <v>0</v>
      </c>
      <c r="AD533" s="49" t="str">
        <f ca="1">IFERROR(__xludf.DUMMYFUNCTION("""COMPUTED_VALUE"""),"MYSY(50%) + KSPS(25%)")</f>
        <v>MYSY(50%) + KSPS(25%)</v>
      </c>
      <c r="AE533" s="27"/>
    </row>
    <row r="534" spans="1:31" ht="14.3">
      <c r="A534" s="42" t="str">
        <f ca="1">IFERROR(__xludf.DUMMYFUNCTION("""COMPUTED_VALUE"""),"21SDSCE01160")</f>
        <v>21SDSCE01160</v>
      </c>
      <c r="B534" s="43" t="str">
        <f ca="1">IFERROR(__xludf.DUMMYFUNCTION("""COMPUTED_VALUE"""),"VASANI HARSHIL MITESHBHAI")</f>
        <v>VASANI HARSHIL MITESHBHAI</v>
      </c>
      <c r="C534" s="42" t="str">
        <f ca="1">IFERROR(__xludf.DUMMYFUNCTION("""COMPUTED_VALUE"""),"SDS")</f>
        <v>SDS</v>
      </c>
      <c r="D534" s="42" t="str">
        <f ca="1">IFERROR(__xludf.DUMMYFUNCTION("""COMPUTED_VALUE"""),"DCE")</f>
        <v>DCE</v>
      </c>
      <c r="E534" s="44">
        <f ca="1">IFERROR(__xludf.DUMMYFUNCTION("""COMPUTED_VALUE"""),6)</f>
        <v>6</v>
      </c>
      <c r="F534" s="42" t="str">
        <f ca="1">IFERROR(__xludf.DUMMYFUNCTION("""COMPUTED_VALUE"""),"9173156565
9426599240")</f>
        <v>9173156565
9426599240</v>
      </c>
      <c r="G534" s="42" t="str">
        <f ca="1">IFERROR(__xludf.DUMMYFUNCTION("""COMPUTED_VALUE"""),"9173156565
9426599240")</f>
        <v>9173156565
9426599240</v>
      </c>
      <c r="H534" s="2" t="str">
        <f ca="1">IFERROR(__xludf.DUMMYFUNCTION("""COMPUTED_VALUE"""),"DCE_2021-24")</f>
        <v>DCE_2021-24</v>
      </c>
      <c r="I534" s="45"/>
      <c r="J534" s="46">
        <f ca="1">IFERROR(__xludf.DUMMYFUNCTION("""COMPUTED_VALUE"""),25000)</f>
        <v>25000</v>
      </c>
      <c r="K534" s="46">
        <f ca="1">IFERROR(__xludf.DUMMYFUNCTION("""COMPUTED_VALUE"""),25000)</f>
        <v>25000</v>
      </c>
      <c r="L534" s="46">
        <f ca="1">IFERROR(__xludf.DUMMYFUNCTION("""COMPUTED_VALUE"""),0)</f>
        <v>0</v>
      </c>
      <c r="M534" s="47">
        <f ca="1">IFERROR(__xludf.DUMMYFUNCTION("""COMPUTED_VALUE"""),0)</f>
        <v>0</v>
      </c>
      <c r="N534" s="46">
        <f ca="1">IFERROR(__xludf.DUMMYFUNCTION("""COMPUTED_VALUE"""),0)</f>
        <v>0</v>
      </c>
      <c r="O534" s="46">
        <f ca="1">IFERROR(__xludf.DUMMYFUNCTION("""COMPUTED_VALUE"""),3750)</f>
        <v>3750</v>
      </c>
      <c r="P534" s="46">
        <f ca="1">IFERROR(__xludf.DUMMYFUNCTION("""COMPUTED_VALUE"""),3750)</f>
        <v>3750</v>
      </c>
      <c r="Q534" s="47">
        <f ca="1">IFERROR(__xludf.DUMMYFUNCTION("""COMPUTED_VALUE"""),0)</f>
        <v>0</v>
      </c>
      <c r="R534" s="24">
        <f ca="1">IFERROR(__xludf.DUMMYFUNCTION("""COMPUTED_VALUE"""),0)</f>
        <v>0</v>
      </c>
      <c r="S534" s="23">
        <f ca="1">IFERROR(__xludf.DUMMYFUNCTION("""COMPUTED_VALUE"""),0)</f>
        <v>0</v>
      </c>
      <c r="T534" s="48">
        <f ca="1">IFERROR(__xludf.DUMMYFUNCTION("""COMPUTED_VALUE"""),0)</f>
        <v>0</v>
      </c>
      <c r="U534" s="47">
        <f ca="1">IFERROR(__xludf.DUMMYFUNCTION("""COMPUTED_VALUE"""),0)</f>
        <v>0</v>
      </c>
      <c r="V534" s="47">
        <f ca="1">IFERROR(__xludf.DUMMYFUNCTION("""COMPUTED_VALUE"""),0)</f>
        <v>0</v>
      </c>
      <c r="W534" s="47">
        <f ca="1">IFERROR(__xludf.DUMMYFUNCTION("""COMPUTED_VALUE"""),0)</f>
        <v>0</v>
      </c>
      <c r="X534" s="47">
        <f ca="1">IFERROR(__xludf.DUMMYFUNCTION("""COMPUTED_VALUE"""),0)</f>
        <v>0</v>
      </c>
      <c r="Y534" s="44">
        <f ca="1">IFERROR(__xludf.DUMMYFUNCTION("""COMPUTED_VALUE"""),0)</f>
        <v>0</v>
      </c>
      <c r="Z534" s="44">
        <f ca="1">IFERROR(__xludf.DUMMYFUNCTION("""COMPUTED_VALUE"""),0)</f>
        <v>0</v>
      </c>
      <c r="AA534" s="44">
        <f ca="1">IFERROR(__xludf.DUMMYFUNCTION("""COMPUTED_VALUE"""),0)</f>
        <v>0</v>
      </c>
      <c r="AB534" s="44">
        <f ca="1">IFERROR(__xludf.DUMMYFUNCTION("""COMPUTED_VALUE"""),0)</f>
        <v>0</v>
      </c>
      <c r="AC534" s="47">
        <f ca="1">IFERROR(__xludf.DUMMYFUNCTION("""COMPUTED_VALUE"""),0)</f>
        <v>0</v>
      </c>
      <c r="AD534" s="49"/>
      <c r="AE534" s="27"/>
    </row>
    <row r="535" spans="1:31" ht="14.3">
      <c r="A535" s="42" t="str">
        <f ca="1">IFERROR(__xludf.DUMMYFUNCTION("""COMPUTED_VALUE"""),"21SDSCE01601")</f>
        <v>21SDSCE01601</v>
      </c>
      <c r="B535" s="43" t="str">
        <f ca="1">IFERROR(__xludf.DUMMYFUNCTION("""COMPUTED_VALUE"""),"ASHIM BHATTARAI")</f>
        <v>ASHIM BHATTARAI</v>
      </c>
      <c r="C535" s="42" t="str">
        <f ca="1">IFERROR(__xludf.DUMMYFUNCTION("""COMPUTED_VALUE"""),"SDS")</f>
        <v>SDS</v>
      </c>
      <c r="D535" s="42" t="str">
        <f ca="1">IFERROR(__xludf.DUMMYFUNCTION("""COMPUTED_VALUE"""),"DCE")</f>
        <v>DCE</v>
      </c>
      <c r="E535" s="44">
        <f ca="1">IFERROR(__xludf.DUMMYFUNCTION("""COMPUTED_VALUE"""),6)</f>
        <v>6</v>
      </c>
      <c r="F535" s="42" t="str">
        <f ca="1">IFERROR(__xludf.DUMMYFUNCTION("""COMPUTED_VALUE"""),"INTERNATIONAL")</f>
        <v>INTERNATIONAL</v>
      </c>
      <c r="G535" s="42" t="str">
        <f ca="1">IFERROR(__xludf.DUMMYFUNCTION("""COMPUTED_VALUE"""),"INR FEE STUDENT")</f>
        <v>INR FEE STUDENT</v>
      </c>
      <c r="H535" s="2" t="str">
        <f ca="1">IFERROR(__xludf.DUMMYFUNCTION("""COMPUTED_VALUE"""),"DCE_2021-24")</f>
        <v>DCE_2021-24</v>
      </c>
      <c r="I535" s="45"/>
      <c r="J535" s="46">
        <f ca="1">IFERROR(__xludf.DUMMYFUNCTION("""COMPUTED_VALUE"""),35000)</f>
        <v>35000</v>
      </c>
      <c r="K535" s="46">
        <f ca="1">IFERROR(__xludf.DUMMYFUNCTION("""COMPUTED_VALUE"""),0)</f>
        <v>0</v>
      </c>
      <c r="L535" s="46">
        <f ca="1">IFERROR(__xludf.DUMMYFUNCTION("""COMPUTED_VALUE"""),0)</f>
        <v>0</v>
      </c>
      <c r="M535" s="47">
        <f ca="1">IFERROR(__xludf.DUMMYFUNCTION("""COMPUTED_VALUE"""),0)</f>
        <v>0</v>
      </c>
      <c r="N535" s="46">
        <f ca="1">IFERROR(__xludf.DUMMYFUNCTION("""COMPUTED_VALUE"""),35000)</f>
        <v>35000</v>
      </c>
      <c r="O535" s="46">
        <f ca="1">IFERROR(__xludf.DUMMYFUNCTION("""COMPUTED_VALUE"""),1250)</f>
        <v>1250</v>
      </c>
      <c r="P535" s="46">
        <f ca="1">IFERROR(__xludf.DUMMYFUNCTION("""COMPUTED_VALUE"""),0)</f>
        <v>0</v>
      </c>
      <c r="Q535" s="47">
        <f ca="1">IFERROR(__xludf.DUMMYFUNCTION("""COMPUTED_VALUE"""),0)</f>
        <v>0</v>
      </c>
      <c r="R535" s="24">
        <f ca="1">IFERROR(__xludf.DUMMYFUNCTION("""COMPUTED_VALUE"""),0)</f>
        <v>0</v>
      </c>
      <c r="S535" s="23">
        <f ca="1">IFERROR(__xludf.DUMMYFUNCTION("""COMPUTED_VALUE"""),1250)</f>
        <v>1250</v>
      </c>
      <c r="T535" s="48">
        <f ca="1">IFERROR(__xludf.DUMMYFUNCTION("""COMPUTED_VALUE"""),0)</f>
        <v>0</v>
      </c>
      <c r="U535" s="47">
        <f ca="1">IFERROR(__xludf.DUMMYFUNCTION("""COMPUTED_VALUE"""),0)</f>
        <v>0</v>
      </c>
      <c r="V535" s="47">
        <f ca="1">IFERROR(__xludf.DUMMYFUNCTION("""COMPUTED_VALUE"""),0)</f>
        <v>0</v>
      </c>
      <c r="W535" s="47">
        <f ca="1">IFERROR(__xludf.DUMMYFUNCTION("""COMPUTED_VALUE"""),0)</f>
        <v>0</v>
      </c>
      <c r="X535" s="47">
        <f ca="1">IFERROR(__xludf.DUMMYFUNCTION("""COMPUTED_VALUE"""),0)</f>
        <v>0</v>
      </c>
      <c r="Y535" s="44">
        <f ca="1">IFERROR(__xludf.DUMMYFUNCTION("""COMPUTED_VALUE"""),0)</f>
        <v>0</v>
      </c>
      <c r="Z535" s="44">
        <f ca="1">IFERROR(__xludf.DUMMYFUNCTION("""COMPUTED_VALUE"""),0)</f>
        <v>0</v>
      </c>
      <c r="AA535" s="44">
        <f ca="1">IFERROR(__xludf.DUMMYFUNCTION("""COMPUTED_VALUE"""),0)</f>
        <v>0</v>
      </c>
      <c r="AB535" s="44">
        <f ca="1">IFERROR(__xludf.DUMMYFUNCTION("""COMPUTED_VALUE"""),0)</f>
        <v>0</v>
      </c>
      <c r="AC535" s="47">
        <f ca="1">IFERROR(__xludf.DUMMYFUNCTION("""COMPUTED_VALUE"""),0)</f>
        <v>0</v>
      </c>
      <c r="AD535" s="49"/>
      <c r="AE535" s="27"/>
    </row>
    <row r="536" spans="1:31" ht="14.3">
      <c r="A536" s="42" t="str">
        <f ca="1">IFERROR(__xludf.DUMMYFUNCTION("""COMPUTED_VALUE"""),"21SDSCE01602")</f>
        <v>21SDSCE01602</v>
      </c>
      <c r="B536" s="43" t="str">
        <f ca="1">IFERROR(__xludf.DUMMYFUNCTION("""COMPUTED_VALUE"""),"AMARJIT BHUJ")</f>
        <v>AMARJIT BHUJ</v>
      </c>
      <c r="C536" s="42" t="str">
        <f ca="1">IFERROR(__xludf.DUMMYFUNCTION("""COMPUTED_VALUE"""),"SDS")</f>
        <v>SDS</v>
      </c>
      <c r="D536" s="42" t="str">
        <f ca="1">IFERROR(__xludf.DUMMYFUNCTION("""COMPUTED_VALUE"""),"DCE")</f>
        <v>DCE</v>
      </c>
      <c r="E536" s="44">
        <f ca="1">IFERROR(__xludf.DUMMYFUNCTION("""COMPUTED_VALUE"""),6)</f>
        <v>6</v>
      </c>
      <c r="F536" s="42" t="str">
        <f ca="1">IFERROR(__xludf.DUMMYFUNCTION("""COMPUTED_VALUE"""),"INTERNATIONAL")</f>
        <v>INTERNATIONAL</v>
      </c>
      <c r="G536" s="42" t="str">
        <f ca="1">IFERROR(__xludf.DUMMYFUNCTION("""COMPUTED_VALUE"""),"INR FEE STUDENT")</f>
        <v>INR FEE STUDENT</v>
      </c>
      <c r="H536" s="2" t="str">
        <f ca="1">IFERROR(__xludf.DUMMYFUNCTION("""COMPUTED_VALUE"""),"DCE_2021-24")</f>
        <v>DCE_2021-24</v>
      </c>
      <c r="I536" s="45"/>
      <c r="J536" s="46">
        <f ca="1">IFERROR(__xludf.DUMMYFUNCTION("""COMPUTED_VALUE"""),35000)</f>
        <v>35000</v>
      </c>
      <c r="K536" s="46">
        <f ca="1">IFERROR(__xludf.DUMMYFUNCTION("""COMPUTED_VALUE"""),35000)</f>
        <v>35000</v>
      </c>
      <c r="L536" s="46">
        <f ca="1">IFERROR(__xludf.DUMMYFUNCTION("""COMPUTED_VALUE"""),0)</f>
        <v>0</v>
      </c>
      <c r="M536" s="47">
        <f ca="1">IFERROR(__xludf.DUMMYFUNCTION("""COMPUTED_VALUE"""),0)</f>
        <v>0</v>
      </c>
      <c r="N536" s="46">
        <f ca="1">IFERROR(__xludf.DUMMYFUNCTION("""COMPUTED_VALUE"""),0)</f>
        <v>0</v>
      </c>
      <c r="O536" s="46">
        <f ca="1">IFERROR(__xludf.DUMMYFUNCTION("""COMPUTED_VALUE"""),1250)</f>
        <v>1250</v>
      </c>
      <c r="P536" s="46">
        <f ca="1">IFERROR(__xludf.DUMMYFUNCTION("""COMPUTED_VALUE"""),0)</f>
        <v>0</v>
      </c>
      <c r="Q536" s="47">
        <f ca="1">IFERROR(__xludf.DUMMYFUNCTION("""COMPUTED_VALUE"""),0)</f>
        <v>0</v>
      </c>
      <c r="R536" s="24">
        <f ca="1">IFERROR(__xludf.DUMMYFUNCTION("""COMPUTED_VALUE"""),0)</f>
        <v>0</v>
      </c>
      <c r="S536" s="23">
        <f ca="1">IFERROR(__xludf.DUMMYFUNCTION("""COMPUTED_VALUE"""),1250)</f>
        <v>1250</v>
      </c>
      <c r="T536" s="48">
        <f ca="1">IFERROR(__xludf.DUMMYFUNCTION("""COMPUTED_VALUE"""),0)</f>
        <v>0</v>
      </c>
      <c r="U536" s="47">
        <f ca="1">IFERROR(__xludf.DUMMYFUNCTION("""COMPUTED_VALUE"""),0)</f>
        <v>0</v>
      </c>
      <c r="V536" s="47">
        <f ca="1">IFERROR(__xludf.DUMMYFUNCTION("""COMPUTED_VALUE"""),0)</f>
        <v>0</v>
      </c>
      <c r="W536" s="47">
        <f ca="1">IFERROR(__xludf.DUMMYFUNCTION("""COMPUTED_VALUE"""),0)</f>
        <v>0</v>
      </c>
      <c r="X536" s="47">
        <f ca="1">IFERROR(__xludf.DUMMYFUNCTION("""COMPUTED_VALUE"""),0)</f>
        <v>0</v>
      </c>
      <c r="Y536" s="44">
        <f ca="1">IFERROR(__xludf.DUMMYFUNCTION("""COMPUTED_VALUE"""),0)</f>
        <v>0</v>
      </c>
      <c r="Z536" s="44">
        <f ca="1">IFERROR(__xludf.DUMMYFUNCTION("""COMPUTED_VALUE"""),0)</f>
        <v>0</v>
      </c>
      <c r="AA536" s="44">
        <f ca="1">IFERROR(__xludf.DUMMYFUNCTION("""COMPUTED_VALUE"""),0)</f>
        <v>0</v>
      </c>
      <c r="AB536" s="44">
        <f ca="1">IFERROR(__xludf.DUMMYFUNCTION("""COMPUTED_VALUE"""),0)</f>
        <v>0</v>
      </c>
      <c r="AC536" s="47">
        <f ca="1">IFERROR(__xludf.DUMMYFUNCTION("""COMPUTED_VALUE"""),0)</f>
        <v>0</v>
      </c>
      <c r="AD536" s="49"/>
      <c r="AE536" s="27"/>
    </row>
    <row r="537" spans="1:31" ht="14.3">
      <c r="A537" s="42" t="str">
        <f ca="1">IFERROR(__xludf.DUMMYFUNCTION("""COMPUTED_VALUE"""),"21SDSCE01603")</f>
        <v>21SDSCE01603</v>
      </c>
      <c r="B537" s="43" t="str">
        <f ca="1">IFERROR(__xludf.DUMMYFUNCTION("""COMPUTED_VALUE"""),"ABHAY KUMAR GUPTA")</f>
        <v>ABHAY KUMAR GUPTA</v>
      </c>
      <c r="C537" s="42" t="str">
        <f ca="1">IFERROR(__xludf.DUMMYFUNCTION("""COMPUTED_VALUE"""),"SDS")</f>
        <v>SDS</v>
      </c>
      <c r="D537" s="42" t="str">
        <f ca="1">IFERROR(__xludf.DUMMYFUNCTION("""COMPUTED_VALUE"""),"DCE")</f>
        <v>DCE</v>
      </c>
      <c r="E537" s="44">
        <f ca="1">IFERROR(__xludf.DUMMYFUNCTION("""COMPUTED_VALUE"""),6)</f>
        <v>6</v>
      </c>
      <c r="F537" s="42" t="str">
        <f ca="1">IFERROR(__xludf.DUMMYFUNCTION("""COMPUTED_VALUE"""),"INTERNATIONAL")</f>
        <v>INTERNATIONAL</v>
      </c>
      <c r="G537" s="42" t="str">
        <f ca="1">IFERROR(__xludf.DUMMYFUNCTION("""COMPUTED_VALUE"""),"INR FEE STUDENT")</f>
        <v>INR FEE STUDENT</v>
      </c>
      <c r="H537" s="2" t="str">
        <f ca="1">IFERROR(__xludf.DUMMYFUNCTION("""COMPUTED_VALUE"""),"DCE_2021-24")</f>
        <v>DCE_2021-24</v>
      </c>
      <c r="I537" s="45"/>
      <c r="J537" s="46">
        <f ca="1">IFERROR(__xludf.DUMMYFUNCTION("""COMPUTED_VALUE"""),35000)</f>
        <v>35000</v>
      </c>
      <c r="K537" s="46">
        <f ca="1">IFERROR(__xludf.DUMMYFUNCTION("""COMPUTED_VALUE"""),0)</f>
        <v>0</v>
      </c>
      <c r="L537" s="46">
        <f ca="1">IFERROR(__xludf.DUMMYFUNCTION("""COMPUTED_VALUE"""),0)</f>
        <v>0</v>
      </c>
      <c r="M537" s="47">
        <f ca="1">IFERROR(__xludf.DUMMYFUNCTION("""COMPUTED_VALUE"""),0)</f>
        <v>0</v>
      </c>
      <c r="N537" s="46">
        <f ca="1">IFERROR(__xludf.DUMMYFUNCTION("""COMPUTED_VALUE"""),35000)</f>
        <v>35000</v>
      </c>
      <c r="O537" s="46">
        <f ca="1">IFERROR(__xludf.DUMMYFUNCTION("""COMPUTED_VALUE"""),1250)</f>
        <v>1250</v>
      </c>
      <c r="P537" s="46">
        <f ca="1">IFERROR(__xludf.DUMMYFUNCTION("""COMPUTED_VALUE"""),0)</f>
        <v>0</v>
      </c>
      <c r="Q537" s="47">
        <f ca="1">IFERROR(__xludf.DUMMYFUNCTION("""COMPUTED_VALUE"""),0)</f>
        <v>0</v>
      </c>
      <c r="R537" s="24">
        <f ca="1">IFERROR(__xludf.DUMMYFUNCTION("""COMPUTED_VALUE"""),0)</f>
        <v>0</v>
      </c>
      <c r="S537" s="23">
        <f ca="1">IFERROR(__xludf.DUMMYFUNCTION("""COMPUTED_VALUE"""),1250)</f>
        <v>1250</v>
      </c>
      <c r="T537" s="48">
        <f ca="1">IFERROR(__xludf.DUMMYFUNCTION("""COMPUTED_VALUE"""),0)</f>
        <v>0</v>
      </c>
      <c r="U537" s="47">
        <f ca="1">IFERROR(__xludf.DUMMYFUNCTION("""COMPUTED_VALUE"""),0)</f>
        <v>0</v>
      </c>
      <c r="V537" s="47">
        <f ca="1">IFERROR(__xludf.DUMMYFUNCTION("""COMPUTED_VALUE"""),0)</f>
        <v>0</v>
      </c>
      <c r="W537" s="47">
        <f ca="1">IFERROR(__xludf.DUMMYFUNCTION("""COMPUTED_VALUE"""),0)</f>
        <v>0</v>
      </c>
      <c r="X537" s="47">
        <f ca="1">IFERROR(__xludf.DUMMYFUNCTION("""COMPUTED_VALUE"""),0)</f>
        <v>0</v>
      </c>
      <c r="Y537" s="44">
        <f ca="1">IFERROR(__xludf.DUMMYFUNCTION("""COMPUTED_VALUE"""),0)</f>
        <v>0</v>
      </c>
      <c r="Z537" s="44">
        <f ca="1">IFERROR(__xludf.DUMMYFUNCTION("""COMPUTED_VALUE"""),0)</f>
        <v>0</v>
      </c>
      <c r="AA537" s="44">
        <f ca="1">IFERROR(__xludf.DUMMYFUNCTION("""COMPUTED_VALUE"""),0)</f>
        <v>0</v>
      </c>
      <c r="AB537" s="44">
        <f ca="1">IFERROR(__xludf.DUMMYFUNCTION("""COMPUTED_VALUE"""),0)</f>
        <v>0</v>
      </c>
      <c r="AC537" s="47">
        <f ca="1">IFERROR(__xludf.DUMMYFUNCTION("""COMPUTED_VALUE"""),0)</f>
        <v>0</v>
      </c>
      <c r="AD537" s="49"/>
      <c r="AE537" s="27"/>
    </row>
    <row r="538" spans="1:31" ht="14.3">
      <c r="A538" s="42" t="str">
        <f ca="1">IFERROR(__xludf.DUMMYFUNCTION("""COMPUTED_VALUE"""),"21SDSCE01604")</f>
        <v>21SDSCE01604</v>
      </c>
      <c r="B538" s="43" t="str">
        <f ca="1">IFERROR(__xludf.DUMMYFUNCTION("""COMPUTED_VALUE"""),"KRISHNU GUPTA")</f>
        <v>KRISHNU GUPTA</v>
      </c>
      <c r="C538" s="42" t="str">
        <f ca="1">IFERROR(__xludf.DUMMYFUNCTION("""COMPUTED_VALUE"""),"SDS")</f>
        <v>SDS</v>
      </c>
      <c r="D538" s="42" t="str">
        <f ca="1">IFERROR(__xludf.DUMMYFUNCTION("""COMPUTED_VALUE"""),"DCE")</f>
        <v>DCE</v>
      </c>
      <c r="E538" s="44">
        <f ca="1">IFERROR(__xludf.DUMMYFUNCTION("""COMPUTED_VALUE"""),6)</f>
        <v>6</v>
      </c>
      <c r="F538" s="42" t="str">
        <f ca="1">IFERROR(__xludf.DUMMYFUNCTION("""COMPUTED_VALUE"""),"INTERNATIONAL")</f>
        <v>INTERNATIONAL</v>
      </c>
      <c r="G538" s="42" t="str">
        <f ca="1">IFERROR(__xludf.DUMMYFUNCTION("""COMPUTED_VALUE"""),"INR FEE STUDENT")</f>
        <v>INR FEE STUDENT</v>
      </c>
      <c r="H538" s="2" t="str">
        <f ca="1">IFERROR(__xludf.DUMMYFUNCTION("""COMPUTED_VALUE"""),"DCE_2021-24")</f>
        <v>DCE_2021-24</v>
      </c>
      <c r="I538" s="45"/>
      <c r="J538" s="46">
        <f ca="1">IFERROR(__xludf.DUMMYFUNCTION("""COMPUTED_VALUE"""),35000)</f>
        <v>35000</v>
      </c>
      <c r="K538" s="46">
        <f ca="1">IFERROR(__xludf.DUMMYFUNCTION("""COMPUTED_VALUE"""),35000)</f>
        <v>35000</v>
      </c>
      <c r="L538" s="46">
        <f ca="1">IFERROR(__xludf.DUMMYFUNCTION("""COMPUTED_VALUE"""),0)</f>
        <v>0</v>
      </c>
      <c r="M538" s="47">
        <f ca="1">IFERROR(__xludf.DUMMYFUNCTION("""COMPUTED_VALUE"""),0)</f>
        <v>0</v>
      </c>
      <c r="N538" s="46">
        <f ca="1">IFERROR(__xludf.DUMMYFUNCTION("""COMPUTED_VALUE"""),0)</f>
        <v>0</v>
      </c>
      <c r="O538" s="46">
        <f ca="1">IFERROR(__xludf.DUMMYFUNCTION("""COMPUTED_VALUE"""),1250)</f>
        <v>1250</v>
      </c>
      <c r="P538" s="46">
        <f ca="1">IFERROR(__xludf.DUMMYFUNCTION("""COMPUTED_VALUE"""),1250)</f>
        <v>1250</v>
      </c>
      <c r="Q538" s="47">
        <f ca="1">IFERROR(__xludf.DUMMYFUNCTION("""COMPUTED_VALUE"""),0)</f>
        <v>0</v>
      </c>
      <c r="R538" s="24">
        <f ca="1">IFERROR(__xludf.DUMMYFUNCTION("""COMPUTED_VALUE"""),0)</f>
        <v>0</v>
      </c>
      <c r="S538" s="23">
        <f ca="1">IFERROR(__xludf.DUMMYFUNCTION("""COMPUTED_VALUE"""),0)</f>
        <v>0</v>
      </c>
      <c r="T538" s="48">
        <f ca="1">IFERROR(__xludf.DUMMYFUNCTION("""COMPUTED_VALUE"""),0)</f>
        <v>0</v>
      </c>
      <c r="U538" s="47">
        <f ca="1">IFERROR(__xludf.DUMMYFUNCTION("""COMPUTED_VALUE"""),0)</f>
        <v>0</v>
      </c>
      <c r="V538" s="47">
        <f ca="1">IFERROR(__xludf.DUMMYFUNCTION("""COMPUTED_VALUE"""),0)</f>
        <v>0</v>
      </c>
      <c r="W538" s="47">
        <f ca="1">IFERROR(__xludf.DUMMYFUNCTION("""COMPUTED_VALUE"""),0)</f>
        <v>0</v>
      </c>
      <c r="X538" s="47">
        <f ca="1">IFERROR(__xludf.DUMMYFUNCTION("""COMPUTED_VALUE"""),0)</f>
        <v>0</v>
      </c>
      <c r="Y538" s="44">
        <f ca="1">IFERROR(__xludf.DUMMYFUNCTION("""COMPUTED_VALUE"""),0)</f>
        <v>0</v>
      </c>
      <c r="Z538" s="44">
        <f ca="1">IFERROR(__xludf.DUMMYFUNCTION("""COMPUTED_VALUE"""),0)</f>
        <v>0</v>
      </c>
      <c r="AA538" s="44">
        <f ca="1">IFERROR(__xludf.DUMMYFUNCTION("""COMPUTED_VALUE"""),0)</f>
        <v>0</v>
      </c>
      <c r="AB538" s="44">
        <f ca="1">IFERROR(__xludf.DUMMYFUNCTION("""COMPUTED_VALUE"""),0)</f>
        <v>0</v>
      </c>
      <c r="AC538" s="47">
        <f ca="1">IFERROR(__xludf.DUMMYFUNCTION("""COMPUTED_VALUE"""),0)</f>
        <v>0</v>
      </c>
      <c r="AD538" s="49"/>
      <c r="AE538" s="27"/>
    </row>
    <row r="539" spans="1:31" ht="14.3">
      <c r="A539" s="42" t="str">
        <f ca="1">IFERROR(__xludf.DUMMYFUNCTION("""COMPUTED_VALUE"""),"21SDSCE01605")</f>
        <v>21SDSCE01605</v>
      </c>
      <c r="B539" s="43" t="str">
        <f ca="1">IFERROR(__xludf.DUMMYFUNCTION("""COMPUTED_VALUE"""),"MOHAMMAD AMJAD HUSAIN")</f>
        <v>MOHAMMAD AMJAD HUSAIN</v>
      </c>
      <c r="C539" s="42" t="str">
        <f ca="1">IFERROR(__xludf.DUMMYFUNCTION("""COMPUTED_VALUE"""),"SDS")</f>
        <v>SDS</v>
      </c>
      <c r="D539" s="42" t="str">
        <f ca="1">IFERROR(__xludf.DUMMYFUNCTION("""COMPUTED_VALUE"""),"DCE")</f>
        <v>DCE</v>
      </c>
      <c r="E539" s="44">
        <f ca="1">IFERROR(__xludf.DUMMYFUNCTION("""COMPUTED_VALUE"""),6)</f>
        <v>6</v>
      </c>
      <c r="F539" s="42" t="str">
        <f ca="1">IFERROR(__xludf.DUMMYFUNCTION("""COMPUTED_VALUE"""),"INTERNATIONAL")</f>
        <v>INTERNATIONAL</v>
      </c>
      <c r="G539" s="42" t="str">
        <f ca="1">IFERROR(__xludf.DUMMYFUNCTION("""COMPUTED_VALUE"""),"INR FEE STUDENT")</f>
        <v>INR FEE STUDENT</v>
      </c>
      <c r="H539" s="2" t="str">
        <f ca="1">IFERROR(__xludf.DUMMYFUNCTION("""COMPUTED_VALUE"""),"DCE_2021-24")</f>
        <v>DCE_2021-24</v>
      </c>
      <c r="I539" s="45"/>
      <c r="J539" s="46">
        <f ca="1">IFERROR(__xludf.DUMMYFUNCTION("""COMPUTED_VALUE"""),35000)</f>
        <v>35000</v>
      </c>
      <c r="K539" s="46">
        <f ca="1">IFERROR(__xludf.DUMMYFUNCTION("""COMPUTED_VALUE"""),30000)</f>
        <v>30000</v>
      </c>
      <c r="L539" s="46">
        <f ca="1">IFERROR(__xludf.DUMMYFUNCTION("""COMPUTED_VALUE"""),0)</f>
        <v>0</v>
      </c>
      <c r="M539" s="47">
        <f ca="1">IFERROR(__xludf.DUMMYFUNCTION("""COMPUTED_VALUE"""),0)</f>
        <v>0</v>
      </c>
      <c r="N539" s="46">
        <f ca="1">IFERROR(__xludf.DUMMYFUNCTION("""COMPUTED_VALUE"""),5000)</f>
        <v>5000</v>
      </c>
      <c r="O539" s="46">
        <f ca="1">IFERROR(__xludf.DUMMYFUNCTION("""COMPUTED_VALUE"""),1250)</f>
        <v>1250</v>
      </c>
      <c r="P539" s="46">
        <f ca="1">IFERROR(__xludf.DUMMYFUNCTION("""COMPUTED_VALUE"""),0)</f>
        <v>0</v>
      </c>
      <c r="Q539" s="47">
        <f ca="1">IFERROR(__xludf.DUMMYFUNCTION("""COMPUTED_VALUE"""),0)</f>
        <v>0</v>
      </c>
      <c r="R539" s="24">
        <f ca="1">IFERROR(__xludf.DUMMYFUNCTION("""COMPUTED_VALUE"""),0)</f>
        <v>0</v>
      </c>
      <c r="S539" s="23">
        <f ca="1">IFERROR(__xludf.DUMMYFUNCTION("""COMPUTED_VALUE"""),1250)</f>
        <v>1250</v>
      </c>
      <c r="T539" s="48">
        <f ca="1">IFERROR(__xludf.DUMMYFUNCTION("""COMPUTED_VALUE"""),0)</f>
        <v>0</v>
      </c>
      <c r="U539" s="47">
        <f ca="1">IFERROR(__xludf.DUMMYFUNCTION("""COMPUTED_VALUE"""),0)</f>
        <v>0</v>
      </c>
      <c r="V539" s="47">
        <f ca="1">IFERROR(__xludf.DUMMYFUNCTION("""COMPUTED_VALUE"""),0)</f>
        <v>0</v>
      </c>
      <c r="W539" s="47">
        <f ca="1">IFERROR(__xludf.DUMMYFUNCTION("""COMPUTED_VALUE"""),0)</f>
        <v>0</v>
      </c>
      <c r="X539" s="47">
        <f ca="1">IFERROR(__xludf.DUMMYFUNCTION("""COMPUTED_VALUE"""),0)</f>
        <v>0</v>
      </c>
      <c r="Y539" s="44">
        <f ca="1">IFERROR(__xludf.DUMMYFUNCTION("""COMPUTED_VALUE"""),0)</f>
        <v>0</v>
      </c>
      <c r="Z539" s="44">
        <f ca="1">IFERROR(__xludf.DUMMYFUNCTION("""COMPUTED_VALUE"""),0)</f>
        <v>0</v>
      </c>
      <c r="AA539" s="44">
        <f ca="1">IFERROR(__xludf.DUMMYFUNCTION("""COMPUTED_VALUE"""),0)</f>
        <v>0</v>
      </c>
      <c r="AB539" s="44">
        <f ca="1">IFERROR(__xludf.DUMMYFUNCTION("""COMPUTED_VALUE"""),0)</f>
        <v>0</v>
      </c>
      <c r="AC539" s="47">
        <f ca="1">IFERROR(__xludf.DUMMYFUNCTION("""COMPUTED_VALUE"""),0)</f>
        <v>0</v>
      </c>
      <c r="AD539" s="49"/>
      <c r="AE539" s="27"/>
    </row>
    <row r="540" spans="1:31" ht="14.3">
      <c r="A540" s="42" t="str">
        <f ca="1">IFERROR(__xludf.DUMMYFUNCTION("""COMPUTED_VALUE"""),"21SDSCE01606")</f>
        <v>21SDSCE01606</v>
      </c>
      <c r="B540" s="43" t="str">
        <f ca="1">IFERROR(__xludf.DUMMYFUNCTION("""COMPUTED_VALUE"""),"RAJIV KUMAR MAHATO")</f>
        <v>RAJIV KUMAR MAHATO</v>
      </c>
      <c r="C540" s="42" t="str">
        <f ca="1">IFERROR(__xludf.DUMMYFUNCTION("""COMPUTED_VALUE"""),"SDS")</f>
        <v>SDS</v>
      </c>
      <c r="D540" s="42" t="str">
        <f ca="1">IFERROR(__xludf.DUMMYFUNCTION("""COMPUTED_VALUE"""),"DCE")</f>
        <v>DCE</v>
      </c>
      <c r="E540" s="44">
        <f ca="1">IFERROR(__xludf.DUMMYFUNCTION("""COMPUTED_VALUE"""),6)</f>
        <v>6</v>
      </c>
      <c r="F540" s="42" t="str">
        <f ca="1">IFERROR(__xludf.DUMMYFUNCTION("""COMPUTED_VALUE"""),"INTERNATIONAL")</f>
        <v>INTERNATIONAL</v>
      </c>
      <c r="G540" s="42" t="str">
        <f ca="1">IFERROR(__xludf.DUMMYFUNCTION("""COMPUTED_VALUE"""),"INR FEE STUDENT")</f>
        <v>INR FEE STUDENT</v>
      </c>
      <c r="H540" s="2" t="str">
        <f ca="1">IFERROR(__xludf.DUMMYFUNCTION("""COMPUTED_VALUE"""),"DCE_2021-24")</f>
        <v>DCE_2021-24</v>
      </c>
      <c r="I540" s="45"/>
      <c r="J540" s="46">
        <f ca="1">IFERROR(__xludf.DUMMYFUNCTION("""COMPUTED_VALUE"""),35000)</f>
        <v>35000</v>
      </c>
      <c r="K540" s="46">
        <f ca="1">IFERROR(__xludf.DUMMYFUNCTION("""COMPUTED_VALUE"""),35000)</f>
        <v>35000</v>
      </c>
      <c r="L540" s="46">
        <f ca="1">IFERROR(__xludf.DUMMYFUNCTION("""COMPUTED_VALUE"""),0)</f>
        <v>0</v>
      </c>
      <c r="M540" s="47">
        <f ca="1">IFERROR(__xludf.DUMMYFUNCTION("""COMPUTED_VALUE"""),0)</f>
        <v>0</v>
      </c>
      <c r="N540" s="46">
        <f ca="1">IFERROR(__xludf.DUMMYFUNCTION("""COMPUTED_VALUE"""),0)</f>
        <v>0</v>
      </c>
      <c r="O540" s="46">
        <f ca="1">IFERROR(__xludf.DUMMYFUNCTION("""COMPUTED_VALUE"""),1250)</f>
        <v>1250</v>
      </c>
      <c r="P540" s="46">
        <f ca="1">IFERROR(__xludf.DUMMYFUNCTION("""COMPUTED_VALUE"""),1250)</f>
        <v>1250</v>
      </c>
      <c r="Q540" s="47">
        <f ca="1">IFERROR(__xludf.DUMMYFUNCTION("""COMPUTED_VALUE"""),0)</f>
        <v>0</v>
      </c>
      <c r="R540" s="24">
        <f ca="1">IFERROR(__xludf.DUMMYFUNCTION("""COMPUTED_VALUE"""),0)</f>
        <v>0</v>
      </c>
      <c r="S540" s="23">
        <f ca="1">IFERROR(__xludf.DUMMYFUNCTION("""COMPUTED_VALUE"""),0)</f>
        <v>0</v>
      </c>
      <c r="T540" s="48">
        <f ca="1">IFERROR(__xludf.DUMMYFUNCTION("""COMPUTED_VALUE"""),0)</f>
        <v>0</v>
      </c>
      <c r="U540" s="47">
        <f ca="1">IFERROR(__xludf.DUMMYFUNCTION("""COMPUTED_VALUE"""),0)</f>
        <v>0</v>
      </c>
      <c r="V540" s="47">
        <f ca="1">IFERROR(__xludf.DUMMYFUNCTION("""COMPUTED_VALUE"""),0)</f>
        <v>0</v>
      </c>
      <c r="W540" s="47">
        <f ca="1">IFERROR(__xludf.DUMMYFUNCTION("""COMPUTED_VALUE"""),0)</f>
        <v>0</v>
      </c>
      <c r="X540" s="47">
        <f ca="1">IFERROR(__xludf.DUMMYFUNCTION("""COMPUTED_VALUE"""),0)</f>
        <v>0</v>
      </c>
      <c r="Y540" s="44">
        <f ca="1">IFERROR(__xludf.DUMMYFUNCTION("""COMPUTED_VALUE"""),0)</f>
        <v>0</v>
      </c>
      <c r="Z540" s="44">
        <f ca="1">IFERROR(__xludf.DUMMYFUNCTION("""COMPUTED_VALUE"""),0)</f>
        <v>0</v>
      </c>
      <c r="AA540" s="44">
        <f ca="1">IFERROR(__xludf.DUMMYFUNCTION("""COMPUTED_VALUE"""),0)</f>
        <v>0</v>
      </c>
      <c r="AB540" s="44">
        <f ca="1">IFERROR(__xludf.DUMMYFUNCTION("""COMPUTED_VALUE"""),0)</f>
        <v>0</v>
      </c>
      <c r="AC540" s="47">
        <f ca="1">IFERROR(__xludf.DUMMYFUNCTION("""COMPUTED_VALUE"""),0)</f>
        <v>0</v>
      </c>
      <c r="AD540" s="49"/>
      <c r="AE540" s="27"/>
    </row>
    <row r="541" spans="1:31" ht="14.3">
      <c r="A541" s="42" t="str">
        <f ca="1">IFERROR(__xludf.DUMMYFUNCTION("""COMPUTED_VALUE"""),"21SDSCE01608")</f>
        <v>21SDSCE01608</v>
      </c>
      <c r="B541" s="43" t="str">
        <f ca="1">IFERROR(__xludf.DUMMYFUNCTION("""COMPUTED_VALUE"""),"MUGLEAZAM MIYA")</f>
        <v>MUGLEAZAM MIYA</v>
      </c>
      <c r="C541" s="42" t="str">
        <f ca="1">IFERROR(__xludf.DUMMYFUNCTION("""COMPUTED_VALUE"""),"SDS")</f>
        <v>SDS</v>
      </c>
      <c r="D541" s="42" t="str">
        <f ca="1">IFERROR(__xludf.DUMMYFUNCTION("""COMPUTED_VALUE"""),"DCE")</f>
        <v>DCE</v>
      </c>
      <c r="E541" s="44">
        <f ca="1">IFERROR(__xludf.DUMMYFUNCTION("""COMPUTED_VALUE"""),6)</f>
        <v>6</v>
      </c>
      <c r="F541" s="42" t="str">
        <f ca="1">IFERROR(__xludf.DUMMYFUNCTION("""COMPUTED_VALUE"""),"INTERNATIONAL")</f>
        <v>INTERNATIONAL</v>
      </c>
      <c r="G541" s="42" t="str">
        <f ca="1">IFERROR(__xludf.DUMMYFUNCTION("""COMPUTED_VALUE"""),"INR FEE STUDENT")</f>
        <v>INR FEE STUDENT</v>
      </c>
      <c r="H541" s="2" t="str">
        <f ca="1">IFERROR(__xludf.DUMMYFUNCTION("""COMPUTED_VALUE"""),"DCE_2021-24")</f>
        <v>DCE_2021-24</v>
      </c>
      <c r="I541" s="45"/>
      <c r="J541" s="46">
        <f ca="1">IFERROR(__xludf.DUMMYFUNCTION("""COMPUTED_VALUE"""),35000)</f>
        <v>35000</v>
      </c>
      <c r="K541" s="46">
        <f ca="1">IFERROR(__xludf.DUMMYFUNCTION("""COMPUTED_VALUE"""),0)</f>
        <v>0</v>
      </c>
      <c r="L541" s="46">
        <f ca="1">IFERROR(__xludf.DUMMYFUNCTION("""COMPUTED_VALUE"""),0)</f>
        <v>0</v>
      </c>
      <c r="M541" s="47">
        <f ca="1">IFERROR(__xludf.DUMMYFUNCTION("""COMPUTED_VALUE"""),0)</f>
        <v>0</v>
      </c>
      <c r="N541" s="46">
        <f ca="1">IFERROR(__xludf.DUMMYFUNCTION("""COMPUTED_VALUE"""),35000)</f>
        <v>35000</v>
      </c>
      <c r="O541" s="46">
        <f ca="1">IFERROR(__xludf.DUMMYFUNCTION("""COMPUTED_VALUE"""),1250)</f>
        <v>1250</v>
      </c>
      <c r="P541" s="46">
        <f ca="1">IFERROR(__xludf.DUMMYFUNCTION("""COMPUTED_VALUE"""),0)</f>
        <v>0</v>
      </c>
      <c r="Q541" s="47">
        <f ca="1">IFERROR(__xludf.DUMMYFUNCTION("""COMPUTED_VALUE"""),0)</f>
        <v>0</v>
      </c>
      <c r="R541" s="24">
        <f ca="1">IFERROR(__xludf.DUMMYFUNCTION("""COMPUTED_VALUE"""),0)</f>
        <v>0</v>
      </c>
      <c r="S541" s="23">
        <f ca="1">IFERROR(__xludf.DUMMYFUNCTION("""COMPUTED_VALUE"""),1250)</f>
        <v>1250</v>
      </c>
      <c r="T541" s="48">
        <f ca="1">IFERROR(__xludf.DUMMYFUNCTION("""COMPUTED_VALUE"""),0)</f>
        <v>0</v>
      </c>
      <c r="U541" s="47">
        <f ca="1">IFERROR(__xludf.DUMMYFUNCTION("""COMPUTED_VALUE"""),0)</f>
        <v>0</v>
      </c>
      <c r="V541" s="47">
        <f ca="1">IFERROR(__xludf.DUMMYFUNCTION("""COMPUTED_VALUE"""),0)</f>
        <v>0</v>
      </c>
      <c r="W541" s="47">
        <f ca="1">IFERROR(__xludf.DUMMYFUNCTION("""COMPUTED_VALUE"""),0)</f>
        <v>0</v>
      </c>
      <c r="X541" s="47">
        <f ca="1">IFERROR(__xludf.DUMMYFUNCTION("""COMPUTED_VALUE"""),0)</f>
        <v>0</v>
      </c>
      <c r="Y541" s="44">
        <f ca="1">IFERROR(__xludf.DUMMYFUNCTION("""COMPUTED_VALUE"""),0)</f>
        <v>0</v>
      </c>
      <c r="Z541" s="44">
        <f ca="1">IFERROR(__xludf.DUMMYFUNCTION("""COMPUTED_VALUE"""),0)</f>
        <v>0</v>
      </c>
      <c r="AA541" s="44">
        <f ca="1">IFERROR(__xludf.DUMMYFUNCTION("""COMPUTED_VALUE"""),0)</f>
        <v>0</v>
      </c>
      <c r="AB541" s="44">
        <f ca="1">IFERROR(__xludf.DUMMYFUNCTION("""COMPUTED_VALUE"""),0)</f>
        <v>0</v>
      </c>
      <c r="AC541" s="47">
        <f ca="1">IFERROR(__xludf.DUMMYFUNCTION("""COMPUTED_VALUE"""),0)</f>
        <v>0</v>
      </c>
      <c r="AD541" s="49"/>
      <c r="AE541" s="27"/>
    </row>
    <row r="542" spans="1:31" ht="14.3">
      <c r="A542" s="42" t="str">
        <f ca="1">IFERROR(__xludf.DUMMYFUNCTION("""COMPUTED_VALUE"""),"21SDSCE01611")</f>
        <v>21SDSCE01611</v>
      </c>
      <c r="B542" s="43" t="str">
        <f ca="1">IFERROR(__xludf.DUMMYFUNCTION("""COMPUTED_VALUE"""),"JUMA KHALID MYAULE")</f>
        <v>JUMA KHALID MYAULE</v>
      </c>
      <c r="C542" s="42" t="str">
        <f ca="1">IFERROR(__xludf.DUMMYFUNCTION("""COMPUTED_VALUE"""),"SDS")</f>
        <v>SDS</v>
      </c>
      <c r="D542" s="42" t="str">
        <f ca="1">IFERROR(__xludf.DUMMYFUNCTION("""COMPUTED_VALUE"""),"DCE")</f>
        <v>DCE</v>
      </c>
      <c r="E542" s="44">
        <f ca="1">IFERROR(__xludf.DUMMYFUNCTION("""COMPUTED_VALUE"""),6)</f>
        <v>6</v>
      </c>
      <c r="F542" s="42" t="str">
        <f ca="1">IFERROR(__xludf.DUMMYFUNCTION("""COMPUTED_VALUE"""),"INTERNATIONAL")</f>
        <v>INTERNATIONAL</v>
      </c>
      <c r="G542" s="42" t="str">
        <f ca="1">IFERROR(__xludf.DUMMYFUNCTION("""COMPUTED_VALUE"""),"USD FEE STUDENT")</f>
        <v>USD FEE STUDENT</v>
      </c>
      <c r="H542" s="2" t="str">
        <f ca="1">IFERROR(__xludf.DUMMYFUNCTION("""COMPUTED_VALUE"""),"DCE_2021-24")</f>
        <v>DCE_2021-24</v>
      </c>
      <c r="I542" s="45"/>
      <c r="J542" s="46">
        <f ca="1">IFERROR(__xludf.DUMMYFUNCTION("""COMPUTED_VALUE"""),60000)</f>
        <v>60000</v>
      </c>
      <c r="K542" s="46">
        <f ca="1">IFERROR(__xludf.DUMMYFUNCTION("""COMPUTED_VALUE"""),25000)</f>
        <v>25000</v>
      </c>
      <c r="L542" s="46">
        <f ca="1">IFERROR(__xludf.DUMMYFUNCTION("""COMPUTED_VALUE"""),0)</f>
        <v>0</v>
      </c>
      <c r="M542" s="47">
        <f ca="1">IFERROR(__xludf.DUMMYFUNCTION("""COMPUTED_VALUE"""),0)</f>
        <v>0</v>
      </c>
      <c r="N542" s="46">
        <f ca="1">IFERROR(__xludf.DUMMYFUNCTION("""COMPUTED_VALUE"""),35000)</f>
        <v>35000</v>
      </c>
      <c r="O542" s="46">
        <f ca="1">IFERROR(__xludf.DUMMYFUNCTION("""COMPUTED_VALUE"""),1250)</f>
        <v>1250</v>
      </c>
      <c r="P542" s="46">
        <f ca="1">IFERROR(__xludf.DUMMYFUNCTION("""COMPUTED_VALUE"""),0)</f>
        <v>0</v>
      </c>
      <c r="Q542" s="47">
        <f ca="1">IFERROR(__xludf.DUMMYFUNCTION("""COMPUTED_VALUE"""),0)</f>
        <v>0</v>
      </c>
      <c r="R542" s="24">
        <f ca="1">IFERROR(__xludf.DUMMYFUNCTION("""COMPUTED_VALUE"""),0)</f>
        <v>0</v>
      </c>
      <c r="S542" s="23">
        <f ca="1">IFERROR(__xludf.DUMMYFUNCTION("""COMPUTED_VALUE"""),1250)</f>
        <v>1250</v>
      </c>
      <c r="T542" s="48">
        <f ca="1">IFERROR(__xludf.DUMMYFUNCTION("""COMPUTED_VALUE"""),0)</f>
        <v>0</v>
      </c>
      <c r="U542" s="47">
        <f ca="1">IFERROR(__xludf.DUMMYFUNCTION("""COMPUTED_VALUE"""),0)</f>
        <v>0</v>
      </c>
      <c r="V542" s="47">
        <f ca="1">IFERROR(__xludf.DUMMYFUNCTION("""COMPUTED_VALUE"""),0)</f>
        <v>0</v>
      </c>
      <c r="W542" s="47">
        <f ca="1">IFERROR(__xludf.DUMMYFUNCTION("""COMPUTED_VALUE"""),0)</f>
        <v>0</v>
      </c>
      <c r="X542" s="47">
        <f ca="1">IFERROR(__xludf.DUMMYFUNCTION("""COMPUTED_VALUE"""),0)</f>
        <v>0</v>
      </c>
      <c r="Y542" s="44">
        <f ca="1">IFERROR(__xludf.DUMMYFUNCTION("""COMPUTED_VALUE"""),0)</f>
        <v>0</v>
      </c>
      <c r="Z542" s="44">
        <f ca="1">IFERROR(__xludf.DUMMYFUNCTION("""COMPUTED_VALUE"""),0)</f>
        <v>0</v>
      </c>
      <c r="AA542" s="44">
        <f ca="1">IFERROR(__xludf.DUMMYFUNCTION("""COMPUTED_VALUE"""),0)</f>
        <v>0</v>
      </c>
      <c r="AB542" s="44">
        <f ca="1">IFERROR(__xludf.DUMMYFUNCTION("""COMPUTED_VALUE"""),0)</f>
        <v>0</v>
      </c>
      <c r="AC542" s="47">
        <f ca="1">IFERROR(__xludf.DUMMYFUNCTION("""COMPUTED_VALUE"""),0)</f>
        <v>0</v>
      </c>
      <c r="AD542" s="49"/>
      <c r="AE542" s="27"/>
    </row>
    <row r="543" spans="1:31" ht="14.3">
      <c r="A543" s="42" t="str">
        <f ca="1">IFERROR(__xludf.DUMMYFUNCTION("""COMPUTED_VALUE"""),"21SDSCE01615")</f>
        <v>21SDSCE01615</v>
      </c>
      <c r="B543" s="43" t="str">
        <f ca="1">IFERROR(__xludf.DUMMYFUNCTION("""COMPUTED_VALUE"""),"SANJAY TELI")</f>
        <v>SANJAY TELI</v>
      </c>
      <c r="C543" s="42" t="str">
        <f ca="1">IFERROR(__xludf.DUMMYFUNCTION("""COMPUTED_VALUE"""),"SDS")</f>
        <v>SDS</v>
      </c>
      <c r="D543" s="42" t="str">
        <f ca="1">IFERROR(__xludf.DUMMYFUNCTION("""COMPUTED_VALUE"""),"DCE")</f>
        <v>DCE</v>
      </c>
      <c r="E543" s="44">
        <f ca="1">IFERROR(__xludf.DUMMYFUNCTION("""COMPUTED_VALUE"""),6)</f>
        <v>6</v>
      </c>
      <c r="F543" s="42" t="str">
        <f ca="1">IFERROR(__xludf.DUMMYFUNCTION("""COMPUTED_VALUE"""),"INTERNATIONAL")</f>
        <v>INTERNATIONAL</v>
      </c>
      <c r="G543" s="42" t="str">
        <f ca="1">IFERROR(__xludf.DUMMYFUNCTION("""COMPUTED_VALUE"""),"INR FEE STUDENT")</f>
        <v>INR FEE STUDENT</v>
      </c>
      <c r="H543" s="2" t="str">
        <f ca="1">IFERROR(__xludf.DUMMYFUNCTION("""COMPUTED_VALUE"""),"DCE_2021-24")</f>
        <v>DCE_2021-24</v>
      </c>
      <c r="I543" s="45"/>
      <c r="J543" s="46">
        <f ca="1">IFERROR(__xludf.DUMMYFUNCTION("""COMPUTED_VALUE"""),35000)</f>
        <v>35000</v>
      </c>
      <c r="K543" s="46">
        <f ca="1">IFERROR(__xludf.DUMMYFUNCTION("""COMPUTED_VALUE"""),35000)</f>
        <v>35000</v>
      </c>
      <c r="L543" s="46">
        <f ca="1">IFERROR(__xludf.DUMMYFUNCTION("""COMPUTED_VALUE"""),0)</f>
        <v>0</v>
      </c>
      <c r="M543" s="47">
        <f ca="1">IFERROR(__xludf.DUMMYFUNCTION("""COMPUTED_VALUE"""),0)</f>
        <v>0</v>
      </c>
      <c r="N543" s="46">
        <f ca="1">IFERROR(__xludf.DUMMYFUNCTION("""COMPUTED_VALUE"""),0)</f>
        <v>0</v>
      </c>
      <c r="O543" s="46">
        <f ca="1">IFERROR(__xludf.DUMMYFUNCTION("""COMPUTED_VALUE"""),1250)</f>
        <v>1250</v>
      </c>
      <c r="P543" s="46">
        <f ca="1">IFERROR(__xludf.DUMMYFUNCTION("""COMPUTED_VALUE"""),1250)</f>
        <v>1250</v>
      </c>
      <c r="Q543" s="47">
        <f ca="1">IFERROR(__xludf.DUMMYFUNCTION("""COMPUTED_VALUE"""),0)</f>
        <v>0</v>
      </c>
      <c r="R543" s="24">
        <f ca="1">IFERROR(__xludf.DUMMYFUNCTION("""COMPUTED_VALUE"""),0)</f>
        <v>0</v>
      </c>
      <c r="S543" s="23">
        <f ca="1">IFERROR(__xludf.DUMMYFUNCTION("""COMPUTED_VALUE"""),0)</f>
        <v>0</v>
      </c>
      <c r="T543" s="48">
        <f ca="1">IFERROR(__xludf.DUMMYFUNCTION("""COMPUTED_VALUE"""),0)</f>
        <v>0</v>
      </c>
      <c r="U543" s="47">
        <f ca="1">IFERROR(__xludf.DUMMYFUNCTION("""COMPUTED_VALUE"""),0)</f>
        <v>0</v>
      </c>
      <c r="V543" s="47">
        <f ca="1">IFERROR(__xludf.DUMMYFUNCTION("""COMPUTED_VALUE"""),0)</f>
        <v>0</v>
      </c>
      <c r="W543" s="47">
        <f ca="1">IFERROR(__xludf.DUMMYFUNCTION("""COMPUTED_VALUE"""),0)</f>
        <v>0</v>
      </c>
      <c r="X543" s="47">
        <f ca="1">IFERROR(__xludf.DUMMYFUNCTION("""COMPUTED_VALUE"""),0)</f>
        <v>0</v>
      </c>
      <c r="Y543" s="44">
        <f ca="1">IFERROR(__xludf.DUMMYFUNCTION("""COMPUTED_VALUE"""),0)</f>
        <v>0</v>
      </c>
      <c r="Z543" s="44">
        <f ca="1">IFERROR(__xludf.DUMMYFUNCTION("""COMPUTED_VALUE"""),0)</f>
        <v>0</v>
      </c>
      <c r="AA543" s="44">
        <f ca="1">IFERROR(__xludf.DUMMYFUNCTION("""COMPUTED_VALUE"""),0)</f>
        <v>0</v>
      </c>
      <c r="AB543" s="44">
        <f ca="1">IFERROR(__xludf.DUMMYFUNCTION("""COMPUTED_VALUE"""),0)</f>
        <v>0</v>
      </c>
      <c r="AC543" s="47">
        <f ca="1">IFERROR(__xludf.DUMMYFUNCTION("""COMPUTED_VALUE"""),0)</f>
        <v>0</v>
      </c>
      <c r="AD543" s="49"/>
      <c r="AE543" s="27"/>
    </row>
    <row r="544" spans="1:31" ht="14.3">
      <c r="A544" s="42" t="str">
        <f ca="1">IFERROR(__xludf.DUMMYFUNCTION("""COMPUTED_VALUE"""),"21SDSCE01616")</f>
        <v>21SDSCE01616</v>
      </c>
      <c r="B544" s="43" t="str">
        <f ca="1">IFERROR(__xludf.DUMMYFUNCTION("""COMPUTED_VALUE"""),"RAGHUNATH YADAV")</f>
        <v>RAGHUNATH YADAV</v>
      </c>
      <c r="C544" s="42" t="str">
        <f ca="1">IFERROR(__xludf.DUMMYFUNCTION("""COMPUTED_VALUE"""),"SDS")</f>
        <v>SDS</v>
      </c>
      <c r="D544" s="42" t="str">
        <f ca="1">IFERROR(__xludf.DUMMYFUNCTION("""COMPUTED_VALUE"""),"DCE")</f>
        <v>DCE</v>
      </c>
      <c r="E544" s="44">
        <f ca="1">IFERROR(__xludf.DUMMYFUNCTION("""COMPUTED_VALUE"""),6)</f>
        <v>6</v>
      </c>
      <c r="F544" s="42" t="str">
        <f ca="1">IFERROR(__xludf.DUMMYFUNCTION("""COMPUTED_VALUE"""),"INTERNATIONAL")</f>
        <v>INTERNATIONAL</v>
      </c>
      <c r="G544" s="42" t="str">
        <f ca="1">IFERROR(__xludf.DUMMYFUNCTION("""COMPUTED_VALUE"""),"INR FEE STUDENT")</f>
        <v>INR FEE STUDENT</v>
      </c>
      <c r="H544" s="2" t="str">
        <f ca="1">IFERROR(__xludf.DUMMYFUNCTION("""COMPUTED_VALUE"""),"DCE_2021-24")</f>
        <v>DCE_2021-24</v>
      </c>
      <c r="I544" s="45"/>
      <c r="J544" s="46">
        <f ca="1">IFERROR(__xludf.DUMMYFUNCTION("""COMPUTED_VALUE"""),35000)</f>
        <v>35000</v>
      </c>
      <c r="K544" s="46">
        <f ca="1">IFERROR(__xludf.DUMMYFUNCTION("""COMPUTED_VALUE"""),35000)</f>
        <v>35000</v>
      </c>
      <c r="L544" s="46">
        <f ca="1">IFERROR(__xludf.DUMMYFUNCTION("""COMPUTED_VALUE"""),0)</f>
        <v>0</v>
      </c>
      <c r="M544" s="47">
        <f ca="1">IFERROR(__xludf.DUMMYFUNCTION("""COMPUTED_VALUE"""),0)</f>
        <v>0</v>
      </c>
      <c r="N544" s="46">
        <f ca="1">IFERROR(__xludf.DUMMYFUNCTION("""COMPUTED_VALUE"""),0)</f>
        <v>0</v>
      </c>
      <c r="O544" s="46">
        <f ca="1">IFERROR(__xludf.DUMMYFUNCTION("""COMPUTED_VALUE"""),1250)</f>
        <v>1250</v>
      </c>
      <c r="P544" s="46">
        <f ca="1">IFERROR(__xludf.DUMMYFUNCTION("""COMPUTED_VALUE"""),0)</f>
        <v>0</v>
      </c>
      <c r="Q544" s="47">
        <f ca="1">IFERROR(__xludf.DUMMYFUNCTION("""COMPUTED_VALUE"""),0)</f>
        <v>0</v>
      </c>
      <c r="R544" s="24">
        <f ca="1">IFERROR(__xludf.DUMMYFUNCTION("""COMPUTED_VALUE"""),0)</f>
        <v>0</v>
      </c>
      <c r="S544" s="23">
        <f ca="1">IFERROR(__xludf.DUMMYFUNCTION("""COMPUTED_VALUE"""),1250)</f>
        <v>1250</v>
      </c>
      <c r="T544" s="48">
        <f ca="1">IFERROR(__xludf.DUMMYFUNCTION("""COMPUTED_VALUE"""),0)</f>
        <v>0</v>
      </c>
      <c r="U544" s="47">
        <f ca="1">IFERROR(__xludf.DUMMYFUNCTION("""COMPUTED_VALUE"""),0)</f>
        <v>0</v>
      </c>
      <c r="V544" s="47">
        <f ca="1">IFERROR(__xludf.DUMMYFUNCTION("""COMPUTED_VALUE"""),0)</f>
        <v>0</v>
      </c>
      <c r="W544" s="47">
        <f ca="1">IFERROR(__xludf.DUMMYFUNCTION("""COMPUTED_VALUE"""),0)</f>
        <v>0</v>
      </c>
      <c r="X544" s="47">
        <f ca="1">IFERROR(__xludf.DUMMYFUNCTION("""COMPUTED_VALUE"""),0)</f>
        <v>0</v>
      </c>
      <c r="Y544" s="44">
        <f ca="1">IFERROR(__xludf.DUMMYFUNCTION("""COMPUTED_VALUE"""),0)</f>
        <v>0</v>
      </c>
      <c r="Z544" s="44">
        <f ca="1">IFERROR(__xludf.DUMMYFUNCTION("""COMPUTED_VALUE"""),0)</f>
        <v>0</v>
      </c>
      <c r="AA544" s="44">
        <f ca="1">IFERROR(__xludf.DUMMYFUNCTION("""COMPUTED_VALUE"""),0)</f>
        <v>0</v>
      </c>
      <c r="AB544" s="44">
        <f ca="1">IFERROR(__xludf.DUMMYFUNCTION("""COMPUTED_VALUE"""),0)</f>
        <v>0</v>
      </c>
      <c r="AC544" s="47">
        <f ca="1">IFERROR(__xludf.DUMMYFUNCTION("""COMPUTED_VALUE"""),0)</f>
        <v>0</v>
      </c>
      <c r="AD544" s="49"/>
      <c r="AE544" s="27"/>
    </row>
    <row r="545" spans="1:31" ht="14.3">
      <c r="A545" s="42" t="str">
        <f ca="1">IFERROR(__xludf.DUMMYFUNCTION("""COMPUTED_VALUE"""),"21SDSCE01617")</f>
        <v>21SDSCE01617</v>
      </c>
      <c r="B545" s="43" t="str">
        <f ca="1">IFERROR(__xludf.DUMMYFUNCTION("""COMPUTED_VALUE"""),"RAMESH DAS")</f>
        <v>RAMESH DAS</v>
      </c>
      <c r="C545" s="42" t="str">
        <f ca="1">IFERROR(__xludf.DUMMYFUNCTION("""COMPUTED_VALUE"""),"SDS")</f>
        <v>SDS</v>
      </c>
      <c r="D545" s="42" t="str">
        <f ca="1">IFERROR(__xludf.DUMMYFUNCTION("""COMPUTED_VALUE"""),"DCE")</f>
        <v>DCE</v>
      </c>
      <c r="E545" s="44">
        <f ca="1">IFERROR(__xludf.DUMMYFUNCTION("""COMPUTED_VALUE"""),6)</f>
        <v>6</v>
      </c>
      <c r="F545" s="42" t="str">
        <f ca="1">IFERROR(__xludf.DUMMYFUNCTION("""COMPUTED_VALUE"""),"INTERNATIONAL")</f>
        <v>INTERNATIONAL</v>
      </c>
      <c r="G545" s="42" t="str">
        <f ca="1">IFERROR(__xludf.DUMMYFUNCTION("""COMPUTED_VALUE"""),"INR FEE STUDENT")</f>
        <v>INR FEE STUDENT</v>
      </c>
      <c r="H545" s="2" t="str">
        <f ca="1">IFERROR(__xludf.DUMMYFUNCTION("""COMPUTED_VALUE"""),"DCE_2021-24")</f>
        <v>DCE_2021-24</v>
      </c>
      <c r="I545" s="45"/>
      <c r="J545" s="46">
        <f ca="1">IFERROR(__xludf.DUMMYFUNCTION("""COMPUTED_VALUE"""),35000)</f>
        <v>35000</v>
      </c>
      <c r="K545" s="46">
        <f ca="1">IFERROR(__xludf.DUMMYFUNCTION("""COMPUTED_VALUE"""),35000)</f>
        <v>35000</v>
      </c>
      <c r="L545" s="46">
        <f ca="1">IFERROR(__xludf.DUMMYFUNCTION("""COMPUTED_VALUE"""),0)</f>
        <v>0</v>
      </c>
      <c r="M545" s="47">
        <f ca="1">IFERROR(__xludf.DUMMYFUNCTION("""COMPUTED_VALUE"""),0)</f>
        <v>0</v>
      </c>
      <c r="N545" s="46">
        <f ca="1">IFERROR(__xludf.DUMMYFUNCTION("""COMPUTED_VALUE"""),0)</f>
        <v>0</v>
      </c>
      <c r="O545" s="46">
        <f ca="1">IFERROR(__xludf.DUMMYFUNCTION("""COMPUTED_VALUE"""),1250)</f>
        <v>1250</v>
      </c>
      <c r="P545" s="46">
        <f ca="1">IFERROR(__xludf.DUMMYFUNCTION("""COMPUTED_VALUE"""),1250)</f>
        <v>1250</v>
      </c>
      <c r="Q545" s="47">
        <f ca="1">IFERROR(__xludf.DUMMYFUNCTION("""COMPUTED_VALUE"""),0)</f>
        <v>0</v>
      </c>
      <c r="R545" s="24">
        <f ca="1">IFERROR(__xludf.DUMMYFUNCTION("""COMPUTED_VALUE"""),0)</f>
        <v>0</v>
      </c>
      <c r="S545" s="23">
        <f ca="1">IFERROR(__xludf.DUMMYFUNCTION("""COMPUTED_VALUE"""),0)</f>
        <v>0</v>
      </c>
      <c r="T545" s="48">
        <f ca="1">IFERROR(__xludf.DUMMYFUNCTION("""COMPUTED_VALUE"""),0)</f>
        <v>0</v>
      </c>
      <c r="U545" s="47">
        <f ca="1">IFERROR(__xludf.DUMMYFUNCTION("""COMPUTED_VALUE"""),0)</f>
        <v>0</v>
      </c>
      <c r="V545" s="47">
        <f ca="1">IFERROR(__xludf.DUMMYFUNCTION("""COMPUTED_VALUE"""),0)</f>
        <v>0</v>
      </c>
      <c r="W545" s="47">
        <f ca="1">IFERROR(__xludf.DUMMYFUNCTION("""COMPUTED_VALUE"""),0)</f>
        <v>0</v>
      </c>
      <c r="X545" s="47">
        <f ca="1">IFERROR(__xludf.DUMMYFUNCTION("""COMPUTED_VALUE"""),0)</f>
        <v>0</v>
      </c>
      <c r="Y545" s="44">
        <f ca="1">IFERROR(__xludf.DUMMYFUNCTION("""COMPUTED_VALUE"""),0)</f>
        <v>0</v>
      </c>
      <c r="Z545" s="44">
        <f ca="1">IFERROR(__xludf.DUMMYFUNCTION("""COMPUTED_VALUE"""),0)</f>
        <v>0</v>
      </c>
      <c r="AA545" s="44">
        <f ca="1">IFERROR(__xludf.DUMMYFUNCTION("""COMPUTED_VALUE"""),0)</f>
        <v>0</v>
      </c>
      <c r="AB545" s="44">
        <f ca="1">IFERROR(__xludf.DUMMYFUNCTION("""COMPUTED_VALUE"""),0)</f>
        <v>0</v>
      </c>
      <c r="AC545" s="47">
        <f ca="1">IFERROR(__xludf.DUMMYFUNCTION("""COMPUTED_VALUE"""),0)</f>
        <v>0</v>
      </c>
      <c r="AD545" s="49"/>
      <c r="AE545" s="27"/>
    </row>
    <row r="546" spans="1:31" ht="14.3">
      <c r="A546" s="42" t="str">
        <f ca="1">IFERROR(__xludf.DUMMYFUNCTION("""COMPUTED_VALUE"""),"22SDSCE03901")</f>
        <v>22SDSCE03901</v>
      </c>
      <c r="B546" s="43" t="str">
        <f ca="1">IFERROR(__xludf.DUMMYFUNCTION("""COMPUTED_VALUE"""),"KHUSHI JAYESH KAPADI")</f>
        <v>KHUSHI JAYESH KAPADI</v>
      </c>
      <c r="C546" s="42" t="str">
        <f ca="1">IFERROR(__xludf.DUMMYFUNCTION("""COMPUTED_VALUE"""),"SDS")</f>
        <v>SDS</v>
      </c>
      <c r="D546" s="42" t="str">
        <f ca="1">IFERROR(__xludf.DUMMYFUNCTION("""COMPUTED_VALUE"""),"DCE")</f>
        <v>DCE</v>
      </c>
      <c r="E546" s="44">
        <f ca="1">IFERROR(__xludf.DUMMYFUNCTION("""COMPUTED_VALUE"""),6)</f>
        <v>6</v>
      </c>
      <c r="F546" s="42" t="str">
        <f ca="1">IFERROR(__xludf.DUMMYFUNCTION("""COMPUTED_VALUE"""),"8735910943
9737332844")</f>
        <v>8735910943
9737332844</v>
      </c>
      <c r="G546" s="42" t="str">
        <f ca="1">IFERROR(__xludf.DUMMYFUNCTION("""COMPUTED_VALUE"""),"8735910943
9737332844")</f>
        <v>8735910943
9737332844</v>
      </c>
      <c r="H546" s="2" t="str">
        <f ca="1">IFERROR(__xludf.DUMMYFUNCTION("""COMPUTED_VALUE"""),"DCE_2021-24")</f>
        <v>DCE_2021-24</v>
      </c>
      <c r="I546" s="45"/>
      <c r="J546" s="46">
        <f ca="1">IFERROR(__xludf.DUMMYFUNCTION("""COMPUTED_VALUE"""),25000)</f>
        <v>25000</v>
      </c>
      <c r="K546" s="46">
        <f ca="1">IFERROR(__xludf.DUMMYFUNCTION("""COMPUTED_VALUE"""),25000)</f>
        <v>25000</v>
      </c>
      <c r="L546" s="46">
        <f ca="1">IFERROR(__xludf.DUMMYFUNCTION("""COMPUTED_VALUE"""),0)</f>
        <v>0</v>
      </c>
      <c r="M546" s="47">
        <f ca="1">IFERROR(__xludf.DUMMYFUNCTION("""COMPUTED_VALUE"""),0)</f>
        <v>0</v>
      </c>
      <c r="N546" s="46">
        <f ca="1">IFERROR(__xludf.DUMMYFUNCTION("""COMPUTED_VALUE"""),0)</f>
        <v>0</v>
      </c>
      <c r="O546" s="46">
        <f ca="1">IFERROR(__xludf.DUMMYFUNCTION("""COMPUTED_VALUE"""),3750)</f>
        <v>3750</v>
      </c>
      <c r="P546" s="46">
        <f ca="1">IFERROR(__xludf.DUMMYFUNCTION("""COMPUTED_VALUE"""),3750)</f>
        <v>3750</v>
      </c>
      <c r="Q546" s="47">
        <f ca="1">IFERROR(__xludf.DUMMYFUNCTION("""COMPUTED_VALUE"""),0)</f>
        <v>0</v>
      </c>
      <c r="R546" s="24">
        <f ca="1">IFERROR(__xludf.DUMMYFUNCTION("""COMPUTED_VALUE"""),0)</f>
        <v>0</v>
      </c>
      <c r="S546" s="23">
        <f ca="1">IFERROR(__xludf.DUMMYFUNCTION("""COMPUTED_VALUE"""),0)</f>
        <v>0</v>
      </c>
      <c r="T546" s="48">
        <f ca="1">IFERROR(__xludf.DUMMYFUNCTION("""COMPUTED_VALUE"""),0)</f>
        <v>0</v>
      </c>
      <c r="U546" s="47">
        <f ca="1">IFERROR(__xludf.DUMMYFUNCTION("""COMPUTED_VALUE"""),0)</f>
        <v>0</v>
      </c>
      <c r="V546" s="47">
        <f ca="1">IFERROR(__xludf.DUMMYFUNCTION("""COMPUTED_VALUE"""),0)</f>
        <v>0</v>
      </c>
      <c r="W546" s="47">
        <f ca="1">IFERROR(__xludf.DUMMYFUNCTION("""COMPUTED_VALUE"""),0)</f>
        <v>0</v>
      </c>
      <c r="X546" s="47">
        <f ca="1">IFERROR(__xludf.DUMMYFUNCTION("""COMPUTED_VALUE"""),0)</f>
        <v>0</v>
      </c>
      <c r="Y546" s="44">
        <f ca="1">IFERROR(__xludf.DUMMYFUNCTION("""COMPUTED_VALUE"""),0)</f>
        <v>0</v>
      </c>
      <c r="Z546" s="44">
        <f ca="1">IFERROR(__xludf.DUMMYFUNCTION("""COMPUTED_VALUE"""),0)</f>
        <v>0</v>
      </c>
      <c r="AA546" s="44">
        <f ca="1">IFERROR(__xludf.DUMMYFUNCTION("""COMPUTED_VALUE"""),0)</f>
        <v>0</v>
      </c>
      <c r="AB546" s="44">
        <f ca="1">IFERROR(__xludf.DUMMYFUNCTION("""COMPUTED_VALUE"""),0)</f>
        <v>0</v>
      </c>
      <c r="AC546" s="47">
        <f ca="1">IFERROR(__xludf.DUMMYFUNCTION("""COMPUTED_VALUE"""),0)</f>
        <v>0</v>
      </c>
      <c r="AD546" s="49"/>
      <c r="AE546" s="27"/>
    </row>
    <row r="547" spans="1:31" ht="14.3">
      <c r="A547" s="42" t="str">
        <f ca="1">IFERROR(__xludf.DUMMYFUNCTION("""COMPUTED_VALUE"""),"21SDSCE01002")</f>
        <v>21SDSCE01002</v>
      </c>
      <c r="B547" s="43" t="str">
        <f ca="1">IFERROR(__xludf.DUMMYFUNCTION("""COMPUTED_VALUE"""),"BAMBHANIYA MANTHAN PRADIPBHAI")</f>
        <v>BAMBHANIYA MANTHAN PRADIPBHAI</v>
      </c>
      <c r="C547" s="42" t="str">
        <f ca="1">IFERROR(__xludf.DUMMYFUNCTION("""COMPUTED_VALUE"""),"SDS")</f>
        <v>SDS</v>
      </c>
      <c r="D547" s="42" t="str">
        <f ca="1">IFERROR(__xludf.DUMMYFUNCTION("""COMPUTED_VALUE"""),"DCE")</f>
        <v>DCE</v>
      </c>
      <c r="E547" s="44">
        <f ca="1">IFERROR(__xludf.DUMMYFUNCTION("""COMPUTED_VALUE"""),6)</f>
        <v>6</v>
      </c>
      <c r="F547" s="42" t="str">
        <f ca="1">IFERROR(__xludf.DUMMYFUNCTION("""COMPUTED_VALUE"""),"9512023735 
9998562934")</f>
        <v>9512023735 
9998562934</v>
      </c>
      <c r="G547" s="42" t="str">
        <f ca="1">IFERROR(__xludf.DUMMYFUNCTION("""COMPUTED_VALUE"""),"9512023735 
9998562934")</f>
        <v>9512023735 
9998562934</v>
      </c>
      <c r="H547" s="2" t="str">
        <f ca="1">IFERROR(__xludf.DUMMYFUNCTION("""COMPUTED_VALUE"""),"DCE_2021-24")</f>
        <v>DCE_2021-24</v>
      </c>
      <c r="I547" s="45" t="str">
        <f ca="1">IFERROR(__xludf.DUMMYFUNCTION("""COMPUTED_VALUE"""),"MYSY")</f>
        <v>MYSY</v>
      </c>
      <c r="J547" s="46">
        <f ca="1">IFERROR(__xludf.DUMMYFUNCTION("""COMPUTED_VALUE"""),25000)</f>
        <v>25000</v>
      </c>
      <c r="K547" s="46">
        <f ca="1">IFERROR(__xludf.DUMMYFUNCTION("""COMPUTED_VALUE"""),0)</f>
        <v>0</v>
      </c>
      <c r="L547" s="46">
        <f ca="1">IFERROR(__xludf.DUMMYFUNCTION("""COMPUTED_VALUE"""),0)</f>
        <v>0</v>
      </c>
      <c r="M547" s="47">
        <f ca="1">IFERROR(__xludf.DUMMYFUNCTION("""COMPUTED_VALUE"""),0)</f>
        <v>0</v>
      </c>
      <c r="N547" s="46">
        <f ca="1">IFERROR(__xludf.DUMMYFUNCTION("""COMPUTED_VALUE"""),25000)</f>
        <v>25000</v>
      </c>
      <c r="O547" s="46">
        <f ca="1">IFERROR(__xludf.DUMMYFUNCTION("""COMPUTED_VALUE"""),3750)</f>
        <v>3750</v>
      </c>
      <c r="P547" s="46">
        <f ca="1">IFERROR(__xludf.DUMMYFUNCTION("""COMPUTED_VALUE"""),3750)</f>
        <v>3750</v>
      </c>
      <c r="Q547" s="47">
        <f ca="1">IFERROR(__xludf.DUMMYFUNCTION("""COMPUTED_VALUE"""),0)</f>
        <v>0</v>
      </c>
      <c r="R547" s="24">
        <f ca="1">IFERROR(__xludf.DUMMYFUNCTION("""COMPUTED_VALUE"""),0)</f>
        <v>0</v>
      </c>
      <c r="S547" s="23">
        <f ca="1">IFERROR(__xludf.DUMMYFUNCTION("""COMPUTED_VALUE"""),0)</f>
        <v>0</v>
      </c>
      <c r="T547" s="48">
        <f ca="1">IFERROR(__xludf.DUMMYFUNCTION("""COMPUTED_VALUE"""),0)</f>
        <v>0</v>
      </c>
      <c r="U547" s="47">
        <f ca="1">IFERROR(__xludf.DUMMYFUNCTION("""COMPUTED_VALUE"""),0)</f>
        <v>0</v>
      </c>
      <c r="V547" s="47">
        <f ca="1">IFERROR(__xludf.DUMMYFUNCTION("""COMPUTED_VALUE"""),0)</f>
        <v>0</v>
      </c>
      <c r="W547" s="47">
        <f ca="1">IFERROR(__xludf.DUMMYFUNCTION("""COMPUTED_VALUE"""),0)</f>
        <v>0</v>
      </c>
      <c r="X547" s="47">
        <f ca="1">IFERROR(__xludf.DUMMYFUNCTION("""COMPUTED_VALUE"""),0)</f>
        <v>0</v>
      </c>
      <c r="Y547" s="44">
        <f ca="1">IFERROR(__xludf.DUMMYFUNCTION("""COMPUTED_VALUE"""),0)</f>
        <v>0</v>
      </c>
      <c r="Z547" s="44">
        <f ca="1">IFERROR(__xludf.DUMMYFUNCTION("""COMPUTED_VALUE"""),0)</f>
        <v>0</v>
      </c>
      <c r="AA547" s="44">
        <f ca="1">IFERROR(__xludf.DUMMYFUNCTION("""COMPUTED_VALUE"""),0)</f>
        <v>0</v>
      </c>
      <c r="AB547" s="44">
        <f ca="1">IFERROR(__xludf.DUMMYFUNCTION("""COMPUTED_VALUE"""),0)</f>
        <v>0</v>
      </c>
      <c r="AC547" s="47">
        <f ca="1">IFERROR(__xludf.DUMMYFUNCTION("""COMPUTED_VALUE"""),0)</f>
        <v>0</v>
      </c>
      <c r="AD547" s="49" t="str">
        <f ca="1">IFERROR(__xludf.DUMMYFUNCTION("""COMPUTED_VALUE"""),"MYSY(50%) + KSPS(25%)")</f>
        <v>MYSY(50%) + KSPS(25%)</v>
      </c>
      <c r="AE547" s="27"/>
    </row>
    <row r="548" spans="1:31" ht="14.3">
      <c r="A548" s="42" t="str">
        <f ca="1">IFERROR(__xludf.DUMMYFUNCTION("""COMPUTED_VALUE"""),"21SDSCE01003")</f>
        <v>21SDSCE01003</v>
      </c>
      <c r="B548" s="43" t="str">
        <f ca="1">IFERROR(__xludf.DUMMYFUNCTION("""COMPUTED_VALUE"""),"BAMTA BHARGAVI BHAGVATIPRASAD")</f>
        <v>BAMTA BHARGAVI BHAGVATIPRASAD</v>
      </c>
      <c r="C548" s="42" t="str">
        <f ca="1">IFERROR(__xludf.DUMMYFUNCTION("""COMPUTED_VALUE"""),"SDS")</f>
        <v>SDS</v>
      </c>
      <c r="D548" s="42" t="str">
        <f ca="1">IFERROR(__xludf.DUMMYFUNCTION("""COMPUTED_VALUE"""),"DCE")</f>
        <v>DCE</v>
      </c>
      <c r="E548" s="44">
        <f ca="1">IFERROR(__xludf.DUMMYFUNCTION("""COMPUTED_VALUE"""),6)</f>
        <v>6</v>
      </c>
      <c r="F548" s="42" t="str">
        <f ca="1">IFERROR(__xludf.DUMMYFUNCTION("""COMPUTED_VALUE"""),"9328686505 9428469643")</f>
        <v>9328686505 9428469643</v>
      </c>
      <c r="G548" s="42" t="str">
        <f ca="1">IFERROR(__xludf.DUMMYFUNCTION("""COMPUTED_VALUE"""),"9328686505 9428469643")</f>
        <v>9328686505 9428469643</v>
      </c>
      <c r="H548" s="2" t="str">
        <f ca="1">IFERROR(__xludf.DUMMYFUNCTION("""COMPUTED_VALUE"""),"DCE_2021-24")</f>
        <v>DCE_2021-24</v>
      </c>
      <c r="I548" s="45" t="str">
        <f ca="1">IFERROR(__xludf.DUMMYFUNCTION("""COMPUTED_VALUE"""),"MYSY")</f>
        <v>MYSY</v>
      </c>
      <c r="J548" s="46">
        <f ca="1">IFERROR(__xludf.DUMMYFUNCTION("""COMPUTED_VALUE"""),25000)</f>
        <v>25000</v>
      </c>
      <c r="K548" s="46">
        <f ca="1">IFERROR(__xludf.DUMMYFUNCTION("""COMPUTED_VALUE"""),0)</f>
        <v>0</v>
      </c>
      <c r="L548" s="46">
        <f ca="1">IFERROR(__xludf.DUMMYFUNCTION("""COMPUTED_VALUE"""),0)</f>
        <v>0</v>
      </c>
      <c r="M548" s="47">
        <f ca="1">IFERROR(__xludf.DUMMYFUNCTION("""COMPUTED_VALUE"""),0)</f>
        <v>0</v>
      </c>
      <c r="N548" s="46">
        <f ca="1">IFERROR(__xludf.DUMMYFUNCTION("""COMPUTED_VALUE"""),25000)</f>
        <v>25000</v>
      </c>
      <c r="O548" s="46">
        <f ca="1">IFERROR(__xludf.DUMMYFUNCTION("""COMPUTED_VALUE"""),3750)</f>
        <v>3750</v>
      </c>
      <c r="P548" s="46">
        <f ca="1">IFERROR(__xludf.DUMMYFUNCTION("""COMPUTED_VALUE"""),3750)</f>
        <v>3750</v>
      </c>
      <c r="Q548" s="47">
        <f ca="1">IFERROR(__xludf.DUMMYFUNCTION("""COMPUTED_VALUE"""),0)</f>
        <v>0</v>
      </c>
      <c r="R548" s="24">
        <f ca="1">IFERROR(__xludf.DUMMYFUNCTION("""COMPUTED_VALUE"""),0)</f>
        <v>0</v>
      </c>
      <c r="S548" s="23">
        <f ca="1">IFERROR(__xludf.DUMMYFUNCTION("""COMPUTED_VALUE"""),0)</f>
        <v>0</v>
      </c>
      <c r="T548" s="48">
        <f ca="1">IFERROR(__xludf.DUMMYFUNCTION("""COMPUTED_VALUE"""),0)</f>
        <v>0</v>
      </c>
      <c r="U548" s="47">
        <f ca="1">IFERROR(__xludf.DUMMYFUNCTION("""COMPUTED_VALUE"""),0)</f>
        <v>0</v>
      </c>
      <c r="V548" s="47">
        <f ca="1">IFERROR(__xludf.DUMMYFUNCTION("""COMPUTED_VALUE"""),0)</f>
        <v>0</v>
      </c>
      <c r="W548" s="47">
        <f ca="1">IFERROR(__xludf.DUMMYFUNCTION("""COMPUTED_VALUE"""),0)</f>
        <v>0</v>
      </c>
      <c r="X548" s="47">
        <f ca="1">IFERROR(__xludf.DUMMYFUNCTION("""COMPUTED_VALUE"""),0)</f>
        <v>0</v>
      </c>
      <c r="Y548" s="44">
        <f ca="1">IFERROR(__xludf.DUMMYFUNCTION("""COMPUTED_VALUE"""),0)</f>
        <v>0</v>
      </c>
      <c r="Z548" s="44">
        <f ca="1">IFERROR(__xludf.DUMMYFUNCTION("""COMPUTED_VALUE"""),0)</f>
        <v>0</v>
      </c>
      <c r="AA548" s="44">
        <f ca="1">IFERROR(__xludf.DUMMYFUNCTION("""COMPUTED_VALUE"""),0)</f>
        <v>0</v>
      </c>
      <c r="AB548" s="44">
        <f ca="1">IFERROR(__xludf.DUMMYFUNCTION("""COMPUTED_VALUE"""),0)</f>
        <v>0</v>
      </c>
      <c r="AC548" s="47">
        <f ca="1">IFERROR(__xludf.DUMMYFUNCTION("""COMPUTED_VALUE"""),0)</f>
        <v>0</v>
      </c>
      <c r="AD548" s="49" t="str">
        <f ca="1">IFERROR(__xludf.DUMMYFUNCTION("""COMPUTED_VALUE"""),"MYSY(50%) + KSPS(50%)")</f>
        <v>MYSY(50%) + KSPS(50%)</v>
      </c>
      <c r="AE548" s="27"/>
    </row>
    <row r="549" spans="1:31" ht="14.3">
      <c r="A549" s="42" t="str">
        <f ca="1">IFERROR(__xludf.DUMMYFUNCTION("""COMPUTED_VALUE"""),"21SDSCE01010")</f>
        <v>21SDSCE01010</v>
      </c>
      <c r="B549" s="43" t="str">
        <f ca="1">IFERROR(__xludf.DUMMYFUNCTION("""COMPUTED_VALUE"""),"CHOVATIYA KELVIN NATUBHAI")</f>
        <v>CHOVATIYA KELVIN NATUBHAI</v>
      </c>
      <c r="C549" s="42" t="str">
        <f ca="1">IFERROR(__xludf.DUMMYFUNCTION("""COMPUTED_VALUE"""),"SDS")</f>
        <v>SDS</v>
      </c>
      <c r="D549" s="42" t="str">
        <f ca="1">IFERROR(__xludf.DUMMYFUNCTION("""COMPUTED_VALUE"""),"DCE")</f>
        <v>DCE</v>
      </c>
      <c r="E549" s="44">
        <f ca="1">IFERROR(__xludf.DUMMYFUNCTION("""COMPUTED_VALUE"""),6)</f>
        <v>6</v>
      </c>
      <c r="F549" s="42" t="str">
        <f ca="1">IFERROR(__xludf.DUMMYFUNCTION("""COMPUTED_VALUE"""),"9313651711
9898463557")</f>
        <v>9313651711
9898463557</v>
      </c>
      <c r="G549" s="42" t="str">
        <f ca="1">IFERROR(__xludf.DUMMYFUNCTION("""COMPUTED_VALUE"""),"9313651711
9898463557")</f>
        <v>9313651711
9898463557</v>
      </c>
      <c r="H549" s="2" t="str">
        <f ca="1">IFERROR(__xludf.DUMMYFUNCTION("""COMPUTED_VALUE"""),"DCE_2021-24")</f>
        <v>DCE_2021-24</v>
      </c>
      <c r="I549" s="45" t="str">
        <f ca="1">IFERROR(__xludf.DUMMYFUNCTION("""COMPUTED_VALUE"""),"MYSY")</f>
        <v>MYSY</v>
      </c>
      <c r="J549" s="46">
        <f ca="1">IFERROR(__xludf.DUMMYFUNCTION("""COMPUTED_VALUE"""),25000)</f>
        <v>25000</v>
      </c>
      <c r="K549" s="46">
        <f ca="1">IFERROR(__xludf.DUMMYFUNCTION("""COMPUTED_VALUE"""),25000)</f>
        <v>25000</v>
      </c>
      <c r="L549" s="46">
        <f ca="1">IFERROR(__xludf.DUMMYFUNCTION("""COMPUTED_VALUE"""),0)</f>
        <v>0</v>
      </c>
      <c r="M549" s="47">
        <f ca="1">IFERROR(__xludf.DUMMYFUNCTION("""COMPUTED_VALUE"""),0)</f>
        <v>0</v>
      </c>
      <c r="N549" s="46">
        <f ca="1">IFERROR(__xludf.DUMMYFUNCTION("""COMPUTED_VALUE"""),0)</f>
        <v>0</v>
      </c>
      <c r="O549" s="46">
        <f ca="1">IFERROR(__xludf.DUMMYFUNCTION("""COMPUTED_VALUE"""),3750)</f>
        <v>3750</v>
      </c>
      <c r="P549" s="46">
        <f ca="1">IFERROR(__xludf.DUMMYFUNCTION("""COMPUTED_VALUE"""),3750)</f>
        <v>3750</v>
      </c>
      <c r="Q549" s="47">
        <f ca="1">IFERROR(__xludf.DUMMYFUNCTION("""COMPUTED_VALUE"""),0)</f>
        <v>0</v>
      </c>
      <c r="R549" s="24">
        <f ca="1">IFERROR(__xludf.DUMMYFUNCTION("""COMPUTED_VALUE"""),0)</f>
        <v>0</v>
      </c>
      <c r="S549" s="23">
        <f ca="1">IFERROR(__xludf.DUMMYFUNCTION("""COMPUTED_VALUE"""),0)</f>
        <v>0</v>
      </c>
      <c r="T549" s="48">
        <f ca="1">IFERROR(__xludf.DUMMYFUNCTION("""COMPUTED_VALUE"""),0)</f>
        <v>0</v>
      </c>
      <c r="U549" s="47">
        <f ca="1">IFERROR(__xludf.DUMMYFUNCTION("""COMPUTED_VALUE"""),0)</f>
        <v>0</v>
      </c>
      <c r="V549" s="47">
        <f ca="1">IFERROR(__xludf.DUMMYFUNCTION("""COMPUTED_VALUE"""),0)</f>
        <v>0</v>
      </c>
      <c r="W549" s="47">
        <f ca="1">IFERROR(__xludf.DUMMYFUNCTION("""COMPUTED_VALUE"""),0)</f>
        <v>0</v>
      </c>
      <c r="X549" s="47">
        <f ca="1">IFERROR(__xludf.DUMMYFUNCTION("""COMPUTED_VALUE"""),0)</f>
        <v>0</v>
      </c>
      <c r="Y549" s="44">
        <f ca="1">IFERROR(__xludf.DUMMYFUNCTION("""COMPUTED_VALUE"""),0)</f>
        <v>0</v>
      </c>
      <c r="Z549" s="44">
        <f ca="1">IFERROR(__xludf.DUMMYFUNCTION("""COMPUTED_VALUE"""),0)</f>
        <v>0</v>
      </c>
      <c r="AA549" s="44">
        <f ca="1">IFERROR(__xludf.DUMMYFUNCTION("""COMPUTED_VALUE"""),0)</f>
        <v>0</v>
      </c>
      <c r="AB549" s="44">
        <f ca="1">IFERROR(__xludf.DUMMYFUNCTION("""COMPUTED_VALUE"""),0)</f>
        <v>0</v>
      </c>
      <c r="AC549" s="47">
        <f ca="1">IFERROR(__xludf.DUMMYFUNCTION("""COMPUTED_VALUE"""),0)</f>
        <v>0</v>
      </c>
      <c r="AD549" s="49" t="str">
        <f ca="1">IFERROR(__xludf.DUMMYFUNCTION("""COMPUTED_VALUE"""),"MYSY(50%) + KSPS(25%)")</f>
        <v>MYSY(50%) + KSPS(25%)</v>
      </c>
      <c r="AE549" s="27"/>
    </row>
    <row r="550" spans="1:31" ht="14.3">
      <c r="A550" s="42" t="str">
        <f ca="1">IFERROR(__xludf.DUMMYFUNCTION("""COMPUTED_VALUE"""),"21SDSCE01012")</f>
        <v>21SDSCE01012</v>
      </c>
      <c r="B550" s="43" t="str">
        <f ca="1">IFERROR(__xludf.DUMMYFUNCTION("""COMPUTED_VALUE"""),"DAV BHARGAV ARJUNBHAI")</f>
        <v>DAV BHARGAV ARJUNBHAI</v>
      </c>
      <c r="C550" s="42" t="str">
        <f ca="1">IFERROR(__xludf.DUMMYFUNCTION("""COMPUTED_VALUE"""),"SDS")</f>
        <v>SDS</v>
      </c>
      <c r="D550" s="42" t="str">
        <f ca="1">IFERROR(__xludf.DUMMYFUNCTION("""COMPUTED_VALUE"""),"DCE")</f>
        <v>DCE</v>
      </c>
      <c r="E550" s="44">
        <f ca="1">IFERROR(__xludf.DUMMYFUNCTION("""COMPUTED_VALUE"""),6)</f>
        <v>6</v>
      </c>
      <c r="F550" s="42" t="str">
        <f ca="1">IFERROR(__xludf.DUMMYFUNCTION("""COMPUTED_VALUE"""),"9824447021
9824447021")</f>
        <v>9824447021
9824447021</v>
      </c>
      <c r="G550" s="42" t="str">
        <f ca="1">IFERROR(__xludf.DUMMYFUNCTION("""COMPUTED_VALUE"""),"9824447021
9824447021")</f>
        <v>9824447021
9824447021</v>
      </c>
      <c r="H550" s="2" t="str">
        <f ca="1">IFERROR(__xludf.DUMMYFUNCTION("""COMPUTED_VALUE"""),"DCE_2021-24")</f>
        <v>DCE_2021-24</v>
      </c>
      <c r="I550" s="45" t="str">
        <f ca="1">IFERROR(__xludf.DUMMYFUNCTION("""COMPUTED_VALUE"""),"MYSY")</f>
        <v>MYSY</v>
      </c>
      <c r="J550" s="46">
        <f ca="1">IFERROR(__xludf.DUMMYFUNCTION("""COMPUTED_VALUE"""),25000)</f>
        <v>25000</v>
      </c>
      <c r="K550" s="46">
        <f ca="1">IFERROR(__xludf.DUMMYFUNCTION("""COMPUTED_VALUE"""),25000)</f>
        <v>25000</v>
      </c>
      <c r="L550" s="46">
        <f ca="1">IFERROR(__xludf.DUMMYFUNCTION("""COMPUTED_VALUE"""),0)</f>
        <v>0</v>
      </c>
      <c r="M550" s="47">
        <f ca="1">IFERROR(__xludf.DUMMYFUNCTION("""COMPUTED_VALUE"""),0)</f>
        <v>0</v>
      </c>
      <c r="N550" s="46">
        <f ca="1">IFERROR(__xludf.DUMMYFUNCTION("""COMPUTED_VALUE"""),0)</f>
        <v>0</v>
      </c>
      <c r="O550" s="46">
        <f ca="1">IFERROR(__xludf.DUMMYFUNCTION("""COMPUTED_VALUE"""),3750)</f>
        <v>3750</v>
      </c>
      <c r="P550" s="46">
        <f ca="1">IFERROR(__xludf.DUMMYFUNCTION("""COMPUTED_VALUE"""),3750)</f>
        <v>3750</v>
      </c>
      <c r="Q550" s="47">
        <f ca="1">IFERROR(__xludf.DUMMYFUNCTION("""COMPUTED_VALUE"""),0)</f>
        <v>0</v>
      </c>
      <c r="R550" s="24">
        <f ca="1">IFERROR(__xludf.DUMMYFUNCTION("""COMPUTED_VALUE"""),0)</f>
        <v>0</v>
      </c>
      <c r="S550" s="23">
        <f ca="1">IFERROR(__xludf.DUMMYFUNCTION("""COMPUTED_VALUE"""),0)</f>
        <v>0</v>
      </c>
      <c r="T550" s="48">
        <f ca="1">IFERROR(__xludf.DUMMYFUNCTION("""COMPUTED_VALUE"""),0)</f>
        <v>0</v>
      </c>
      <c r="U550" s="47">
        <f ca="1">IFERROR(__xludf.DUMMYFUNCTION("""COMPUTED_VALUE"""),0)</f>
        <v>0</v>
      </c>
      <c r="V550" s="47">
        <f ca="1">IFERROR(__xludf.DUMMYFUNCTION("""COMPUTED_VALUE"""),0)</f>
        <v>0</v>
      </c>
      <c r="W550" s="47">
        <f ca="1">IFERROR(__xludf.DUMMYFUNCTION("""COMPUTED_VALUE"""),0)</f>
        <v>0</v>
      </c>
      <c r="X550" s="47">
        <f ca="1">IFERROR(__xludf.DUMMYFUNCTION("""COMPUTED_VALUE"""),0)</f>
        <v>0</v>
      </c>
      <c r="Y550" s="44">
        <f ca="1">IFERROR(__xludf.DUMMYFUNCTION("""COMPUTED_VALUE"""),0)</f>
        <v>0</v>
      </c>
      <c r="Z550" s="44">
        <f ca="1">IFERROR(__xludf.DUMMYFUNCTION("""COMPUTED_VALUE"""),0)</f>
        <v>0</v>
      </c>
      <c r="AA550" s="44">
        <f ca="1">IFERROR(__xludf.DUMMYFUNCTION("""COMPUTED_VALUE"""),0)</f>
        <v>0</v>
      </c>
      <c r="AB550" s="44">
        <f ca="1">IFERROR(__xludf.DUMMYFUNCTION("""COMPUTED_VALUE"""),0)</f>
        <v>0</v>
      </c>
      <c r="AC550" s="47">
        <f ca="1">IFERROR(__xludf.DUMMYFUNCTION("""COMPUTED_VALUE"""),0)</f>
        <v>0</v>
      </c>
      <c r="AD550" s="49" t="str">
        <f ca="1">IFERROR(__xludf.DUMMYFUNCTION("""COMPUTED_VALUE"""),"MYSY(50%) + KSPS(25%)")</f>
        <v>MYSY(50%) + KSPS(25%)</v>
      </c>
      <c r="AE550" s="27"/>
    </row>
    <row r="551" spans="1:31" ht="14.3">
      <c r="A551" s="42" t="str">
        <f ca="1">IFERROR(__xludf.DUMMYFUNCTION("""COMPUTED_VALUE"""),"21SDSCE01013")</f>
        <v>21SDSCE01013</v>
      </c>
      <c r="B551" s="43" t="str">
        <f ca="1">IFERROR(__xludf.DUMMYFUNCTION("""COMPUTED_VALUE"""),"DEVANI NENSI PRAFULBHAI")</f>
        <v>DEVANI NENSI PRAFULBHAI</v>
      </c>
      <c r="C551" s="42" t="str">
        <f ca="1">IFERROR(__xludf.DUMMYFUNCTION("""COMPUTED_VALUE"""),"SDS")</f>
        <v>SDS</v>
      </c>
      <c r="D551" s="42" t="str">
        <f ca="1">IFERROR(__xludf.DUMMYFUNCTION("""COMPUTED_VALUE"""),"DCE")</f>
        <v>DCE</v>
      </c>
      <c r="E551" s="44">
        <f ca="1">IFERROR(__xludf.DUMMYFUNCTION("""COMPUTED_VALUE"""),6)</f>
        <v>6</v>
      </c>
      <c r="F551" s="42" t="str">
        <f ca="1">IFERROR(__xludf.DUMMYFUNCTION("""COMPUTED_VALUE"""),"7096756240 7016796937")</f>
        <v>7096756240 7016796937</v>
      </c>
      <c r="G551" s="42" t="str">
        <f ca="1">IFERROR(__xludf.DUMMYFUNCTION("""COMPUTED_VALUE"""),"7096756240 7016796937")</f>
        <v>7096756240 7016796937</v>
      </c>
      <c r="H551" s="2" t="str">
        <f ca="1">IFERROR(__xludf.DUMMYFUNCTION("""COMPUTED_VALUE"""),"DCE_2021-24")</f>
        <v>DCE_2021-24</v>
      </c>
      <c r="I551" s="45" t="str">
        <f ca="1">IFERROR(__xludf.DUMMYFUNCTION("""COMPUTED_VALUE"""),"MYSY")</f>
        <v>MYSY</v>
      </c>
      <c r="J551" s="46">
        <f ca="1">IFERROR(__xludf.DUMMYFUNCTION("""COMPUTED_VALUE"""),25000)</f>
        <v>25000</v>
      </c>
      <c r="K551" s="46">
        <f ca="1">IFERROR(__xludf.DUMMYFUNCTION("""COMPUTED_VALUE"""),0)</f>
        <v>0</v>
      </c>
      <c r="L551" s="46">
        <f ca="1">IFERROR(__xludf.DUMMYFUNCTION("""COMPUTED_VALUE"""),0)</f>
        <v>0</v>
      </c>
      <c r="M551" s="47">
        <f ca="1">IFERROR(__xludf.DUMMYFUNCTION("""COMPUTED_VALUE"""),0)</f>
        <v>0</v>
      </c>
      <c r="N551" s="46">
        <f ca="1">IFERROR(__xludf.DUMMYFUNCTION("""COMPUTED_VALUE"""),25000)</f>
        <v>25000</v>
      </c>
      <c r="O551" s="46">
        <f ca="1">IFERROR(__xludf.DUMMYFUNCTION("""COMPUTED_VALUE"""),3750)</f>
        <v>3750</v>
      </c>
      <c r="P551" s="46">
        <f ca="1">IFERROR(__xludf.DUMMYFUNCTION("""COMPUTED_VALUE"""),3750)</f>
        <v>3750</v>
      </c>
      <c r="Q551" s="47">
        <f ca="1">IFERROR(__xludf.DUMMYFUNCTION("""COMPUTED_VALUE"""),0)</f>
        <v>0</v>
      </c>
      <c r="R551" s="24">
        <f ca="1">IFERROR(__xludf.DUMMYFUNCTION("""COMPUTED_VALUE"""),0)</f>
        <v>0</v>
      </c>
      <c r="S551" s="23">
        <f ca="1">IFERROR(__xludf.DUMMYFUNCTION("""COMPUTED_VALUE"""),0)</f>
        <v>0</v>
      </c>
      <c r="T551" s="48">
        <f ca="1">IFERROR(__xludf.DUMMYFUNCTION("""COMPUTED_VALUE"""),0)</f>
        <v>0</v>
      </c>
      <c r="U551" s="47">
        <f ca="1">IFERROR(__xludf.DUMMYFUNCTION("""COMPUTED_VALUE"""),0)</f>
        <v>0</v>
      </c>
      <c r="V551" s="47">
        <f ca="1">IFERROR(__xludf.DUMMYFUNCTION("""COMPUTED_VALUE"""),0)</f>
        <v>0</v>
      </c>
      <c r="W551" s="47">
        <f ca="1">IFERROR(__xludf.DUMMYFUNCTION("""COMPUTED_VALUE"""),0)</f>
        <v>0</v>
      </c>
      <c r="X551" s="47">
        <f ca="1">IFERROR(__xludf.DUMMYFUNCTION("""COMPUTED_VALUE"""),0)</f>
        <v>0</v>
      </c>
      <c r="Y551" s="44">
        <f ca="1">IFERROR(__xludf.DUMMYFUNCTION("""COMPUTED_VALUE"""),0)</f>
        <v>0</v>
      </c>
      <c r="Z551" s="44">
        <f ca="1">IFERROR(__xludf.DUMMYFUNCTION("""COMPUTED_VALUE"""),0)</f>
        <v>0</v>
      </c>
      <c r="AA551" s="44">
        <f ca="1">IFERROR(__xludf.DUMMYFUNCTION("""COMPUTED_VALUE"""),0)</f>
        <v>0</v>
      </c>
      <c r="AB551" s="44">
        <f ca="1">IFERROR(__xludf.DUMMYFUNCTION("""COMPUTED_VALUE"""),0)</f>
        <v>0</v>
      </c>
      <c r="AC551" s="47">
        <f ca="1">IFERROR(__xludf.DUMMYFUNCTION("""COMPUTED_VALUE"""),0)</f>
        <v>0</v>
      </c>
      <c r="AD551" s="49" t="str">
        <f ca="1">IFERROR(__xludf.DUMMYFUNCTION("""COMPUTED_VALUE"""),"MYSY(50%) + KSPS(25%)")</f>
        <v>MYSY(50%) + KSPS(25%)</v>
      </c>
      <c r="AE551" s="27"/>
    </row>
    <row r="552" spans="1:31" ht="14.3">
      <c r="A552" s="42" t="str">
        <f ca="1">IFERROR(__xludf.DUMMYFUNCTION("""COMPUTED_VALUE"""),"21SDSCE01015")</f>
        <v>21SDSCE01015</v>
      </c>
      <c r="B552" s="43" t="str">
        <f ca="1">IFERROR(__xludf.DUMMYFUNCTION("""COMPUTED_VALUE"""),"DHINOJA NEVIL HITENBHAI")</f>
        <v>DHINOJA NEVIL HITENBHAI</v>
      </c>
      <c r="C552" s="42" t="str">
        <f ca="1">IFERROR(__xludf.DUMMYFUNCTION("""COMPUTED_VALUE"""),"SDS")</f>
        <v>SDS</v>
      </c>
      <c r="D552" s="42" t="str">
        <f ca="1">IFERROR(__xludf.DUMMYFUNCTION("""COMPUTED_VALUE"""),"DCE")</f>
        <v>DCE</v>
      </c>
      <c r="E552" s="44">
        <f ca="1">IFERROR(__xludf.DUMMYFUNCTION("""COMPUTED_VALUE"""),6)</f>
        <v>6</v>
      </c>
      <c r="F552" s="42" t="str">
        <f ca="1">IFERROR(__xludf.DUMMYFUNCTION("""COMPUTED_VALUE"""),"9426080847
9913131380")</f>
        <v>9426080847
9913131380</v>
      </c>
      <c r="G552" s="42" t="str">
        <f ca="1">IFERROR(__xludf.DUMMYFUNCTION("""COMPUTED_VALUE"""),"9426080847
9913131380")</f>
        <v>9426080847
9913131380</v>
      </c>
      <c r="H552" s="2" t="str">
        <f ca="1">IFERROR(__xludf.DUMMYFUNCTION("""COMPUTED_VALUE"""),"DCE_2021-24")</f>
        <v>DCE_2021-24</v>
      </c>
      <c r="I552" s="45" t="str">
        <f ca="1">IFERROR(__xludf.DUMMYFUNCTION("""COMPUTED_VALUE"""),"MYSY")</f>
        <v>MYSY</v>
      </c>
      <c r="J552" s="46">
        <f ca="1">IFERROR(__xludf.DUMMYFUNCTION("""COMPUTED_VALUE"""),25000)</f>
        <v>25000</v>
      </c>
      <c r="K552" s="46">
        <f ca="1">IFERROR(__xludf.DUMMYFUNCTION("""COMPUTED_VALUE"""),25000)</f>
        <v>25000</v>
      </c>
      <c r="L552" s="46">
        <f ca="1">IFERROR(__xludf.DUMMYFUNCTION("""COMPUTED_VALUE"""),0)</f>
        <v>0</v>
      </c>
      <c r="M552" s="47">
        <f ca="1">IFERROR(__xludf.DUMMYFUNCTION("""COMPUTED_VALUE"""),0)</f>
        <v>0</v>
      </c>
      <c r="N552" s="46">
        <f ca="1">IFERROR(__xludf.DUMMYFUNCTION("""COMPUTED_VALUE"""),0)</f>
        <v>0</v>
      </c>
      <c r="O552" s="46">
        <f ca="1">IFERROR(__xludf.DUMMYFUNCTION("""COMPUTED_VALUE"""),3750)</f>
        <v>3750</v>
      </c>
      <c r="P552" s="46">
        <f ca="1">IFERROR(__xludf.DUMMYFUNCTION("""COMPUTED_VALUE"""),3750)</f>
        <v>3750</v>
      </c>
      <c r="Q552" s="47">
        <f ca="1">IFERROR(__xludf.DUMMYFUNCTION("""COMPUTED_VALUE"""),0)</f>
        <v>0</v>
      </c>
      <c r="R552" s="24">
        <f ca="1">IFERROR(__xludf.DUMMYFUNCTION("""COMPUTED_VALUE"""),0)</f>
        <v>0</v>
      </c>
      <c r="S552" s="23">
        <f ca="1">IFERROR(__xludf.DUMMYFUNCTION("""COMPUTED_VALUE"""),0)</f>
        <v>0</v>
      </c>
      <c r="T552" s="48">
        <f ca="1">IFERROR(__xludf.DUMMYFUNCTION("""COMPUTED_VALUE"""),0)</f>
        <v>0</v>
      </c>
      <c r="U552" s="47">
        <f ca="1">IFERROR(__xludf.DUMMYFUNCTION("""COMPUTED_VALUE"""),0)</f>
        <v>0</v>
      </c>
      <c r="V552" s="47">
        <f ca="1">IFERROR(__xludf.DUMMYFUNCTION("""COMPUTED_VALUE"""),0)</f>
        <v>0</v>
      </c>
      <c r="W552" s="47">
        <f ca="1">IFERROR(__xludf.DUMMYFUNCTION("""COMPUTED_VALUE"""),0)</f>
        <v>0</v>
      </c>
      <c r="X552" s="47">
        <f ca="1">IFERROR(__xludf.DUMMYFUNCTION("""COMPUTED_VALUE"""),0)</f>
        <v>0</v>
      </c>
      <c r="Y552" s="44">
        <f ca="1">IFERROR(__xludf.DUMMYFUNCTION("""COMPUTED_VALUE"""),0)</f>
        <v>0</v>
      </c>
      <c r="Z552" s="44">
        <f ca="1">IFERROR(__xludf.DUMMYFUNCTION("""COMPUTED_VALUE"""),0)</f>
        <v>0</v>
      </c>
      <c r="AA552" s="44">
        <f ca="1">IFERROR(__xludf.DUMMYFUNCTION("""COMPUTED_VALUE"""),0)</f>
        <v>0</v>
      </c>
      <c r="AB552" s="44">
        <f ca="1">IFERROR(__xludf.DUMMYFUNCTION("""COMPUTED_VALUE"""),0)</f>
        <v>0</v>
      </c>
      <c r="AC552" s="47">
        <f ca="1">IFERROR(__xludf.DUMMYFUNCTION("""COMPUTED_VALUE"""),0)</f>
        <v>0</v>
      </c>
      <c r="AD552" s="49" t="str">
        <f ca="1">IFERROR(__xludf.DUMMYFUNCTION("""COMPUTED_VALUE"""),"MYSY(50%) + KSPS(25%)")</f>
        <v>MYSY(50%) + KSPS(25%)</v>
      </c>
      <c r="AE552" s="27"/>
    </row>
    <row r="553" spans="1:31" ht="14.3">
      <c r="A553" s="42" t="str">
        <f ca="1">IFERROR(__xludf.DUMMYFUNCTION("""COMPUTED_VALUE"""),"21SDSCE01017")</f>
        <v>21SDSCE01017</v>
      </c>
      <c r="B553" s="43" t="str">
        <f ca="1">IFERROR(__xludf.DUMMYFUNCTION("""COMPUTED_VALUE"""),"GANGADIYA MEET DIPAKBHAI")</f>
        <v>GANGADIYA MEET DIPAKBHAI</v>
      </c>
      <c r="C553" s="42" t="str">
        <f ca="1">IFERROR(__xludf.DUMMYFUNCTION("""COMPUTED_VALUE"""),"SDS")</f>
        <v>SDS</v>
      </c>
      <c r="D553" s="42" t="str">
        <f ca="1">IFERROR(__xludf.DUMMYFUNCTION("""COMPUTED_VALUE"""),"DCE")</f>
        <v>DCE</v>
      </c>
      <c r="E553" s="44">
        <f ca="1">IFERROR(__xludf.DUMMYFUNCTION("""COMPUTED_VALUE"""),6)</f>
        <v>6</v>
      </c>
      <c r="F553" s="42" t="str">
        <f ca="1">IFERROR(__xludf.DUMMYFUNCTION("""COMPUTED_VALUE"""),"9081065019
9428795035
7990438626")</f>
        <v>9081065019
9428795035
7990438626</v>
      </c>
      <c r="G553" s="42" t="str">
        <f ca="1">IFERROR(__xludf.DUMMYFUNCTION("""COMPUTED_VALUE"""),"9081065019
9428795035
7990438626")</f>
        <v>9081065019
9428795035
7990438626</v>
      </c>
      <c r="H553" s="2" t="str">
        <f ca="1">IFERROR(__xludf.DUMMYFUNCTION("""COMPUTED_VALUE"""),"DCE_2021-24")</f>
        <v>DCE_2021-24</v>
      </c>
      <c r="I553" s="45"/>
      <c r="J553" s="46">
        <f ca="1">IFERROR(__xludf.DUMMYFUNCTION("""COMPUTED_VALUE"""),25000)</f>
        <v>25000</v>
      </c>
      <c r="K553" s="46">
        <f ca="1">IFERROR(__xludf.DUMMYFUNCTION("""COMPUTED_VALUE"""),25000)</f>
        <v>25000</v>
      </c>
      <c r="L553" s="46">
        <f ca="1">IFERROR(__xludf.DUMMYFUNCTION("""COMPUTED_VALUE"""),0)</f>
        <v>0</v>
      </c>
      <c r="M553" s="47">
        <f ca="1">IFERROR(__xludf.DUMMYFUNCTION("""COMPUTED_VALUE"""),0)</f>
        <v>0</v>
      </c>
      <c r="N553" s="46">
        <f ca="1">IFERROR(__xludf.DUMMYFUNCTION("""COMPUTED_VALUE"""),0)</f>
        <v>0</v>
      </c>
      <c r="O553" s="46">
        <f ca="1">IFERROR(__xludf.DUMMYFUNCTION("""COMPUTED_VALUE"""),3750)</f>
        <v>3750</v>
      </c>
      <c r="P553" s="46">
        <f ca="1">IFERROR(__xludf.DUMMYFUNCTION("""COMPUTED_VALUE"""),3750)</f>
        <v>3750</v>
      </c>
      <c r="Q553" s="47">
        <f ca="1">IFERROR(__xludf.DUMMYFUNCTION("""COMPUTED_VALUE"""),0)</f>
        <v>0</v>
      </c>
      <c r="R553" s="24">
        <f ca="1">IFERROR(__xludf.DUMMYFUNCTION("""COMPUTED_VALUE"""),0)</f>
        <v>0</v>
      </c>
      <c r="S553" s="23">
        <f ca="1">IFERROR(__xludf.DUMMYFUNCTION("""COMPUTED_VALUE"""),0)</f>
        <v>0</v>
      </c>
      <c r="T553" s="48">
        <f ca="1">IFERROR(__xludf.DUMMYFUNCTION("""COMPUTED_VALUE"""),0)</f>
        <v>0</v>
      </c>
      <c r="U553" s="47">
        <f ca="1">IFERROR(__xludf.DUMMYFUNCTION("""COMPUTED_VALUE"""),0)</f>
        <v>0</v>
      </c>
      <c r="V553" s="47">
        <f ca="1">IFERROR(__xludf.DUMMYFUNCTION("""COMPUTED_VALUE"""),0)</f>
        <v>0</v>
      </c>
      <c r="W553" s="47">
        <f ca="1">IFERROR(__xludf.DUMMYFUNCTION("""COMPUTED_VALUE"""),0)</f>
        <v>0</v>
      </c>
      <c r="X553" s="47">
        <f ca="1">IFERROR(__xludf.DUMMYFUNCTION("""COMPUTED_VALUE"""),0)</f>
        <v>0</v>
      </c>
      <c r="Y553" s="44">
        <f ca="1">IFERROR(__xludf.DUMMYFUNCTION("""COMPUTED_VALUE"""),0)</f>
        <v>0</v>
      </c>
      <c r="Z553" s="44">
        <f ca="1">IFERROR(__xludf.DUMMYFUNCTION("""COMPUTED_VALUE"""),0)</f>
        <v>0</v>
      </c>
      <c r="AA553" s="44">
        <f ca="1">IFERROR(__xludf.DUMMYFUNCTION("""COMPUTED_VALUE"""),0)</f>
        <v>0</v>
      </c>
      <c r="AB553" s="44">
        <f ca="1">IFERROR(__xludf.DUMMYFUNCTION("""COMPUTED_VALUE"""),0)</f>
        <v>0</v>
      </c>
      <c r="AC553" s="47">
        <f ca="1">IFERROR(__xludf.DUMMYFUNCTION("""COMPUTED_VALUE"""),0)</f>
        <v>0</v>
      </c>
      <c r="AD553" s="49"/>
      <c r="AE553" s="27"/>
    </row>
    <row r="554" spans="1:31" ht="23.1">
      <c r="A554" s="42" t="str">
        <f ca="1">IFERROR(__xludf.DUMMYFUNCTION("""COMPUTED_VALUE"""),"21SDSCE01018")</f>
        <v>21SDSCE01018</v>
      </c>
      <c r="B554" s="43" t="str">
        <f ca="1">IFERROR(__xludf.DUMMYFUNCTION("""COMPUTED_VALUE"""),"GOHEL ABHISHEK DIPAKBHAI")</f>
        <v>GOHEL ABHISHEK DIPAKBHAI</v>
      </c>
      <c r="C554" s="42" t="str">
        <f ca="1">IFERROR(__xludf.DUMMYFUNCTION("""COMPUTED_VALUE"""),"SDS")</f>
        <v>SDS</v>
      </c>
      <c r="D554" s="42" t="str">
        <f ca="1">IFERROR(__xludf.DUMMYFUNCTION("""COMPUTED_VALUE"""),"DCE")</f>
        <v>DCE</v>
      </c>
      <c r="E554" s="44">
        <f ca="1">IFERROR(__xludf.DUMMYFUNCTION("""COMPUTED_VALUE"""),6)</f>
        <v>6</v>
      </c>
      <c r="F554" s="42" t="str">
        <f ca="1">IFERROR(__xludf.DUMMYFUNCTION("""COMPUTED_VALUE"""),"8980531364 8160972767")</f>
        <v>8980531364 8160972767</v>
      </c>
      <c r="G554" s="42" t="str">
        <f ca="1">IFERROR(__xludf.DUMMYFUNCTION("""COMPUTED_VALUE"""),"8980531364 8160972767")</f>
        <v>8980531364 8160972767</v>
      </c>
      <c r="H554" s="2" t="str">
        <f ca="1">IFERROR(__xludf.DUMMYFUNCTION("""COMPUTED_VALUE"""),"DCE_2021-24")</f>
        <v>DCE_2021-24</v>
      </c>
      <c r="I554" s="45" t="str">
        <f ca="1">IFERROR(__xludf.DUMMYFUNCTION("""COMPUTED_VALUE"""),"KSP")</f>
        <v>KSP</v>
      </c>
      <c r="J554" s="46">
        <f ca="1">IFERROR(__xludf.DUMMYFUNCTION("""COMPUTED_VALUE"""),25000)</f>
        <v>25000</v>
      </c>
      <c r="K554" s="46">
        <f ca="1">IFERROR(__xludf.DUMMYFUNCTION("""COMPUTED_VALUE"""),12500)</f>
        <v>12500</v>
      </c>
      <c r="L554" s="46">
        <f ca="1">IFERROR(__xludf.DUMMYFUNCTION("""COMPUTED_VALUE"""),0)</f>
        <v>0</v>
      </c>
      <c r="M554" s="47">
        <f ca="1">IFERROR(__xludf.DUMMYFUNCTION("""COMPUTED_VALUE"""),12500)</f>
        <v>12500</v>
      </c>
      <c r="N554" s="46">
        <f ca="1">IFERROR(__xludf.DUMMYFUNCTION("""COMPUTED_VALUE"""),0)</f>
        <v>0</v>
      </c>
      <c r="O554" s="46">
        <f ca="1">IFERROR(__xludf.DUMMYFUNCTION("""COMPUTED_VALUE"""),3750)</f>
        <v>3750</v>
      </c>
      <c r="P554" s="46">
        <f ca="1">IFERROR(__xludf.DUMMYFUNCTION("""COMPUTED_VALUE"""),3750)</f>
        <v>3750</v>
      </c>
      <c r="Q554" s="47">
        <f ca="1">IFERROR(__xludf.DUMMYFUNCTION("""COMPUTED_VALUE"""),0)</f>
        <v>0</v>
      </c>
      <c r="R554" s="24">
        <f ca="1">IFERROR(__xludf.DUMMYFUNCTION("""COMPUTED_VALUE"""),0)</f>
        <v>0</v>
      </c>
      <c r="S554" s="23">
        <f ca="1">IFERROR(__xludf.DUMMYFUNCTION("""COMPUTED_VALUE"""),0)</f>
        <v>0</v>
      </c>
      <c r="T554" s="48">
        <f ca="1">IFERROR(__xludf.DUMMYFUNCTION("""COMPUTED_VALUE"""),0)</f>
        <v>0</v>
      </c>
      <c r="U554" s="47">
        <f ca="1">IFERROR(__xludf.DUMMYFUNCTION("""COMPUTED_VALUE"""),0)</f>
        <v>0</v>
      </c>
      <c r="V554" s="47">
        <f ca="1">IFERROR(__xludf.DUMMYFUNCTION("""COMPUTED_VALUE"""),0)</f>
        <v>0</v>
      </c>
      <c r="W554" s="47">
        <f ca="1">IFERROR(__xludf.DUMMYFUNCTION("""COMPUTED_VALUE"""),0)</f>
        <v>0</v>
      </c>
      <c r="X554" s="47">
        <f ca="1">IFERROR(__xludf.DUMMYFUNCTION("""COMPUTED_VALUE"""),0)</f>
        <v>0</v>
      </c>
      <c r="Y554" s="44">
        <f ca="1">IFERROR(__xludf.DUMMYFUNCTION("""COMPUTED_VALUE"""),0)</f>
        <v>0</v>
      </c>
      <c r="Z554" s="44">
        <f ca="1">IFERROR(__xludf.DUMMYFUNCTION("""COMPUTED_VALUE"""),0)</f>
        <v>0</v>
      </c>
      <c r="AA554" s="44">
        <f ca="1">IFERROR(__xludf.DUMMYFUNCTION("""COMPUTED_VALUE"""),0)</f>
        <v>0</v>
      </c>
      <c r="AB554" s="44">
        <f ca="1">IFERROR(__xludf.DUMMYFUNCTION("""COMPUTED_VALUE"""),0)</f>
        <v>0</v>
      </c>
      <c r="AC554" s="47">
        <f ca="1">IFERROR(__xludf.DUMMYFUNCTION("""COMPUTED_VALUE"""),0)</f>
        <v>0</v>
      </c>
      <c r="AD554" s="49" t="str">
        <f ca="1">IFERROR(__xludf.DUMMYFUNCTION("""COMPUTED_VALUE"""),"RS 12500 PER SEM SCHOLARSHIP")</f>
        <v>RS 12500 PER SEM SCHOLARSHIP</v>
      </c>
      <c r="AE554" s="27"/>
    </row>
    <row r="555" spans="1:31" ht="14.3">
      <c r="A555" s="42" t="str">
        <f ca="1">IFERROR(__xludf.DUMMYFUNCTION("""COMPUTED_VALUE"""),"21SDSCE01019")</f>
        <v>21SDSCE01019</v>
      </c>
      <c r="B555" s="43" t="str">
        <f ca="1">IFERROR(__xludf.DUMMYFUNCTION("""COMPUTED_VALUE"""),"BHOOMIN RAMJIBHAI GORASIYA")</f>
        <v>BHOOMIN RAMJIBHAI GORASIYA</v>
      </c>
      <c r="C555" s="42" t="str">
        <f ca="1">IFERROR(__xludf.DUMMYFUNCTION("""COMPUTED_VALUE"""),"SDS")</f>
        <v>SDS</v>
      </c>
      <c r="D555" s="42" t="str">
        <f ca="1">IFERROR(__xludf.DUMMYFUNCTION("""COMPUTED_VALUE"""),"DCE")</f>
        <v>DCE</v>
      </c>
      <c r="E555" s="44">
        <f ca="1">IFERROR(__xludf.DUMMYFUNCTION("""COMPUTED_VALUE"""),6)</f>
        <v>6</v>
      </c>
      <c r="F555" s="42" t="str">
        <f ca="1">IFERROR(__xludf.DUMMYFUNCTION("""COMPUTED_VALUE"""),"9913986674
9909571976")</f>
        <v>9913986674
9909571976</v>
      </c>
      <c r="G555" s="42" t="str">
        <f ca="1">IFERROR(__xludf.DUMMYFUNCTION("""COMPUTED_VALUE"""),"9913986674
9909571976")</f>
        <v>9913986674
9909571976</v>
      </c>
      <c r="H555" s="2" t="str">
        <f ca="1">IFERROR(__xludf.DUMMYFUNCTION("""COMPUTED_VALUE"""),"DCE_2021-24")</f>
        <v>DCE_2021-24</v>
      </c>
      <c r="I555" s="45"/>
      <c r="J555" s="46">
        <f ca="1">IFERROR(__xludf.DUMMYFUNCTION("""COMPUTED_VALUE"""),25000)</f>
        <v>25000</v>
      </c>
      <c r="K555" s="46">
        <f ca="1">IFERROR(__xludf.DUMMYFUNCTION("""COMPUTED_VALUE"""),25000)</f>
        <v>25000</v>
      </c>
      <c r="L555" s="46">
        <f ca="1">IFERROR(__xludf.DUMMYFUNCTION("""COMPUTED_VALUE"""),0)</f>
        <v>0</v>
      </c>
      <c r="M555" s="47">
        <f ca="1">IFERROR(__xludf.DUMMYFUNCTION("""COMPUTED_VALUE"""),0)</f>
        <v>0</v>
      </c>
      <c r="N555" s="46">
        <f ca="1">IFERROR(__xludf.DUMMYFUNCTION("""COMPUTED_VALUE"""),0)</f>
        <v>0</v>
      </c>
      <c r="O555" s="46">
        <f ca="1">IFERROR(__xludf.DUMMYFUNCTION("""COMPUTED_VALUE"""),3750)</f>
        <v>3750</v>
      </c>
      <c r="P555" s="46">
        <f ca="1">IFERROR(__xludf.DUMMYFUNCTION("""COMPUTED_VALUE"""),3750)</f>
        <v>3750</v>
      </c>
      <c r="Q555" s="47">
        <f ca="1">IFERROR(__xludf.DUMMYFUNCTION("""COMPUTED_VALUE"""),0)</f>
        <v>0</v>
      </c>
      <c r="R555" s="24">
        <f ca="1">IFERROR(__xludf.DUMMYFUNCTION("""COMPUTED_VALUE"""),0)</f>
        <v>0</v>
      </c>
      <c r="S555" s="23">
        <f ca="1">IFERROR(__xludf.DUMMYFUNCTION("""COMPUTED_VALUE"""),0)</f>
        <v>0</v>
      </c>
      <c r="T555" s="48">
        <f ca="1">IFERROR(__xludf.DUMMYFUNCTION("""COMPUTED_VALUE"""),0)</f>
        <v>0</v>
      </c>
      <c r="U555" s="47">
        <f ca="1">IFERROR(__xludf.DUMMYFUNCTION("""COMPUTED_VALUE"""),0)</f>
        <v>0</v>
      </c>
      <c r="V555" s="47">
        <f ca="1">IFERROR(__xludf.DUMMYFUNCTION("""COMPUTED_VALUE"""),0)</f>
        <v>0</v>
      </c>
      <c r="W555" s="47">
        <f ca="1">IFERROR(__xludf.DUMMYFUNCTION("""COMPUTED_VALUE"""),0)</f>
        <v>0</v>
      </c>
      <c r="X555" s="47">
        <f ca="1">IFERROR(__xludf.DUMMYFUNCTION("""COMPUTED_VALUE"""),0)</f>
        <v>0</v>
      </c>
      <c r="Y555" s="44">
        <f ca="1">IFERROR(__xludf.DUMMYFUNCTION("""COMPUTED_VALUE"""),0)</f>
        <v>0</v>
      </c>
      <c r="Z555" s="44">
        <f ca="1">IFERROR(__xludf.DUMMYFUNCTION("""COMPUTED_VALUE"""),0)</f>
        <v>0</v>
      </c>
      <c r="AA555" s="44">
        <f ca="1">IFERROR(__xludf.DUMMYFUNCTION("""COMPUTED_VALUE"""),0)</f>
        <v>0</v>
      </c>
      <c r="AB555" s="44">
        <f ca="1">IFERROR(__xludf.DUMMYFUNCTION("""COMPUTED_VALUE"""),0)</f>
        <v>0</v>
      </c>
      <c r="AC555" s="47">
        <f ca="1">IFERROR(__xludf.DUMMYFUNCTION("""COMPUTED_VALUE"""),0)</f>
        <v>0</v>
      </c>
      <c r="AD555" s="49"/>
      <c r="AE555" s="27"/>
    </row>
    <row r="556" spans="1:31" ht="14.3">
      <c r="A556" s="42" t="str">
        <f ca="1">IFERROR(__xludf.DUMMYFUNCTION("""COMPUTED_VALUE"""),"21SDSCE01021")</f>
        <v>21SDSCE01021</v>
      </c>
      <c r="B556" s="43" t="str">
        <f ca="1">IFERROR(__xludf.DUMMYFUNCTION("""COMPUTED_VALUE"""),"JETHWA KEYURI VIMALBHAI")</f>
        <v>JETHWA KEYURI VIMALBHAI</v>
      </c>
      <c r="C556" s="42" t="str">
        <f ca="1">IFERROR(__xludf.DUMMYFUNCTION("""COMPUTED_VALUE"""),"SDS")</f>
        <v>SDS</v>
      </c>
      <c r="D556" s="42" t="str">
        <f ca="1">IFERROR(__xludf.DUMMYFUNCTION("""COMPUTED_VALUE"""),"DCE")</f>
        <v>DCE</v>
      </c>
      <c r="E556" s="44">
        <f ca="1">IFERROR(__xludf.DUMMYFUNCTION("""COMPUTED_VALUE"""),6)</f>
        <v>6</v>
      </c>
      <c r="F556" s="42" t="str">
        <f ca="1">IFERROR(__xludf.DUMMYFUNCTION("""COMPUTED_VALUE"""),"9409757054 9904133859")</f>
        <v>9409757054 9904133859</v>
      </c>
      <c r="G556" s="42" t="str">
        <f ca="1">IFERROR(__xludf.DUMMYFUNCTION("""COMPUTED_VALUE"""),"9409757054 9904133859")</f>
        <v>9409757054 9904133859</v>
      </c>
      <c r="H556" s="2" t="str">
        <f ca="1">IFERROR(__xludf.DUMMYFUNCTION("""COMPUTED_VALUE"""),"DCE_2021-24")</f>
        <v>DCE_2021-24</v>
      </c>
      <c r="I556" s="45" t="str">
        <f ca="1">IFERROR(__xludf.DUMMYFUNCTION("""COMPUTED_VALUE"""),"MYSY")</f>
        <v>MYSY</v>
      </c>
      <c r="J556" s="46">
        <f ca="1">IFERROR(__xludf.DUMMYFUNCTION("""COMPUTED_VALUE"""),25000)</f>
        <v>25000</v>
      </c>
      <c r="K556" s="46">
        <f ca="1">IFERROR(__xludf.DUMMYFUNCTION("""COMPUTED_VALUE"""),0)</f>
        <v>0</v>
      </c>
      <c r="L556" s="46">
        <f ca="1">IFERROR(__xludf.DUMMYFUNCTION("""COMPUTED_VALUE"""),0)</f>
        <v>0</v>
      </c>
      <c r="M556" s="47">
        <f ca="1">IFERROR(__xludf.DUMMYFUNCTION("""COMPUTED_VALUE"""),0)</f>
        <v>0</v>
      </c>
      <c r="N556" s="46">
        <f ca="1">IFERROR(__xludf.DUMMYFUNCTION("""COMPUTED_VALUE"""),25000)</f>
        <v>25000</v>
      </c>
      <c r="O556" s="46">
        <f ca="1">IFERROR(__xludf.DUMMYFUNCTION("""COMPUTED_VALUE"""),3750)</f>
        <v>3750</v>
      </c>
      <c r="P556" s="46">
        <f ca="1">IFERROR(__xludf.DUMMYFUNCTION("""COMPUTED_VALUE"""),3750)</f>
        <v>3750</v>
      </c>
      <c r="Q556" s="47">
        <f ca="1">IFERROR(__xludf.DUMMYFUNCTION("""COMPUTED_VALUE"""),0)</f>
        <v>0</v>
      </c>
      <c r="R556" s="24">
        <f ca="1">IFERROR(__xludf.DUMMYFUNCTION("""COMPUTED_VALUE"""),0)</f>
        <v>0</v>
      </c>
      <c r="S556" s="23">
        <f ca="1">IFERROR(__xludf.DUMMYFUNCTION("""COMPUTED_VALUE"""),0)</f>
        <v>0</v>
      </c>
      <c r="T556" s="48">
        <f ca="1">IFERROR(__xludf.DUMMYFUNCTION("""COMPUTED_VALUE"""),0)</f>
        <v>0</v>
      </c>
      <c r="U556" s="47">
        <f ca="1">IFERROR(__xludf.DUMMYFUNCTION("""COMPUTED_VALUE"""),0)</f>
        <v>0</v>
      </c>
      <c r="V556" s="47">
        <f ca="1">IFERROR(__xludf.DUMMYFUNCTION("""COMPUTED_VALUE"""),0)</f>
        <v>0</v>
      </c>
      <c r="W556" s="47">
        <f ca="1">IFERROR(__xludf.DUMMYFUNCTION("""COMPUTED_VALUE"""),0)</f>
        <v>0</v>
      </c>
      <c r="X556" s="47">
        <f ca="1">IFERROR(__xludf.DUMMYFUNCTION("""COMPUTED_VALUE"""),0)</f>
        <v>0</v>
      </c>
      <c r="Y556" s="44">
        <f ca="1">IFERROR(__xludf.DUMMYFUNCTION("""COMPUTED_VALUE"""),0)</f>
        <v>0</v>
      </c>
      <c r="Z556" s="44">
        <f ca="1">IFERROR(__xludf.DUMMYFUNCTION("""COMPUTED_VALUE"""),0)</f>
        <v>0</v>
      </c>
      <c r="AA556" s="44">
        <f ca="1">IFERROR(__xludf.DUMMYFUNCTION("""COMPUTED_VALUE"""),0)</f>
        <v>0</v>
      </c>
      <c r="AB556" s="44">
        <f ca="1">IFERROR(__xludf.DUMMYFUNCTION("""COMPUTED_VALUE"""),0)</f>
        <v>0</v>
      </c>
      <c r="AC556" s="47">
        <f ca="1">IFERROR(__xludf.DUMMYFUNCTION("""COMPUTED_VALUE"""),0)</f>
        <v>0</v>
      </c>
      <c r="AD556" s="49" t="str">
        <f ca="1">IFERROR(__xludf.DUMMYFUNCTION("""COMPUTED_VALUE"""),"MYSY(50%) + KSPS(50%)")</f>
        <v>MYSY(50%) + KSPS(50%)</v>
      </c>
      <c r="AE556" s="27"/>
    </row>
    <row r="557" spans="1:31" ht="14.3">
      <c r="A557" s="42" t="str">
        <f ca="1">IFERROR(__xludf.DUMMYFUNCTION("""COMPUTED_VALUE"""),"21SDSCE01022")</f>
        <v>21SDSCE01022</v>
      </c>
      <c r="B557" s="43" t="str">
        <f ca="1">IFERROR(__xludf.DUMMYFUNCTION("""COMPUTED_VALUE"""),"ZINZUVADIYA JENISH PANKAJBHAI")</f>
        <v>ZINZUVADIYA JENISH PANKAJBHAI</v>
      </c>
      <c r="C557" s="42" t="str">
        <f ca="1">IFERROR(__xludf.DUMMYFUNCTION("""COMPUTED_VALUE"""),"SDS")</f>
        <v>SDS</v>
      </c>
      <c r="D557" s="42" t="str">
        <f ca="1">IFERROR(__xludf.DUMMYFUNCTION("""COMPUTED_VALUE"""),"DCE")</f>
        <v>DCE</v>
      </c>
      <c r="E557" s="44">
        <f ca="1">IFERROR(__xludf.DUMMYFUNCTION("""COMPUTED_VALUE"""),6)</f>
        <v>6</v>
      </c>
      <c r="F557" s="42" t="str">
        <f ca="1">IFERROR(__xludf.DUMMYFUNCTION("""COMPUTED_VALUE"""),"9104366086 
9924045200")</f>
        <v>9104366086 
9924045200</v>
      </c>
      <c r="G557" s="42" t="str">
        <f ca="1">IFERROR(__xludf.DUMMYFUNCTION("""COMPUTED_VALUE"""),"9104366086 
9924045200")</f>
        <v>9104366086 
9924045200</v>
      </c>
      <c r="H557" s="2" t="str">
        <f ca="1">IFERROR(__xludf.DUMMYFUNCTION("""COMPUTED_VALUE"""),"DCE_2021-24")</f>
        <v>DCE_2021-24</v>
      </c>
      <c r="I557" s="45"/>
      <c r="J557" s="46">
        <f ca="1">IFERROR(__xludf.DUMMYFUNCTION("""COMPUTED_VALUE"""),25000)</f>
        <v>25000</v>
      </c>
      <c r="K557" s="46">
        <f ca="1">IFERROR(__xludf.DUMMYFUNCTION("""COMPUTED_VALUE"""),25000)</f>
        <v>25000</v>
      </c>
      <c r="L557" s="46">
        <f ca="1">IFERROR(__xludf.DUMMYFUNCTION("""COMPUTED_VALUE"""),0)</f>
        <v>0</v>
      </c>
      <c r="M557" s="47">
        <f ca="1">IFERROR(__xludf.DUMMYFUNCTION("""COMPUTED_VALUE"""),0)</f>
        <v>0</v>
      </c>
      <c r="N557" s="46">
        <f ca="1">IFERROR(__xludf.DUMMYFUNCTION("""COMPUTED_VALUE"""),0)</f>
        <v>0</v>
      </c>
      <c r="O557" s="46">
        <f ca="1">IFERROR(__xludf.DUMMYFUNCTION("""COMPUTED_VALUE"""),3750)</f>
        <v>3750</v>
      </c>
      <c r="P557" s="46">
        <f ca="1">IFERROR(__xludf.DUMMYFUNCTION("""COMPUTED_VALUE"""),3750)</f>
        <v>3750</v>
      </c>
      <c r="Q557" s="47">
        <f ca="1">IFERROR(__xludf.DUMMYFUNCTION("""COMPUTED_VALUE"""),0)</f>
        <v>0</v>
      </c>
      <c r="R557" s="24">
        <f ca="1">IFERROR(__xludf.DUMMYFUNCTION("""COMPUTED_VALUE"""),0)</f>
        <v>0</v>
      </c>
      <c r="S557" s="23">
        <f ca="1">IFERROR(__xludf.DUMMYFUNCTION("""COMPUTED_VALUE"""),0)</f>
        <v>0</v>
      </c>
      <c r="T557" s="48">
        <f ca="1">IFERROR(__xludf.DUMMYFUNCTION("""COMPUTED_VALUE"""),0)</f>
        <v>0</v>
      </c>
      <c r="U557" s="47">
        <f ca="1">IFERROR(__xludf.DUMMYFUNCTION("""COMPUTED_VALUE"""),0)</f>
        <v>0</v>
      </c>
      <c r="V557" s="47">
        <f ca="1">IFERROR(__xludf.DUMMYFUNCTION("""COMPUTED_VALUE"""),0)</f>
        <v>0</v>
      </c>
      <c r="W557" s="47">
        <f ca="1">IFERROR(__xludf.DUMMYFUNCTION("""COMPUTED_VALUE"""),0)</f>
        <v>0</v>
      </c>
      <c r="X557" s="47">
        <f ca="1">IFERROR(__xludf.DUMMYFUNCTION("""COMPUTED_VALUE"""),0)</f>
        <v>0</v>
      </c>
      <c r="Y557" s="44">
        <f ca="1">IFERROR(__xludf.DUMMYFUNCTION("""COMPUTED_VALUE"""),0)</f>
        <v>0</v>
      </c>
      <c r="Z557" s="44">
        <f ca="1">IFERROR(__xludf.DUMMYFUNCTION("""COMPUTED_VALUE"""),0)</f>
        <v>0</v>
      </c>
      <c r="AA557" s="44">
        <f ca="1">IFERROR(__xludf.DUMMYFUNCTION("""COMPUTED_VALUE"""),0)</f>
        <v>0</v>
      </c>
      <c r="AB557" s="44">
        <f ca="1">IFERROR(__xludf.DUMMYFUNCTION("""COMPUTED_VALUE"""),0)</f>
        <v>0</v>
      </c>
      <c r="AC557" s="47">
        <f ca="1">IFERROR(__xludf.DUMMYFUNCTION("""COMPUTED_VALUE"""),0)</f>
        <v>0</v>
      </c>
      <c r="AD557" s="49"/>
      <c r="AE557" s="27"/>
    </row>
    <row r="558" spans="1:31" ht="34.65">
      <c r="A558" s="42" t="str">
        <f ca="1">IFERROR(__xludf.DUMMYFUNCTION("""COMPUTED_VALUE"""),"21SDSCE01023")</f>
        <v>21SDSCE01023</v>
      </c>
      <c r="B558" s="43" t="str">
        <f ca="1">IFERROR(__xludf.DUMMYFUNCTION("""COMPUTED_VALUE"""),"JUNGIWALA MIHIR CHANDRAKANT")</f>
        <v>JUNGIWALA MIHIR CHANDRAKANT</v>
      </c>
      <c r="C558" s="42" t="str">
        <f ca="1">IFERROR(__xludf.DUMMYFUNCTION("""COMPUTED_VALUE"""),"SDS")</f>
        <v>SDS</v>
      </c>
      <c r="D558" s="42" t="str">
        <f ca="1">IFERROR(__xludf.DUMMYFUNCTION("""COMPUTED_VALUE"""),"DCE")</f>
        <v>DCE</v>
      </c>
      <c r="E558" s="44">
        <f ca="1">IFERROR(__xludf.DUMMYFUNCTION("""COMPUTED_VALUE"""),6)</f>
        <v>6</v>
      </c>
      <c r="F558" s="42" t="str">
        <f ca="1">IFERROR(__xludf.DUMMYFUNCTION("""COMPUTED_VALUE"""),"9265541009
8511819009")</f>
        <v>9265541009
8511819009</v>
      </c>
      <c r="G558" s="42" t="str">
        <f ca="1">IFERROR(__xludf.DUMMYFUNCTION("""COMPUTED_VALUE"""),"9265541009
8511819009")</f>
        <v>9265541009
8511819009</v>
      </c>
      <c r="H558" s="2" t="str">
        <f ca="1">IFERROR(__xludf.DUMMYFUNCTION("""COMPUTED_VALUE"""),"DCE_2021-24")</f>
        <v>DCE_2021-24</v>
      </c>
      <c r="I558" s="45"/>
      <c r="J558" s="46">
        <f ca="1">IFERROR(__xludf.DUMMYFUNCTION("""COMPUTED_VALUE"""),25000)</f>
        <v>25000</v>
      </c>
      <c r="K558" s="46">
        <f ca="1">IFERROR(__xludf.DUMMYFUNCTION("""COMPUTED_VALUE"""),0)</f>
        <v>0</v>
      </c>
      <c r="L558" s="46">
        <f ca="1">IFERROR(__xludf.DUMMYFUNCTION("""COMPUTED_VALUE"""),0)</f>
        <v>0</v>
      </c>
      <c r="M558" s="47">
        <f ca="1">IFERROR(__xludf.DUMMYFUNCTION("""COMPUTED_VALUE"""),0)</f>
        <v>0</v>
      </c>
      <c r="N558" s="46">
        <f ca="1">IFERROR(__xludf.DUMMYFUNCTION("""COMPUTED_VALUE"""),25000)</f>
        <v>25000</v>
      </c>
      <c r="O558" s="46">
        <f ca="1">IFERROR(__xludf.DUMMYFUNCTION("""COMPUTED_VALUE"""),3750)</f>
        <v>3750</v>
      </c>
      <c r="P558" s="46">
        <f ca="1">IFERROR(__xludf.DUMMYFUNCTION("""COMPUTED_VALUE"""),0)</f>
        <v>0</v>
      </c>
      <c r="Q558" s="47">
        <f ca="1">IFERROR(__xludf.DUMMYFUNCTION("""COMPUTED_VALUE"""),0)</f>
        <v>0</v>
      </c>
      <c r="R558" s="24">
        <f ca="1">IFERROR(__xludf.DUMMYFUNCTION("""COMPUTED_VALUE"""),0)</f>
        <v>0</v>
      </c>
      <c r="S558" s="23">
        <f ca="1">IFERROR(__xludf.DUMMYFUNCTION("""COMPUTED_VALUE"""),3750)</f>
        <v>3750</v>
      </c>
      <c r="T558" s="48">
        <f ca="1">IFERROR(__xludf.DUMMYFUNCTION("""COMPUTED_VALUE"""),0)</f>
        <v>0</v>
      </c>
      <c r="U558" s="47">
        <f ca="1">IFERROR(__xludf.DUMMYFUNCTION("""COMPUTED_VALUE"""),0)</f>
        <v>0</v>
      </c>
      <c r="V558" s="47">
        <f ca="1">IFERROR(__xludf.DUMMYFUNCTION("""COMPUTED_VALUE"""),0)</f>
        <v>0</v>
      </c>
      <c r="W558" s="47">
        <f ca="1">IFERROR(__xludf.DUMMYFUNCTION("""COMPUTED_VALUE"""),0)</f>
        <v>0</v>
      </c>
      <c r="X558" s="47">
        <f ca="1">IFERROR(__xludf.DUMMYFUNCTION("""COMPUTED_VALUE"""),0)</f>
        <v>0</v>
      </c>
      <c r="Y558" s="44">
        <f ca="1">IFERROR(__xludf.DUMMYFUNCTION("""COMPUTED_VALUE"""),0)</f>
        <v>0</v>
      </c>
      <c r="Z558" s="44">
        <f ca="1">IFERROR(__xludf.DUMMYFUNCTION("""COMPUTED_VALUE"""),0)</f>
        <v>0</v>
      </c>
      <c r="AA558" s="44">
        <f ca="1">IFERROR(__xludf.DUMMYFUNCTION("""COMPUTED_VALUE"""),0)</f>
        <v>0</v>
      </c>
      <c r="AB558" s="44">
        <f ca="1">IFERROR(__xludf.DUMMYFUNCTION("""COMPUTED_VALUE"""),0)</f>
        <v>0</v>
      </c>
      <c r="AC558" s="47">
        <f ca="1">IFERROR(__xludf.DUMMYFUNCTION("""COMPUTED_VALUE"""),0)</f>
        <v>0</v>
      </c>
      <c r="AD558" s="49" t="str">
        <f ca="1">IFERROR(__xludf.DUMMYFUNCTION("""COMPUTED_VALUE"""),"PER SEM 2 INSTALMENT PAID 
(PERMISSION GIVEN  BY DHAVAL SIR)")</f>
        <v>PER SEM 2 INSTALMENT PAID 
(PERMISSION GIVEN  BY DHAVAL SIR)</v>
      </c>
      <c r="AE558" s="27"/>
    </row>
    <row r="559" spans="1:31" ht="14.3">
      <c r="A559" s="42" t="str">
        <f ca="1">IFERROR(__xludf.DUMMYFUNCTION("""COMPUTED_VALUE"""),"21SDSCE01024")</f>
        <v>21SDSCE01024</v>
      </c>
      <c r="B559" s="43" t="str">
        <f ca="1">IFERROR(__xludf.DUMMYFUNCTION("""COMPUTED_VALUE"""),"KALARIYA KRIS KIRITBHAI")</f>
        <v>KALARIYA KRIS KIRITBHAI</v>
      </c>
      <c r="C559" s="42" t="str">
        <f ca="1">IFERROR(__xludf.DUMMYFUNCTION("""COMPUTED_VALUE"""),"SDS")</f>
        <v>SDS</v>
      </c>
      <c r="D559" s="42" t="str">
        <f ca="1">IFERROR(__xludf.DUMMYFUNCTION("""COMPUTED_VALUE"""),"DCE")</f>
        <v>DCE</v>
      </c>
      <c r="E559" s="44">
        <f ca="1">IFERROR(__xludf.DUMMYFUNCTION("""COMPUTED_VALUE"""),6)</f>
        <v>6</v>
      </c>
      <c r="F559" s="42" t="str">
        <f ca="1">IFERROR(__xludf.DUMMYFUNCTION("""COMPUTED_VALUE"""),"9727428844 9714026424")</f>
        <v>9727428844 9714026424</v>
      </c>
      <c r="G559" s="42" t="str">
        <f ca="1">IFERROR(__xludf.DUMMYFUNCTION("""COMPUTED_VALUE"""),"9727428844 9714026424")</f>
        <v>9727428844 9714026424</v>
      </c>
      <c r="H559" s="2" t="str">
        <f ca="1">IFERROR(__xludf.DUMMYFUNCTION("""COMPUTED_VALUE"""),"DCE_2021-24")</f>
        <v>DCE_2021-24</v>
      </c>
      <c r="I559" s="45" t="str">
        <f ca="1">IFERROR(__xludf.DUMMYFUNCTION("""COMPUTED_VALUE"""),"MYSY")</f>
        <v>MYSY</v>
      </c>
      <c r="J559" s="46">
        <f ca="1">IFERROR(__xludf.DUMMYFUNCTION("""COMPUTED_VALUE"""),25000)</f>
        <v>25000</v>
      </c>
      <c r="K559" s="46">
        <f ca="1">IFERROR(__xludf.DUMMYFUNCTION("""COMPUTED_VALUE"""),0)</f>
        <v>0</v>
      </c>
      <c r="L559" s="46">
        <f ca="1">IFERROR(__xludf.DUMMYFUNCTION("""COMPUTED_VALUE"""),0)</f>
        <v>0</v>
      </c>
      <c r="M559" s="47">
        <f ca="1">IFERROR(__xludf.DUMMYFUNCTION("""COMPUTED_VALUE"""),0)</f>
        <v>0</v>
      </c>
      <c r="N559" s="46">
        <f ca="1">IFERROR(__xludf.DUMMYFUNCTION("""COMPUTED_VALUE"""),25000)</f>
        <v>25000</v>
      </c>
      <c r="O559" s="46">
        <f ca="1">IFERROR(__xludf.DUMMYFUNCTION("""COMPUTED_VALUE"""),3750)</f>
        <v>3750</v>
      </c>
      <c r="P559" s="46">
        <f ca="1">IFERROR(__xludf.DUMMYFUNCTION("""COMPUTED_VALUE"""),3750)</f>
        <v>3750</v>
      </c>
      <c r="Q559" s="47">
        <f ca="1">IFERROR(__xludf.DUMMYFUNCTION("""COMPUTED_VALUE"""),0)</f>
        <v>0</v>
      </c>
      <c r="R559" s="24">
        <f ca="1">IFERROR(__xludf.DUMMYFUNCTION("""COMPUTED_VALUE"""),0)</f>
        <v>0</v>
      </c>
      <c r="S559" s="23">
        <f ca="1">IFERROR(__xludf.DUMMYFUNCTION("""COMPUTED_VALUE"""),0)</f>
        <v>0</v>
      </c>
      <c r="T559" s="48">
        <f ca="1">IFERROR(__xludf.DUMMYFUNCTION("""COMPUTED_VALUE"""),0)</f>
        <v>0</v>
      </c>
      <c r="U559" s="47">
        <f ca="1">IFERROR(__xludf.DUMMYFUNCTION("""COMPUTED_VALUE"""),0)</f>
        <v>0</v>
      </c>
      <c r="V559" s="47">
        <f ca="1">IFERROR(__xludf.DUMMYFUNCTION("""COMPUTED_VALUE"""),0)</f>
        <v>0</v>
      </c>
      <c r="W559" s="47">
        <f ca="1">IFERROR(__xludf.DUMMYFUNCTION("""COMPUTED_VALUE"""),0)</f>
        <v>0</v>
      </c>
      <c r="X559" s="47">
        <f ca="1">IFERROR(__xludf.DUMMYFUNCTION("""COMPUTED_VALUE"""),0)</f>
        <v>0</v>
      </c>
      <c r="Y559" s="44">
        <f ca="1">IFERROR(__xludf.DUMMYFUNCTION("""COMPUTED_VALUE"""),0)</f>
        <v>0</v>
      </c>
      <c r="Z559" s="44">
        <f ca="1">IFERROR(__xludf.DUMMYFUNCTION("""COMPUTED_VALUE"""),0)</f>
        <v>0</v>
      </c>
      <c r="AA559" s="44">
        <f ca="1">IFERROR(__xludf.DUMMYFUNCTION("""COMPUTED_VALUE"""),0)</f>
        <v>0</v>
      </c>
      <c r="AB559" s="44">
        <f ca="1">IFERROR(__xludf.DUMMYFUNCTION("""COMPUTED_VALUE"""),0)</f>
        <v>0</v>
      </c>
      <c r="AC559" s="47">
        <f ca="1">IFERROR(__xludf.DUMMYFUNCTION("""COMPUTED_VALUE"""),0)</f>
        <v>0</v>
      </c>
      <c r="AD559" s="49" t="str">
        <f ca="1">IFERROR(__xludf.DUMMYFUNCTION("""COMPUTED_VALUE"""),"MYSY(50%) + KSPS(50%)")</f>
        <v>MYSY(50%) + KSPS(50%)</v>
      </c>
      <c r="AE559" s="27"/>
    </row>
    <row r="560" spans="1:31" ht="14.3">
      <c r="A560" s="42" t="str">
        <f ca="1">IFERROR(__xludf.DUMMYFUNCTION("""COMPUTED_VALUE"""),"21SDSCE01027")</f>
        <v>21SDSCE01027</v>
      </c>
      <c r="B560" s="43" t="str">
        <f ca="1">IFERROR(__xludf.DUMMYFUNCTION("""COMPUTED_VALUE"""),"KERALIYA DHRUVISHA BHUPATBHAI")</f>
        <v>KERALIYA DHRUVISHA BHUPATBHAI</v>
      </c>
      <c r="C560" s="42" t="str">
        <f ca="1">IFERROR(__xludf.DUMMYFUNCTION("""COMPUTED_VALUE"""),"SDS")</f>
        <v>SDS</v>
      </c>
      <c r="D560" s="42" t="str">
        <f ca="1">IFERROR(__xludf.DUMMYFUNCTION("""COMPUTED_VALUE"""),"DCE")</f>
        <v>DCE</v>
      </c>
      <c r="E560" s="44">
        <f ca="1">IFERROR(__xludf.DUMMYFUNCTION("""COMPUTED_VALUE"""),6)</f>
        <v>6</v>
      </c>
      <c r="F560" s="42" t="str">
        <f ca="1">IFERROR(__xludf.DUMMYFUNCTION("""COMPUTED_VALUE"""),"9428254994 9737340919")</f>
        <v>9428254994 9737340919</v>
      </c>
      <c r="G560" s="42" t="str">
        <f ca="1">IFERROR(__xludf.DUMMYFUNCTION("""COMPUTED_VALUE"""),"9428254994 9737340919")</f>
        <v>9428254994 9737340919</v>
      </c>
      <c r="H560" s="2" t="str">
        <f ca="1">IFERROR(__xludf.DUMMYFUNCTION("""COMPUTED_VALUE"""),"DCE_2021-24")</f>
        <v>DCE_2021-24</v>
      </c>
      <c r="I560" s="45" t="str">
        <f ca="1">IFERROR(__xludf.DUMMYFUNCTION("""COMPUTED_VALUE"""),"MYSY")</f>
        <v>MYSY</v>
      </c>
      <c r="J560" s="46">
        <f ca="1">IFERROR(__xludf.DUMMYFUNCTION("""COMPUTED_VALUE"""),25000)</f>
        <v>25000</v>
      </c>
      <c r="K560" s="46">
        <f ca="1">IFERROR(__xludf.DUMMYFUNCTION("""COMPUTED_VALUE"""),25000)</f>
        <v>25000</v>
      </c>
      <c r="L560" s="46">
        <f ca="1">IFERROR(__xludf.DUMMYFUNCTION("""COMPUTED_VALUE"""),0)</f>
        <v>0</v>
      </c>
      <c r="M560" s="47">
        <f ca="1">IFERROR(__xludf.DUMMYFUNCTION("""COMPUTED_VALUE"""),0)</f>
        <v>0</v>
      </c>
      <c r="N560" s="46">
        <f ca="1">IFERROR(__xludf.DUMMYFUNCTION("""COMPUTED_VALUE"""),0)</f>
        <v>0</v>
      </c>
      <c r="O560" s="46">
        <f ca="1">IFERROR(__xludf.DUMMYFUNCTION("""COMPUTED_VALUE"""),3750)</f>
        <v>3750</v>
      </c>
      <c r="P560" s="46">
        <f ca="1">IFERROR(__xludf.DUMMYFUNCTION("""COMPUTED_VALUE"""),3750)</f>
        <v>3750</v>
      </c>
      <c r="Q560" s="47">
        <f ca="1">IFERROR(__xludf.DUMMYFUNCTION("""COMPUTED_VALUE"""),0)</f>
        <v>0</v>
      </c>
      <c r="R560" s="24">
        <f ca="1">IFERROR(__xludf.DUMMYFUNCTION("""COMPUTED_VALUE"""),0)</f>
        <v>0</v>
      </c>
      <c r="S560" s="23">
        <f ca="1">IFERROR(__xludf.DUMMYFUNCTION("""COMPUTED_VALUE"""),0)</f>
        <v>0</v>
      </c>
      <c r="T560" s="48">
        <f ca="1">IFERROR(__xludf.DUMMYFUNCTION("""COMPUTED_VALUE"""),0)</f>
        <v>0</v>
      </c>
      <c r="U560" s="47">
        <f ca="1">IFERROR(__xludf.DUMMYFUNCTION("""COMPUTED_VALUE"""),0)</f>
        <v>0</v>
      </c>
      <c r="V560" s="47">
        <f ca="1">IFERROR(__xludf.DUMMYFUNCTION("""COMPUTED_VALUE"""),0)</f>
        <v>0</v>
      </c>
      <c r="W560" s="47">
        <f ca="1">IFERROR(__xludf.DUMMYFUNCTION("""COMPUTED_VALUE"""),0)</f>
        <v>0</v>
      </c>
      <c r="X560" s="47">
        <f ca="1">IFERROR(__xludf.DUMMYFUNCTION("""COMPUTED_VALUE"""),0)</f>
        <v>0</v>
      </c>
      <c r="Y560" s="44">
        <f ca="1">IFERROR(__xludf.DUMMYFUNCTION("""COMPUTED_VALUE"""),0)</f>
        <v>0</v>
      </c>
      <c r="Z560" s="44">
        <f ca="1">IFERROR(__xludf.DUMMYFUNCTION("""COMPUTED_VALUE"""),0)</f>
        <v>0</v>
      </c>
      <c r="AA560" s="44">
        <f ca="1">IFERROR(__xludf.DUMMYFUNCTION("""COMPUTED_VALUE"""),0)</f>
        <v>0</v>
      </c>
      <c r="AB560" s="44">
        <f ca="1">IFERROR(__xludf.DUMMYFUNCTION("""COMPUTED_VALUE"""),0)</f>
        <v>0</v>
      </c>
      <c r="AC560" s="47">
        <f ca="1">IFERROR(__xludf.DUMMYFUNCTION("""COMPUTED_VALUE"""),0)</f>
        <v>0</v>
      </c>
      <c r="AD560" s="49" t="str">
        <f ca="1">IFERROR(__xludf.DUMMYFUNCTION("""COMPUTED_VALUE"""),"MYSY(50%) + KSPS(50%)")</f>
        <v>MYSY(50%) + KSPS(50%)</v>
      </c>
      <c r="AE560" s="27"/>
    </row>
    <row r="561" spans="1:31" ht="28.55">
      <c r="A561" s="42" t="str">
        <f ca="1">IFERROR(__xludf.DUMMYFUNCTION("""COMPUTED_VALUE"""),"21SDSCE01030")</f>
        <v>21SDSCE01030</v>
      </c>
      <c r="B561" s="43" t="str">
        <f ca="1">IFERROR(__xludf.DUMMYFUNCTION("""COMPUTED_VALUE"""),"KHIMSURIYA KINJAL MAVJIBHAI")</f>
        <v>KHIMSURIYA KINJAL MAVJIBHAI</v>
      </c>
      <c r="C561" s="42" t="str">
        <f ca="1">IFERROR(__xludf.DUMMYFUNCTION("""COMPUTED_VALUE"""),"SDS")</f>
        <v>SDS</v>
      </c>
      <c r="D561" s="42" t="str">
        <f ca="1">IFERROR(__xludf.DUMMYFUNCTION("""COMPUTED_VALUE"""),"DCE")</f>
        <v>DCE</v>
      </c>
      <c r="E561" s="44">
        <f ca="1">IFERROR(__xludf.DUMMYFUNCTION("""COMPUTED_VALUE"""),6)</f>
        <v>6</v>
      </c>
      <c r="F561" s="42" t="str">
        <f ca="1">IFERROR(__xludf.DUMMYFUNCTION("""COMPUTED_VALUE"""),"9265741941 7698918401")</f>
        <v>9265741941 7698918401</v>
      </c>
      <c r="G561" s="42" t="str">
        <f ca="1">IFERROR(__xludf.DUMMYFUNCTION("""COMPUTED_VALUE"""),"9265741941 7698918401")</f>
        <v>9265741941 7698918401</v>
      </c>
      <c r="H561" s="2" t="str">
        <f ca="1">IFERROR(__xludf.DUMMYFUNCTION("""COMPUTED_VALUE"""),"DCE_2021-24")</f>
        <v>DCE_2021-24</v>
      </c>
      <c r="I561" s="45" t="str">
        <f ca="1">IFERROR(__xludf.DUMMYFUNCTION("""COMPUTED_VALUE"""),"FREESHIP CARD")</f>
        <v>FREESHIP CARD</v>
      </c>
      <c r="J561" s="46">
        <f ca="1">IFERROR(__xludf.DUMMYFUNCTION("""COMPUTED_VALUE"""),25000)</f>
        <v>25000</v>
      </c>
      <c r="K561" s="46">
        <f ca="1">IFERROR(__xludf.DUMMYFUNCTION("""COMPUTED_VALUE"""),0)</f>
        <v>0</v>
      </c>
      <c r="L561" s="46">
        <f ca="1">IFERROR(__xludf.DUMMYFUNCTION("""COMPUTED_VALUE"""),0)</f>
        <v>0</v>
      </c>
      <c r="M561" s="47">
        <f ca="1">IFERROR(__xludf.DUMMYFUNCTION("""COMPUTED_VALUE"""),0)</f>
        <v>0</v>
      </c>
      <c r="N561" s="46">
        <f ca="1">IFERROR(__xludf.DUMMYFUNCTION("""COMPUTED_VALUE"""),25000)</f>
        <v>25000</v>
      </c>
      <c r="O561" s="46">
        <f ca="1">IFERROR(__xludf.DUMMYFUNCTION("""COMPUTED_VALUE"""),1250)</f>
        <v>1250</v>
      </c>
      <c r="P561" s="46">
        <f ca="1">IFERROR(__xludf.DUMMYFUNCTION("""COMPUTED_VALUE"""),1250)</f>
        <v>1250</v>
      </c>
      <c r="Q561" s="47">
        <f ca="1">IFERROR(__xludf.DUMMYFUNCTION("""COMPUTED_VALUE"""),0)</f>
        <v>0</v>
      </c>
      <c r="R561" s="24">
        <f ca="1">IFERROR(__xludf.DUMMYFUNCTION("""COMPUTED_VALUE"""),0)</f>
        <v>0</v>
      </c>
      <c r="S561" s="23">
        <f ca="1">IFERROR(__xludf.DUMMYFUNCTION("""COMPUTED_VALUE"""),0)</f>
        <v>0</v>
      </c>
      <c r="T561" s="48">
        <f ca="1">IFERROR(__xludf.DUMMYFUNCTION("""COMPUTED_VALUE"""),0)</f>
        <v>0</v>
      </c>
      <c r="U561" s="47">
        <f ca="1">IFERROR(__xludf.DUMMYFUNCTION("""COMPUTED_VALUE"""),0)</f>
        <v>0</v>
      </c>
      <c r="V561" s="47">
        <f ca="1">IFERROR(__xludf.DUMMYFUNCTION("""COMPUTED_VALUE"""),0)</f>
        <v>0</v>
      </c>
      <c r="W561" s="47">
        <f ca="1">IFERROR(__xludf.DUMMYFUNCTION("""COMPUTED_VALUE"""),0)</f>
        <v>0</v>
      </c>
      <c r="X561" s="47">
        <f ca="1">IFERROR(__xludf.DUMMYFUNCTION("""COMPUTED_VALUE"""),0)</f>
        <v>0</v>
      </c>
      <c r="Y561" s="44">
        <f ca="1">IFERROR(__xludf.DUMMYFUNCTION("""COMPUTED_VALUE"""),0)</f>
        <v>0</v>
      </c>
      <c r="Z561" s="44">
        <f ca="1">IFERROR(__xludf.DUMMYFUNCTION("""COMPUTED_VALUE"""),0)</f>
        <v>0</v>
      </c>
      <c r="AA561" s="44">
        <f ca="1">IFERROR(__xludf.DUMMYFUNCTION("""COMPUTED_VALUE"""),0)</f>
        <v>0</v>
      </c>
      <c r="AB561" s="44">
        <f ca="1">IFERROR(__xludf.DUMMYFUNCTION("""COMPUTED_VALUE"""),0)</f>
        <v>0</v>
      </c>
      <c r="AC561" s="47">
        <f ca="1">IFERROR(__xludf.DUMMYFUNCTION("""COMPUTED_VALUE"""),0)</f>
        <v>0</v>
      </c>
      <c r="AD561" s="49" t="str">
        <f ca="1">IFERROR(__xludf.DUMMYFUNCTION("""COMPUTED_VALUE"""),"FREESHIPCARD STUDENT")</f>
        <v>FREESHIPCARD STUDENT</v>
      </c>
      <c r="AE561" s="27"/>
    </row>
    <row r="562" spans="1:31" ht="14.3">
      <c r="A562" s="42" t="str">
        <f ca="1">IFERROR(__xludf.DUMMYFUNCTION("""COMPUTED_VALUE"""),"21SDSCE01034")</f>
        <v>21SDSCE01034</v>
      </c>
      <c r="B562" s="43" t="str">
        <f ca="1">IFERROR(__xludf.DUMMYFUNCTION("""COMPUTED_VALUE"""),"MAKATI DISHA ATULBHAI")</f>
        <v>MAKATI DISHA ATULBHAI</v>
      </c>
      <c r="C562" s="42" t="str">
        <f ca="1">IFERROR(__xludf.DUMMYFUNCTION("""COMPUTED_VALUE"""),"SDS")</f>
        <v>SDS</v>
      </c>
      <c r="D562" s="42" t="str">
        <f ca="1">IFERROR(__xludf.DUMMYFUNCTION("""COMPUTED_VALUE"""),"DCE")</f>
        <v>DCE</v>
      </c>
      <c r="E562" s="44">
        <f ca="1">IFERROR(__xludf.DUMMYFUNCTION("""COMPUTED_VALUE"""),6)</f>
        <v>6</v>
      </c>
      <c r="F562" s="42" t="str">
        <f ca="1">IFERROR(__xludf.DUMMYFUNCTION("""COMPUTED_VALUE"""),"6352175288 9904745910")</f>
        <v>6352175288 9904745910</v>
      </c>
      <c r="G562" s="42" t="str">
        <f ca="1">IFERROR(__xludf.DUMMYFUNCTION("""COMPUTED_VALUE"""),"6352175288 9904745910")</f>
        <v>6352175288 9904745910</v>
      </c>
      <c r="H562" s="2" t="str">
        <f ca="1">IFERROR(__xludf.DUMMYFUNCTION("""COMPUTED_VALUE"""),"DCE_2021-24")</f>
        <v>DCE_2021-24</v>
      </c>
      <c r="I562" s="45" t="str">
        <f ca="1">IFERROR(__xludf.DUMMYFUNCTION("""COMPUTED_VALUE"""),"MYSY")</f>
        <v>MYSY</v>
      </c>
      <c r="J562" s="46">
        <f ca="1">IFERROR(__xludf.DUMMYFUNCTION("""COMPUTED_VALUE"""),25000)</f>
        <v>25000</v>
      </c>
      <c r="K562" s="46">
        <f ca="1">IFERROR(__xludf.DUMMYFUNCTION("""COMPUTED_VALUE"""),25000)</f>
        <v>25000</v>
      </c>
      <c r="L562" s="46">
        <f ca="1">IFERROR(__xludf.DUMMYFUNCTION("""COMPUTED_VALUE"""),0)</f>
        <v>0</v>
      </c>
      <c r="M562" s="47">
        <f ca="1">IFERROR(__xludf.DUMMYFUNCTION("""COMPUTED_VALUE"""),0)</f>
        <v>0</v>
      </c>
      <c r="N562" s="46">
        <f ca="1">IFERROR(__xludf.DUMMYFUNCTION("""COMPUTED_VALUE"""),0)</f>
        <v>0</v>
      </c>
      <c r="O562" s="46">
        <f ca="1">IFERROR(__xludf.DUMMYFUNCTION("""COMPUTED_VALUE"""),3750)</f>
        <v>3750</v>
      </c>
      <c r="P562" s="46">
        <f ca="1">IFERROR(__xludf.DUMMYFUNCTION("""COMPUTED_VALUE"""),3750)</f>
        <v>3750</v>
      </c>
      <c r="Q562" s="47">
        <f ca="1">IFERROR(__xludf.DUMMYFUNCTION("""COMPUTED_VALUE"""),0)</f>
        <v>0</v>
      </c>
      <c r="R562" s="24">
        <f ca="1">IFERROR(__xludf.DUMMYFUNCTION("""COMPUTED_VALUE"""),0)</f>
        <v>0</v>
      </c>
      <c r="S562" s="23">
        <f ca="1">IFERROR(__xludf.DUMMYFUNCTION("""COMPUTED_VALUE"""),0)</f>
        <v>0</v>
      </c>
      <c r="T562" s="48">
        <f ca="1">IFERROR(__xludf.DUMMYFUNCTION("""COMPUTED_VALUE"""),0)</f>
        <v>0</v>
      </c>
      <c r="U562" s="47">
        <f ca="1">IFERROR(__xludf.DUMMYFUNCTION("""COMPUTED_VALUE"""),0)</f>
        <v>0</v>
      </c>
      <c r="V562" s="47">
        <f ca="1">IFERROR(__xludf.DUMMYFUNCTION("""COMPUTED_VALUE"""),0)</f>
        <v>0</v>
      </c>
      <c r="W562" s="47">
        <f ca="1">IFERROR(__xludf.DUMMYFUNCTION("""COMPUTED_VALUE"""),0)</f>
        <v>0</v>
      </c>
      <c r="X562" s="47">
        <f ca="1">IFERROR(__xludf.DUMMYFUNCTION("""COMPUTED_VALUE"""),0)</f>
        <v>0</v>
      </c>
      <c r="Y562" s="44">
        <f ca="1">IFERROR(__xludf.DUMMYFUNCTION("""COMPUTED_VALUE"""),0)</f>
        <v>0</v>
      </c>
      <c r="Z562" s="44">
        <f ca="1">IFERROR(__xludf.DUMMYFUNCTION("""COMPUTED_VALUE"""),0)</f>
        <v>0</v>
      </c>
      <c r="AA562" s="44">
        <f ca="1">IFERROR(__xludf.DUMMYFUNCTION("""COMPUTED_VALUE"""),0)</f>
        <v>0</v>
      </c>
      <c r="AB562" s="44">
        <f ca="1">IFERROR(__xludf.DUMMYFUNCTION("""COMPUTED_VALUE"""),0)</f>
        <v>0</v>
      </c>
      <c r="AC562" s="47">
        <f ca="1">IFERROR(__xludf.DUMMYFUNCTION("""COMPUTED_VALUE"""),0)</f>
        <v>0</v>
      </c>
      <c r="AD562" s="49" t="str">
        <f ca="1">IFERROR(__xludf.DUMMYFUNCTION("""COMPUTED_VALUE"""),"MYSY(50%) + KSPS(50%)")</f>
        <v>MYSY(50%) + KSPS(50%)</v>
      </c>
      <c r="AE562" s="27"/>
    </row>
    <row r="563" spans="1:31" ht="14.3">
      <c r="A563" s="42" t="str">
        <f ca="1">IFERROR(__xludf.DUMMYFUNCTION("""COMPUTED_VALUE"""),"21SDSCE01035")</f>
        <v>21SDSCE01035</v>
      </c>
      <c r="B563" s="43" t="str">
        <f ca="1">IFERROR(__xludf.DUMMYFUNCTION("""COMPUTED_VALUE"""),"MAKWANA YASHVI JAYESHBHAI")</f>
        <v>MAKWANA YASHVI JAYESHBHAI</v>
      </c>
      <c r="C563" s="42" t="str">
        <f ca="1">IFERROR(__xludf.DUMMYFUNCTION("""COMPUTED_VALUE"""),"SDS")</f>
        <v>SDS</v>
      </c>
      <c r="D563" s="42" t="str">
        <f ca="1">IFERROR(__xludf.DUMMYFUNCTION("""COMPUTED_VALUE"""),"DCE")</f>
        <v>DCE</v>
      </c>
      <c r="E563" s="44">
        <f ca="1">IFERROR(__xludf.DUMMYFUNCTION("""COMPUTED_VALUE"""),6)</f>
        <v>6</v>
      </c>
      <c r="F563" s="42" t="str">
        <f ca="1">IFERROR(__xludf.DUMMYFUNCTION("""COMPUTED_VALUE"""),"9173318545
96626 88803")</f>
        <v>9173318545
96626 88803</v>
      </c>
      <c r="G563" s="42" t="str">
        <f ca="1">IFERROR(__xludf.DUMMYFUNCTION("""COMPUTED_VALUE"""),"9173318545
96626 88803")</f>
        <v>9173318545
96626 88803</v>
      </c>
      <c r="H563" s="2" t="str">
        <f ca="1">IFERROR(__xludf.DUMMYFUNCTION("""COMPUTED_VALUE"""),"DCE_2021-24")</f>
        <v>DCE_2021-24</v>
      </c>
      <c r="I563" s="45"/>
      <c r="J563" s="46">
        <f ca="1">IFERROR(__xludf.DUMMYFUNCTION("""COMPUTED_VALUE"""),25000)</f>
        <v>25000</v>
      </c>
      <c r="K563" s="46">
        <f ca="1">IFERROR(__xludf.DUMMYFUNCTION("""COMPUTED_VALUE"""),25000)</f>
        <v>25000</v>
      </c>
      <c r="L563" s="46">
        <f ca="1">IFERROR(__xludf.DUMMYFUNCTION("""COMPUTED_VALUE"""),0)</f>
        <v>0</v>
      </c>
      <c r="M563" s="47">
        <f ca="1">IFERROR(__xludf.DUMMYFUNCTION("""COMPUTED_VALUE"""),0)</f>
        <v>0</v>
      </c>
      <c r="N563" s="46">
        <f ca="1">IFERROR(__xludf.DUMMYFUNCTION("""COMPUTED_VALUE"""),0)</f>
        <v>0</v>
      </c>
      <c r="O563" s="46">
        <f ca="1">IFERROR(__xludf.DUMMYFUNCTION("""COMPUTED_VALUE"""),3750)</f>
        <v>3750</v>
      </c>
      <c r="P563" s="46">
        <f ca="1">IFERROR(__xludf.DUMMYFUNCTION("""COMPUTED_VALUE"""),3750)</f>
        <v>3750</v>
      </c>
      <c r="Q563" s="47">
        <f ca="1">IFERROR(__xludf.DUMMYFUNCTION("""COMPUTED_VALUE"""),0)</f>
        <v>0</v>
      </c>
      <c r="R563" s="24">
        <f ca="1">IFERROR(__xludf.DUMMYFUNCTION("""COMPUTED_VALUE"""),0)</f>
        <v>0</v>
      </c>
      <c r="S563" s="23">
        <f ca="1">IFERROR(__xludf.DUMMYFUNCTION("""COMPUTED_VALUE"""),0)</f>
        <v>0</v>
      </c>
      <c r="T563" s="48">
        <f ca="1">IFERROR(__xludf.DUMMYFUNCTION("""COMPUTED_VALUE"""),0)</f>
        <v>0</v>
      </c>
      <c r="U563" s="47">
        <f ca="1">IFERROR(__xludf.DUMMYFUNCTION("""COMPUTED_VALUE"""),0)</f>
        <v>0</v>
      </c>
      <c r="V563" s="47">
        <f ca="1">IFERROR(__xludf.DUMMYFUNCTION("""COMPUTED_VALUE"""),0)</f>
        <v>0</v>
      </c>
      <c r="W563" s="47">
        <f ca="1">IFERROR(__xludf.DUMMYFUNCTION("""COMPUTED_VALUE"""),0)</f>
        <v>0</v>
      </c>
      <c r="X563" s="47">
        <f ca="1">IFERROR(__xludf.DUMMYFUNCTION("""COMPUTED_VALUE"""),0)</f>
        <v>0</v>
      </c>
      <c r="Y563" s="44">
        <f ca="1">IFERROR(__xludf.DUMMYFUNCTION("""COMPUTED_VALUE"""),0)</f>
        <v>0</v>
      </c>
      <c r="Z563" s="44">
        <f ca="1">IFERROR(__xludf.DUMMYFUNCTION("""COMPUTED_VALUE"""),0)</f>
        <v>0</v>
      </c>
      <c r="AA563" s="44">
        <f ca="1">IFERROR(__xludf.DUMMYFUNCTION("""COMPUTED_VALUE"""),0)</f>
        <v>0</v>
      </c>
      <c r="AB563" s="44">
        <f ca="1">IFERROR(__xludf.DUMMYFUNCTION("""COMPUTED_VALUE"""),0)</f>
        <v>0</v>
      </c>
      <c r="AC563" s="47">
        <f ca="1">IFERROR(__xludf.DUMMYFUNCTION("""COMPUTED_VALUE"""),0)</f>
        <v>0</v>
      </c>
      <c r="AD563" s="49"/>
      <c r="AE563" s="27"/>
    </row>
    <row r="564" spans="1:31" ht="14.3">
      <c r="A564" s="42" t="str">
        <f ca="1">IFERROR(__xludf.DUMMYFUNCTION("""COMPUTED_VALUE"""),"21SDSCE01036")</f>
        <v>21SDSCE01036</v>
      </c>
      <c r="B564" s="43" t="str">
        <f ca="1">IFERROR(__xludf.DUMMYFUNCTION("""COMPUTED_VALUE"""),"MANDHAT ALNUR ALTAFBHAI")</f>
        <v>MANDHAT ALNUR ALTAFBHAI</v>
      </c>
      <c r="C564" s="42" t="str">
        <f ca="1">IFERROR(__xludf.DUMMYFUNCTION("""COMPUTED_VALUE"""),"SDS")</f>
        <v>SDS</v>
      </c>
      <c r="D564" s="42" t="str">
        <f ca="1">IFERROR(__xludf.DUMMYFUNCTION("""COMPUTED_VALUE"""),"DCE")</f>
        <v>DCE</v>
      </c>
      <c r="E564" s="44">
        <f ca="1">IFERROR(__xludf.DUMMYFUNCTION("""COMPUTED_VALUE"""),6)</f>
        <v>6</v>
      </c>
      <c r="F564" s="42" t="str">
        <f ca="1">IFERROR(__xludf.DUMMYFUNCTION("""COMPUTED_VALUE"""),"9558675252 8140226998")</f>
        <v>9558675252 8140226998</v>
      </c>
      <c r="G564" s="42" t="str">
        <f ca="1">IFERROR(__xludf.DUMMYFUNCTION("""COMPUTED_VALUE"""),"9558675252 8140226998")</f>
        <v>9558675252 8140226998</v>
      </c>
      <c r="H564" s="2" t="str">
        <f ca="1">IFERROR(__xludf.DUMMYFUNCTION("""COMPUTED_VALUE"""),"DCE_2021-24")</f>
        <v>DCE_2021-24</v>
      </c>
      <c r="I564" s="45" t="str">
        <f ca="1">IFERROR(__xludf.DUMMYFUNCTION("""COMPUTED_VALUE"""),"MYSY")</f>
        <v>MYSY</v>
      </c>
      <c r="J564" s="46">
        <f ca="1">IFERROR(__xludf.DUMMYFUNCTION("""COMPUTED_VALUE"""),25000)</f>
        <v>25000</v>
      </c>
      <c r="K564" s="46">
        <f ca="1">IFERROR(__xludf.DUMMYFUNCTION("""COMPUTED_VALUE"""),25000)</f>
        <v>25000</v>
      </c>
      <c r="L564" s="46">
        <f ca="1">IFERROR(__xludf.DUMMYFUNCTION("""COMPUTED_VALUE"""),0)</f>
        <v>0</v>
      </c>
      <c r="M564" s="47">
        <f ca="1">IFERROR(__xludf.DUMMYFUNCTION("""COMPUTED_VALUE"""),0)</f>
        <v>0</v>
      </c>
      <c r="N564" s="46">
        <f ca="1">IFERROR(__xludf.DUMMYFUNCTION("""COMPUTED_VALUE"""),0)</f>
        <v>0</v>
      </c>
      <c r="O564" s="46">
        <f ca="1">IFERROR(__xludf.DUMMYFUNCTION("""COMPUTED_VALUE"""),3750)</f>
        <v>3750</v>
      </c>
      <c r="P564" s="46">
        <f ca="1">IFERROR(__xludf.DUMMYFUNCTION("""COMPUTED_VALUE"""),3750)</f>
        <v>3750</v>
      </c>
      <c r="Q564" s="47">
        <f ca="1">IFERROR(__xludf.DUMMYFUNCTION("""COMPUTED_VALUE"""),0)</f>
        <v>0</v>
      </c>
      <c r="R564" s="24">
        <f ca="1">IFERROR(__xludf.DUMMYFUNCTION("""COMPUTED_VALUE"""),0)</f>
        <v>0</v>
      </c>
      <c r="S564" s="23">
        <f ca="1">IFERROR(__xludf.DUMMYFUNCTION("""COMPUTED_VALUE"""),0)</f>
        <v>0</v>
      </c>
      <c r="T564" s="48">
        <f ca="1">IFERROR(__xludf.DUMMYFUNCTION("""COMPUTED_VALUE"""),0)</f>
        <v>0</v>
      </c>
      <c r="U564" s="47">
        <f ca="1">IFERROR(__xludf.DUMMYFUNCTION("""COMPUTED_VALUE"""),0)</f>
        <v>0</v>
      </c>
      <c r="V564" s="47">
        <f ca="1">IFERROR(__xludf.DUMMYFUNCTION("""COMPUTED_VALUE"""),0)</f>
        <v>0</v>
      </c>
      <c r="W564" s="47">
        <f ca="1">IFERROR(__xludf.DUMMYFUNCTION("""COMPUTED_VALUE"""),0)</f>
        <v>0</v>
      </c>
      <c r="X564" s="47">
        <f ca="1">IFERROR(__xludf.DUMMYFUNCTION("""COMPUTED_VALUE"""),0)</f>
        <v>0</v>
      </c>
      <c r="Y564" s="44">
        <f ca="1">IFERROR(__xludf.DUMMYFUNCTION("""COMPUTED_VALUE"""),0)</f>
        <v>0</v>
      </c>
      <c r="Z564" s="44">
        <f ca="1">IFERROR(__xludf.DUMMYFUNCTION("""COMPUTED_VALUE"""),0)</f>
        <v>0</v>
      </c>
      <c r="AA564" s="44">
        <f ca="1">IFERROR(__xludf.DUMMYFUNCTION("""COMPUTED_VALUE"""),0)</f>
        <v>0</v>
      </c>
      <c r="AB564" s="44">
        <f ca="1">IFERROR(__xludf.DUMMYFUNCTION("""COMPUTED_VALUE"""),0)</f>
        <v>0</v>
      </c>
      <c r="AC564" s="47">
        <f ca="1">IFERROR(__xludf.DUMMYFUNCTION("""COMPUTED_VALUE"""),0)</f>
        <v>0</v>
      </c>
      <c r="AD564" s="49" t="str">
        <f ca="1">IFERROR(__xludf.DUMMYFUNCTION("""COMPUTED_VALUE"""),"MYSY(50%) + KSPS(50%)")</f>
        <v>MYSY(50%) + KSPS(50%)</v>
      </c>
      <c r="AE564" s="27"/>
    </row>
    <row r="565" spans="1:31" ht="14.3">
      <c r="A565" s="42" t="str">
        <f ca="1">IFERROR(__xludf.DUMMYFUNCTION("""COMPUTED_VALUE"""),"21SDSCE01039")</f>
        <v>21SDSCE01039</v>
      </c>
      <c r="B565" s="43" t="str">
        <f ca="1">IFERROR(__xludf.DUMMYFUNCTION("""COMPUTED_VALUE"""),"RAITHATHA UJJWAL NITESHBHAI")</f>
        <v>RAITHATHA UJJWAL NITESHBHAI</v>
      </c>
      <c r="C565" s="42" t="str">
        <f ca="1">IFERROR(__xludf.DUMMYFUNCTION("""COMPUTED_VALUE"""),"SDS")</f>
        <v>SDS</v>
      </c>
      <c r="D565" s="42" t="str">
        <f ca="1">IFERROR(__xludf.DUMMYFUNCTION("""COMPUTED_VALUE"""),"DCE")</f>
        <v>DCE</v>
      </c>
      <c r="E565" s="44">
        <f ca="1">IFERROR(__xludf.DUMMYFUNCTION("""COMPUTED_VALUE"""),6)</f>
        <v>6</v>
      </c>
      <c r="F565" s="42" t="str">
        <f ca="1">IFERROR(__xludf.DUMMYFUNCTION("""COMPUTED_VALUE"""),"9773084851 9016603002")</f>
        <v>9773084851 9016603002</v>
      </c>
      <c r="G565" s="42" t="str">
        <f ca="1">IFERROR(__xludf.DUMMYFUNCTION("""COMPUTED_VALUE"""),"9773084851 9016603002")</f>
        <v>9773084851 9016603002</v>
      </c>
      <c r="H565" s="2" t="str">
        <f ca="1">IFERROR(__xludf.DUMMYFUNCTION("""COMPUTED_VALUE"""),"DCE_2021-24")</f>
        <v>DCE_2021-24</v>
      </c>
      <c r="I565" s="45"/>
      <c r="J565" s="46">
        <f ca="1">IFERROR(__xludf.DUMMYFUNCTION("""COMPUTED_VALUE"""),25000)</f>
        <v>25000</v>
      </c>
      <c r="K565" s="46">
        <f ca="1">IFERROR(__xludf.DUMMYFUNCTION("""COMPUTED_VALUE"""),25000)</f>
        <v>25000</v>
      </c>
      <c r="L565" s="46">
        <f ca="1">IFERROR(__xludf.DUMMYFUNCTION("""COMPUTED_VALUE"""),0)</f>
        <v>0</v>
      </c>
      <c r="M565" s="47">
        <f ca="1">IFERROR(__xludf.DUMMYFUNCTION("""COMPUTED_VALUE"""),0)</f>
        <v>0</v>
      </c>
      <c r="N565" s="46">
        <f ca="1">IFERROR(__xludf.DUMMYFUNCTION("""COMPUTED_VALUE"""),0)</f>
        <v>0</v>
      </c>
      <c r="O565" s="46">
        <f ca="1">IFERROR(__xludf.DUMMYFUNCTION("""COMPUTED_VALUE"""),3750)</f>
        <v>3750</v>
      </c>
      <c r="P565" s="46">
        <f ca="1">IFERROR(__xludf.DUMMYFUNCTION("""COMPUTED_VALUE"""),3750)</f>
        <v>3750</v>
      </c>
      <c r="Q565" s="47">
        <f ca="1">IFERROR(__xludf.DUMMYFUNCTION("""COMPUTED_VALUE"""),0)</f>
        <v>0</v>
      </c>
      <c r="R565" s="24">
        <f ca="1">IFERROR(__xludf.DUMMYFUNCTION("""COMPUTED_VALUE"""),0)</f>
        <v>0</v>
      </c>
      <c r="S565" s="23">
        <f ca="1">IFERROR(__xludf.DUMMYFUNCTION("""COMPUTED_VALUE"""),0)</f>
        <v>0</v>
      </c>
      <c r="T565" s="48">
        <f ca="1">IFERROR(__xludf.DUMMYFUNCTION("""COMPUTED_VALUE"""),0)</f>
        <v>0</v>
      </c>
      <c r="U565" s="47">
        <f ca="1">IFERROR(__xludf.DUMMYFUNCTION("""COMPUTED_VALUE"""),0)</f>
        <v>0</v>
      </c>
      <c r="V565" s="47">
        <f ca="1">IFERROR(__xludf.DUMMYFUNCTION("""COMPUTED_VALUE"""),0)</f>
        <v>0</v>
      </c>
      <c r="W565" s="47">
        <f ca="1">IFERROR(__xludf.DUMMYFUNCTION("""COMPUTED_VALUE"""),0)</f>
        <v>0</v>
      </c>
      <c r="X565" s="47">
        <f ca="1">IFERROR(__xludf.DUMMYFUNCTION("""COMPUTED_VALUE"""),0)</f>
        <v>0</v>
      </c>
      <c r="Y565" s="44">
        <f ca="1">IFERROR(__xludf.DUMMYFUNCTION("""COMPUTED_VALUE"""),0)</f>
        <v>0</v>
      </c>
      <c r="Z565" s="44">
        <f ca="1">IFERROR(__xludf.DUMMYFUNCTION("""COMPUTED_VALUE"""),0)</f>
        <v>0</v>
      </c>
      <c r="AA565" s="44">
        <f ca="1">IFERROR(__xludf.DUMMYFUNCTION("""COMPUTED_VALUE"""),0)</f>
        <v>0</v>
      </c>
      <c r="AB565" s="44">
        <f ca="1">IFERROR(__xludf.DUMMYFUNCTION("""COMPUTED_VALUE"""),0)</f>
        <v>0</v>
      </c>
      <c r="AC565" s="47">
        <f ca="1">IFERROR(__xludf.DUMMYFUNCTION("""COMPUTED_VALUE"""),0)</f>
        <v>0</v>
      </c>
      <c r="AD565" s="49"/>
      <c r="AE565" s="27"/>
    </row>
    <row r="566" spans="1:31" ht="14.3">
      <c r="A566" s="42" t="str">
        <f ca="1">IFERROR(__xludf.DUMMYFUNCTION("""COMPUTED_VALUE"""),"21SDSCE01043")</f>
        <v>21SDSCE01043</v>
      </c>
      <c r="B566" s="43" t="str">
        <f ca="1">IFERROR(__xludf.DUMMYFUNCTION("""COMPUTED_VALUE"""),"SAKARIYANI TANJIL FIROZBHAI")</f>
        <v>SAKARIYANI TANJIL FIROZBHAI</v>
      </c>
      <c r="C566" s="42" t="str">
        <f ca="1">IFERROR(__xludf.DUMMYFUNCTION("""COMPUTED_VALUE"""),"SDS")</f>
        <v>SDS</v>
      </c>
      <c r="D566" s="42" t="str">
        <f ca="1">IFERROR(__xludf.DUMMYFUNCTION("""COMPUTED_VALUE"""),"DCE")</f>
        <v>DCE</v>
      </c>
      <c r="E566" s="44">
        <f ca="1">IFERROR(__xludf.DUMMYFUNCTION("""COMPUTED_VALUE"""),6)</f>
        <v>6</v>
      </c>
      <c r="F566" s="42" t="str">
        <f ca="1">IFERROR(__xludf.DUMMYFUNCTION("""COMPUTED_VALUE"""),"9327170219
9327170219")</f>
        <v>9327170219
9327170219</v>
      </c>
      <c r="G566" s="42" t="str">
        <f ca="1">IFERROR(__xludf.DUMMYFUNCTION("""COMPUTED_VALUE"""),"9327170219
9327170219")</f>
        <v>9327170219
9327170219</v>
      </c>
      <c r="H566" s="2" t="str">
        <f ca="1">IFERROR(__xludf.DUMMYFUNCTION("""COMPUTED_VALUE"""),"DCE_2021-24")</f>
        <v>DCE_2021-24</v>
      </c>
      <c r="I566" s="45" t="str">
        <f ca="1">IFERROR(__xludf.DUMMYFUNCTION("""COMPUTED_VALUE"""),"TFW")</f>
        <v>TFW</v>
      </c>
      <c r="J566" s="46">
        <f ca="1">IFERROR(__xludf.DUMMYFUNCTION("""COMPUTED_VALUE"""),25000)</f>
        <v>25000</v>
      </c>
      <c r="K566" s="46">
        <f ca="1">IFERROR(__xludf.DUMMYFUNCTION("""COMPUTED_VALUE"""),0)</f>
        <v>0</v>
      </c>
      <c r="L566" s="46">
        <f ca="1">IFERROR(__xludf.DUMMYFUNCTION("""COMPUTED_VALUE"""),0)</f>
        <v>0</v>
      </c>
      <c r="M566" s="47">
        <f ca="1">IFERROR(__xludf.DUMMYFUNCTION("""COMPUTED_VALUE"""),25000)</f>
        <v>25000</v>
      </c>
      <c r="N566" s="46">
        <f ca="1">IFERROR(__xludf.DUMMYFUNCTION("""COMPUTED_VALUE"""),0)</f>
        <v>0</v>
      </c>
      <c r="O566" s="46">
        <f ca="1">IFERROR(__xludf.DUMMYFUNCTION("""COMPUTED_VALUE"""),3750)</f>
        <v>3750</v>
      </c>
      <c r="P566" s="46">
        <f ca="1">IFERROR(__xludf.DUMMYFUNCTION("""COMPUTED_VALUE"""),3750)</f>
        <v>3750</v>
      </c>
      <c r="Q566" s="47">
        <f ca="1">IFERROR(__xludf.DUMMYFUNCTION("""COMPUTED_VALUE"""),0)</f>
        <v>0</v>
      </c>
      <c r="R566" s="24">
        <f ca="1">IFERROR(__xludf.DUMMYFUNCTION("""COMPUTED_VALUE"""),0)</f>
        <v>0</v>
      </c>
      <c r="S566" s="23">
        <f ca="1">IFERROR(__xludf.DUMMYFUNCTION("""COMPUTED_VALUE"""),0)</f>
        <v>0</v>
      </c>
      <c r="T566" s="48">
        <f ca="1">IFERROR(__xludf.DUMMYFUNCTION("""COMPUTED_VALUE"""),0)</f>
        <v>0</v>
      </c>
      <c r="U566" s="47">
        <f ca="1">IFERROR(__xludf.DUMMYFUNCTION("""COMPUTED_VALUE"""),0)</f>
        <v>0</v>
      </c>
      <c r="V566" s="47">
        <f ca="1">IFERROR(__xludf.DUMMYFUNCTION("""COMPUTED_VALUE"""),0)</f>
        <v>0</v>
      </c>
      <c r="W566" s="47">
        <f ca="1">IFERROR(__xludf.DUMMYFUNCTION("""COMPUTED_VALUE"""),0)</f>
        <v>0</v>
      </c>
      <c r="X566" s="47">
        <f ca="1">IFERROR(__xludf.DUMMYFUNCTION("""COMPUTED_VALUE"""),0)</f>
        <v>0</v>
      </c>
      <c r="Y566" s="44">
        <f ca="1">IFERROR(__xludf.DUMMYFUNCTION("""COMPUTED_VALUE"""),0)</f>
        <v>0</v>
      </c>
      <c r="Z566" s="44">
        <f ca="1">IFERROR(__xludf.DUMMYFUNCTION("""COMPUTED_VALUE"""),0)</f>
        <v>0</v>
      </c>
      <c r="AA566" s="44">
        <f ca="1">IFERROR(__xludf.DUMMYFUNCTION("""COMPUTED_VALUE"""),0)</f>
        <v>0</v>
      </c>
      <c r="AB566" s="44">
        <f ca="1">IFERROR(__xludf.DUMMYFUNCTION("""COMPUTED_VALUE"""),0)</f>
        <v>0</v>
      </c>
      <c r="AC566" s="47">
        <f ca="1">IFERROR(__xludf.DUMMYFUNCTION("""COMPUTED_VALUE"""),0)</f>
        <v>0</v>
      </c>
      <c r="AD566" s="49"/>
      <c r="AE566" s="27"/>
    </row>
    <row r="567" spans="1:31" ht="14.3">
      <c r="A567" s="42" t="str">
        <f ca="1">IFERROR(__xludf.DUMMYFUNCTION("""COMPUTED_VALUE"""),"21SDSCE01046")</f>
        <v>21SDSCE01046</v>
      </c>
      <c r="B567" s="43" t="str">
        <f ca="1">IFERROR(__xludf.DUMMYFUNCTION("""COMPUTED_VALUE"""),"SHAH PREM DIPENBHAI")</f>
        <v>SHAH PREM DIPENBHAI</v>
      </c>
      <c r="C567" s="42" t="str">
        <f ca="1">IFERROR(__xludf.DUMMYFUNCTION("""COMPUTED_VALUE"""),"SDS")</f>
        <v>SDS</v>
      </c>
      <c r="D567" s="42" t="str">
        <f ca="1">IFERROR(__xludf.DUMMYFUNCTION("""COMPUTED_VALUE"""),"DCE")</f>
        <v>DCE</v>
      </c>
      <c r="E567" s="44">
        <f ca="1">IFERROR(__xludf.DUMMYFUNCTION("""COMPUTED_VALUE"""),6)</f>
        <v>6</v>
      </c>
      <c r="F567" s="42" t="str">
        <f ca="1">IFERROR(__xludf.DUMMYFUNCTION("""COMPUTED_VALUE"""),"7383705302
9825233825")</f>
        <v>7383705302
9825233825</v>
      </c>
      <c r="G567" s="42" t="str">
        <f ca="1">IFERROR(__xludf.DUMMYFUNCTION("""COMPUTED_VALUE"""),"7383705302
9825233825")</f>
        <v>7383705302
9825233825</v>
      </c>
      <c r="H567" s="2" t="str">
        <f ca="1">IFERROR(__xludf.DUMMYFUNCTION("""COMPUTED_VALUE"""),"DCE_2021-24")</f>
        <v>DCE_2021-24</v>
      </c>
      <c r="I567" s="45" t="str">
        <f ca="1">IFERROR(__xludf.DUMMYFUNCTION("""COMPUTED_VALUE"""),"KSP")</f>
        <v>KSP</v>
      </c>
      <c r="J567" s="46">
        <f ca="1">IFERROR(__xludf.DUMMYFUNCTION("""COMPUTED_VALUE"""),25000)</f>
        <v>25000</v>
      </c>
      <c r="K567" s="46">
        <f ca="1">IFERROR(__xludf.DUMMYFUNCTION("""COMPUTED_VALUE"""),13750)</f>
        <v>13750</v>
      </c>
      <c r="L567" s="46">
        <f ca="1">IFERROR(__xludf.DUMMYFUNCTION("""COMPUTED_VALUE"""),0)</f>
        <v>0</v>
      </c>
      <c r="M567" s="47">
        <f ca="1">IFERROR(__xludf.DUMMYFUNCTION("""COMPUTED_VALUE"""),11250)</f>
        <v>11250</v>
      </c>
      <c r="N567" s="46">
        <f ca="1">IFERROR(__xludf.DUMMYFUNCTION("""COMPUTED_VALUE"""),0)</f>
        <v>0</v>
      </c>
      <c r="O567" s="46">
        <f ca="1">IFERROR(__xludf.DUMMYFUNCTION("""COMPUTED_VALUE"""),3750)</f>
        <v>3750</v>
      </c>
      <c r="P567" s="46">
        <f ca="1">IFERROR(__xludf.DUMMYFUNCTION("""COMPUTED_VALUE"""),3750)</f>
        <v>3750</v>
      </c>
      <c r="Q567" s="47">
        <f ca="1">IFERROR(__xludf.DUMMYFUNCTION("""COMPUTED_VALUE"""),0)</f>
        <v>0</v>
      </c>
      <c r="R567" s="24">
        <f ca="1">IFERROR(__xludf.DUMMYFUNCTION("""COMPUTED_VALUE"""),0)</f>
        <v>0</v>
      </c>
      <c r="S567" s="23">
        <f ca="1">IFERROR(__xludf.DUMMYFUNCTION("""COMPUTED_VALUE"""),0)</f>
        <v>0</v>
      </c>
      <c r="T567" s="48">
        <f ca="1">IFERROR(__xludf.DUMMYFUNCTION("""COMPUTED_VALUE"""),0)</f>
        <v>0</v>
      </c>
      <c r="U567" s="47">
        <f ca="1">IFERROR(__xludf.DUMMYFUNCTION("""COMPUTED_VALUE"""),0)</f>
        <v>0</v>
      </c>
      <c r="V567" s="47">
        <f ca="1">IFERROR(__xludf.DUMMYFUNCTION("""COMPUTED_VALUE"""),0)</f>
        <v>0</v>
      </c>
      <c r="W567" s="47">
        <f ca="1">IFERROR(__xludf.DUMMYFUNCTION("""COMPUTED_VALUE"""),0)</f>
        <v>0</v>
      </c>
      <c r="X567" s="47">
        <f ca="1">IFERROR(__xludf.DUMMYFUNCTION("""COMPUTED_VALUE"""),0)</f>
        <v>0</v>
      </c>
      <c r="Y567" s="44">
        <f ca="1">IFERROR(__xludf.DUMMYFUNCTION("""COMPUTED_VALUE"""),0)</f>
        <v>0</v>
      </c>
      <c r="Z567" s="44">
        <f ca="1">IFERROR(__xludf.DUMMYFUNCTION("""COMPUTED_VALUE"""),0)</f>
        <v>0</v>
      </c>
      <c r="AA567" s="44">
        <f ca="1">IFERROR(__xludf.DUMMYFUNCTION("""COMPUTED_VALUE"""),0)</f>
        <v>0</v>
      </c>
      <c r="AB567" s="44">
        <f ca="1">IFERROR(__xludf.DUMMYFUNCTION("""COMPUTED_VALUE"""),0)</f>
        <v>0</v>
      </c>
      <c r="AC567" s="47">
        <f ca="1">IFERROR(__xludf.DUMMYFUNCTION("""COMPUTED_VALUE"""),0)</f>
        <v>0</v>
      </c>
      <c r="AD567" s="49" t="str">
        <f ca="1">IFERROR(__xludf.DUMMYFUNCTION("""COMPUTED_VALUE"""),"RS 6250 PER SEM SCHOLARSHIP")</f>
        <v>RS 6250 PER SEM SCHOLARSHIP</v>
      </c>
      <c r="AE567" s="27"/>
    </row>
    <row r="568" spans="1:31" ht="14.3">
      <c r="A568" s="42" t="str">
        <f ca="1">IFERROR(__xludf.DUMMYFUNCTION("""COMPUTED_VALUE"""),"21SDSCE01047")</f>
        <v>21SDSCE01047</v>
      </c>
      <c r="B568" s="43" t="str">
        <f ca="1">IFERROR(__xludf.DUMMYFUNCTION("""COMPUTED_VALUE"""),"SHARMA PARTH")</f>
        <v>SHARMA PARTH</v>
      </c>
      <c r="C568" s="42" t="str">
        <f ca="1">IFERROR(__xludf.DUMMYFUNCTION("""COMPUTED_VALUE"""),"SDS")</f>
        <v>SDS</v>
      </c>
      <c r="D568" s="42" t="str">
        <f ca="1">IFERROR(__xludf.DUMMYFUNCTION("""COMPUTED_VALUE"""),"DCE")</f>
        <v>DCE</v>
      </c>
      <c r="E568" s="44">
        <f ca="1">IFERROR(__xludf.DUMMYFUNCTION("""COMPUTED_VALUE"""),6)</f>
        <v>6</v>
      </c>
      <c r="F568" s="42" t="str">
        <f ca="1">IFERROR(__xludf.DUMMYFUNCTION("""COMPUTED_VALUE"""),"9913081052
9909587088")</f>
        <v>9913081052
9909587088</v>
      </c>
      <c r="G568" s="42" t="str">
        <f ca="1">IFERROR(__xludf.DUMMYFUNCTION("""COMPUTED_VALUE"""),"9913081052
9909587088")</f>
        <v>9913081052
9909587088</v>
      </c>
      <c r="H568" s="2" t="str">
        <f ca="1">IFERROR(__xludf.DUMMYFUNCTION("""COMPUTED_VALUE"""),"DCE_2021-24")</f>
        <v>DCE_2021-24</v>
      </c>
      <c r="I568" s="45"/>
      <c r="J568" s="46">
        <f ca="1">IFERROR(__xludf.DUMMYFUNCTION("""COMPUTED_VALUE"""),25000)</f>
        <v>25000</v>
      </c>
      <c r="K568" s="46">
        <f ca="1">IFERROR(__xludf.DUMMYFUNCTION("""COMPUTED_VALUE"""),25000)</f>
        <v>25000</v>
      </c>
      <c r="L568" s="46">
        <f ca="1">IFERROR(__xludf.DUMMYFUNCTION("""COMPUTED_VALUE"""),0)</f>
        <v>0</v>
      </c>
      <c r="M568" s="47">
        <f ca="1">IFERROR(__xludf.DUMMYFUNCTION("""COMPUTED_VALUE"""),0)</f>
        <v>0</v>
      </c>
      <c r="N568" s="46">
        <f ca="1">IFERROR(__xludf.DUMMYFUNCTION("""COMPUTED_VALUE"""),0)</f>
        <v>0</v>
      </c>
      <c r="O568" s="46">
        <f ca="1">IFERROR(__xludf.DUMMYFUNCTION("""COMPUTED_VALUE"""),3750)</f>
        <v>3750</v>
      </c>
      <c r="P568" s="46">
        <f ca="1">IFERROR(__xludf.DUMMYFUNCTION("""COMPUTED_VALUE"""),3750)</f>
        <v>3750</v>
      </c>
      <c r="Q568" s="47">
        <f ca="1">IFERROR(__xludf.DUMMYFUNCTION("""COMPUTED_VALUE"""),0)</f>
        <v>0</v>
      </c>
      <c r="R568" s="24">
        <f ca="1">IFERROR(__xludf.DUMMYFUNCTION("""COMPUTED_VALUE"""),0)</f>
        <v>0</v>
      </c>
      <c r="S568" s="23">
        <f ca="1">IFERROR(__xludf.DUMMYFUNCTION("""COMPUTED_VALUE"""),0)</f>
        <v>0</v>
      </c>
      <c r="T568" s="48">
        <f ca="1">IFERROR(__xludf.DUMMYFUNCTION("""COMPUTED_VALUE"""),0)</f>
        <v>0</v>
      </c>
      <c r="U568" s="47">
        <f ca="1">IFERROR(__xludf.DUMMYFUNCTION("""COMPUTED_VALUE"""),0)</f>
        <v>0</v>
      </c>
      <c r="V568" s="47">
        <f ca="1">IFERROR(__xludf.DUMMYFUNCTION("""COMPUTED_VALUE"""),0)</f>
        <v>0</v>
      </c>
      <c r="W568" s="47">
        <f ca="1">IFERROR(__xludf.DUMMYFUNCTION("""COMPUTED_VALUE"""),0)</f>
        <v>0</v>
      </c>
      <c r="X568" s="47">
        <f ca="1">IFERROR(__xludf.DUMMYFUNCTION("""COMPUTED_VALUE"""),0)</f>
        <v>0</v>
      </c>
      <c r="Y568" s="44">
        <f ca="1">IFERROR(__xludf.DUMMYFUNCTION("""COMPUTED_VALUE"""),0)</f>
        <v>0</v>
      </c>
      <c r="Z568" s="44">
        <f ca="1">IFERROR(__xludf.DUMMYFUNCTION("""COMPUTED_VALUE"""),0)</f>
        <v>0</v>
      </c>
      <c r="AA568" s="44">
        <f ca="1">IFERROR(__xludf.DUMMYFUNCTION("""COMPUTED_VALUE"""),0)</f>
        <v>0</v>
      </c>
      <c r="AB568" s="44">
        <f ca="1">IFERROR(__xludf.DUMMYFUNCTION("""COMPUTED_VALUE"""),0)</f>
        <v>0</v>
      </c>
      <c r="AC568" s="47">
        <f ca="1">IFERROR(__xludf.DUMMYFUNCTION("""COMPUTED_VALUE"""),0)</f>
        <v>0</v>
      </c>
      <c r="AD568" s="49"/>
      <c r="AE568" s="27"/>
    </row>
    <row r="569" spans="1:31" ht="14.3">
      <c r="A569" s="42" t="str">
        <f ca="1">IFERROR(__xludf.DUMMYFUNCTION("""COMPUTED_VALUE"""),"21SDSCE01049")</f>
        <v>21SDSCE01049</v>
      </c>
      <c r="B569" s="43" t="str">
        <f ca="1">IFERROR(__xludf.DUMMYFUNCTION("""COMPUTED_VALUE"""),"SK ARIF")</f>
        <v>SK ARIF</v>
      </c>
      <c r="C569" s="42" t="str">
        <f ca="1">IFERROR(__xludf.DUMMYFUNCTION("""COMPUTED_VALUE"""),"SDS")</f>
        <v>SDS</v>
      </c>
      <c r="D569" s="42" t="str">
        <f ca="1">IFERROR(__xludf.DUMMYFUNCTION("""COMPUTED_VALUE"""),"DCE")</f>
        <v>DCE</v>
      </c>
      <c r="E569" s="44">
        <f ca="1">IFERROR(__xludf.DUMMYFUNCTION("""COMPUTED_VALUE"""),6)</f>
        <v>6</v>
      </c>
      <c r="F569" s="42" t="str">
        <f ca="1">IFERROR(__xludf.DUMMYFUNCTION("""COMPUTED_VALUE"""),"9687278550
9687278550")</f>
        <v>9687278550
9687278550</v>
      </c>
      <c r="G569" s="42" t="str">
        <f ca="1">IFERROR(__xludf.DUMMYFUNCTION("""COMPUTED_VALUE"""),"9687278550
9687278550")</f>
        <v>9687278550
9687278550</v>
      </c>
      <c r="H569" s="2" t="str">
        <f ca="1">IFERROR(__xludf.DUMMYFUNCTION("""COMPUTED_VALUE"""),"DCE_2021-24")</f>
        <v>DCE_2021-24</v>
      </c>
      <c r="I569" s="45"/>
      <c r="J569" s="46">
        <f ca="1">IFERROR(__xludf.DUMMYFUNCTION("""COMPUTED_VALUE"""),25000)</f>
        <v>25000</v>
      </c>
      <c r="K569" s="46">
        <f ca="1">IFERROR(__xludf.DUMMYFUNCTION("""COMPUTED_VALUE"""),25000)</f>
        <v>25000</v>
      </c>
      <c r="L569" s="46">
        <f ca="1">IFERROR(__xludf.DUMMYFUNCTION("""COMPUTED_VALUE"""),0)</f>
        <v>0</v>
      </c>
      <c r="M569" s="47">
        <f ca="1">IFERROR(__xludf.DUMMYFUNCTION("""COMPUTED_VALUE"""),0)</f>
        <v>0</v>
      </c>
      <c r="N569" s="46">
        <f ca="1">IFERROR(__xludf.DUMMYFUNCTION("""COMPUTED_VALUE"""),0)</f>
        <v>0</v>
      </c>
      <c r="O569" s="46">
        <f ca="1">IFERROR(__xludf.DUMMYFUNCTION("""COMPUTED_VALUE"""),3750)</f>
        <v>3750</v>
      </c>
      <c r="P569" s="46">
        <f ca="1">IFERROR(__xludf.DUMMYFUNCTION("""COMPUTED_VALUE"""),3750)</f>
        <v>3750</v>
      </c>
      <c r="Q569" s="47">
        <f ca="1">IFERROR(__xludf.DUMMYFUNCTION("""COMPUTED_VALUE"""),0)</f>
        <v>0</v>
      </c>
      <c r="R569" s="24">
        <f ca="1">IFERROR(__xludf.DUMMYFUNCTION("""COMPUTED_VALUE"""),0)</f>
        <v>0</v>
      </c>
      <c r="S569" s="23">
        <f ca="1">IFERROR(__xludf.DUMMYFUNCTION("""COMPUTED_VALUE"""),0)</f>
        <v>0</v>
      </c>
      <c r="T569" s="48">
        <f ca="1">IFERROR(__xludf.DUMMYFUNCTION("""COMPUTED_VALUE"""),0)</f>
        <v>0</v>
      </c>
      <c r="U569" s="47">
        <f ca="1">IFERROR(__xludf.DUMMYFUNCTION("""COMPUTED_VALUE"""),0)</f>
        <v>0</v>
      </c>
      <c r="V569" s="47">
        <f ca="1">IFERROR(__xludf.DUMMYFUNCTION("""COMPUTED_VALUE"""),0)</f>
        <v>0</v>
      </c>
      <c r="W569" s="47">
        <f ca="1">IFERROR(__xludf.DUMMYFUNCTION("""COMPUTED_VALUE"""),0)</f>
        <v>0</v>
      </c>
      <c r="X569" s="47">
        <f ca="1">IFERROR(__xludf.DUMMYFUNCTION("""COMPUTED_VALUE"""),0)</f>
        <v>0</v>
      </c>
      <c r="Y569" s="44">
        <f ca="1">IFERROR(__xludf.DUMMYFUNCTION("""COMPUTED_VALUE"""),0)</f>
        <v>0</v>
      </c>
      <c r="Z569" s="44">
        <f ca="1">IFERROR(__xludf.DUMMYFUNCTION("""COMPUTED_VALUE"""),0)</f>
        <v>0</v>
      </c>
      <c r="AA569" s="44">
        <f ca="1">IFERROR(__xludf.DUMMYFUNCTION("""COMPUTED_VALUE"""),0)</f>
        <v>0</v>
      </c>
      <c r="AB569" s="44">
        <f ca="1">IFERROR(__xludf.DUMMYFUNCTION("""COMPUTED_VALUE"""),0)</f>
        <v>0</v>
      </c>
      <c r="AC569" s="47">
        <f ca="1">IFERROR(__xludf.DUMMYFUNCTION("""COMPUTED_VALUE"""),0)</f>
        <v>0</v>
      </c>
      <c r="AD569" s="49"/>
      <c r="AE569" s="27"/>
    </row>
    <row r="570" spans="1:31" ht="14.3">
      <c r="A570" s="42" t="str">
        <f ca="1">IFERROR(__xludf.DUMMYFUNCTION("""COMPUTED_VALUE"""),"21SDSCE01050")</f>
        <v>21SDSCE01050</v>
      </c>
      <c r="B570" s="43" t="str">
        <f ca="1">IFERROR(__xludf.DUMMYFUNCTION("""COMPUTED_VALUE"""),"SOLANKI KRISH VASANTBHAI")</f>
        <v>SOLANKI KRISH VASANTBHAI</v>
      </c>
      <c r="C570" s="42" t="str">
        <f ca="1">IFERROR(__xludf.DUMMYFUNCTION("""COMPUTED_VALUE"""),"SDS")</f>
        <v>SDS</v>
      </c>
      <c r="D570" s="42" t="str">
        <f ca="1">IFERROR(__xludf.DUMMYFUNCTION("""COMPUTED_VALUE"""),"DCE")</f>
        <v>DCE</v>
      </c>
      <c r="E570" s="44">
        <f ca="1">IFERROR(__xludf.DUMMYFUNCTION("""COMPUTED_VALUE"""),6)</f>
        <v>6</v>
      </c>
      <c r="F570" s="42" t="str">
        <f ca="1">IFERROR(__xludf.DUMMYFUNCTION("""COMPUTED_VALUE"""),"9316659446 7567788945")</f>
        <v>9316659446 7567788945</v>
      </c>
      <c r="G570" s="42" t="str">
        <f ca="1">IFERROR(__xludf.DUMMYFUNCTION("""COMPUTED_VALUE"""),"9316659446 7567788945")</f>
        <v>9316659446 7567788945</v>
      </c>
      <c r="H570" s="2" t="str">
        <f ca="1">IFERROR(__xludf.DUMMYFUNCTION("""COMPUTED_VALUE"""),"DCE_2021-24")</f>
        <v>DCE_2021-24</v>
      </c>
      <c r="I570" s="45" t="str">
        <f ca="1">IFERROR(__xludf.DUMMYFUNCTION("""COMPUTED_VALUE"""),"MYSY")</f>
        <v>MYSY</v>
      </c>
      <c r="J570" s="46">
        <f ca="1">IFERROR(__xludf.DUMMYFUNCTION("""COMPUTED_VALUE"""),25000)</f>
        <v>25000</v>
      </c>
      <c r="K570" s="46">
        <f ca="1">IFERROR(__xludf.DUMMYFUNCTION("""COMPUTED_VALUE"""),0)</f>
        <v>0</v>
      </c>
      <c r="L570" s="46">
        <f ca="1">IFERROR(__xludf.DUMMYFUNCTION("""COMPUTED_VALUE"""),25000)</f>
        <v>25000</v>
      </c>
      <c r="M570" s="47">
        <f ca="1">IFERROR(__xludf.DUMMYFUNCTION("""COMPUTED_VALUE"""),0)</f>
        <v>0</v>
      </c>
      <c r="N570" s="46">
        <f ca="1">IFERROR(__xludf.DUMMYFUNCTION("""COMPUTED_VALUE"""),25000)</f>
        <v>25000</v>
      </c>
      <c r="O570" s="46">
        <f ca="1">IFERROR(__xludf.DUMMYFUNCTION("""COMPUTED_VALUE"""),3750)</f>
        <v>3750</v>
      </c>
      <c r="P570" s="46">
        <f ca="1">IFERROR(__xludf.DUMMYFUNCTION("""COMPUTED_VALUE"""),3750)</f>
        <v>3750</v>
      </c>
      <c r="Q570" s="47">
        <f ca="1">IFERROR(__xludf.DUMMYFUNCTION("""COMPUTED_VALUE"""),0)</f>
        <v>0</v>
      </c>
      <c r="R570" s="24">
        <f ca="1">IFERROR(__xludf.DUMMYFUNCTION("""COMPUTED_VALUE"""),0)</f>
        <v>0</v>
      </c>
      <c r="S570" s="23">
        <f ca="1">IFERROR(__xludf.DUMMYFUNCTION("""COMPUTED_VALUE"""),0)</f>
        <v>0</v>
      </c>
      <c r="T570" s="48">
        <f ca="1">IFERROR(__xludf.DUMMYFUNCTION("""COMPUTED_VALUE"""),0)</f>
        <v>0</v>
      </c>
      <c r="U570" s="47">
        <f ca="1">IFERROR(__xludf.DUMMYFUNCTION("""COMPUTED_VALUE"""),0)</f>
        <v>0</v>
      </c>
      <c r="V570" s="47">
        <f ca="1">IFERROR(__xludf.DUMMYFUNCTION("""COMPUTED_VALUE"""),0)</f>
        <v>0</v>
      </c>
      <c r="W570" s="47">
        <f ca="1">IFERROR(__xludf.DUMMYFUNCTION("""COMPUTED_VALUE"""),0)</f>
        <v>0</v>
      </c>
      <c r="X570" s="47">
        <f ca="1">IFERROR(__xludf.DUMMYFUNCTION("""COMPUTED_VALUE"""),0)</f>
        <v>0</v>
      </c>
      <c r="Y570" s="44">
        <f ca="1">IFERROR(__xludf.DUMMYFUNCTION("""COMPUTED_VALUE"""),0)</f>
        <v>0</v>
      </c>
      <c r="Z570" s="44">
        <f ca="1">IFERROR(__xludf.DUMMYFUNCTION("""COMPUTED_VALUE"""),0)</f>
        <v>0</v>
      </c>
      <c r="AA570" s="44">
        <f ca="1">IFERROR(__xludf.DUMMYFUNCTION("""COMPUTED_VALUE"""),0)</f>
        <v>0</v>
      </c>
      <c r="AB570" s="44">
        <f ca="1">IFERROR(__xludf.DUMMYFUNCTION("""COMPUTED_VALUE"""),0)</f>
        <v>0</v>
      </c>
      <c r="AC570" s="47">
        <f ca="1">IFERROR(__xludf.DUMMYFUNCTION("""COMPUTED_VALUE"""),0)</f>
        <v>0</v>
      </c>
      <c r="AD570" s="49" t="str">
        <f ca="1">IFERROR(__xludf.DUMMYFUNCTION("""COMPUTED_VALUE"""),"MYSY(50%)+KSPS(25%)")</f>
        <v>MYSY(50%)+KSPS(25%)</v>
      </c>
      <c r="AE570" s="27"/>
    </row>
    <row r="571" spans="1:31" ht="14.3">
      <c r="A571" s="42" t="str">
        <f ca="1">IFERROR(__xludf.DUMMYFUNCTION("""COMPUTED_VALUE"""),"21SDSCE01052")</f>
        <v>21SDSCE01052</v>
      </c>
      <c r="B571" s="43" t="str">
        <f ca="1">IFERROR(__xludf.DUMMYFUNCTION("""COMPUTED_VALUE"""),"THAKKAR KUNJAL BHAVESHBHAI")</f>
        <v>THAKKAR KUNJAL BHAVESHBHAI</v>
      </c>
      <c r="C571" s="42" t="str">
        <f ca="1">IFERROR(__xludf.DUMMYFUNCTION("""COMPUTED_VALUE"""),"SDS")</f>
        <v>SDS</v>
      </c>
      <c r="D571" s="42" t="str">
        <f ca="1">IFERROR(__xludf.DUMMYFUNCTION("""COMPUTED_VALUE"""),"DCE")</f>
        <v>DCE</v>
      </c>
      <c r="E571" s="44">
        <f ca="1">IFERROR(__xludf.DUMMYFUNCTION("""COMPUTED_VALUE"""),6)</f>
        <v>6</v>
      </c>
      <c r="F571" s="42" t="str">
        <f ca="1">IFERROR(__xludf.DUMMYFUNCTION("""COMPUTED_VALUE"""),"8849696896 8733042000")</f>
        <v>8849696896 8733042000</v>
      </c>
      <c r="G571" s="42" t="str">
        <f ca="1">IFERROR(__xludf.DUMMYFUNCTION("""COMPUTED_VALUE"""),"8849696896 8733042000")</f>
        <v>8849696896 8733042000</v>
      </c>
      <c r="H571" s="2" t="str">
        <f ca="1">IFERROR(__xludf.DUMMYFUNCTION("""COMPUTED_VALUE"""),"DCE_2021-24")</f>
        <v>DCE_2021-24</v>
      </c>
      <c r="I571" s="45"/>
      <c r="J571" s="46">
        <f ca="1">IFERROR(__xludf.DUMMYFUNCTION("""COMPUTED_VALUE"""),25000)</f>
        <v>25000</v>
      </c>
      <c r="K571" s="46">
        <f ca="1">IFERROR(__xludf.DUMMYFUNCTION("""COMPUTED_VALUE"""),25000)</f>
        <v>25000</v>
      </c>
      <c r="L571" s="46">
        <f ca="1">IFERROR(__xludf.DUMMYFUNCTION("""COMPUTED_VALUE"""),0)</f>
        <v>0</v>
      </c>
      <c r="M571" s="47">
        <f ca="1">IFERROR(__xludf.DUMMYFUNCTION("""COMPUTED_VALUE"""),0)</f>
        <v>0</v>
      </c>
      <c r="N571" s="46">
        <f ca="1">IFERROR(__xludf.DUMMYFUNCTION("""COMPUTED_VALUE"""),0)</f>
        <v>0</v>
      </c>
      <c r="O571" s="46">
        <f ca="1">IFERROR(__xludf.DUMMYFUNCTION("""COMPUTED_VALUE"""),3750)</f>
        <v>3750</v>
      </c>
      <c r="P571" s="46">
        <f ca="1">IFERROR(__xludf.DUMMYFUNCTION("""COMPUTED_VALUE"""),3750)</f>
        <v>3750</v>
      </c>
      <c r="Q571" s="47">
        <f ca="1">IFERROR(__xludf.DUMMYFUNCTION("""COMPUTED_VALUE"""),0)</f>
        <v>0</v>
      </c>
      <c r="R571" s="24">
        <f ca="1">IFERROR(__xludf.DUMMYFUNCTION("""COMPUTED_VALUE"""),0)</f>
        <v>0</v>
      </c>
      <c r="S571" s="23">
        <f ca="1">IFERROR(__xludf.DUMMYFUNCTION("""COMPUTED_VALUE"""),0)</f>
        <v>0</v>
      </c>
      <c r="T571" s="48">
        <f ca="1">IFERROR(__xludf.DUMMYFUNCTION("""COMPUTED_VALUE"""),0)</f>
        <v>0</v>
      </c>
      <c r="U571" s="47">
        <f ca="1">IFERROR(__xludf.DUMMYFUNCTION("""COMPUTED_VALUE"""),0)</f>
        <v>0</v>
      </c>
      <c r="V571" s="47">
        <f ca="1">IFERROR(__xludf.DUMMYFUNCTION("""COMPUTED_VALUE"""),0)</f>
        <v>0</v>
      </c>
      <c r="W571" s="47">
        <f ca="1">IFERROR(__xludf.DUMMYFUNCTION("""COMPUTED_VALUE"""),0)</f>
        <v>0</v>
      </c>
      <c r="X571" s="47">
        <f ca="1">IFERROR(__xludf.DUMMYFUNCTION("""COMPUTED_VALUE"""),0)</f>
        <v>0</v>
      </c>
      <c r="Y571" s="44">
        <f ca="1">IFERROR(__xludf.DUMMYFUNCTION("""COMPUTED_VALUE"""),0)</f>
        <v>0</v>
      </c>
      <c r="Z571" s="44">
        <f ca="1">IFERROR(__xludf.DUMMYFUNCTION("""COMPUTED_VALUE"""),0)</f>
        <v>0</v>
      </c>
      <c r="AA571" s="44">
        <f ca="1">IFERROR(__xludf.DUMMYFUNCTION("""COMPUTED_VALUE"""),0)</f>
        <v>0</v>
      </c>
      <c r="AB571" s="44">
        <f ca="1">IFERROR(__xludf.DUMMYFUNCTION("""COMPUTED_VALUE"""),0)</f>
        <v>0</v>
      </c>
      <c r="AC571" s="47">
        <f ca="1">IFERROR(__xludf.DUMMYFUNCTION("""COMPUTED_VALUE"""),0)</f>
        <v>0</v>
      </c>
      <c r="AD571" s="49"/>
      <c r="AE571" s="27"/>
    </row>
    <row r="572" spans="1:31" ht="14.3">
      <c r="A572" s="42" t="str">
        <f ca="1">IFERROR(__xludf.DUMMYFUNCTION("""COMPUTED_VALUE"""),"21SDSCE01055")</f>
        <v>21SDSCE01055</v>
      </c>
      <c r="B572" s="43" t="str">
        <f ca="1">IFERROR(__xludf.DUMMYFUNCTION("""COMPUTED_VALUE"""),"AGHERA DEEPKUMAR MAGANBHAI")</f>
        <v>AGHERA DEEPKUMAR MAGANBHAI</v>
      </c>
      <c r="C572" s="42" t="str">
        <f ca="1">IFERROR(__xludf.DUMMYFUNCTION("""COMPUTED_VALUE"""),"SDS")</f>
        <v>SDS</v>
      </c>
      <c r="D572" s="42" t="str">
        <f ca="1">IFERROR(__xludf.DUMMYFUNCTION("""COMPUTED_VALUE"""),"DCE")</f>
        <v>DCE</v>
      </c>
      <c r="E572" s="44">
        <f ca="1">IFERROR(__xludf.DUMMYFUNCTION("""COMPUTED_VALUE"""),6)</f>
        <v>6</v>
      </c>
      <c r="F572" s="42" t="str">
        <f ca="1">IFERROR(__xludf.DUMMYFUNCTION("""COMPUTED_VALUE"""),"7229089917 8511205317")</f>
        <v>7229089917 8511205317</v>
      </c>
      <c r="G572" s="42" t="str">
        <f ca="1">IFERROR(__xludf.DUMMYFUNCTION("""COMPUTED_VALUE"""),"7229089917 8511205317")</f>
        <v>7229089917 8511205317</v>
      </c>
      <c r="H572" s="2" t="str">
        <f ca="1">IFERROR(__xludf.DUMMYFUNCTION("""COMPUTED_VALUE"""),"DCE_2021-24")</f>
        <v>DCE_2021-24</v>
      </c>
      <c r="I572" s="45"/>
      <c r="J572" s="46">
        <f ca="1">IFERROR(__xludf.DUMMYFUNCTION("""COMPUTED_VALUE"""),25000)</f>
        <v>25000</v>
      </c>
      <c r="K572" s="46">
        <f ca="1">IFERROR(__xludf.DUMMYFUNCTION("""COMPUTED_VALUE"""),25000)</f>
        <v>25000</v>
      </c>
      <c r="L572" s="46">
        <f ca="1">IFERROR(__xludf.DUMMYFUNCTION("""COMPUTED_VALUE"""),0)</f>
        <v>0</v>
      </c>
      <c r="M572" s="47">
        <f ca="1">IFERROR(__xludf.DUMMYFUNCTION("""COMPUTED_VALUE"""),0)</f>
        <v>0</v>
      </c>
      <c r="N572" s="46">
        <f ca="1">IFERROR(__xludf.DUMMYFUNCTION("""COMPUTED_VALUE"""),0)</f>
        <v>0</v>
      </c>
      <c r="O572" s="46">
        <f ca="1">IFERROR(__xludf.DUMMYFUNCTION("""COMPUTED_VALUE"""),3750)</f>
        <v>3750</v>
      </c>
      <c r="P572" s="46">
        <f ca="1">IFERROR(__xludf.DUMMYFUNCTION("""COMPUTED_VALUE"""),3750)</f>
        <v>3750</v>
      </c>
      <c r="Q572" s="47">
        <f ca="1">IFERROR(__xludf.DUMMYFUNCTION("""COMPUTED_VALUE"""),0)</f>
        <v>0</v>
      </c>
      <c r="R572" s="24">
        <f ca="1">IFERROR(__xludf.DUMMYFUNCTION("""COMPUTED_VALUE"""),0)</f>
        <v>0</v>
      </c>
      <c r="S572" s="23">
        <f ca="1">IFERROR(__xludf.DUMMYFUNCTION("""COMPUTED_VALUE"""),0)</f>
        <v>0</v>
      </c>
      <c r="T572" s="48">
        <f ca="1">IFERROR(__xludf.DUMMYFUNCTION("""COMPUTED_VALUE"""),0)</f>
        <v>0</v>
      </c>
      <c r="U572" s="47">
        <f ca="1">IFERROR(__xludf.DUMMYFUNCTION("""COMPUTED_VALUE"""),0)</f>
        <v>0</v>
      </c>
      <c r="V572" s="47">
        <f ca="1">IFERROR(__xludf.DUMMYFUNCTION("""COMPUTED_VALUE"""),0)</f>
        <v>0</v>
      </c>
      <c r="W572" s="47">
        <f ca="1">IFERROR(__xludf.DUMMYFUNCTION("""COMPUTED_VALUE"""),0)</f>
        <v>0</v>
      </c>
      <c r="X572" s="47">
        <f ca="1">IFERROR(__xludf.DUMMYFUNCTION("""COMPUTED_VALUE"""),0)</f>
        <v>0</v>
      </c>
      <c r="Y572" s="44">
        <f ca="1">IFERROR(__xludf.DUMMYFUNCTION("""COMPUTED_VALUE"""),0)</f>
        <v>0</v>
      </c>
      <c r="Z572" s="44">
        <f ca="1">IFERROR(__xludf.DUMMYFUNCTION("""COMPUTED_VALUE"""),0)</f>
        <v>0</v>
      </c>
      <c r="AA572" s="44">
        <f ca="1">IFERROR(__xludf.DUMMYFUNCTION("""COMPUTED_VALUE"""),0)</f>
        <v>0</v>
      </c>
      <c r="AB572" s="44">
        <f ca="1">IFERROR(__xludf.DUMMYFUNCTION("""COMPUTED_VALUE"""),0)</f>
        <v>0</v>
      </c>
      <c r="AC572" s="47">
        <f ca="1">IFERROR(__xludf.DUMMYFUNCTION("""COMPUTED_VALUE"""),0)</f>
        <v>0</v>
      </c>
      <c r="AD572" s="49"/>
      <c r="AE572" s="27"/>
    </row>
    <row r="573" spans="1:31" ht="23.1">
      <c r="A573" s="42" t="str">
        <f ca="1">IFERROR(__xludf.DUMMYFUNCTION("""COMPUTED_VALUE"""),"21SDSCE01059")</f>
        <v>21SDSCE01059</v>
      </c>
      <c r="B573" s="43" t="str">
        <f ca="1">IFERROR(__xludf.DUMMYFUNCTION("""COMPUTED_VALUE"""),"BHUVA MONIL DINESHBHAI")</f>
        <v>BHUVA MONIL DINESHBHAI</v>
      </c>
      <c r="C573" s="42" t="str">
        <f ca="1">IFERROR(__xludf.DUMMYFUNCTION("""COMPUTED_VALUE"""),"SDS")</f>
        <v>SDS</v>
      </c>
      <c r="D573" s="42" t="str">
        <f ca="1">IFERROR(__xludf.DUMMYFUNCTION("""COMPUTED_VALUE"""),"DCE")</f>
        <v>DCE</v>
      </c>
      <c r="E573" s="44">
        <f ca="1">IFERROR(__xludf.DUMMYFUNCTION("""COMPUTED_VALUE"""),6)</f>
        <v>6</v>
      </c>
      <c r="F573" s="42" t="str">
        <f ca="1">IFERROR(__xludf.DUMMYFUNCTION("""COMPUTED_VALUE"""),"9409770083 9409770084")</f>
        <v>9409770083 9409770084</v>
      </c>
      <c r="G573" s="42" t="str">
        <f ca="1">IFERROR(__xludf.DUMMYFUNCTION("""COMPUTED_VALUE"""),"9409770083 9409770084")</f>
        <v>9409770083 9409770084</v>
      </c>
      <c r="H573" s="2" t="str">
        <f ca="1">IFERROR(__xludf.DUMMYFUNCTION("""COMPUTED_VALUE"""),"DCE_2021-24")</f>
        <v>DCE_2021-24</v>
      </c>
      <c r="I573" s="45" t="str">
        <f ca="1">IFERROR(__xludf.DUMMYFUNCTION("""COMPUTED_VALUE"""),"MYSY")</f>
        <v>MYSY</v>
      </c>
      <c r="J573" s="46">
        <f ca="1">IFERROR(__xludf.DUMMYFUNCTION("""COMPUTED_VALUE"""),25000)</f>
        <v>25000</v>
      </c>
      <c r="K573" s="46">
        <f ca="1">IFERROR(__xludf.DUMMYFUNCTION("""COMPUTED_VALUE"""),0)</f>
        <v>0</v>
      </c>
      <c r="L573" s="46">
        <f ca="1">IFERROR(__xludf.DUMMYFUNCTION("""COMPUTED_VALUE"""),0)</f>
        <v>0</v>
      </c>
      <c r="M573" s="47">
        <f ca="1">IFERROR(__xludf.DUMMYFUNCTION("""COMPUTED_VALUE"""),0)</f>
        <v>0</v>
      </c>
      <c r="N573" s="46">
        <f ca="1">IFERROR(__xludf.DUMMYFUNCTION("""COMPUTED_VALUE"""),25000)</f>
        <v>25000</v>
      </c>
      <c r="O573" s="46">
        <f ca="1">IFERROR(__xludf.DUMMYFUNCTION("""COMPUTED_VALUE"""),3750)</f>
        <v>3750</v>
      </c>
      <c r="P573" s="46">
        <f ca="1">IFERROR(__xludf.DUMMYFUNCTION("""COMPUTED_VALUE"""),3750)</f>
        <v>3750</v>
      </c>
      <c r="Q573" s="47">
        <f ca="1">IFERROR(__xludf.DUMMYFUNCTION("""COMPUTED_VALUE"""),0)</f>
        <v>0</v>
      </c>
      <c r="R573" s="24">
        <f ca="1">IFERROR(__xludf.DUMMYFUNCTION("""COMPUTED_VALUE"""),0)</f>
        <v>0</v>
      </c>
      <c r="S573" s="23">
        <f ca="1">IFERROR(__xludf.DUMMYFUNCTION("""COMPUTED_VALUE"""),0)</f>
        <v>0</v>
      </c>
      <c r="T573" s="48">
        <f ca="1">IFERROR(__xludf.DUMMYFUNCTION("""COMPUTED_VALUE"""),0)</f>
        <v>0</v>
      </c>
      <c r="U573" s="47">
        <f ca="1">IFERROR(__xludf.DUMMYFUNCTION("""COMPUTED_VALUE"""),0)</f>
        <v>0</v>
      </c>
      <c r="V573" s="47">
        <f ca="1">IFERROR(__xludf.DUMMYFUNCTION("""COMPUTED_VALUE"""),0)</f>
        <v>0</v>
      </c>
      <c r="W573" s="47">
        <f ca="1">IFERROR(__xludf.DUMMYFUNCTION("""COMPUTED_VALUE"""),0)</f>
        <v>0</v>
      </c>
      <c r="X573" s="47">
        <f ca="1">IFERROR(__xludf.DUMMYFUNCTION("""COMPUTED_VALUE"""),0)</f>
        <v>0</v>
      </c>
      <c r="Y573" s="44">
        <f ca="1">IFERROR(__xludf.DUMMYFUNCTION("""COMPUTED_VALUE"""),0)</f>
        <v>0</v>
      </c>
      <c r="Z573" s="44">
        <f ca="1">IFERROR(__xludf.DUMMYFUNCTION("""COMPUTED_VALUE"""),0)</f>
        <v>0</v>
      </c>
      <c r="AA573" s="44">
        <f ca="1">IFERROR(__xludf.DUMMYFUNCTION("""COMPUTED_VALUE"""),0)</f>
        <v>0</v>
      </c>
      <c r="AB573" s="44">
        <f ca="1">IFERROR(__xludf.DUMMYFUNCTION("""COMPUTED_VALUE"""),0)</f>
        <v>0</v>
      </c>
      <c r="AC573" s="47">
        <f ca="1">IFERROR(__xludf.DUMMYFUNCTION("""COMPUTED_VALUE"""),0)</f>
        <v>0</v>
      </c>
      <c r="AD573" s="49" t="str">
        <f ca="1">IFERROR(__xludf.DUMMYFUNCTION("""COMPUTED_VALUE"""),"
KSPS(50%)+MYSY(50%)")</f>
        <v xml:space="preserve">
KSPS(50%)+MYSY(50%)</v>
      </c>
      <c r="AE573" s="27"/>
    </row>
    <row r="574" spans="1:31" ht="14.3">
      <c r="A574" s="42" t="str">
        <f ca="1">IFERROR(__xludf.DUMMYFUNCTION("""COMPUTED_VALUE"""),"21SDSCE01068")</f>
        <v>21SDSCE01068</v>
      </c>
      <c r="B574" s="43" t="str">
        <f ca="1">IFERROR(__xludf.DUMMYFUNCTION("""COMPUTED_VALUE"""),"DOBARIYA NANDANI SOMCHANDBHAI")</f>
        <v>DOBARIYA NANDANI SOMCHANDBHAI</v>
      </c>
      <c r="C574" s="42" t="str">
        <f ca="1">IFERROR(__xludf.DUMMYFUNCTION("""COMPUTED_VALUE"""),"SDS")</f>
        <v>SDS</v>
      </c>
      <c r="D574" s="42" t="str">
        <f ca="1">IFERROR(__xludf.DUMMYFUNCTION("""COMPUTED_VALUE"""),"DCE")</f>
        <v>DCE</v>
      </c>
      <c r="E574" s="44">
        <f ca="1">IFERROR(__xludf.DUMMYFUNCTION("""COMPUTED_VALUE"""),6)</f>
        <v>6</v>
      </c>
      <c r="F574" s="42" t="str">
        <f ca="1">IFERROR(__xludf.DUMMYFUNCTION("""COMPUTED_VALUE"""),"9574168138 
9824844709")</f>
        <v>9574168138 
9824844709</v>
      </c>
      <c r="G574" s="42" t="str">
        <f ca="1">IFERROR(__xludf.DUMMYFUNCTION("""COMPUTED_VALUE"""),"9574168138 
9824844709")</f>
        <v>9574168138 
9824844709</v>
      </c>
      <c r="H574" s="2" t="str">
        <f ca="1">IFERROR(__xludf.DUMMYFUNCTION("""COMPUTED_VALUE"""),"DCE_2021-24")</f>
        <v>DCE_2021-24</v>
      </c>
      <c r="I574" s="45" t="str">
        <f ca="1">IFERROR(__xludf.DUMMYFUNCTION("""COMPUTED_VALUE"""),"MYSY")</f>
        <v>MYSY</v>
      </c>
      <c r="J574" s="46">
        <f ca="1">IFERROR(__xludf.DUMMYFUNCTION("""COMPUTED_VALUE"""),25000)</f>
        <v>25000</v>
      </c>
      <c r="K574" s="46">
        <f ca="1">IFERROR(__xludf.DUMMYFUNCTION("""COMPUTED_VALUE"""),0)</f>
        <v>0</v>
      </c>
      <c r="L574" s="46">
        <f ca="1">IFERROR(__xludf.DUMMYFUNCTION("""COMPUTED_VALUE"""),0)</f>
        <v>0</v>
      </c>
      <c r="M574" s="47">
        <f ca="1">IFERROR(__xludf.DUMMYFUNCTION("""COMPUTED_VALUE"""),0)</f>
        <v>0</v>
      </c>
      <c r="N574" s="46">
        <f ca="1">IFERROR(__xludf.DUMMYFUNCTION("""COMPUTED_VALUE"""),25000)</f>
        <v>25000</v>
      </c>
      <c r="O574" s="46">
        <f ca="1">IFERROR(__xludf.DUMMYFUNCTION("""COMPUTED_VALUE"""),3750)</f>
        <v>3750</v>
      </c>
      <c r="P574" s="46">
        <f ca="1">IFERROR(__xludf.DUMMYFUNCTION("""COMPUTED_VALUE"""),3750)</f>
        <v>3750</v>
      </c>
      <c r="Q574" s="47">
        <f ca="1">IFERROR(__xludf.DUMMYFUNCTION("""COMPUTED_VALUE"""),0)</f>
        <v>0</v>
      </c>
      <c r="R574" s="24">
        <f ca="1">IFERROR(__xludf.DUMMYFUNCTION("""COMPUTED_VALUE"""),0)</f>
        <v>0</v>
      </c>
      <c r="S574" s="23">
        <f ca="1">IFERROR(__xludf.DUMMYFUNCTION("""COMPUTED_VALUE"""),0)</f>
        <v>0</v>
      </c>
      <c r="T574" s="48">
        <f ca="1">IFERROR(__xludf.DUMMYFUNCTION("""COMPUTED_VALUE"""),0)</f>
        <v>0</v>
      </c>
      <c r="U574" s="47">
        <f ca="1">IFERROR(__xludf.DUMMYFUNCTION("""COMPUTED_VALUE"""),0)</f>
        <v>0</v>
      </c>
      <c r="V574" s="47">
        <f ca="1">IFERROR(__xludf.DUMMYFUNCTION("""COMPUTED_VALUE"""),0)</f>
        <v>0</v>
      </c>
      <c r="W574" s="47">
        <f ca="1">IFERROR(__xludf.DUMMYFUNCTION("""COMPUTED_VALUE"""),0)</f>
        <v>0</v>
      </c>
      <c r="X574" s="47">
        <f ca="1">IFERROR(__xludf.DUMMYFUNCTION("""COMPUTED_VALUE"""),0)</f>
        <v>0</v>
      </c>
      <c r="Y574" s="44">
        <f ca="1">IFERROR(__xludf.DUMMYFUNCTION("""COMPUTED_VALUE"""),0)</f>
        <v>0</v>
      </c>
      <c r="Z574" s="44">
        <f ca="1">IFERROR(__xludf.DUMMYFUNCTION("""COMPUTED_VALUE"""),0)</f>
        <v>0</v>
      </c>
      <c r="AA574" s="44">
        <f ca="1">IFERROR(__xludf.DUMMYFUNCTION("""COMPUTED_VALUE"""),0)</f>
        <v>0</v>
      </c>
      <c r="AB574" s="44">
        <f ca="1">IFERROR(__xludf.DUMMYFUNCTION("""COMPUTED_VALUE"""),0)</f>
        <v>0</v>
      </c>
      <c r="AC574" s="47">
        <f ca="1">IFERROR(__xludf.DUMMYFUNCTION("""COMPUTED_VALUE"""),0)</f>
        <v>0</v>
      </c>
      <c r="AD574" s="49" t="str">
        <f ca="1">IFERROR(__xludf.DUMMYFUNCTION("""COMPUTED_VALUE"""),"MYSY(50%) + KSPS(50%)")</f>
        <v>MYSY(50%) + KSPS(50%)</v>
      </c>
      <c r="AE574" s="27"/>
    </row>
    <row r="575" spans="1:31" ht="14.3">
      <c r="A575" s="42" t="str">
        <f ca="1">IFERROR(__xludf.DUMMYFUNCTION("""COMPUTED_VALUE"""),"21SDSCE01071")</f>
        <v>21SDSCE01071</v>
      </c>
      <c r="B575" s="43" t="str">
        <f ca="1">IFERROR(__xludf.DUMMYFUNCTION("""COMPUTED_VALUE"""),"GAJERA HEET MANOJBHAI")</f>
        <v>GAJERA HEET MANOJBHAI</v>
      </c>
      <c r="C575" s="42" t="str">
        <f ca="1">IFERROR(__xludf.DUMMYFUNCTION("""COMPUTED_VALUE"""),"SDS")</f>
        <v>SDS</v>
      </c>
      <c r="D575" s="42" t="str">
        <f ca="1">IFERROR(__xludf.DUMMYFUNCTION("""COMPUTED_VALUE"""),"DCE")</f>
        <v>DCE</v>
      </c>
      <c r="E575" s="44">
        <f ca="1">IFERROR(__xludf.DUMMYFUNCTION("""COMPUTED_VALUE"""),6)</f>
        <v>6</v>
      </c>
      <c r="F575" s="42" t="str">
        <f ca="1">IFERROR(__xludf.DUMMYFUNCTION("""COMPUTED_VALUE"""),"9427435264 9723647461")</f>
        <v>9427435264 9723647461</v>
      </c>
      <c r="G575" s="42" t="str">
        <f ca="1">IFERROR(__xludf.DUMMYFUNCTION("""COMPUTED_VALUE"""),"9427435264 9723647461")</f>
        <v>9427435264 9723647461</v>
      </c>
      <c r="H575" s="2" t="str">
        <f ca="1">IFERROR(__xludf.DUMMYFUNCTION("""COMPUTED_VALUE"""),"DCE_2021-24")</f>
        <v>DCE_2021-24</v>
      </c>
      <c r="I575" s="45" t="str">
        <f ca="1">IFERROR(__xludf.DUMMYFUNCTION("""COMPUTED_VALUE"""),"TFW")</f>
        <v>TFW</v>
      </c>
      <c r="J575" s="46">
        <f ca="1">IFERROR(__xludf.DUMMYFUNCTION("""COMPUTED_VALUE"""),25000)</f>
        <v>25000</v>
      </c>
      <c r="K575" s="46">
        <f ca="1">IFERROR(__xludf.DUMMYFUNCTION("""COMPUTED_VALUE"""),0)</f>
        <v>0</v>
      </c>
      <c r="L575" s="46">
        <f ca="1">IFERROR(__xludf.DUMMYFUNCTION("""COMPUTED_VALUE"""),0)</f>
        <v>0</v>
      </c>
      <c r="M575" s="47">
        <f ca="1">IFERROR(__xludf.DUMMYFUNCTION("""COMPUTED_VALUE"""),25000)</f>
        <v>25000</v>
      </c>
      <c r="N575" s="46">
        <f ca="1">IFERROR(__xludf.DUMMYFUNCTION("""COMPUTED_VALUE"""),0)</f>
        <v>0</v>
      </c>
      <c r="O575" s="46">
        <f ca="1">IFERROR(__xludf.DUMMYFUNCTION("""COMPUTED_VALUE"""),3750)</f>
        <v>3750</v>
      </c>
      <c r="P575" s="46">
        <f ca="1">IFERROR(__xludf.DUMMYFUNCTION("""COMPUTED_VALUE"""),3750)</f>
        <v>3750</v>
      </c>
      <c r="Q575" s="47">
        <f ca="1">IFERROR(__xludf.DUMMYFUNCTION("""COMPUTED_VALUE"""),0)</f>
        <v>0</v>
      </c>
      <c r="R575" s="24">
        <f ca="1">IFERROR(__xludf.DUMMYFUNCTION("""COMPUTED_VALUE"""),0)</f>
        <v>0</v>
      </c>
      <c r="S575" s="23">
        <f ca="1">IFERROR(__xludf.DUMMYFUNCTION("""COMPUTED_VALUE"""),0)</f>
        <v>0</v>
      </c>
      <c r="T575" s="48">
        <f ca="1">IFERROR(__xludf.DUMMYFUNCTION("""COMPUTED_VALUE"""),0)</f>
        <v>0</v>
      </c>
      <c r="U575" s="47">
        <f ca="1">IFERROR(__xludf.DUMMYFUNCTION("""COMPUTED_VALUE"""),0)</f>
        <v>0</v>
      </c>
      <c r="V575" s="47">
        <f ca="1">IFERROR(__xludf.DUMMYFUNCTION("""COMPUTED_VALUE"""),0)</f>
        <v>0</v>
      </c>
      <c r="W575" s="47">
        <f ca="1">IFERROR(__xludf.DUMMYFUNCTION("""COMPUTED_VALUE"""),0)</f>
        <v>0</v>
      </c>
      <c r="X575" s="47">
        <f ca="1">IFERROR(__xludf.DUMMYFUNCTION("""COMPUTED_VALUE"""),0)</f>
        <v>0</v>
      </c>
      <c r="Y575" s="44">
        <f ca="1">IFERROR(__xludf.DUMMYFUNCTION("""COMPUTED_VALUE"""),0)</f>
        <v>0</v>
      </c>
      <c r="Z575" s="44">
        <f ca="1">IFERROR(__xludf.DUMMYFUNCTION("""COMPUTED_VALUE"""),0)</f>
        <v>0</v>
      </c>
      <c r="AA575" s="44">
        <f ca="1">IFERROR(__xludf.DUMMYFUNCTION("""COMPUTED_VALUE"""),0)</f>
        <v>0</v>
      </c>
      <c r="AB575" s="44">
        <f ca="1">IFERROR(__xludf.DUMMYFUNCTION("""COMPUTED_VALUE"""),0)</f>
        <v>0</v>
      </c>
      <c r="AC575" s="47">
        <f ca="1">IFERROR(__xludf.DUMMYFUNCTION("""COMPUTED_VALUE"""),0)</f>
        <v>0</v>
      </c>
      <c r="AD575" s="49" t="str">
        <f ca="1">IFERROR(__xludf.DUMMYFUNCTION("""COMPUTED_VALUE"""),"MYSY(50%) + KSPS(50%)")</f>
        <v>MYSY(50%) + KSPS(50%)</v>
      </c>
      <c r="AE575" s="27"/>
    </row>
    <row r="576" spans="1:31" ht="14.3">
      <c r="A576" s="42" t="str">
        <f ca="1">IFERROR(__xludf.DUMMYFUNCTION("""COMPUTED_VALUE"""),"21SDSCE01079")</f>
        <v>21SDSCE01079</v>
      </c>
      <c r="B576" s="43" t="str">
        <f ca="1">IFERROR(__xludf.DUMMYFUNCTION("""COMPUTED_VALUE"""),"KASHIYANI BHADRESH DINESHBHAI")</f>
        <v>KASHIYANI BHADRESH DINESHBHAI</v>
      </c>
      <c r="C576" s="42" t="str">
        <f ca="1">IFERROR(__xludf.DUMMYFUNCTION("""COMPUTED_VALUE"""),"SDS")</f>
        <v>SDS</v>
      </c>
      <c r="D576" s="42" t="str">
        <f ca="1">IFERROR(__xludf.DUMMYFUNCTION("""COMPUTED_VALUE"""),"DCE")</f>
        <v>DCE</v>
      </c>
      <c r="E576" s="44">
        <f ca="1">IFERROR(__xludf.DUMMYFUNCTION("""COMPUTED_VALUE"""),6)</f>
        <v>6</v>
      </c>
      <c r="F576" s="42" t="str">
        <f ca="1">IFERROR(__xludf.DUMMYFUNCTION("""COMPUTED_VALUE"""),"9106877963 
9601263704")</f>
        <v>9106877963 
9601263704</v>
      </c>
      <c r="G576" s="42" t="str">
        <f ca="1">IFERROR(__xludf.DUMMYFUNCTION("""COMPUTED_VALUE"""),"9106877963 
9601263704")</f>
        <v>9106877963 
9601263704</v>
      </c>
      <c r="H576" s="2" t="str">
        <f ca="1">IFERROR(__xludf.DUMMYFUNCTION("""COMPUTED_VALUE"""),"DCE_2021-24")</f>
        <v>DCE_2021-24</v>
      </c>
      <c r="I576" s="45"/>
      <c r="J576" s="46">
        <f ca="1">IFERROR(__xludf.DUMMYFUNCTION("""COMPUTED_VALUE"""),25000)</f>
        <v>25000</v>
      </c>
      <c r="K576" s="46">
        <f ca="1">IFERROR(__xludf.DUMMYFUNCTION("""COMPUTED_VALUE"""),25000)</f>
        <v>25000</v>
      </c>
      <c r="L576" s="46">
        <f ca="1">IFERROR(__xludf.DUMMYFUNCTION("""COMPUTED_VALUE"""),0)</f>
        <v>0</v>
      </c>
      <c r="M576" s="47">
        <f ca="1">IFERROR(__xludf.DUMMYFUNCTION("""COMPUTED_VALUE"""),0)</f>
        <v>0</v>
      </c>
      <c r="N576" s="46">
        <f ca="1">IFERROR(__xludf.DUMMYFUNCTION("""COMPUTED_VALUE"""),0)</f>
        <v>0</v>
      </c>
      <c r="O576" s="46">
        <f ca="1">IFERROR(__xludf.DUMMYFUNCTION("""COMPUTED_VALUE"""),3750)</f>
        <v>3750</v>
      </c>
      <c r="P576" s="46">
        <f ca="1">IFERROR(__xludf.DUMMYFUNCTION("""COMPUTED_VALUE"""),3750)</f>
        <v>3750</v>
      </c>
      <c r="Q576" s="47">
        <f ca="1">IFERROR(__xludf.DUMMYFUNCTION("""COMPUTED_VALUE"""),0)</f>
        <v>0</v>
      </c>
      <c r="R576" s="24">
        <f ca="1">IFERROR(__xludf.DUMMYFUNCTION("""COMPUTED_VALUE"""),0)</f>
        <v>0</v>
      </c>
      <c r="S576" s="23">
        <f ca="1">IFERROR(__xludf.DUMMYFUNCTION("""COMPUTED_VALUE"""),0)</f>
        <v>0</v>
      </c>
      <c r="T576" s="48">
        <f ca="1">IFERROR(__xludf.DUMMYFUNCTION("""COMPUTED_VALUE"""),0)</f>
        <v>0</v>
      </c>
      <c r="U576" s="47">
        <f ca="1">IFERROR(__xludf.DUMMYFUNCTION("""COMPUTED_VALUE"""),0)</f>
        <v>0</v>
      </c>
      <c r="V576" s="47">
        <f ca="1">IFERROR(__xludf.DUMMYFUNCTION("""COMPUTED_VALUE"""),0)</f>
        <v>0</v>
      </c>
      <c r="W576" s="47">
        <f ca="1">IFERROR(__xludf.DUMMYFUNCTION("""COMPUTED_VALUE"""),0)</f>
        <v>0</v>
      </c>
      <c r="X576" s="47">
        <f ca="1">IFERROR(__xludf.DUMMYFUNCTION("""COMPUTED_VALUE"""),0)</f>
        <v>0</v>
      </c>
      <c r="Y576" s="44">
        <f ca="1">IFERROR(__xludf.DUMMYFUNCTION("""COMPUTED_VALUE"""),0)</f>
        <v>0</v>
      </c>
      <c r="Z576" s="44">
        <f ca="1">IFERROR(__xludf.DUMMYFUNCTION("""COMPUTED_VALUE"""),0)</f>
        <v>0</v>
      </c>
      <c r="AA576" s="44">
        <f ca="1">IFERROR(__xludf.DUMMYFUNCTION("""COMPUTED_VALUE"""),0)</f>
        <v>0</v>
      </c>
      <c r="AB576" s="44">
        <f ca="1">IFERROR(__xludf.DUMMYFUNCTION("""COMPUTED_VALUE"""),0)</f>
        <v>0</v>
      </c>
      <c r="AC576" s="47">
        <f ca="1">IFERROR(__xludf.DUMMYFUNCTION("""COMPUTED_VALUE"""),0)</f>
        <v>0</v>
      </c>
      <c r="AD576" s="49"/>
      <c r="AE576" s="27"/>
    </row>
    <row r="577" spans="1:31" ht="14.3">
      <c r="A577" s="42" t="str">
        <f ca="1">IFERROR(__xludf.DUMMYFUNCTION("""COMPUTED_VALUE"""),"21SDSCE01082")</f>
        <v>21SDSCE01082</v>
      </c>
      <c r="B577" s="43" t="str">
        <f ca="1">IFERROR(__xludf.DUMMYFUNCTION("""COMPUTED_VALUE"""),"KOTAK KAUSHAL DHARMESHBHAI")</f>
        <v>KOTAK KAUSHAL DHARMESHBHAI</v>
      </c>
      <c r="C577" s="42" t="str">
        <f ca="1">IFERROR(__xludf.DUMMYFUNCTION("""COMPUTED_VALUE"""),"SDS")</f>
        <v>SDS</v>
      </c>
      <c r="D577" s="42" t="str">
        <f ca="1">IFERROR(__xludf.DUMMYFUNCTION("""COMPUTED_VALUE"""),"DCE")</f>
        <v>DCE</v>
      </c>
      <c r="E577" s="44">
        <f ca="1">IFERROR(__xludf.DUMMYFUNCTION("""COMPUTED_VALUE"""),6)</f>
        <v>6</v>
      </c>
      <c r="F577" s="42" t="str">
        <f ca="1">IFERROR(__xludf.DUMMYFUNCTION("""COMPUTED_VALUE"""),"9023991157 
9925871303")</f>
        <v>9023991157 
9925871303</v>
      </c>
      <c r="G577" s="42" t="str">
        <f ca="1">IFERROR(__xludf.DUMMYFUNCTION("""COMPUTED_VALUE"""),"9023991157 
9925871303")</f>
        <v>9023991157 
9925871303</v>
      </c>
      <c r="H577" s="2" t="str">
        <f ca="1">IFERROR(__xludf.DUMMYFUNCTION("""COMPUTED_VALUE"""),"DCE_2021-24")</f>
        <v>DCE_2021-24</v>
      </c>
      <c r="I577" s="45" t="str">
        <f ca="1">IFERROR(__xludf.DUMMYFUNCTION("""COMPUTED_VALUE"""),"KSP")</f>
        <v>KSP</v>
      </c>
      <c r="J577" s="46">
        <f ca="1">IFERROR(__xludf.DUMMYFUNCTION("""COMPUTED_VALUE"""),25000)</f>
        <v>25000</v>
      </c>
      <c r="K577" s="46">
        <f ca="1">IFERROR(__xludf.DUMMYFUNCTION("""COMPUTED_VALUE"""),18750)</f>
        <v>18750</v>
      </c>
      <c r="L577" s="46">
        <f ca="1">IFERROR(__xludf.DUMMYFUNCTION("""COMPUTED_VALUE"""),0)</f>
        <v>0</v>
      </c>
      <c r="M577" s="47">
        <f ca="1">IFERROR(__xludf.DUMMYFUNCTION("""COMPUTED_VALUE"""),6250)</f>
        <v>6250</v>
      </c>
      <c r="N577" s="46">
        <f ca="1">IFERROR(__xludf.DUMMYFUNCTION("""COMPUTED_VALUE"""),0)</f>
        <v>0</v>
      </c>
      <c r="O577" s="46">
        <f ca="1">IFERROR(__xludf.DUMMYFUNCTION("""COMPUTED_VALUE"""),3750)</f>
        <v>3750</v>
      </c>
      <c r="P577" s="46">
        <f ca="1">IFERROR(__xludf.DUMMYFUNCTION("""COMPUTED_VALUE"""),3750)</f>
        <v>3750</v>
      </c>
      <c r="Q577" s="47">
        <f ca="1">IFERROR(__xludf.DUMMYFUNCTION("""COMPUTED_VALUE"""),0)</f>
        <v>0</v>
      </c>
      <c r="R577" s="24">
        <f ca="1">IFERROR(__xludf.DUMMYFUNCTION("""COMPUTED_VALUE"""),0)</f>
        <v>0</v>
      </c>
      <c r="S577" s="23">
        <f ca="1">IFERROR(__xludf.DUMMYFUNCTION("""COMPUTED_VALUE"""),0)</f>
        <v>0</v>
      </c>
      <c r="T577" s="48">
        <f ca="1">IFERROR(__xludf.DUMMYFUNCTION("""COMPUTED_VALUE"""),0)</f>
        <v>0</v>
      </c>
      <c r="U577" s="47">
        <f ca="1">IFERROR(__xludf.DUMMYFUNCTION("""COMPUTED_VALUE"""),0)</f>
        <v>0</v>
      </c>
      <c r="V577" s="47">
        <f ca="1">IFERROR(__xludf.DUMMYFUNCTION("""COMPUTED_VALUE"""),0)</f>
        <v>0</v>
      </c>
      <c r="W577" s="47">
        <f ca="1">IFERROR(__xludf.DUMMYFUNCTION("""COMPUTED_VALUE"""),0)</f>
        <v>0</v>
      </c>
      <c r="X577" s="47">
        <f ca="1">IFERROR(__xludf.DUMMYFUNCTION("""COMPUTED_VALUE"""),0)</f>
        <v>0</v>
      </c>
      <c r="Y577" s="44">
        <f ca="1">IFERROR(__xludf.DUMMYFUNCTION("""COMPUTED_VALUE"""),0)</f>
        <v>0</v>
      </c>
      <c r="Z577" s="44">
        <f ca="1">IFERROR(__xludf.DUMMYFUNCTION("""COMPUTED_VALUE"""),0)</f>
        <v>0</v>
      </c>
      <c r="AA577" s="44">
        <f ca="1">IFERROR(__xludf.DUMMYFUNCTION("""COMPUTED_VALUE"""),0)</f>
        <v>0</v>
      </c>
      <c r="AB577" s="44">
        <f ca="1">IFERROR(__xludf.DUMMYFUNCTION("""COMPUTED_VALUE"""),0)</f>
        <v>0</v>
      </c>
      <c r="AC577" s="47">
        <f ca="1">IFERROR(__xludf.DUMMYFUNCTION("""COMPUTED_VALUE"""),0)</f>
        <v>0</v>
      </c>
      <c r="AD577" s="49" t="str">
        <f ca="1">IFERROR(__xludf.DUMMYFUNCTION("""COMPUTED_VALUE"""),"RS 6250 PER SEM SCHOLARSHIP")</f>
        <v>RS 6250 PER SEM SCHOLARSHIP</v>
      </c>
      <c r="AE577" s="27"/>
    </row>
    <row r="578" spans="1:31" ht="14.3">
      <c r="A578" s="42" t="str">
        <f ca="1">IFERROR(__xludf.DUMMYFUNCTION("""COMPUTED_VALUE"""),"21SDSCE01083")</f>
        <v>21SDSCE01083</v>
      </c>
      <c r="B578" s="43" t="str">
        <f ca="1">IFERROR(__xludf.DUMMYFUNCTION("""COMPUTED_VALUE"""),"MAKRUBIYA ADITYA BHAVESHBHAI")</f>
        <v>MAKRUBIYA ADITYA BHAVESHBHAI</v>
      </c>
      <c r="C578" s="42" t="str">
        <f ca="1">IFERROR(__xludf.DUMMYFUNCTION("""COMPUTED_VALUE"""),"SDS")</f>
        <v>SDS</v>
      </c>
      <c r="D578" s="42" t="str">
        <f ca="1">IFERROR(__xludf.DUMMYFUNCTION("""COMPUTED_VALUE"""),"DCE")</f>
        <v>DCE</v>
      </c>
      <c r="E578" s="44">
        <f ca="1">IFERROR(__xludf.DUMMYFUNCTION("""COMPUTED_VALUE"""),6)</f>
        <v>6</v>
      </c>
      <c r="F578" s="42" t="str">
        <f ca="1">IFERROR(__xludf.DUMMYFUNCTION("""COMPUTED_VALUE"""),"9724759470
9662590925")</f>
        <v>9724759470
9662590925</v>
      </c>
      <c r="G578" s="42" t="str">
        <f ca="1">IFERROR(__xludf.DUMMYFUNCTION("""COMPUTED_VALUE"""),"9724759470
9662590925")</f>
        <v>9724759470
9662590925</v>
      </c>
      <c r="H578" s="2" t="str">
        <f ca="1">IFERROR(__xludf.DUMMYFUNCTION("""COMPUTED_VALUE"""),"DCE_2021-24")</f>
        <v>DCE_2021-24</v>
      </c>
      <c r="I578" s="45"/>
      <c r="J578" s="46">
        <f ca="1">IFERROR(__xludf.DUMMYFUNCTION("""COMPUTED_VALUE"""),25000)</f>
        <v>25000</v>
      </c>
      <c r="K578" s="46">
        <f ca="1">IFERROR(__xludf.DUMMYFUNCTION("""COMPUTED_VALUE"""),25000)</f>
        <v>25000</v>
      </c>
      <c r="L578" s="46">
        <f ca="1">IFERROR(__xludf.DUMMYFUNCTION("""COMPUTED_VALUE"""),0)</f>
        <v>0</v>
      </c>
      <c r="M578" s="47">
        <f ca="1">IFERROR(__xludf.DUMMYFUNCTION("""COMPUTED_VALUE"""),0)</f>
        <v>0</v>
      </c>
      <c r="N578" s="46">
        <f ca="1">IFERROR(__xludf.DUMMYFUNCTION("""COMPUTED_VALUE"""),0)</f>
        <v>0</v>
      </c>
      <c r="O578" s="46">
        <f ca="1">IFERROR(__xludf.DUMMYFUNCTION("""COMPUTED_VALUE"""),3750)</f>
        <v>3750</v>
      </c>
      <c r="P578" s="46">
        <f ca="1">IFERROR(__xludf.DUMMYFUNCTION("""COMPUTED_VALUE"""),3750)</f>
        <v>3750</v>
      </c>
      <c r="Q578" s="47">
        <f ca="1">IFERROR(__xludf.DUMMYFUNCTION("""COMPUTED_VALUE"""),0)</f>
        <v>0</v>
      </c>
      <c r="R578" s="24">
        <f ca="1">IFERROR(__xludf.DUMMYFUNCTION("""COMPUTED_VALUE"""),0)</f>
        <v>0</v>
      </c>
      <c r="S578" s="23">
        <f ca="1">IFERROR(__xludf.DUMMYFUNCTION("""COMPUTED_VALUE"""),0)</f>
        <v>0</v>
      </c>
      <c r="T578" s="48">
        <f ca="1">IFERROR(__xludf.DUMMYFUNCTION("""COMPUTED_VALUE"""),0)</f>
        <v>0</v>
      </c>
      <c r="U578" s="47">
        <f ca="1">IFERROR(__xludf.DUMMYFUNCTION("""COMPUTED_VALUE"""),0)</f>
        <v>0</v>
      </c>
      <c r="V578" s="47">
        <f ca="1">IFERROR(__xludf.DUMMYFUNCTION("""COMPUTED_VALUE"""),0)</f>
        <v>0</v>
      </c>
      <c r="W578" s="47">
        <f ca="1">IFERROR(__xludf.DUMMYFUNCTION("""COMPUTED_VALUE"""),0)</f>
        <v>0</v>
      </c>
      <c r="X578" s="47">
        <f ca="1">IFERROR(__xludf.DUMMYFUNCTION("""COMPUTED_VALUE"""),0)</f>
        <v>0</v>
      </c>
      <c r="Y578" s="44">
        <f ca="1">IFERROR(__xludf.DUMMYFUNCTION("""COMPUTED_VALUE"""),0)</f>
        <v>0</v>
      </c>
      <c r="Z578" s="44">
        <f ca="1">IFERROR(__xludf.DUMMYFUNCTION("""COMPUTED_VALUE"""),0)</f>
        <v>0</v>
      </c>
      <c r="AA578" s="44">
        <f ca="1">IFERROR(__xludf.DUMMYFUNCTION("""COMPUTED_VALUE"""),0)</f>
        <v>0</v>
      </c>
      <c r="AB578" s="44">
        <f ca="1">IFERROR(__xludf.DUMMYFUNCTION("""COMPUTED_VALUE"""),0)</f>
        <v>0</v>
      </c>
      <c r="AC578" s="47">
        <f ca="1">IFERROR(__xludf.DUMMYFUNCTION("""COMPUTED_VALUE"""),0)</f>
        <v>0</v>
      </c>
      <c r="AD578" s="49"/>
      <c r="AE578" s="27"/>
    </row>
    <row r="579" spans="1:31" ht="14.3">
      <c r="A579" s="42" t="str">
        <f ca="1">IFERROR(__xludf.DUMMYFUNCTION("""COMPUTED_VALUE"""),"21SDSCE01088")</f>
        <v>21SDSCE01088</v>
      </c>
      <c r="B579" s="43" t="str">
        <f ca="1">IFERROR(__xludf.DUMMYFUNCTION("""COMPUTED_VALUE"""),"PANDYA NEEL SANJAYBHAI")</f>
        <v>PANDYA NEEL SANJAYBHAI</v>
      </c>
      <c r="C579" s="42" t="str">
        <f ca="1">IFERROR(__xludf.DUMMYFUNCTION("""COMPUTED_VALUE"""),"SDS")</f>
        <v>SDS</v>
      </c>
      <c r="D579" s="42" t="str">
        <f ca="1">IFERROR(__xludf.DUMMYFUNCTION("""COMPUTED_VALUE"""),"DCE")</f>
        <v>DCE</v>
      </c>
      <c r="E579" s="44">
        <f ca="1">IFERROR(__xludf.DUMMYFUNCTION("""COMPUTED_VALUE"""),6)</f>
        <v>6</v>
      </c>
      <c r="F579" s="42" t="str">
        <f ca="1">IFERROR(__xludf.DUMMYFUNCTION("""COMPUTED_VALUE"""),"8866163085
8200007109")</f>
        <v>8866163085
8200007109</v>
      </c>
      <c r="G579" s="42" t="str">
        <f ca="1">IFERROR(__xludf.DUMMYFUNCTION("""COMPUTED_VALUE"""),"8866163085
8200007109")</f>
        <v>8866163085
8200007109</v>
      </c>
      <c r="H579" s="2" t="str">
        <f ca="1">IFERROR(__xludf.DUMMYFUNCTION("""COMPUTED_VALUE"""),"DCE_2021-24")</f>
        <v>DCE_2021-24</v>
      </c>
      <c r="I579" s="45" t="str">
        <f ca="1">IFERROR(__xludf.DUMMYFUNCTION("""COMPUTED_VALUE"""),"TFW")</f>
        <v>TFW</v>
      </c>
      <c r="J579" s="46">
        <f ca="1">IFERROR(__xludf.DUMMYFUNCTION("""COMPUTED_VALUE"""),25000)</f>
        <v>25000</v>
      </c>
      <c r="K579" s="46">
        <f ca="1">IFERROR(__xludf.DUMMYFUNCTION("""COMPUTED_VALUE"""),0)</f>
        <v>0</v>
      </c>
      <c r="L579" s="46">
        <f ca="1">IFERROR(__xludf.DUMMYFUNCTION("""COMPUTED_VALUE"""),0)</f>
        <v>0</v>
      </c>
      <c r="M579" s="47">
        <f ca="1">IFERROR(__xludf.DUMMYFUNCTION("""COMPUTED_VALUE"""),25000)</f>
        <v>25000</v>
      </c>
      <c r="N579" s="46">
        <f ca="1">IFERROR(__xludf.DUMMYFUNCTION("""COMPUTED_VALUE"""),0)</f>
        <v>0</v>
      </c>
      <c r="O579" s="46">
        <f ca="1">IFERROR(__xludf.DUMMYFUNCTION("""COMPUTED_VALUE"""),3750)</f>
        <v>3750</v>
      </c>
      <c r="P579" s="46">
        <f ca="1">IFERROR(__xludf.DUMMYFUNCTION("""COMPUTED_VALUE"""),3750)</f>
        <v>3750</v>
      </c>
      <c r="Q579" s="47">
        <f ca="1">IFERROR(__xludf.DUMMYFUNCTION("""COMPUTED_VALUE"""),0)</f>
        <v>0</v>
      </c>
      <c r="R579" s="24">
        <f ca="1">IFERROR(__xludf.DUMMYFUNCTION("""COMPUTED_VALUE"""),0)</f>
        <v>0</v>
      </c>
      <c r="S579" s="23">
        <f ca="1">IFERROR(__xludf.DUMMYFUNCTION("""COMPUTED_VALUE"""),0)</f>
        <v>0</v>
      </c>
      <c r="T579" s="48">
        <f ca="1">IFERROR(__xludf.DUMMYFUNCTION("""COMPUTED_VALUE"""),0)</f>
        <v>0</v>
      </c>
      <c r="U579" s="47">
        <f ca="1">IFERROR(__xludf.DUMMYFUNCTION("""COMPUTED_VALUE"""),0)</f>
        <v>0</v>
      </c>
      <c r="V579" s="47">
        <f ca="1">IFERROR(__xludf.DUMMYFUNCTION("""COMPUTED_VALUE"""),0)</f>
        <v>0</v>
      </c>
      <c r="W579" s="47">
        <f ca="1">IFERROR(__xludf.DUMMYFUNCTION("""COMPUTED_VALUE"""),0)</f>
        <v>0</v>
      </c>
      <c r="X579" s="47">
        <f ca="1">IFERROR(__xludf.DUMMYFUNCTION("""COMPUTED_VALUE"""),0)</f>
        <v>0</v>
      </c>
      <c r="Y579" s="44">
        <f ca="1">IFERROR(__xludf.DUMMYFUNCTION("""COMPUTED_VALUE"""),0)</f>
        <v>0</v>
      </c>
      <c r="Z579" s="44">
        <f ca="1">IFERROR(__xludf.DUMMYFUNCTION("""COMPUTED_VALUE"""),0)</f>
        <v>0</v>
      </c>
      <c r="AA579" s="44">
        <f ca="1">IFERROR(__xludf.DUMMYFUNCTION("""COMPUTED_VALUE"""),0)</f>
        <v>0</v>
      </c>
      <c r="AB579" s="44">
        <f ca="1">IFERROR(__xludf.DUMMYFUNCTION("""COMPUTED_VALUE"""),0)</f>
        <v>0</v>
      </c>
      <c r="AC579" s="47">
        <f ca="1">IFERROR(__xludf.DUMMYFUNCTION("""COMPUTED_VALUE"""),0)</f>
        <v>0</v>
      </c>
      <c r="AD579" s="49"/>
      <c r="AE579" s="27"/>
    </row>
    <row r="580" spans="1:31" ht="14.3">
      <c r="A580" s="42" t="str">
        <f ca="1">IFERROR(__xludf.DUMMYFUNCTION("""COMPUTED_VALUE"""),"21SDSCE01089")</f>
        <v>21SDSCE01089</v>
      </c>
      <c r="B580" s="43" t="str">
        <f ca="1">IFERROR(__xludf.DUMMYFUNCTION("""COMPUTED_VALUE"""),"PANKHANIYA NISHANT KANTILAL")</f>
        <v>PANKHANIYA NISHANT KANTILAL</v>
      </c>
      <c r="C580" s="42" t="str">
        <f ca="1">IFERROR(__xludf.DUMMYFUNCTION("""COMPUTED_VALUE"""),"SDS")</f>
        <v>SDS</v>
      </c>
      <c r="D580" s="42" t="str">
        <f ca="1">IFERROR(__xludf.DUMMYFUNCTION("""COMPUTED_VALUE"""),"DCE")</f>
        <v>DCE</v>
      </c>
      <c r="E580" s="44">
        <f ca="1">IFERROR(__xludf.DUMMYFUNCTION("""COMPUTED_VALUE"""),6)</f>
        <v>6</v>
      </c>
      <c r="F580" s="42" t="str">
        <f ca="1">IFERROR(__xludf.DUMMYFUNCTION("""COMPUTED_VALUE"""),"9712314216 8780395242")</f>
        <v>9712314216 8780395242</v>
      </c>
      <c r="G580" s="42" t="str">
        <f ca="1">IFERROR(__xludf.DUMMYFUNCTION("""COMPUTED_VALUE"""),"9712314216 8780395242")</f>
        <v>9712314216 8780395242</v>
      </c>
      <c r="H580" s="2" t="str">
        <f ca="1">IFERROR(__xludf.DUMMYFUNCTION("""COMPUTED_VALUE"""),"DCE_2021-24")</f>
        <v>DCE_2021-24</v>
      </c>
      <c r="I580" s="45" t="str">
        <f ca="1">IFERROR(__xludf.DUMMYFUNCTION("""COMPUTED_VALUE"""),"KSP")</f>
        <v>KSP</v>
      </c>
      <c r="J580" s="46">
        <f ca="1">IFERROR(__xludf.DUMMYFUNCTION("""COMPUTED_VALUE"""),25000)</f>
        <v>25000</v>
      </c>
      <c r="K580" s="46">
        <f ca="1">IFERROR(__xludf.DUMMYFUNCTION("""COMPUTED_VALUE"""),0)</f>
        <v>0</v>
      </c>
      <c r="L580" s="46">
        <f ca="1">IFERROR(__xludf.DUMMYFUNCTION("""COMPUTED_VALUE"""),0)</f>
        <v>0</v>
      </c>
      <c r="M580" s="47">
        <f ca="1">IFERROR(__xludf.DUMMYFUNCTION("""COMPUTED_VALUE"""),6250)</f>
        <v>6250</v>
      </c>
      <c r="N580" s="46">
        <f ca="1">IFERROR(__xludf.DUMMYFUNCTION("""COMPUTED_VALUE"""),18750)</f>
        <v>18750</v>
      </c>
      <c r="O580" s="46">
        <f ca="1">IFERROR(__xludf.DUMMYFUNCTION("""COMPUTED_VALUE"""),3750)</f>
        <v>3750</v>
      </c>
      <c r="P580" s="46">
        <f ca="1">IFERROR(__xludf.DUMMYFUNCTION("""COMPUTED_VALUE"""),0)</f>
        <v>0</v>
      </c>
      <c r="Q580" s="47">
        <f ca="1">IFERROR(__xludf.DUMMYFUNCTION("""COMPUTED_VALUE"""),0)</f>
        <v>0</v>
      </c>
      <c r="R580" s="24">
        <f ca="1">IFERROR(__xludf.DUMMYFUNCTION("""COMPUTED_VALUE"""),0)</f>
        <v>0</v>
      </c>
      <c r="S580" s="23">
        <f ca="1">IFERROR(__xludf.DUMMYFUNCTION("""COMPUTED_VALUE"""),3750)</f>
        <v>3750</v>
      </c>
      <c r="T580" s="48">
        <f ca="1">IFERROR(__xludf.DUMMYFUNCTION("""COMPUTED_VALUE"""),0)</f>
        <v>0</v>
      </c>
      <c r="U580" s="47">
        <f ca="1">IFERROR(__xludf.DUMMYFUNCTION("""COMPUTED_VALUE"""),0)</f>
        <v>0</v>
      </c>
      <c r="V580" s="47">
        <f ca="1">IFERROR(__xludf.DUMMYFUNCTION("""COMPUTED_VALUE"""),0)</f>
        <v>0</v>
      </c>
      <c r="W580" s="47">
        <f ca="1">IFERROR(__xludf.DUMMYFUNCTION("""COMPUTED_VALUE"""),0)</f>
        <v>0</v>
      </c>
      <c r="X580" s="47">
        <f ca="1">IFERROR(__xludf.DUMMYFUNCTION("""COMPUTED_VALUE"""),0)</f>
        <v>0</v>
      </c>
      <c r="Y580" s="44">
        <f ca="1">IFERROR(__xludf.DUMMYFUNCTION("""COMPUTED_VALUE"""),0)</f>
        <v>0</v>
      </c>
      <c r="Z580" s="44">
        <f ca="1">IFERROR(__xludf.DUMMYFUNCTION("""COMPUTED_VALUE"""),0)</f>
        <v>0</v>
      </c>
      <c r="AA580" s="44">
        <f ca="1">IFERROR(__xludf.DUMMYFUNCTION("""COMPUTED_VALUE"""),0)</f>
        <v>0</v>
      </c>
      <c r="AB580" s="44">
        <f ca="1">IFERROR(__xludf.DUMMYFUNCTION("""COMPUTED_VALUE"""),0)</f>
        <v>0</v>
      </c>
      <c r="AC580" s="47">
        <f ca="1">IFERROR(__xludf.DUMMYFUNCTION("""COMPUTED_VALUE"""),0)</f>
        <v>0</v>
      </c>
      <c r="AD580" s="49" t="str">
        <f ca="1">IFERROR(__xludf.DUMMYFUNCTION("""COMPUTED_VALUE"""),"RS 6250 PER SEM SCHOLARSHIP")</f>
        <v>RS 6250 PER SEM SCHOLARSHIP</v>
      </c>
      <c r="AE580" s="27"/>
    </row>
    <row r="581" spans="1:31" ht="14.3">
      <c r="A581" s="42" t="str">
        <f ca="1">IFERROR(__xludf.DUMMYFUNCTION("""COMPUTED_VALUE"""),"21SDSCE01098")</f>
        <v>21SDSCE01098</v>
      </c>
      <c r="B581" s="43" t="str">
        <f ca="1">IFERROR(__xludf.DUMMYFUNCTION("""COMPUTED_VALUE"""),"RANPARIYA SHREYANSH HARSHADBHAI")</f>
        <v>RANPARIYA SHREYANSH HARSHADBHAI</v>
      </c>
      <c r="C581" s="42" t="str">
        <f ca="1">IFERROR(__xludf.DUMMYFUNCTION("""COMPUTED_VALUE"""),"SDS")</f>
        <v>SDS</v>
      </c>
      <c r="D581" s="42" t="str">
        <f ca="1">IFERROR(__xludf.DUMMYFUNCTION("""COMPUTED_VALUE"""),"DCE")</f>
        <v>DCE</v>
      </c>
      <c r="E581" s="44">
        <f ca="1">IFERROR(__xludf.DUMMYFUNCTION("""COMPUTED_VALUE"""),6)</f>
        <v>6</v>
      </c>
      <c r="F581" s="42" t="str">
        <f ca="1">IFERROR(__xludf.DUMMYFUNCTION("""COMPUTED_VALUE"""),"8200822537
8200822537")</f>
        <v>8200822537
8200822537</v>
      </c>
      <c r="G581" s="42" t="str">
        <f ca="1">IFERROR(__xludf.DUMMYFUNCTION("""COMPUTED_VALUE"""),"8200822537
8200822537")</f>
        <v>8200822537
8200822537</v>
      </c>
      <c r="H581" s="2" t="str">
        <f ca="1">IFERROR(__xludf.DUMMYFUNCTION("""COMPUTED_VALUE"""),"DCE_2021-24")</f>
        <v>DCE_2021-24</v>
      </c>
      <c r="I581" s="45" t="str">
        <f ca="1">IFERROR(__xludf.DUMMYFUNCTION("""COMPUTED_VALUE"""),"MYSY")</f>
        <v>MYSY</v>
      </c>
      <c r="J581" s="46">
        <f ca="1">IFERROR(__xludf.DUMMYFUNCTION("""COMPUTED_VALUE"""),25000)</f>
        <v>25000</v>
      </c>
      <c r="K581" s="46">
        <f ca="1">IFERROR(__xludf.DUMMYFUNCTION("""COMPUTED_VALUE"""),0)</f>
        <v>0</v>
      </c>
      <c r="L581" s="46">
        <f ca="1">IFERROR(__xludf.DUMMYFUNCTION("""COMPUTED_VALUE"""),0)</f>
        <v>0</v>
      </c>
      <c r="M581" s="47">
        <f ca="1">IFERROR(__xludf.DUMMYFUNCTION("""COMPUTED_VALUE"""),0)</f>
        <v>0</v>
      </c>
      <c r="N581" s="46">
        <f ca="1">IFERROR(__xludf.DUMMYFUNCTION("""COMPUTED_VALUE"""),25000)</f>
        <v>25000</v>
      </c>
      <c r="O581" s="46">
        <f ca="1">IFERROR(__xludf.DUMMYFUNCTION("""COMPUTED_VALUE"""),3750)</f>
        <v>3750</v>
      </c>
      <c r="P581" s="46">
        <f ca="1">IFERROR(__xludf.DUMMYFUNCTION("""COMPUTED_VALUE"""),3750)</f>
        <v>3750</v>
      </c>
      <c r="Q581" s="47">
        <f ca="1">IFERROR(__xludf.DUMMYFUNCTION("""COMPUTED_VALUE"""),0)</f>
        <v>0</v>
      </c>
      <c r="R581" s="24">
        <f ca="1">IFERROR(__xludf.DUMMYFUNCTION("""COMPUTED_VALUE"""),0)</f>
        <v>0</v>
      </c>
      <c r="S581" s="23">
        <f ca="1">IFERROR(__xludf.DUMMYFUNCTION("""COMPUTED_VALUE"""),0)</f>
        <v>0</v>
      </c>
      <c r="T581" s="48">
        <f ca="1">IFERROR(__xludf.DUMMYFUNCTION("""COMPUTED_VALUE"""),0)</f>
        <v>0</v>
      </c>
      <c r="U581" s="47">
        <f ca="1">IFERROR(__xludf.DUMMYFUNCTION("""COMPUTED_VALUE"""),0)</f>
        <v>0</v>
      </c>
      <c r="V581" s="47">
        <f ca="1">IFERROR(__xludf.DUMMYFUNCTION("""COMPUTED_VALUE"""),0)</f>
        <v>0</v>
      </c>
      <c r="W581" s="47">
        <f ca="1">IFERROR(__xludf.DUMMYFUNCTION("""COMPUTED_VALUE"""),0)</f>
        <v>0</v>
      </c>
      <c r="X581" s="47">
        <f ca="1">IFERROR(__xludf.DUMMYFUNCTION("""COMPUTED_VALUE"""),0)</f>
        <v>0</v>
      </c>
      <c r="Y581" s="44">
        <f ca="1">IFERROR(__xludf.DUMMYFUNCTION("""COMPUTED_VALUE"""),0)</f>
        <v>0</v>
      </c>
      <c r="Z581" s="44">
        <f ca="1">IFERROR(__xludf.DUMMYFUNCTION("""COMPUTED_VALUE"""),0)</f>
        <v>0</v>
      </c>
      <c r="AA581" s="44">
        <f ca="1">IFERROR(__xludf.DUMMYFUNCTION("""COMPUTED_VALUE"""),0)</f>
        <v>0</v>
      </c>
      <c r="AB581" s="44">
        <f ca="1">IFERROR(__xludf.DUMMYFUNCTION("""COMPUTED_VALUE"""),0)</f>
        <v>0</v>
      </c>
      <c r="AC581" s="47">
        <f ca="1">IFERROR(__xludf.DUMMYFUNCTION("""COMPUTED_VALUE"""),0)</f>
        <v>0</v>
      </c>
      <c r="AD581" s="49" t="str">
        <f ca="1">IFERROR(__xludf.DUMMYFUNCTION("""COMPUTED_VALUE"""),"MYSY(50%)+KSPS(25%)")</f>
        <v>MYSY(50%)+KSPS(25%)</v>
      </c>
      <c r="AE581" s="27"/>
    </row>
    <row r="582" spans="1:31" ht="14.3">
      <c r="A582" s="42" t="str">
        <f ca="1">IFERROR(__xludf.DUMMYFUNCTION("""COMPUTED_VALUE"""),"21SDSCE01104")</f>
        <v>21SDSCE01104</v>
      </c>
      <c r="B582" s="43" t="str">
        <f ca="1">IFERROR(__xludf.DUMMYFUNCTION("""COMPUTED_VALUE"""),"SINDHAV HARPALSINH BHUPENDRASINH")</f>
        <v>SINDHAV HARPALSINH BHUPENDRASINH</v>
      </c>
      <c r="C582" s="42" t="str">
        <f ca="1">IFERROR(__xludf.DUMMYFUNCTION("""COMPUTED_VALUE"""),"SDS")</f>
        <v>SDS</v>
      </c>
      <c r="D582" s="42" t="str">
        <f ca="1">IFERROR(__xludf.DUMMYFUNCTION("""COMPUTED_VALUE"""),"DCE")</f>
        <v>DCE</v>
      </c>
      <c r="E582" s="44">
        <f ca="1">IFERROR(__xludf.DUMMYFUNCTION("""COMPUTED_VALUE"""),6)</f>
        <v>6</v>
      </c>
      <c r="F582" s="42" t="str">
        <f ca="1">IFERROR(__xludf.DUMMYFUNCTION("""COMPUTED_VALUE"""),"9824649023
9824649023	")</f>
        <v xml:space="preserve">9824649023
9824649023	</v>
      </c>
      <c r="G582" s="42" t="str">
        <f ca="1">IFERROR(__xludf.DUMMYFUNCTION("""COMPUTED_VALUE"""),"9824649023
9824649023	")</f>
        <v xml:space="preserve">9824649023
9824649023	</v>
      </c>
      <c r="H582" s="2" t="str">
        <f ca="1">IFERROR(__xludf.DUMMYFUNCTION("""COMPUTED_VALUE"""),"DCE_2021-24")</f>
        <v>DCE_2021-24</v>
      </c>
      <c r="I582" s="45" t="str">
        <f ca="1">IFERROR(__xludf.DUMMYFUNCTION("""COMPUTED_VALUE"""),"TFW")</f>
        <v>TFW</v>
      </c>
      <c r="J582" s="46">
        <f ca="1">IFERROR(__xludf.DUMMYFUNCTION("""COMPUTED_VALUE"""),25000)</f>
        <v>25000</v>
      </c>
      <c r="K582" s="46">
        <f ca="1">IFERROR(__xludf.DUMMYFUNCTION("""COMPUTED_VALUE"""),0)</f>
        <v>0</v>
      </c>
      <c r="L582" s="46">
        <f ca="1">IFERROR(__xludf.DUMMYFUNCTION("""COMPUTED_VALUE"""),0)</f>
        <v>0</v>
      </c>
      <c r="M582" s="47">
        <f ca="1">IFERROR(__xludf.DUMMYFUNCTION("""COMPUTED_VALUE"""),25000)</f>
        <v>25000</v>
      </c>
      <c r="N582" s="46">
        <f ca="1">IFERROR(__xludf.DUMMYFUNCTION("""COMPUTED_VALUE"""),0)</f>
        <v>0</v>
      </c>
      <c r="O582" s="46">
        <f ca="1">IFERROR(__xludf.DUMMYFUNCTION("""COMPUTED_VALUE"""),3750)</f>
        <v>3750</v>
      </c>
      <c r="P582" s="46">
        <f ca="1">IFERROR(__xludf.DUMMYFUNCTION("""COMPUTED_VALUE"""),3750)</f>
        <v>3750</v>
      </c>
      <c r="Q582" s="47">
        <f ca="1">IFERROR(__xludf.DUMMYFUNCTION("""COMPUTED_VALUE"""),0)</f>
        <v>0</v>
      </c>
      <c r="R582" s="24">
        <f ca="1">IFERROR(__xludf.DUMMYFUNCTION("""COMPUTED_VALUE"""),0)</f>
        <v>0</v>
      </c>
      <c r="S582" s="23">
        <f ca="1">IFERROR(__xludf.DUMMYFUNCTION("""COMPUTED_VALUE"""),0)</f>
        <v>0</v>
      </c>
      <c r="T582" s="48">
        <f ca="1">IFERROR(__xludf.DUMMYFUNCTION("""COMPUTED_VALUE"""),0)</f>
        <v>0</v>
      </c>
      <c r="U582" s="47">
        <f ca="1">IFERROR(__xludf.DUMMYFUNCTION("""COMPUTED_VALUE"""),0)</f>
        <v>0</v>
      </c>
      <c r="V582" s="47">
        <f ca="1">IFERROR(__xludf.DUMMYFUNCTION("""COMPUTED_VALUE"""),0)</f>
        <v>0</v>
      </c>
      <c r="W582" s="47">
        <f ca="1">IFERROR(__xludf.DUMMYFUNCTION("""COMPUTED_VALUE"""),0)</f>
        <v>0</v>
      </c>
      <c r="X582" s="47">
        <f ca="1">IFERROR(__xludf.DUMMYFUNCTION("""COMPUTED_VALUE"""),0)</f>
        <v>0</v>
      </c>
      <c r="Y582" s="44">
        <f ca="1">IFERROR(__xludf.DUMMYFUNCTION("""COMPUTED_VALUE"""),0)</f>
        <v>0</v>
      </c>
      <c r="Z582" s="44">
        <f ca="1">IFERROR(__xludf.DUMMYFUNCTION("""COMPUTED_VALUE"""),0)</f>
        <v>0</v>
      </c>
      <c r="AA582" s="44">
        <f ca="1">IFERROR(__xludf.DUMMYFUNCTION("""COMPUTED_VALUE"""),0)</f>
        <v>0</v>
      </c>
      <c r="AB582" s="44">
        <f ca="1">IFERROR(__xludf.DUMMYFUNCTION("""COMPUTED_VALUE"""),0)</f>
        <v>0</v>
      </c>
      <c r="AC582" s="47">
        <f ca="1">IFERROR(__xludf.DUMMYFUNCTION("""COMPUTED_VALUE"""),0)</f>
        <v>0</v>
      </c>
      <c r="AD582" s="49"/>
      <c r="AE582" s="27"/>
    </row>
    <row r="583" spans="1:31" ht="23.1">
      <c r="A583" s="42" t="str">
        <f ca="1">IFERROR(__xludf.DUMMYFUNCTION("""COMPUTED_VALUE"""),"21SDSCE01108")</f>
        <v>21SDSCE01108</v>
      </c>
      <c r="B583" s="43" t="str">
        <f ca="1">IFERROR(__xludf.DUMMYFUNCTION("""COMPUTED_VALUE"""),"UMRETIYA SUFIYAN MUSTAKBHAI")</f>
        <v>UMRETIYA SUFIYAN MUSTAKBHAI</v>
      </c>
      <c r="C583" s="42" t="str">
        <f ca="1">IFERROR(__xludf.DUMMYFUNCTION("""COMPUTED_VALUE"""),"SDS")</f>
        <v>SDS</v>
      </c>
      <c r="D583" s="42" t="str">
        <f ca="1">IFERROR(__xludf.DUMMYFUNCTION("""COMPUTED_VALUE"""),"DCE")</f>
        <v>DCE</v>
      </c>
      <c r="E583" s="44">
        <f ca="1">IFERROR(__xludf.DUMMYFUNCTION("""COMPUTED_VALUE"""),6)</f>
        <v>6</v>
      </c>
      <c r="F583" s="42" t="str">
        <f ca="1">IFERROR(__xludf.DUMMYFUNCTION("""COMPUTED_VALUE"""),"7984424198 9409728018")</f>
        <v>7984424198 9409728018</v>
      </c>
      <c r="G583" s="42" t="str">
        <f ca="1">IFERROR(__xludf.DUMMYFUNCTION("""COMPUTED_VALUE"""),"7984424198 9409728018")</f>
        <v>7984424198 9409728018</v>
      </c>
      <c r="H583" s="2" t="str">
        <f ca="1">IFERROR(__xludf.DUMMYFUNCTION("""COMPUTED_VALUE"""),"DCE_2021-24")</f>
        <v>DCE_2021-24</v>
      </c>
      <c r="I583" s="45" t="str">
        <f ca="1">IFERROR(__xludf.DUMMYFUNCTION("""COMPUTED_VALUE"""),"KSP")</f>
        <v>KSP</v>
      </c>
      <c r="J583" s="46">
        <f ca="1">IFERROR(__xludf.DUMMYFUNCTION("""COMPUTED_VALUE"""),25000)</f>
        <v>25000</v>
      </c>
      <c r="K583" s="46">
        <f ca="1">IFERROR(__xludf.DUMMYFUNCTION("""COMPUTED_VALUE"""),12500)</f>
        <v>12500</v>
      </c>
      <c r="L583" s="46">
        <f ca="1">IFERROR(__xludf.DUMMYFUNCTION("""COMPUTED_VALUE"""),0)</f>
        <v>0</v>
      </c>
      <c r="M583" s="47">
        <f ca="1">IFERROR(__xludf.DUMMYFUNCTION("""COMPUTED_VALUE"""),12500)</f>
        <v>12500</v>
      </c>
      <c r="N583" s="46">
        <f ca="1">IFERROR(__xludf.DUMMYFUNCTION("""COMPUTED_VALUE"""),0)</f>
        <v>0</v>
      </c>
      <c r="O583" s="46">
        <f ca="1">IFERROR(__xludf.DUMMYFUNCTION("""COMPUTED_VALUE"""),3750)</f>
        <v>3750</v>
      </c>
      <c r="P583" s="46">
        <f ca="1">IFERROR(__xludf.DUMMYFUNCTION("""COMPUTED_VALUE"""),3750)</f>
        <v>3750</v>
      </c>
      <c r="Q583" s="47">
        <f ca="1">IFERROR(__xludf.DUMMYFUNCTION("""COMPUTED_VALUE"""),0)</f>
        <v>0</v>
      </c>
      <c r="R583" s="24">
        <f ca="1">IFERROR(__xludf.DUMMYFUNCTION("""COMPUTED_VALUE"""),0)</f>
        <v>0</v>
      </c>
      <c r="S583" s="23">
        <f ca="1">IFERROR(__xludf.DUMMYFUNCTION("""COMPUTED_VALUE"""),0)</f>
        <v>0</v>
      </c>
      <c r="T583" s="48">
        <f ca="1">IFERROR(__xludf.DUMMYFUNCTION("""COMPUTED_VALUE"""),0)</f>
        <v>0</v>
      </c>
      <c r="U583" s="47">
        <f ca="1">IFERROR(__xludf.DUMMYFUNCTION("""COMPUTED_VALUE"""),0)</f>
        <v>0</v>
      </c>
      <c r="V583" s="47">
        <f ca="1">IFERROR(__xludf.DUMMYFUNCTION("""COMPUTED_VALUE"""),0)</f>
        <v>0</v>
      </c>
      <c r="W583" s="47">
        <f ca="1">IFERROR(__xludf.DUMMYFUNCTION("""COMPUTED_VALUE"""),0)</f>
        <v>0</v>
      </c>
      <c r="X583" s="47">
        <f ca="1">IFERROR(__xludf.DUMMYFUNCTION("""COMPUTED_VALUE"""),0)</f>
        <v>0</v>
      </c>
      <c r="Y583" s="44">
        <f ca="1">IFERROR(__xludf.DUMMYFUNCTION("""COMPUTED_VALUE"""),0)</f>
        <v>0</v>
      </c>
      <c r="Z583" s="44">
        <f ca="1">IFERROR(__xludf.DUMMYFUNCTION("""COMPUTED_VALUE"""),0)</f>
        <v>0</v>
      </c>
      <c r="AA583" s="44">
        <f ca="1">IFERROR(__xludf.DUMMYFUNCTION("""COMPUTED_VALUE"""),0)</f>
        <v>0</v>
      </c>
      <c r="AB583" s="44">
        <f ca="1">IFERROR(__xludf.DUMMYFUNCTION("""COMPUTED_VALUE"""),0)</f>
        <v>0</v>
      </c>
      <c r="AC583" s="47">
        <f ca="1">IFERROR(__xludf.DUMMYFUNCTION("""COMPUTED_VALUE"""),0)</f>
        <v>0</v>
      </c>
      <c r="AD583" s="49" t="str">
        <f ca="1">IFERROR(__xludf.DUMMYFUNCTION("""COMPUTED_VALUE"""),"RS 12500 PER SEM SCHOLARSHIP")</f>
        <v>RS 12500 PER SEM SCHOLARSHIP</v>
      </c>
      <c r="AE583" s="27"/>
    </row>
    <row r="584" spans="1:31" ht="14.3">
      <c r="A584" s="42" t="str">
        <f ca="1">IFERROR(__xludf.DUMMYFUNCTION("""COMPUTED_VALUE"""),"21SDSCE01111")</f>
        <v>21SDSCE01111</v>
      </c>
      <c r="B584" s="43" t="str">
        <f ca="1">IFERROR(__xludf.DUMMYFUNCTION("""COMPUTED_VALUE"""),"VORA DHRUVESH KANJIBHAI")</f>
        <v>VORA DHRUVESH KANJIBHAI</v>
      </c>
      <c r="C584" s="42" t="str">
        <f ca="1">IFERROR(__xludf.DUMMYFUNCTION("""COMPUTED_VALUE"""),"SDS")</f>
        <v>SDS</v>
      </c>
      <c r="D584" s="42" t="str">
        <f ca="1">IFERROR(__xludf.DUMMYFUNCTION("""COMPUTED_VALUE"""),"DCE")</f>
        <v>DCE</v>
      </c>
      <c r="E584" s="44">
        <f ca="1">IFERROR(__xludf.DUMMYFUNCTION("""COMPUTED_VALUE"""),6)</f>
        <v>6</v>
      </c>
      <c r="F584" s="42" t="str">
        <f ca="1">IFERROR(__xludf.DUMMYFUNCTION("""COMPUTED_VALUE"""),"9726411336 9427566371")</f>
        <v>9726411336 9427566371</v>
      </c>
      <c r="G584" s="42" t="str">
        <f ca="1">IFERROR(__xludf.DUMMYFUNCTION("""COMPUTED_VALUE"""),"9726411336 9427566371")</f>
        <v>9726411336 9427566371</v>
      </c>
      <c r="H584" s="2" t="str">
        <f ca="1">IFERROR(__xludf.DUMMYFUNCTION("""COMPUTED_VALUE"""),"DCE_2021-24")</f>
        <v>DCE_2021-24</v>
      </c>
      <c r="I584" s="45"/>
      <c r="J584" s="46">
        <f ca="1">IFERROR(__xludf.DUMMYFUNCTION("""COMPUTED_VALUE"""),25000)</f>
        <v>25000</v>
      </c>
      <c r="K584" s="46">
        <f ca="1">IFERROR(__xludf.DUMMYFUNCTION("""COMPUTED_VALUE"""),25000)</f>
        <v>25000</v>
      </c>
      <c r="L584" s="46">
        <f ca="1">IFERROR(__xludf.DUMMYFUNCTION("""COMPUTED_VALUE"""),0)</f>
        <v>0</v>
      </c>
      <c r="M584" s="47">
        <f ca="1">IFERROR(__xludf.DUMMYFUNCTION("""COMPUTED_VALUE"""),0)</f>
        <v>0</v>
      </c>
      <c r="N584" s="46">
        <f ca="1">IFERROR(__xludf.DUMMYFUNCTION("""COMPUTED_VALUE"""),0)</f>
        <v>0</v>
      </c>
      <c r="O584" s="46">
        <f ca="1">IFERROR(__xludf.DUMMYFUNCTION("""COMPUTED_VALUE"""),3750)</f>
        <v>3750</v>
      </c>
      <c r="P584" s="46">
        <f ca="1">IFERROR(__xludf.DUMMYFUNCTION("""COMPUTED_VALUE"""),3750)</f>
        <v>3750</v>
      </c>
      <c r="Q584" s="47">
        <f ca="1">IFERROR(__xludf.DUMMYFUNCTION("""COMPUTED_VALUE"""),0)</f>
        <v>0</v>
      </c>
      <c r="R584" s="24">
        <f ca="1">IFERROR(__xludf.DUMMYFUNCTION("""COMPUTED_VALUE"""),0)</f>
        <v>0</v>
      </c>
      <c r="S584" s="23">
        <f ca="1">IFERROR(__xludf.DUMMYFUNCTION("""COMPUTED_VALUE"""),0)</f>
        <v>0</v>
      </c>
      <c r="T584" s="48">
        <f ca="1">IFERROR(__xludf.DUMMYFUNCTION("""COMPUTED_VALUE"""),0)</f>
        <v>0</v>
      </c>
      <c r="U584" s="47">
        <f ca="1">IFERROR(__xludf.DUMMYFUNCTION("""COMPUTED_VALUE"""),0)</f>
        <v>0</v>
      </c>
      <c r="V584" s="47">
        <f ca="1">IFERROR(__xludf.DUMMYFUNCTION("""COMPUTED_VALUE"""),0)</f>
        <v>0</v>
      </c>
      <c r="W584" s="47">
        <f ca="1">IFERROR(__xludf.DUMMYFUNCTION("""COMPUTED_VALUE"""),0)</f>
        <v>0</v>
      </c>
      <c r="X584" s="47">
        <f ca="1">IFERROR(__xludf.DUMMYFUNCTION("""COMPUTED_VALUE"""),0)</f>
        <v>0</v>
      </c>
      <c r="Y584" s="44">
        <f ca="1">IFERROR(__xludf.DUMMYFUNCTION("""COMPUTED_VALUE"""),0)</f>
        <v>0</v>
      </c>
      <c r="Z584" s="44">
        <f ca="1">IFERROR(__xludf.DUMMYFUNCTION("""COMPUTED_VALUE"""),0)</f>
        <v>0</v>
      </c>
      <c r="AA584" s="44">
        <f ca="1">IFERROR(__xludf.DUMMYFUNCTION("""COMPUTED_VALUE"""),0)</f>
        <v>0</v>
      </c>
      <c r="AB584" s="44">
        <f ca="1">IFERROR(__xludf.DUMMYFUNCTION("""COMPUTED_VALUE"""),0)</f>
        <v>0</v>
      </c>
      <c r="AC584" s="47">
        <f ca="1">IFERROR(__xludf.DUMMYFUNCTION("""COMPUTED_VALUE"""),0)</f>
        <v>0</v>
      </c>
      <c r="AD584" s="49"/>
      <c r="AE584" s="27"/>
    </row>
    <row r="585" spans="1:31" ht="14.3">
      <c r="A585" s="42" t="str">
        <f ca="1">IFERROR(__xludf.DUMMYFUNCTION("""COMPUTED_VALUE"""),"21SDSCE01112")</f>
        <v>21SDSCE01112</v>
      </c>
      <c r="B585" s="43" t="str">
        <f ca="1">IFERROR(__xludf.DUMMYFUNCTION("""COMPUTED_VALUE"""),"VYAS UDAY AMITBHAI")</f>
        <v>VYAS UDAY AMITBHAI</v>
      </c>
      <c r="C585" s="42" t="str">
        <f ca="1">IFERROR(__xludf.DUMMYFUNCTION("""COMPUTED_VALUE"""),"SDS")</f>
        <v>SDS</v>
      </c>
      <c r="D585" s="42" t="str">
        <f ca="1">IFERROR(__xludf.DUMMYFUNCTION("""COMPUTED_VALUE"""),"DCE")</f>
        <v>DCE</v>
      </c>
      <c r="E585" s="44">
        <f ca="1">IFERROR(__xludf.DUMMYFUNCTION("""COMPUTED_VALUE"""),6)</f>
        <v>6</v>
      </c>
      <c r="F585" s="42" t="str">
        <f ca="1">IFERROR(__xludf.DUMMYFUNCTION("""COMPUTED_VALUE"""),"9726411336 9427566371")</f>
        <v>9726411336 9427566371</v>
      </c>
      <c r="G585" s="42" t="str">
        <f ca="1">IFERROR(__xludf.DUMMYFUNCTION("""COMPUTED_VALUE"""),"9726411336 9427566371")</f>
        <v>9726411336 9427566371</v>
      </c>
      <c r="H585" s="2" t="str">
        <f ca="1">IFERROR(__xludf.DUMMYFUNCTION("""COMPUTED_VALUE"""),"DCE_2021-24")</f>
        <v>DCE_2021-24</v>
      </c>
      <c r="I585" s="45" t="str">
        <f ca="1">IFERROR(__xludf.DUMMYFUNCTION("""COMPUTED_VALUE"""),"MYSY")</f>
        <v>MYSY</v>
      </c>
      <c r="J585" s="46">
        <f ca="1">IFERROR(__xludf.DUMMYFUNCTION("""COMPUTED_VALUE"""),25000)</f>
        <v>25000</v>
      </c>
      <c r="K585" s="46">
        <f ca="1">IFERROR(__xludf.DUMMYFUNCTION("""COMPUTED_VALUE"""),0)</f>
        <v>0</v>
      </c>
      <c r="L585" s="46">
        <f ca="1">IFERROR(__xludf.DUMMYFUNCTION("""COMPUTED_VALUE"""),0)</f>
        <v>0</v>
      </c>
      <c r="M585" s="47">
        <f ca="1">IFERROR(__xludf.DUMMYFUNCTION("""COMPUTED_VALUE"""),0)</f>
        <v>0</v>
      </c>
      <c r="N585" s="46">
        <f ca="1">IFERROR(__xludf.DUMMYFUNCTION("""COMPUTED_VALUE"""),25000)</f>
        <v>25000</v>
      </c>
      <c r="O585" s="46">
        <f ca="1">IFERROR(__xludf.DUMMYFUNCTION("""COMPUTED_VALUE"""),3750)</f>
        <v>3750</v>
      </c>
      <c r="P585" s="46">
        <f ca="1">IFERROR(__xludf.DUMMYFUNCTION("""COMPUTED_VALUE"""),3750)</f>
        <v>3750</v>
      </c>
      <c r="Q585" s="47">
        <f ca="1">IFERROR(__xludf.DUMMYFUNCTION("""COMPUTED_VALUE"""),0)</f>
        <v>0</v>
      </c>
      <c r="R585" s="24">
        <f ca="1">IFERROR(__xludf.DUMMYFUNCTION("""COMPUTED_VALUE"""),0)</f>
        <v>0</v>
      </c>
      <c r="S585" s="23">
        <f ca="1">IFERROR(__xludf.DUMMYFUNCTION("""COMPUTED_VALUE"""),0)</f>
        <v>0</v>
      </c>
      <c r="T585" s="48">
        <f ca="1">IFERROR(__xludf.DUMMYFUNCTION("""COMPUTED_VALUE"""),0)</f>
        <v>0</v>
      </c>
      <c r="U585" s="47">
        <f ca="1">IFERROR(__xludf.DUMMYFUNCTION("""COMPUTED_VALUE"""),0)</f>
        <v>0</v>
      </c>
      <c r="V585" s="47">
        <f ca="1">IFERROR(__xludf.DUMMYFUNCTION("""COMPUTED_VALUE"""),0)</f>
        <v>0</v>
      </c>
      <c r="W585" s="47">
        <f ca="1">IFERROR(__xludf.DUMMYFUNCTION("""COMPUTED_VALUE"""),0)</f>
        <v>0</v>
      </c>
      <c r="X585" s="47">
        <f ca="1">IFERROR(__xludf.DUMMYFUNCTION("""COMPUTED_VALUE"""),0)</f>
        <v>0</v>
      </c>
      <c r="Y585" s="44">
        <f ca="1">IFERROR(__xludf.DUMMYFUNCTION("""COMPUTED_VALUE"""),0)</f>
        <v>0</v>
      </c>
      <c r="Z585" s="44">
        <f ca="1">IFERROR(__xludf.DUMMYFUNCTION("""COMPUTED_VALUE"""),0)</f>
        <v>0</v>
      </c>
      <c r="AA585" s="44">
        <f ca="1">IFERROR(__xludf.DUMMYFUNCTION("""COMPUTED_VALUE"""),0)</f>
        <v>0</v>
      </c>
      <c r="AB585" s="44">
        <f ca="1">IFERROR(__xludf.DUMMYFUNCTION("""COMPUTED_VALUE"""),0)</f>
        <v>0</v>
      </c>
      <c r="AC585" s="47">
        <f ca="1">IFERROR(__xludf.DUMMYFUNCTION("""COMPUTED_VALUE"""),0)</f>
        <v>0</v>
      </c>
      <c r="AD585" s="49" t="str">
        <f ca="1">IFERROR(__xludf.DUMMYFUNCTION("""COMPUTED_VALUE"""),"MYSY(50%) + KSPS(50%)")</f>
        <v>MYSY(50%) + KSPS(50%)</v>
      </c>
      <c r="AE585" s="27"/>
    </row>
    <row r="586" spans="1:31" ht="14.3">
      <c r="A586" s="42" t="str">
        <f ca="1">IFERROR(__xludf.DUMMYFUNCTION("""COMPUTED_VALUE"""),"21SDSCE01119")</f>
        <v>21SDSCE01119</v>
      </c>
      <c r="B586" s="43" t="str">
        <f ca="1">IFERROR(__xludf.DUMMYFUNCTION("""COMPUTED_VALUE"""),"BHUVA CHEHAJ HARESHBHAI")</f>
        <v>BHUVA CHEHAJ HARESHBHAI</v>
      </c>
      <c r="C586" s="42" t="str">
        <f ca="1">IFERROR(__xludf.DUMMYFUNCTION("""COMPUTED_VALUE"""),"SDS")</f>
        <v>SDS</v>
      </c>
      <c r="D586" s="42" t="str">
        <f ca="1">IFERROR(__xludf.DUMMYFUNCTION("""COMPUTED_VALUE"""),"DCE")</f>
        <v>DCE</v>
      </c>
      <c r="E586" s="44">
        <f ca="1">IFERROR(__xludf.DUMMYFUNCTION("""COMPUTED_VALUE"""),6)</f>
        <v>6</v>
      </c>
      <c r="F586" s="42" t="str">
        <f ca="1">IFERROR(__xludf.DUMMYFUNCTION("""COMPUTED_VALUE"""),"9662401107 9898625788")</f>
        <v>9662401107 9898625788</v>
      </c>
      <c r="G586" s="42" t="str">
        <f ca="1">IFERROR(__xludf.DUMMYFUNCTION("""COMPUTED_VALUE"""),"9662401107 9898625788")</f>
        <v>9662401107 9898625788</v>
      </c>
      <c r="H586" s="2" t="str">
        <f ca="1">IFERROR(__xludf.DUMMYFUNCTION("""COMPUTED_VALUE"""),"DCE_2021-24")</f>
        <v>DCE_2021-24</v>
      </c>
      <c r="I586" s="45" t="str">
        <f ca="1">IFERROR(__xludf.DUMMYFUNCTION("""COMPUTED_VALUE"""),"MYSY")</f>
        <v>MYSY</v>
      </c>
      <c r="J586" s="46">
        <f ca="1">IFERROR(__xludf.DUMMYFUNCTION("""COMPUTED_VALUE"""),25000)</f>
        <v>25000</v>
      </c>
      <c r="K586" s="46">
        <f ca="1">IFERROR(__xludf.DUMMYFUNCTION("""COMPUTED_VALUE"""),0)</f>
        <v>0</v>
      </c>
      <c r="L586" s="46">
        <f ca="1">IFERROR(__xludf.DUMMYFUNCTION("""COMPUTED_VALUE"""),0)</f>
        <v>0</v>
      </c>
      <c r="M586" s="47">
        <f ca="1">IFERROR(__xludf.DUMMYFUNCTION("""COMPUTED_VALUE"""),0)</f>
        <v>0</v>
      </c>
      <c r="N586" s="46">
        <f ca="1">IFERROR(__xludf.DUMMYFUNCTION("""COMPUTED_VALUE"""),25000)</f>
        <v>25000</v>
      </c>
      <c r="O586" s="46">
        <f ca="1">IFERROR(__xludf.DUMMYFUNCTION("""COMPUTED_VALUE"""),3750)</f>
        <v>3750</v>
      </c>
      <c r="P586" s="46">
        <f ca="1">IFERROR(__xludf.DUMMYFUNCTION("""COMPUTED_VALUE"""),3750)</f>
        <v>3750</v>
      </c>
      <c r="Q586" s="47">
        <f ca="1">IFERROR(__xludf.DUMMYFUNCTION("""COMPUTED_VALUE"""),0)</f>
        <v>0</v>
      </c>
      <c r="R586" s="24">
        <f ca="1">IFERROR(__xludf.DUMMYFUNCTION("""COMPUTED_VALUE"""),0)</f>
        <v>0</v>
      </c>
      <c r="S586" s="23">
        <f ca="1">IFERROR(__xludf.DUMMYFUNCTION("""COMPUTED_VALUE"""),0)</f>
        <v>0</v>
      </c>
      <c r="T586" s="48">
        <f ca="1">IFERROR(__xludf.DUMMYFUNCTION("""COMPUTED_VALUE"""),0)</f>
        <v>0</v>
      </c>
      <c r="U586" s="47">
        <f ca="1">IFERROR(__xludf.DUMMYFUNCTION("""COMPUTED_VALUE"""),0)</f>
        <v>0</v>
      </c>
      <c r="V586" s="47">
        <f ca="1">IFERROR(__xludf.DUMMYFUNCTION("""COMPUTED_VALUE"""),0)</f>
        <v>0</v>
      </c>
      <c r="W586" s="47">
        <f ca="1">IFERROR(__xludf.DUMMYFUNCTION("""COMPUTED_VALUE"""),0)</f>
        <v>0</v>
      </c>
      <c r="X586" s="47">
        <f ca="1">IFERROR(__xludf.DUMMYFUNCTION("""COMPUTED_VALUE"""),0)</f>
        <v>0</v>
      </c>
      <c r="Y586" s="44">
        <f ca="1">IFERROR(__xludf.DUMMYFUNCTION("""COMPUTED_VALUE"""),0)</f>
        <v>0</v>
      </c>
      <c r="Z586" s="44">
        <f ca="1">IFERROR(__xludf.DUMMYFUNCTION("""COMPUTED_VALUE"""),0)</f>
        <v>0</v>
      </c>
      <c r="AA586" s="44">
        <f ca="1">IFERROR(__xludf.DUMMYFUNCTION("""COMPUTED_VALUE"""),0)</f>
        <v>0</v>
      </c>
      <c r="AB586" s="44">
        <f ca="1">IFERROR(__xludf.DUMMYFUNCTION("""COMPUTED_VALUE"""),0)</f>
        <v>0</v>
      </c>
      <c r="AC586" s="47">
        <f ca="1">IFERROR(__xludf.DUMMYFUNCTION("""COMPUTED_VALUE"""),0)</f>
        <v>0</v>
      </c>
      <c r="AD586" s="49" t="str">
        <f ca="1">IFERROR(__xludf.DUMMYFUNCTION("""COMPUTED_VALUE"""),"MYSY(50%) + KSPS(50%)")</f>
        <v>MYSY(50%) + KSPS(50%)</v>
      </c>
      <c r="AE586" s="27"/>
    </row>
    <row r="587" spans="1:31" ht="14.3">
      <c r="A587" s="42" t="str">
        <f ca="1">IFERROR(__xludf.DUMMYFUNCTION("""COMPUTED_VALUE"""),"21SDSCE01122")</f>
        <v>21SDSCE01122</v>
      </c>
      <c r="B587" s="43" t="str">
        <f ca="1">IFERROR(__xludf.DUMMYFUNCTION("""COMPUTED_VALUE"""),"CHAUHAN VAIBHAV SHAILESHBHAI")</f>
        <v>CHAUHAN VAIBHAV SHAILESHBHAI</v>
      </c>
      <c r="C587" s="42" t="str">
        <f ca="1">IFERROR(__xludf.DUMMYFUNCTION("""COMPUTED_VALUE"""),"SDS")</f>
        <v>SDS</v>
      </c>
      <c r="D587" s="42" t="str">
        <f ca="1">IFERROR(__xludf.DUMMYFUNCTION("""COMPUTED_VALUE"""),"DCE")</f>
        <v>DCE</v>
      </c>
      <c r="E587" s="44">
        <f ca="1">IFERROR(__xludf.DUMMYFUNCTION("""COMPUTED_VALUE"""),6)</f>
        <v>6</v>
      </c>
      <c r="F587" s="42" t="str">
        <f ca="1">IFERROR(__xludf.DUMMYFUNCTION("""COMPUTED_VALUE"""),"9737411727
9924869927")</f>
        <v>9737411727
9924869927</v>
      </c>
      <c r="G587" s="42" t="str">
        <f ca="1">IFERROR(__xludf.DUMMYFUNCTION("""COMPUTED_VALUE"""),"9737411727
9924869927")</f>
        <v>9737411727
9924869927</v>
      </c>
      <c r="H587" s="2" t="str">
        <f ca="1">IFERROR(__xludf.DUMMYFUNCTION("""COMPUTED_VALUE"""),"DCE_2021-24")</f>
        <v>DCE_2021-24</v>
      </c>
      <c r="I587" s="45" t="str">
        <f ca="1">IFERROR(__xludf.DUMMYFUNCTION("""COMPUTED_VALUE"""),"KSP")</f>
        <v>KSP</v>
      </c>
      <c r="J587" s="46">
        <f ca="1">IFERROR(__xludf.DUMMYFUNCTION("""COMPUTED_VALUE"""),25000)</f>
        <v>25000</v>
      </c>
      <c r="K587" s="46">
        <f ca="1">IFERROR(__xludf.DUMMYFUNCTION("""COMPUTED_VALUE"""),18750)</f>
        <v>18750</v>
      </c>
      <c r="L587" s="46">
        <f ca="1">IFERROR(__xludf.DUMMYFUNCTION("""COMPUTED_VALUE"""),0)</f>
        <v>0</v>
      </c>
      <c r="M587" s="47">
        <f ca="1">IFERROR(__xludf.DUMMYFUNCTION("""COMPUTED_VALUE"""),6250)</f>
        <v>6250</v>
      </c>
      <c r="N587" s="46">
        <f ca="1">IFERROR(__xludf.DUMMYFUNCTION("""COMPUTED_VALUE"""),0)</f>
        <v>0</v>
      </c>
      <c r="O587" s="46">
        <f ca="1">IFERROR(__xludf.DUMMYFUNCTION("""COMPUTED_VALUE"""),3750)</f>
        <v>3750</v>
      </c>
      <c r="P587" s="46">
        <f ca="1">IFERROR(__xludf.DUMMYFUNCTION("""COMPUTED_VALUE"""),3750)</f>
        <v>3750</v>
      </c>
      <c r="Q587" s="47">
        <f ca="1">IFERROR(__xludf.DUMMYFUNCTION("""COMPUTED_VALUE"""),0)</f>
        <v>0</v>
      </c>
      <c r="R587" s="24">
        <f ca="1">IFERROR(__xludf.DUMMYFUNCTION("""COMPUTED_VALUE"""),0)</f>
        <v>0</v>
      </c>
      <c r="S587" s="23">
        <f ca="1">IFERROR(__xludf.DUMMYFUNCTION("""COMPUTED_VALUE"""),0)</f>
        <v>0</v>
      </c>
      <c r="T587" s="48">
        <f ca="1">IFERROR(__xludf.DUMMYFUNCTION("""COMPUTED_VALUE"""),0)</f>
        <v>0</v>
      </c>
      <c r="U587" s="47">
        <f ca="1">IFERROR(__xludf.DUMMYFUNCTION("""COMPUTED_VALUE"""),0)</f>
        <v>0</v>
      </c>
      <c r="V587" s="47">
        <f ca="1">IFERROR(__xludf.DUMMYFUNCTION("""COMPUTED_VALUE"""),0)</f>
        <v>0</v>
      </c>
      <c r="W587" s="47">
        <f ca="1">IFERROR(__xludf.DUMMYFUNCTION("""COMPUTED_VALUE"""),0)</f>
        <v>0</v>
      </c>
      <c r="X587" s="47">
        <f ca="1">IFERROR(__xludf.DUMMYFUNCTION("""COMPUTED_VALUE"""),0)</f>
        <v>0</v>
      </c>
      <c r="Y587" s="44">
        <f ca="1">IFERROR(__xludf.DUMMYFUNCTION("""COMPUTED_VALUE"""),0)</f>
        <v>0</v>
      </c>
      <c r="Z587" s="44">
        <f ca="1">IFERROR(__xludf.DUMMYFUNCTION("""COMPUTED_VALUE"""),0)</f>
        <v>0</v>
      </c>
      <c r="AA587" s="44">
        <f ca="1">IFERROR(__xludf.DUMMYFUNCTION("""COMPUTED_VALUE"""),0)</f>
        <v>0</v>
      </c>
      <c r="AB587" s="44">
        <f ca="1">IFERROR(__xludf.DUMMYFUNCTION("""COMPUTED_VALUE"""),0)</f>
        <v>0</v>
      </c>
      <c r="AC587" s="47">
        <f ca="1">IFERROR(__xludf.DUMMYFUNCTION("""COMPUTED_VALUE"""),0)</f>
        <v>0</v>
      </c>
      <c r="AD587" s="49" t="str">
        <f ca="1">IFERROR(__xludf.DUMMYFUNCTION("""COMPUTED_VALUE"""),"RS 6250 PER SEM SCHOLARSHIP")</f>
        <v>RS 6250 PER SEM SCHOLARSHIP</v>
      </c>
      <c r="AE587" s="27"/>
    </row>
    <row r="588" spans="1:31" ht="14.3">
      <c r="A588" s="42" t="str">
        <f ca="1">IFERROR(__xludf.DUMMYFUNCTION("""COMPUTED_VALUE"""),"21SDSCE01127")</f>
        <v>21SDSCE01127</v>
      </c>
      <c r="B588" s="43" t="str">
        <f ca="1">IFERROR(__xludf.DUMMYFUNCTION("""COMPUTED_VALUE"""),"GAJERA HARSHIL HEMANTBHAI")</f>
        <v>GAJERA HARSHIL HEMANTBHAI</v>
      </c>
      <c r="C588" s="42" t="str">
        <f ca="1">IFERROR(__xludf.DUMMYFUNCTION("""COMPUTED_VALUE"""),"SDS")</f>
        <v>SDS</v>
      </c>
      <c r="D588" s="42" t="str">
        <f ca="1">IFERROR(__xludf.DUMMYFUNCTION("""COMPUTED_VALUE"""),"DCE")</f>
        <v>DCE</v>
      </c>
      <c r="E588" s="44">
        <f ca="1">IFERROR(__xludf.DUMMYFUNCTION("""COMPUTED_VALUE"""),6)</f>
        <v>6</v>
      </c>
      <c r="F588" s="42" t="str">
        <f ca="1">IFERROR(__xludf.DUMMYFUNCTION("""COMPUTED_VALUE"""),"7984148989 9879811191")</f>
        <v>7984148989 9879811191</v>
      </c>
      <c r="G588" s="42" t="str">
        <f ca="1">IFERROR(__xludf.DUMMYFUNCTION("""COMPUTED_VALUE"""),"7984148989 9879811191")</f>
        <v>7984148989 9879811191</v>
      </c>
      <c r="H588" s="2" t="str">
        <f ca="1">IFERROR(__xludf.DUMMYFUNCTION("""COMPUTED_VALUE"""),"DCE_2021-24")</f>
        <v>DCE_2021-24</v>
      </c>
      <c r="I588" s="45" t="str">
        <f ca="1">IFERROR(__xludf.DUMMYFUNCTION("""COMPUTED_VALUE"""),"MYSY")</f>
        <v>MYSY</v>
      </c>
      <c r="J588" s="46">
        <f ca="1">IFERROR(__xludf.DUMMYFUNCTION("""COMPUTED_VALUE"""),25000)</f>
        <v>25000</v>
      </c>
      <c r="K588" s="46">
        <f ca="1">IFERROR(__xludf.DUMMYFUNCTION("""COMPUTED_VALUE"""),25000)</f>
        <v>25000</v>
      </c>
      <c r="L588" s="46">
        <f ca="1">IFERROR(__xludf.DUMMYFUNCTION("""COMPUTED_VALUE"""),0)</f>
        <v>0</v>
      </c>
      <c r="M588" s="47">
        <f ca="1">IFERROR(__xludf.DUMMYFUNCTION("""COMPUTED_VALUE"""),0)</f>
        <v>0</v>
      </c>
      <c r="N588" s="46">
        <f ca="1">IFERROR(__xludf.DUMMYFUNCTION("""COMPUTED_VALUE"""),0)</f>
        <v>0</v>
      </c>
      <c r="O588" s="46">
        <f ca="1">IFERROR(__xludf.DUMMYFUNCTION("""COMPUTED_VALUE"""),3750)</f>
        <v>3750</v>
      </c>
      <c r="P588" s="46">
        <f ca="1">IFERROR(__xludf.DUMMYFUNCTION("""COMPUTED_VALUE"""),3750)</f>
        <v>3750</v>
      </c>
      <c r="Q588" s="47">
        <f ca="1">IFERROR(__xludf.DUMMYFUNCTION("""COMPUTED_VALUE"""),0)</f>
        <v>0</v>
      </c>
      <c r="R588" s="24">
        <f ca="1">IFERROR(__xludf.DUMMYFUNCTION("""COMPUTED_VALUE"""),0)</f>
        <v>0</v>
      </c>
      <c r="S588" s="23">
        <f ca="1">IFERROR(__xludf.DUMMYFUNCTION("""COMPUTED_VALUE"""),0)</f>
        <v>0</v>
      </c>
      <c r="T588" s="48">
        <f ca="1">IFERROR(__xludf.DUMMYFUNCTION("""COMPUTED_VALUE"""),0)</f>
        <v>0</v>
      </c>
      <c r="U588" s="47">
        <f ca="1">IFERROR(__xludf.DUMMYFUNCTION("""COMPUTED_VALUE"""),0)</f>
        <v>0</v>
      </c>
      <c r="V588" s="47">
        <f ca="1">IFERROR(__xludf.DUMMYFUNCTION("""COMPUTED_VALUE"""),0)</f>
        <v>0</v>
      </c>
      <c r="W588" s="47">
        <f ca="1">IFERROR(__xludf.DUMMYFUNCTION("""COMPUTED_VALUE"""),0)</f>
        <v>0</v>
      </c>
      <c r="X588" s="47">
        <f ca="1">IFERROR(__xludf.DUMMYFUNCTION("""COMPUTED_VALUE"""),0)</f>
        <v>0</v>
      </c>
      <c r="Y588" s="44">
        <f ca="1">IFERROR(__xludf.DUMMYFUNCTION("""COMPUTED_VALUE"""),0)</f>
        <v>0</v>
      </c>
      <c r="Z588" s="44">
        <f ca="1">IFERROR(__xludf.DUMMYFUNCTION("""COMPUTED_VALUE"""),0)</f>
        <v>0</v>
      </c>
      <c r="AA588" s="44">
        <f ca="1">IFERROR(__xludf.DUMMYFUNCTION("""COMPUTED_VALUE"""),0)</f>
        <v>0</v>
      </c>
      <c r="AB588" s="44">
        <f ca="1">IFERROR(__xludf.DUMMYFUNCTION("""COMPUTED_VALUE"""),0)</f>
        <v>0</v>
      </c>
      <c r="AC588" s="47">
        <f ca="1">IFERROR(__xludf.DUMMYFUNCTION("""COMPUTED_VALUE"""),0)</f>
        <v>0</v>
      </c>
      <c r="AD588" s="49" t="str">
        <f ca="1">IFERROR(__xludf.DUMMYFUNCTION("""COMPUTED_VALUE"""),"KSPS(50%)+MYSY(25%)")</f>
        <v>KSPS(50%)+MYSY(25%)</v>
      </c>
      <c r="AE588" s="27"/>
    </row>
    <row r="589" spans="1:31" ht="14.3">
      <c r="A589" s="42" t="str">
        <f ca="1">IFERROR(__xludf.DUMMYFUNCTION("""COMPUTED_VALUE"""),"21SDSCE01128")</f>
        <v>21SDSCE01128</v>
      </c>
      <c r="B589" s="43" t="str">
        <f ca="1">IFERROR(__xludf.DUMMYFUNCTION("""COMPUTED_VALUE"""),"GOHEL MAITRI NAYANBHAI")</f>
        <v>GOHEL MAITRI NAYANBHAI</v>
      </c>
      <c r="C589" s="42" t="str">
        <f ca="1">IFERROR(__xludf.DUMMYFUNCTION("""COMPUTED_VALUE"""),"SDS")</f>
        <v>SDS</v>
      </c>
      <c r="D589" s="42" t="str">
        <f ca="1">IFERROR(__xludf.DUMMYFUNCTION("""COMPUTED_VALUE"""),"DCE")</f>
        <v>DCE</v>
      </c>
      <c r="E589" s="44">
        <f ca="1">IFERROR(__xludf.DUMMYFUNCTION("""COMPUTED_VALUE"""),6)</f>
        <v>6</v>
      </c>
      <c r="F589" s="42" t="str">
        <f ca="1">IFERROR(__xludf.DUMMYFUNCTION("""COMPUTED_VALUE"""),"9909811908
8128130228")</f>
        <v>9909811908
8128130228</v>
      </c>
      <c r="G589" s="42" t="str">
        <f ca="1">IFERROR(__xludf.DUMMYFUNCTION("""COMPUTED_VALUE"""),"9909811908
8128130228")</f>
        <v>9909811908
8128130228</v>
      </c>
      <c r="H589" s="2" t="str">
        <f ca="1">IFERROR(__xludf.DUMMYFUNCTION("""COMPUTED_VALUE"""),"DCE_2021-24")</f>
        <v>DCE_2021-24</v>
      </c>
      <c r="I589" s="45" t="str">
        <f ca="1">IFERROR(__xludf.DUMMYFUNCTION("""COMPUTED_VALUE"""),"MYSY")</f>
        <v>MYSY</v>
      </c>
      <c r="J589" s="46">
        <f ca="1">IFERROR(__xludf.DUMMYFUNCTION("""COMPUTED_VALUE"""),25000)</f>
        <v>25000</v>
      </c>
      <c r="K589" s="46">
        <f ca="1">IFERROR(__xludf.DUMMYFUNCTION("""COMPUTED_VALUE"""),0)</f>
        <v>0</v>
      </c>
      <c r="L589" s="46">
        <f ca="1">IFERROR(__xludf.DUMMYFUNCTION("""COMPUTED_VALUE"""),0)</f>
        <v>0</v>
      </c>
      <c r="M589" s="47">
        <f ca="1">IFERROR(__xludf.DUMMYFUNCTION("""COMPUTED_VALUE"""),0)</f>
        <v>0</v>
      </c>
      <c r="N589" s="46">
        <f ca="1">IFERROR(__xludf.DUMMYFUNCTION("""COMPUTED_VALUE"""),25000)</f>
        <v>25000</v>
      </c>
      <c r="O589" s="46">
        <f ca="1">IFERROR(__xludf.DUMMYFUNCTION("""COMPUTED_VALUE"""),3750)</f>
        <v>3750</v>
      </c>
      <c r="P589" s="46">
        <f ca="1">IFERROR(__xludf.DUMMYFUNCTION("""COMPUTED_VALUE"""),0)</f>
        <v>0</v>
      </c>
      <c r="Q589" s="47">
        <f ca="1">IFERROR(__xludf.DUMMYFUNCTION("""COMPUTED_VALUE"""),0)</f>
        <v>0</v>
      </c>
      <c r="R589" s="24">
        <f ca="1">IFERROR(__xludf.DUMMYFUNCTION("""COMPUTED_VALUE"""),0)</f>
        <v>0</v>
      </c>
      <c r="S589" s="23">
        <f ca="1">IFERROR(__xludf.DUMMYFUNCTION("""COMPUTED_VALUE"""),3750)</f>
        <v>3750</v>
      </c>
      <c r="T589" s="48">
        <f ca="1">IFERROR(__xludf.DUMMYFUNCTION("""COMPUTED_VALUE"""),0)</f>
        <v>0</v>
      </c>
      <c r="U589" s="47">
        <f ca="1">IFERROR(__xludf.DUMMYFUNCTION("""COMPUTED_VALUE"""),0)</f>
        <v>0</v>
      </c>
      <c r="V589" s="47">
        <f ca="1">IFERROR(__xludf.DUMMYFUNCTION("""COMPUTED_VALUE"""),0)</f>
        <v>0</v>
      </c>
      <c r="W589" s="47">
        <f ca="1">IFERROR(__xludf.DUMMYFUNCTION("""COMPUTED_VALUE"""),0)</f>
        <v>0</v>
      </c>
      <c r="X589" s="47">
        <f ca="1">IFERROR(__xludf.DUMMYFUNCTION("""COMPUTED_VALUE"""),0)</f>
        <v>0</v>
      </c>
      <c r="Y589" s="44">
        <f ca="1">IFERROR(__xludf.DUMMYFUNCTION("""COMPUTED_VALUE"""),0)</f>
        <v>0</v>
      </c>
      <c r="Z589" s="44">
        <f ca="1">IFERROR(__xludf.DUMMYFUNCTION("""COMPUTED_VALUE"""),0)</f>
        <v>0</v>
      </c>
      <c r="AA589" s="44">
        <f ca="1">IFERROR(__xludf.DUMMYFUNCTION("""COMPUTED_VALUE"""),0)</f>
        <v>0</v>
      </c>
      <c r="AB589" s="44">
        <f ca="1">IFERROR(__xludf.DUMMYFUNCTION("""COMPUTED_VALUE"""),0)</f>
        <v>0</v>
      </c>
      <c r="AC589" s="47">
        <f ca="1">IFERROR(__xludf.DUMMYFUNCTION("""COMPUTED_VALUE"""),0)</f>
        <v>0</v>
      </c>
      <c r="AD589" s="49" t="str">
        <f ca="1">IFERROR(__xludf.DUMMYFUNCTION("""COMPUTED_VALUE"""),"KSPS(25%) + MYSY(50%)")</f>
        <v>KSPS(25%) + MYSY(50%)</v>
      </c>
      <c r="AE589" s="27"/>
    </row>
    <row r="590" spans="1:31" ht="14.3">
      <c r="A590" s="42" t="str">
        <f ca="1">IFERROR(__xludf.DUMMYFUNCTION("""COMPUTED_VALUE"""),"21SDSCE01130")</f>
        <v>21SDSCE01130</v>
      </c>
      <c r="B590" s="43" t="str">
        <f ca="1">IFERROR(__xludf.DUMMYFUNCTION("""COMPUTED_VALUE"""),"JOSHI KHUSHI MAHENDRABHAI")</f>
        <v>JOSHI KHUSHI MAHENDRABHAI</v>
      </c>
      <c r="C590" s="42" t="str">
        <f ca="1">IFERROR(__xludf.DUMMYFUNCTION("""COMPUTED_VALUE"""),"SDS")</f>
        <v>SDS</v>
      </c>
      <c r="D590" s="42" t="str">
        <f ca="1">IFERROR(__xludf.DUMMYFUNCTION("""COMPUTED_VALUE"""),"DCE")</f>
        <v>DCE</v>
      </c>
      <c r="E590" s="44">
        <f ca="1">IFERROR(__xludf.DUMMYFUNCTION("""COMPUTED_VALUE"""),6)</f>
        <v>6</v>
      </c>
      <c r="F590" s="42" t="str">
        <f ca="1">IFERROR(__xludf.DUMMYFUNCTION("""COMPUTED_VALUE"""),"7016093121 9426635852")</f>
        <v>7016093121 9426635852</v>
      </c>
      <c r="G590" s="42" t="str">
        <f ca="1">IFERROR(__xludf.DUMMYFUNCTION("""COMPUTED_VALUE"""),"7016093121 9426635852")</f>
        <v>7016093121 9426635852</v>
      </c>
      <c r="H590" s="2" t="str">
        <f ca="1">IFERROR(__xludf.DUMMYFUNCTION("""COMPUTED_VALUE"""),"DCE_2021-24")</f>
        <v>DCE_2021-24</v>
      </c>
      <c r="I590" s="45" t="str">
        <f ca="1">IFERROR(__xludf.DUMMYFUNCTION("""COMPUTED_VALUE"""),"KSP")</f>
        <v>KSP</v>
      </c>
      <c r="J590" s="46">
        <f ca="1">IFERROR(__xludf.DUMMYFUNCTION("""COMPUTED_VALUE"""),25000)</f>
        <v>25000</v>
      </c>
      <c r="K590" s="46">
        <f ca="1">IFERROR(__xludf.DUMMYFUNCTION("""COMPUTED_VALUE"""),18750)</f>
        <v>18750</v>
      </c>
      <c r="L590" s="46">
        <f ca="1">IFERROR(__xludf.DUMMYFUNCTION("""COMPUTED_VALUE"""),0)</f>
        <v>0</v>
      </c>
      <c r="M590" s="47">
        <f ca="1">IFERROR(__xludf.DUMMYFUNCTION("""COMPUTED_VALUE"""),6250)</f>
        <v>6250</v>
      </c>
      <c r="N590" s="46">
        <f ca="1">IFERROR(__xludf.DUMMYFUNCTION("""COMPUTED_VALUE"""),0)</f>
        <v>0</v>
      </c>
      <c r="O590" s="46">
        <f ca="1">IFERROR(__xludf.DUMMYFUNCTION("""COMPUTED_VALUE"""),3750)</f>
        <v>3750</v>
      </c>
      <c r="P590" s="46">
        <f ca="1">IFERROR(__xludf.DUMMYFUNCTION("""COMPUTED_VALUE"""),3750)</f>
        <v>3750</v>
      </c>
      <c r="Q590" s="47">
        <f ca="1">IFERROR(__xludf.DUMMYFUNCTION("""COMPUTED_VALUE"""),0)</f>
        <v>0</v>
      </c>
      <c r="R590" s="24">
        <f ca="1">IFERROR(__xludf.DUMMYFUNCTION("""COMPUTED_VALUE"""),0)</f>
        <v>0</v>
      </c>
      <c r="S590" s="23">
        <f ca="1">IFERROR(__xludf.DUMMYFUNCTION("""COMPUTED_VALUE"""),0)</f>
        <v>0</v>
      </c>
      <c r="T590" s="48">
        <f ca="1">IFERROR(__xludf.DUMMYFUNCTION("""COMPUTED_VALUE"""),0)</f>
        <v>0</v>
      </c>
      <c r="U590" s="47">
        <f ca="1">IFERROR(__xludf.DUMMYFUNCTION("""COMPUTED_VALUE"""),0)</f>
        <v>0</v>
      </c>
      <c r="V590" s="47">
        <f ca="1">IFERROR(__xludf.DUMMYFUNCTION("""COMPUTED_VALUE"""),0)</f>
        <v>0</v>
      </c>
      <c r="W590" s="47">
        <f ca="1">IFERROR(__xludf.DUMMYFUNCTION("""COMPUTED_VALUE"""),0)</f>
        <v>0</v>
      </c>
      <c r="X590" s="47">
        <f ca="1">IFERROR(__xludf.DUMMYFUNCTION("""COMPUTED_VALUE"""),0)</f>
        <v>0</v>
      </c>
      <c r="Y590" s="44">
        <f ca="1">IFERROR(__xludf.DUMMYFUNCTION("""COMPUTED_VALUE"""),0)</f>
        <v>0</v>
      </c>
      <c r="Z590" s="44">
        <f ca="1">IFERROR(__xludf.DUMMYFUNCTION("""COMPUTED_VALUE"""),0)</f>
        <v>0</v>
      </c>
      <c r="AA590" s="44">
        <f ca="1">IFERROR(__xludf.DUMMYFUNCTION("""COMPUTED_VALUE"""),0)</f>
        <v>0</v>
      </c>
      <c r="AB590" s="44">
        <f ca="1">IFERROR(__xludf.DUMMYFUNCTION("""COMPUTED_VALUE"""),0)</f>
        <v>0</v>
      </c>
      <c r="AC590" s="47">
        <f ca="1">IFERROR(__xludf.DUMMYFUNCTION("""COMPUTED_VALUE"""),0)</f>
        <v>0</v>
      </c>
      <c r="AD590" s="49" t="str">
        <f ca="1">IFERROR(__xludf.DUMMYFUNCTION("""COMPUTED_VALUE"""),"KSPS(25%)")</f>
        <v>KSPS(25%)</v>
      </c>
      <c r="AE590" s="27"/>
    </row>
    <row r="591" spans="1:31" ht="14.3">
      <c r="A591" s="42" t="str">
        <f ca="1">IFERROR(__xludf.DUMMYFUNCTION("""COMPUTED_VALUE"""),"21SDSCE01132")</f>
        <v>21SDSCE01132</v>
      </c>
      <c r="B591" s="43" t="str">
        <f ca="1">IFERROR(__xludf.DUMMYFUNCTION("""COMPUTED_VALUE"""),"KODALA HIMANSHU JAGDISHBHAI")</f>
        <v>KODALA HIMANSHU JAGDISHBHAI</v>
      </c>
      <c r="C591" s="42" t="str">
        <f ca="1">IFERROR(__xludf.DUMMYFUNCTION("""COMPUTED_VALUE"""),"SDS")</f>
        <v>SDS</v>
      </c>
      <c r="D591" s="42" t="str">
        <f ca="1">IFERROR(__xludf.DUMMYFUNCTION("""COMPUTED_VALUE"""),"DCE")</f>
        <v>DCE</v>
      </c>
      <c r="E591" s="44">
        <f ca="1">IFERROR(__xludf.DUMMYFUNCTION("""COMPUTED_VALUE"""),6)</f>
        <v>6</v>
      </c>
      <c r="F591" s="42" t="str">
        <f ca="1">IFERROR(__xludf.DUMMYFUNCTION("""COMPUTED_VALUE"""),"9157763909 9913072324")</f>
        <v>9157763909 9913072324</v>
      </c>
      <c r="G591" s="42" t="str">
        <f ca="1">IFERROR(__xludf.DUMMYFUNCTION("""COMPUTED_VALUE"""),"9157763909 9913072324")</f>
        <v>9157763909 9913072324</v>
      </c>
      <c r="H591" s="2" t="str">
        <f ca="1">IFERROR(__xludf.DUMMYFUNCTION("""COMPUTED_VALUE"""),"DCE_2021-24")</f>
        <v>DCE_2021-24</v>
      </c>
      <c r="I591" s="45" t="str">
        <f ca="1">IFERROR(__xludf.DUMMYFUNCTION("""COMPUTED_VALUE"""),"KSP")</f>
        <v>KSP</v>
      </c>
      <c r="J591" s="46">
        <f ca="1">IFERROR(__xludf.DUMMYFUNCTION("""COMPUTED_VALUE"""),25000)</f>
        <v>25000</v>
      </c>
      <c r="K591" s="46">
        <f ca="1">IFERROR(__xludf.DUMMYFUNCTION("""COMPUTED_VALUE"""),12500)</f>
        <v>12500</v>
      </c>
      <c r="L591" s="46">
        <f ca="1">IFERROR(__xludf.DUMMYFUNCTION("""COMPUTED_VALUE"""),0)</f>
        <v>0</v>
      </c>
      <c r="M591" s="47">
        <f ca="1">IFERROR(__xludf.DUMMYFUNCTION("""COMPUTED_VALUE"""),12500)</f>
        <v>12500</v>
      </c>
      <c r="N591" s="46">
        <f ca="1">IFERROR(__xludf.DUMMYFUNCTION("""COMPUTED_VALUE"""),0)</f>
        <v>0</v>
      </c>
      <c r="O591" s="46">
        <f ca="1">IFERROR(__xludf.DUMMYFUNCTION("""COMPUTED_VALUE"""),3750)</f>
        <v>3750</v>
      </c>
      <c r="P591" s="46">
        <f ca="1">IFERROR(__xludf.DUMMYFUNCTION("""COMPUTED_VALUE"""),3750)</f>
        <v>3750</v>
      </c>
      <c r="Q591" s="47">
        <f ca="1">IFERROR(__xludf.DUMMYFUNCTION("""COMPUTED_VALUE"""),0)</f>
        <v>0</v>
      </c>
      <c r="R591" s="24">
        <f ca="1">IFERROR(__xludf.DUMMYFUNCTION("""COMPUTED_VALUE"""),0)</f>
        <v>0</v>
      </c>
      <c r="S591" s="23">
        <f ca="1">IFERROR(__xludf.DUMMYFUNCTION("""COMPUTED_VALUE"""),0)</f>
        <v>0</v>
      </c>
      <c r="T591" s="48">
        <f ca="1">IFERROR(__xludf.DUMMYFUNCTION("""COMPUTED_VALUE"""),0)</f>
        <v>0</v>
      </c>
      <c r="U591" s="47">
        <f ca="1">IFERROR(__xludf.DUMMYFUNCTION("""COMPUTED_VALUE"""),0)</f>
        <v>0</v>
      </c>
      <c r="V591" s="47">
        <f ca="1">IFERROR(__xludf.DUMMYFUNCTION("""COMPUTED_VALUE"""),0)</f>
        <v>0</v>
      </c>
      <c r="W591" s="47">
        <f ca="1">IFERROR(__xludf.DUMMYFUNCTION("""COMPUTED_VALUE"""),0)</f>
        <v>0</v>
      </c>
      <c r="X591" s="47">
        <f ca="1">IFERROR(__xludf.DUMMYFUNCTION("""COMPUTED_VALUE"""),0)</f>
        <v>0</v>
      </c>
      <c r="Y591" s="44">
        <f ca="1">IFERROR(__xludf.DUMMYFUNCTION("""COMPUTED_VALUE"""),0)</f>
        <v>0</v>
      </c>
      <c r="Z591" s="44">
        <f ca="1">IFERROR(__xludf.DUMMYFUNCTION("""COMPUTED_VALUE"""),0)</f>
        <v>0</v>
      </c>
      <c r="AA591" s="44">
        <f ca="1">IFERROR(__xludf.DUMMYFUNCTION("""COMPUTED_VALUE"""),0)</f>
        <v>0</v>
      </c>
      <c r="AB591" s="44">
        <f ca="1">IFERROR(__xludf.DUMMYFUNCTION("""COMPUTED_VALUE"""),0)</f>
        <v>0</v>
      </c>
      <c r="AC591" s="47">
        <f ca="1">IFERROR(__xludf.DUMMYFUNCTION("""COMPUTED_VALUE"""),0)</f>
        <v>0</v>
      </c>
      <c r="AD591" s="49" t="str">
        <f ca="1">IFERROR(__xludf.DUMMYFUNCTION("""COMPUTED_VALUE"""),"KSPS(50%)")</f>
        <v>KSPS(50%)</v>
      </c>
      <c r="AE591" s="27"/>
    </row>
    <row r="592" spans="1:31" ht="14.3">
      <c r="A592" s="42" t="str">
        <f ca="1">IFERROR(__xludf.DUMMYFUNCTION("""COMPUTED_VALUE"""),"21SDSCE01134")</f>
        <v>21SDSCE01134</v>
      </c>
      <c r="B592" s="43" t="str">
        <f ca="1">IFERROR(__xludf.DUMMYFUNCTION("""COMPUTED_VALUE"""),"MAKDA JUZAR ABBASBHAI")</f>
        <v>MAKDA JUZAR ABBASBHAI</v>
      </c>
      <c r="C592" s="42" t="str">
        <f ca="1">IFERROR(__xludf.DUMMYFUNCTION("""COMPUTED_VALUE"""),"SDS")</f>
        <v>SDS</v>
      </c>
      <c r="D592" s="42" t="str">
        <f ca="1">IFERROR(__xludf.DUMMYFUNCTION("""COMPUTED_VALUE"""),"DCE")</f>
        <v>DCE</v>
      </c>
      <c r="E592" s="44">
        <f ca="1">IFERROR(__xludf.DUMMYFUNCTION("""COMPUTED_VALUE"""),6)</f>
        <v>6</v>
      </c>
      <c r="F592" s="42" t="str">
        <f ca="1">IFERROR(__xludf.DUMMYFUNCTION("""COMPUTED_VALUE"""),"7984010189 9662813652")</f>
        <v>7984010189 9662813652</v>
      </c>
      <c r="G592" s="42" t="str">
        <f ca="1">IFERROR(__xludf.DUMMYFUNCTION("""COMPUTED_VALUE"""),"7984010189 9662813652")</f>
        <v>7984010189 9662813652</v>
      </c>
      <c r="H592" s="2" t="str">
        <f ca="1">IFERROR(__xludf.DUMMYFUNCTION("""COMPUTED_VALUE"""),"DCE_2021-24")</f>
        <v>DCE_2021-24</v>
      </c>
      <c r="I592" s="45" t="str">
        <f ca="1">IFERROR(__xludf.DUMMYFUNCTION("""COMPUTED_VALUE"""),"MYSY")</f>
        <v>MYSY</v>
      </c>
      <c r="J592" s="46">
        <f ca="1">IFERROR(__xludf.DUMMYFUNCTION("""COMPUTED_VALUE"""),25000)</f>
        <v>25000</v>
      </c>
      <c r="K592" s="46">
        <f ca="1">IFERROR(__xludf.DUMMYFUNCTION("""COMPUTED_VALUE"""),0)</f>
        <v>0</v>
      </c>
      <c r="L592" s="46">
        <f ca="1">IFERROR(__xludf.DUMMYFUNCTION("""COMPUTED_VALUE"""),0)</f>
        <v>0</v>
      </c>
      <c r="M592" s="47">
        <f ca="1">IFERROR(__xludf.DUMMYFUNCTION("""COMPUTED_VALUE"""),0)</f>
        <v>0</v>
      </c>
      <c r="N592" s="46">
        <f ca="1">IFERROR(__xludf.DUMMYFUNCTION("""COMPUTED_VALUE"""),25000)</f>
        <v>25000</v>
      </c>
      <c r="O592" s="46">
        <f ca="1">IFERROR(__xludf.DUMMYFUNCTION("""COMPUTED_VALUE"""),3750)</f>
        <v>3750</v>
      </c>
      <c r="P592" s="46">
        <f ca="1">IFERROR(__xludf.DUMMYFUNCTION("""COMPUTED_VALUE"""),3750)</f>
        <v>3750</v>
      </c>
      <c r="Q592" s="47">
        <f ca="1">IFERROR(__xludf.DUMMYFUNCTION("""COMPUTED_VALUE"""),0)</f>
        <v>0</v>
      </c>
      <c r="R592" s="24">
        <f ca="1">IFERROR(__xludf.DUMMYFUNCTION("""COMPUTED_VALUE"""),0)</f>
        <v>0</v>
      </c>
      <c r="S592" s="23">
        <f ca="1">IFERROR(__xludf.DUMMYFUNCTION("""COMPUTED_VALUE"""),0)</f>
        <v>0</v>
      </c>
      <c r="T592" s="48">
        <f ca="1">IFERROR(__xludf.DUMMYFUNCTION("""COMPUTED_VALUE"""),0)</f>
        <v>0</v>
      </c>
      <c r="U592" s="47">
        <f ca="1">IFERROR(__xludf.DUMMYFUNCTION("""COMPUTED_VALUE"""),0)</f>
        <v>0</v>
      </c>
      <c r="V592" s="47">
        <f ca="1">IFERROR(__xludf.DUMMYFUNCTION("""COMPUTED_VALUE"""),0)</f>
        <v>0</v>
      </c>
      <c r="W592" s="47">
        <f ca="1">IFERROR(__xludf.DUMMYFUNCTION("""COMPUTED_VALUE"""),0)</f>
        <v>0</v>
      </c>
      <c r="X592" s="47">
        <f ca="1">IFERROR(__xludf.DUMMYFUNCTION("""COMPUTED_VALUE"""),0)</f>
        <v>0</v>
      </c>
      <c r="Y592" s="44">
        <f ca="1">IFERROR(__xludf.DUMMYFUNCTION("""COMPUTED_VALUE"""),0)</f>
        <v>0</v>
      </c>
      <c r="Z592" s="44">
        <f ca="1">IFERROR(__xludf.DUMMYFUNCTION("""COMPUTED_VALUE"""),0)</f>
        <v>0</v>
      </c>
      <c r="AA592" s="44">
        <f ca="1">IFERROR(__xludf.DUMMYFUNCTION("""COMPUTED_VALUE"""),0)</f>
        <v>0</v>
      </c>
      <c r="AB592" s="44">
        <f ca="1">IFERROR(__xludf.DUMMYFUNCTION("""COMPUTED_VALUE"""),0)</f>
        <v>0</v>
      </c>
      <c r="AC592" s="47">
        <f ca="1">IFERROR(__xludf.DUMMYFUNCTION("""COMPUTED_VALUE"""),0)</f>
        <v>0</v>
      </c>
      <c r="AD592" s="49" t="str">
        <f ca="1">IFERROR(__xludf.DUMMYFUNCTION("""COMPUTED_VALUE"""),"KSPS(50%)+MYSY(50%)")</f>
        <v>KSPS(50%)+MYSY(50%)</v>
      </c>
      <c r="AE592" s="27"/>
    </row>
    <row r="593" spans="1:31" ht="14.3">
      <c r="A593" s="42" t="str">
        <f ca="1">IFERROR(__xludf.DUMMYFUNCTION("""COMPUTED_VALUE"""),"21SDSCE01143")</f>
        <v>21SDSCE01143</v>
      </c>
      <c r="B593" s="43" t="str">
        <f ca="1">IFERROR(__xludf.DUMMYFUNCTION("""COMPUTED_VALUE"""),"RAMANI TEJAS ASHOKBHAI")</f>
        <v>RAMANI TEJAS ASHOKBHAI</v>
      </c>
      <c r="C593" s="42" t="str">
        <f ca="1">IFERROR(__xludf.DUMMYFUNCTION("""COMPUTED_VALUE"""),"SDS")</f>
        <v>SDS</v>
      </c>
      <c r="D593" s="42" t="str">
        <f ca="1">IFERROR(__xludf.DUMMYFUNCTION("""COMPUTED_VALUE"""),"DCE")</f>
        <v>DCE</v>
      </c>
      <c r="E593" s="44">
        <f ca="1">IFERROR(__xludf.DUMMYFUNCTION("""COMPUTED_VALUE"""),6)</f>
        <v>6</v>
      </c>
      <c r="F593" s="42" t="str">
        <f ca="1">IFERROR(__xludf.DUMMYFUNCTION("""COMPUTED_VALUE"""),"9054648078
9725392254")</f>
        <v>9054648078
9725392254</v>
      </c>
      <c r="G593" s="42" t="str">
        <f ca="1">IFERROR(__xludf.DUMMYFUNCTION("""COMPUTED_VALUE"""),"9054648078
9725392254")</f>
        <v>9054648078
9725392254</v>
      </c>
      <c r="H593" s="2" t="str">
        <f ca="1">IFERROR(__xludf.DUMMYFUNCTION("""COMPUTED_VALUE"""),"DCE_2021-24")</f>
        <v>DCE_2021-24</v>
      </c>
      <c r="I593" s="45" t="str">
        <f ca="1">IFERROR(__xludf.DUMMYFUNCTION("""COMPUTED_VALUE"""),"MYSY")</f>
        <v>MYSY</v>
      </c>
      <c r="J593" s="46">
        <f ca="1">IFERROR(__xludf.DUMMYFUNCTION("""COMPUTED_VALUE"""),25000)</f>
        <v>25000</v>
      </c>
      <c r="K593" s="46">
        <f ca="1">IFERROR(__xludf.DUMMYFUNCTION("""COMPUTED_VALUE"""),0)</f>
        <v>0</v>
      </c>
      <c r="L593" s="46">
        <f ca="1">IFERROR(__xludf.DUMMYFUNCTION("""COMPUTED_VALUE"""),0)</f>
        <v>0</v>
      </c>
      <c r="M593" s="47">
        <f ca="1">IFERROR(__xludf.DUMMYFUNCTION("""COMPUTED_VALUE"""),0)</f>
        <v>0</v>
      </c>
      <c r="N593" s="46">
        <f ca="1">IFERROR(__xludf.DUMMYFUNCTION("""COMPUTED_VALUE"""),25000)</f>
        <v>25000</v>
      </c>
      <c r="O593" s="46">
        <f ca="1">IFERROR(__xludf.DUMMYFUNCTION("""COMPUTED_VALUE"""),3750)</f>
        <v>3750</v>
      </c>
      <c r="P593" s="46">
        <f ca="1">IFERROR(__xludf.DUMMYFUNCTION("""COMPUTED_VALUE"""),3750)</f>
        <v>3750</v>
      </c>
      <c r="Q593" s="47">
        <f ca="1">IFERROR(__xludf.DUMMYFUNCTION("""COMPUTED_VALUE"""),0)</f>
        <v>0</v>
      </c>
      <c r="R593" s="24">
        <f ca="1">IFERROR(__xludf.DUMMYFUNCTION("""COMPUTED_VALUE"""),0)</f>
        <v>0</v>
      </c>
      <c r="S593" s="23">
        <f ca="1">IFERROR(__xludf.DUMMYFUNCTION("""COMPUTED_VALUE"""),0)</f>
        <v>0</v>
      </c>
      <c r="T593" s="48">
        <f ca="1">IFERROR(__xludf.DUMMYFUNCTION("""COMPUTED_VALUE"""),0)</f>
        <v>0</v>
      </c>
      <c r="U593" s="47">
        <f ca="1">IFERROR(__xludf.DUMMYFUNCTION("""COMPUTED_VALUE"""),0)</f>
        <v>0</v>
      </c>
      <c r="V593" s="47">
        <f ca="1">IFERROR(__xludf.DUMMYFUNCTION("""COMPUTED_VALUE"""),0)</f>
        <v>0</v>
      </c>
      <c r="W593" s="47">
        <f ca="1">IFERROR(__xludf.DUMMYFUNCTION("""COMPUTED_VALUE"""),0)</f>
        <v>0</v>
      </c>
      <c r="X593" s="47">
        <f ca="1">IFERROR(__xludf.DUMMYFUNCTION("""COMPUTED_VALUE"""),0)</f>
        <v>0</v>
      </c>
      <c r="Y593" s="44">
        <f ca="1">IFERROR(__xludf.DUMMYFUNCTION("""COMPUTED_VALUE"""),0)</f>
        <v>0</v>
      </c>
      <c r="Z593" s="44">
        <f ca="1">IFERROR(__xludf.DUMMYFUNCTION("""COMPUTED_VALUE"""),0)</f>
        <v>0</v>
      </c>
      <c r="AA593" s="44">
        <f ca="1">IFERROR(__xludf.DUMMYFUNCTION("""COMPUTED_VALUE"""),0)</f>
        <v>0</v>
      </c>
      <c r="AB593" s="44">
        <f ca="1">IFERROR(__xludf.DUMMYFUNCTION("""COMPUTED_VALUE"""),0)</f>
        <v>0</v>
      </c>
      <c r="AC593" s="47">
        <f ca="1">IFERROR(__xludf.DUMMYFUNCTION("""COMPUTED_VALUE"""),0)</f>
        <v>0</v>
      </c>
      <c r="AD593" s="49" t="str">
        <f ca="1">IFERROR(__xludf.DUMMYFUNCTION("""COMPUTED_VALUE"""),"MYSY(50%) + KSPS(50%)")</f>
        <v>MYSY(50%) + KSPS(50%)</v>
      </c>
      <c r="AE593" s="27"/>
    </row>
    <row r="594" spans="1:31" ht="14.3">
      <c r="A594" s="42" t="str">
        <f ca="1">IFERROR(__xludf.DUMMYFUNCTION("""COMPUTED_VALUE"""),"21SDSCE01144")</f>
        <v>21SDSCE01144</v>
      </c>
      <c r="B594" s="43" t="str">
        <f ca="1">IFERROR(__xludf.DUMMYFUNCTION("""COMPUTED_VALUE"""),"RUPARELIYA PRANAV NILESHBHAI")</f>
        <v>RUPARELIYA PRANAV NILESHBHAI</v>
      </c>
      <c r="C594" s="42" t="str">
        <f ca="1">IFERROR(__xludf.DUMMYFUNCTION("""COMPUTED_VALUE"""),"SDS")</f>
        <v>SDS</v>
      </c>
      <c r="D594" s="42" t="str">
        <f ca="1">IFERROR(__xludf.DUMMYFUNCTION("""COMPUTED_VALUE"""),"DCE")</f>
        <v>DCE</v>
      </c>
      <c r="E594" s="44">
        <f ca="1">IFERROR(__xludf.DUMMYFUNCTION("""COMPUTED_VALUE"""),6)</f>
        <v>6</v>
      </c>
      <c r="F594" s="42" t="str">
        <f ca="1">IFERROR(__xludf.DUMMYFUNCTION("""COMPUTED_VALUE"""),"9016764024 9979008614")</f>
        <v>9016764024 9979008614</v>
      </c>
      <c r="G594" s="42" t="str">
        <f ca="1">IFERROR(__xludf.DUMMYFUNCTION("""COMPUTED_VALUE"""),"9016764024 9979008614")</f>
        <v>9016764024 9979008614</v>
      </c>
      <c r="H594" s="2" t="str">
        <f ca="1">IFERROR(__xludf.DUMMYFUNCTION("""COMPUTED_VALUE"""),"DCE_2021-24")</f>
        <v>DCE_2021-24</v>
      </c>
      <c r="I594" s="45" t="str">
        <f ca="1">IFERROR(__xludf.DUMMYFUNCTION("""COMPUTED_VALUE"""),"MYSY")</f>
        <v>MYSY</v>
      </c>
      <c r="J594" s="46">
        <f ca="1">IFERROR(__xludf.DUMMYFUNCTION("""COMPUTED_VALUE"""),25000)</f>
        <v>25000</v>
      </c>
      <c r="K594" s="46">
        <f ca="1">IFERROR(__xludf.DUMMYFUNCTION("""COMPUTED_VALUE"""),0)</f>
        <v>0</v>
      </c>
      <c r="L594" s="46">
        <f ca="1">IFERROR(__xludf.DUMMYFUNCTION("""COMPUTED_VALUE"""),0)</f>
        <v>0</v>
      </c>
      <c r="M594" s="47">
        <f ca="1">IFERROR(__xludf.DUMMYFUNCTION("""COMPUTED_VALUE"""),0)</f>
        <v>0</v>
      </c>
      <c r="N594" s="46">
        <f ca="1">IFERROR(__xludf.DUMMYFUNCTION("""COMPUTED_VALUE"""),25000)</f>
        <v>25000</v>
      </c>
      <c r="O594" s="46">
        <f ca="1">IFERROR(__xludf.DUMMYFUNCTION("""COMPUTED_VALUE"""),3750)</f>
        <v>3750</v>
      </c>
      <c r="P594" s="46">
        <f ca="1">IFERROR(__xludf.DUMMYFUNCTION("""COMPUTED_VALUE"""),3750)</f>
        <v>3750</v>
      </c>
      <c r="Q594" s="47">
        <f ca="1">IFERROR(__xludf.DUMMYFUNCTION("""COMPUTED_VALUE"""),0)</f>
        <v>0</v>
      </c>
      <c r="R594" s="24">
        <f ca="1">IFERROR(__xludf.DUMMYFUNCTION("""COMPUTED_VALUE"""),0)</f>
        <v>0</v>
      </c>
      <c r="S594" s="23">
        <f ca="1">IFERROR(__xludf.DUMMYFUNCTION("""COMPUTED_VALUE"""),0)</f>
        <v>0</v>
      </c>
      <c r="T594" s="48">
        <f ca="1">IFERROR(__xludf.DUMMYFUNCTION("""COMPUTED_VALUE"""),0)</f>
        <v>0</v>
      </c>
      <c r="U594" s="47">
        <f ca="1">IFERROR(__xludf.DUMMYFUNCTION("""COMPUTED_VALUE"""),0)</f>
        <v>0</v>
      </c>
      <c r="V594" s="47">
        <f ca="1">IFERROR(__xludf.DUMMYFUNCTION("""COMPUTED_VALUE"""),0)</f>
        <v>0</v>
      </c>
      <c r="W594" s="47">
        <f ca="1">IFERROR(__xludf.DUMMYFUNCTION("""COMPUTED_VALUE"""),0)</f>
        <v>0</v>
      </c>
      <c r="X594" s="47">
        <f ca="1">IFERROR(__xludf.DUMMYFUNCTION("""COMPUTED_VALUE"""),0)</f>
        <v>0</v>
      </c>
      <c r="Y594" s="44">
        <f ca="1">IFERROR(__xludf.DUMMYFUNCTION("""COMPUTED_VALUE"""),0)</f>
        <v>0</v>
      </c>
      <c r="Z594" s="44">
        <f ca="1">IFERROR(__xludf.DUMMYFUNCTION("""COMPUTED_VALUE"""),0)</f>
        <v>0</v>
      </c>
      <c r="AA594" s="44">
        <f ca="1">IFERROR(__xludf.DUMMYFUNCTION("""COMPUTED_VALUE"""),0)</f>
        <v>0</v>
      </c>
      <c r="AB594" s="44">
        <f ca="1">IFERROR(__xludf.DUMMYFUNCTION("""COMPUTED_VALUE"""),0)</f>
        <v>0</v>
      </c>
      <c r="AC594" s="47">
        <f ca="1">IFERROR(__xludf.DUMMYFUNCTION("""COMPUTED_VALUE"""),0)</f>
        <v>0</v>
      </c>
      <c r="AD594" s="49" t="str">
        <f ca="1">IFERROR(__xludf.DUMMYFUNCTION("""COMPUTED_VALUE"""),"MYSY(50%) + KSPS(50%)")</f>
        <v>MYSY(50%) + KSPS(50%)</v>
      </c>
      <c r="AE594" s="27"/>
    </row>
    <row r="595" spans="1:31" ht="14.3">
      <c r="A595" s="42" t="str">
        <f ca="1">IFERROR(__xludf.DUMMYFUNCTION("""COMPUTED_VALUE"""),"21SDSCE01149")</f>
        <v>21SDSCE01149</v>
      </c>
      <c r="B595" s="43" t="str">
        <f ca="1">IFERROR(__xludf.DUMMYFUNCTION("""COMPUTED_VALUE"""),"SIDAPARA YASHVI SANJAYBHAI")</f>
        <v>SIDAPARA YASHVI SANJAYBHAI</v>
      </c>
      <c r="C595" s="42" t="str">
        <f ca="1">IFERROR(__xludf.DUMMYFUNCTION("""COMPUTED_VALUE"""),"SDS")</f>
        <v>SDS</v>
      </c>
      <c r="D595" s="42" t="str">
        <f ca="1">IFERROR(__xludf.DUMMYFUNCTION("""COMPUTED_VALUE"""),"DCE")</f>
        <v>DCE</v>
      </c>
      <c r="E595" s="44">
        <f ca="1">IFERROR(__xludf.DUMMYFUNCTION("""COMPUTED_VALUE"""),6)</f>
        <v>6</v>
      </c>
      <c r="F595" s="42" t="str">
        <f ca="1">IFERROR(__xludf.DUMMYFUNCTION("""COMPUTED_VALUE"""),"9825242291
9825242291")</f>
        <v>9825242291
9825242291</v>
      </c>
      <c r="G595" s="42" t="str">
        <f ca="1">IFERROR(__xludf.DUMMYFUNCTION("""COMPUTED_VALUE"""),"9825242291
9825242291")</f>
        <v>9825242291
9825242291</v>
      </c>
      <c r="H595" s="2" t="str">
        <f ca="1">IFERROR(__xludf.DUMMYFUNCTION("""COMPUTED_VALUE"""),"DCE_2021-24")</f>
        <v>DCE_2021-24</v>
      </c>
      <c r="I595" s="45" t="str">
        <f ca="1">IFERROR(__xludf.DUMMYFUNCTION("""COMPUTED_VALUE"""),"MYSY")</f>
        <v>MYSY</v>
      </c>
      <c r="J595" s="46">
        <f ca="1">IFERROR(__xludf.DUMMYFUNCTION("""COMPUTED_VALUE"""),25000)</f>
        <v>25000</v>
      </c>
      <c r="K595" s="46">
        <f ca="1">IFERROR(__xludf.DUMMYFUNCTION("""COMPUTED_VALUE"""),0)</f>
        <v>0</v>
      </c>
      <c r="L595" s="46">
        <f ca="1">IFERROR(__xludf.DUMMYFUNCTION("""COMPUTED_VALUE"""),0)</f>
        <v>0</v>
      </c>
      <c r="M595" s="47">
        <f ca="1">IFERROR(__xludf.DUMMYFUNCTION("""COMPUTED_VALUE"""),0)</f>
        <v>0</v>
      </c>
      <c r="N595" s="46">
        <f ca="1">IFERROR(__xludf.DUMMYFUNCTION("""COMPUTED_VALUE"""),25000)</f>
        <v>25000</v>
      </c>
      <c r="O595" s="46">
        <f ca="1">IFERROR(__xludf.DUMMYFUNCTION("""COMPUTED_VALUE"""),3750)</f>
        <v>3750</v>
      </c>
      <c r="P595" s="46">
        <f ca="1">IFERROR(__xludf.DUMMYFUNCTION("""COMPUTED_VALUE"""),3750)</f>
        <v>3750</v>
      </c>
      <c r="Q595" s="47">
        <f ca="1">IFERROR(__xludf.DUMMYFUNCTION("""COMPUTED_VALUE"""),0)</f>
        <v>0</v>
      </c>
      <c r="R595" s="24">
        <f ca="1">IFERROR(__xludf.DUMMYFUNCTION("""COMPUTED_VALUE"""),0)</f>
        <v>0</v>
      </c>
      <c r="S595" s="23">
        <f ca="1">IFERROR(__xludf.DUMMYFUNCTION("""COMPUTED_VALUE"""),0)</f>
        <v>0</v>
      </c>
      <c r="T595" s="48">
        <f ca="1">IFERROR(__xludf.DUMMYFUNCTION("""COMPUTED_VALUE"""),0)</f>
        <v>0</v>
      </c>
      <c r="U595" s="47">
        <f ca="1">IFERROR(__xludf.DUMMYFUNCTION("""COMPUTED_VALUE"""),0)</f>
        <v>0</v>
      </c>
      <c r="V595" s="47">
        <f ca="1">IFERROR(__xludf.DUMMYFUNCTION("""COMPUTED_VALUE"""),0)</f>
        <v>0</v>
      </c>
      <c r="W595" s="47">
        <f ca="1">IFERROR(__xludf.DUMMYFUNCTION("""COMPUTED_VALUE"""),0)</f>
        <v>0</v>
      </c>
      <c r="X595" s="47">
        <f ca="1">IFERROR(__xludf.DUMMYFUNCTION("""COMPUTED_VALUE"""),0)</f>
        <v>0</v>
      </c>
      <c r="Y595" s="44">
        <f ca="1">IFERROR(__xludf.DUMMYFUNCTION("""COMPUTED_VALUE"""),0)</f>
        <v>0</v>
      </c>
      <c r="Z595" s="44">
        <f ca="1">IFERROR(__xludf.DUMMYFUNCTION("""COMPUTED_VALUE"""),0)</f>
        <v>0</v>
      </c>
      <c r="AA595" s="44">
        <f ca="1">IFERROR(__xludf.DUMMYFUNCTION("""COMPUTED_VALUE"""),0)</f>
        <v>0</v>
      </c>
      <c r="AB595" s="44">
        <f ca="1">IFERROR(__xludf.DUMMYFUNCTION("""COMPUTED_VALUE"""),0)</f>
        <v>0</v>
      </c>
      <c r="AC595" s="47">
        <f ca="1">IFERROR(__xludf.DUMMYFUNCTION("""COMPUTED_VALUE"""),0)</f>
        <v>0</v>
      </c>
      <c r="AD595" s="49" t="str">
        <f ca="1">IFERROR(__xludf.DUMMYFUNCTION("""COMPUTED_VALUE"""),"MYSY(50%) + KSPS(25%)")</f>
        <v>MYSY(50%) + KSPS(25%)</v>
      </c>
      <c r="AE595" s="27"/>
    </row>
    <row r="596" spans="1:31" ht="14.3">
      <c r="A596" s="42" t="str">
        <f ca="1">IFERROR(__xludf.DUMMYFUNCTION("""COMPUTED_VALUE"""),"21SDSCE01153")</f>
        <v>21SDSCE01153</v>
      </c>
      <c r="B596" s="43" t="str">
        <f ca="1">IFERROR(__xludf.DUMMYFUNCTION("""COMPUTED_VALUE"""),"TADHANI JAY JAGADISHBHAI")</f>
        <v>TADHANI JAY JAGADISHBHAI</v>
      </c>
      <c r="C596" s="42" t="str">
        <f ca="1">IFERROR(__xludf.DUMMYFUNCTION("""COMPUTED_VALUE"""),"SDS")</f>
        <v>SDS</v>
      </c>
      <c r="D596" s="42" t="str">
        <f ca="1">IFERROR(__xludf.DUMMYFUNCTION("""COMPUTED_VALUE"""),"DCE")</f>
        <v>DCE</v>
      </c>
      <c r="E596" s="44">
        <f ca="1">IFERROR(__xludf.DUMMYFUNCTION("""COMPUTED_VALUE"""),6)</f>
        <v>6</v>
      </c>
      <c r="F596" s="42" t="str">
        <f ca="1">IFERROR(__xludf.DUMMYFUNCTION("""COMPUTED_VALUE"""),"9510625883 9904718503")</f>
        <v>9510625883 9904718503</v>
      </c>
      <c r="G596" s="42" t="str">
        <f ca="1">IFERROR(__xludf.DUMMYFUNCTION("""COMPUTED_VALUE"""),"9510625883 9904718503")</f>
        <v>9510625883 9904718503</v>
      </c>
      <c r="H596" s="2" t="str">
        <f ca="1">IFERROR(__xludf.DUMMYFUNCTION("""COMPUTED_VALUE"""),"DCE_2021-24")</f>
        <v>DCE_2021-24</v>
      </c>
      <c r="I596" s="45"/>
      <c r="J596" s="46">
        <f ca="1">IFERROR(__xludf.DUMMYFUNCTION("""COMPUTED_VALUE"""),25000)</f>
        <v>25000</v>
      </c>
      <c r="K596" s="46">
        <f ca="1">IFERROR(__xludf.DUMMYFUNCTION("""COMPUTED_VALUE"""),0)</f>
        <v>0</v>
      </c>
      <c r="L596" s="46">
        <f ca="1">IFERROR(__xludf.DUMMYFUNCTION("""COMPUTED_VALUE"""),0)</f>
        <v>0</v>
      </c>
      <c r="M596" s="47">
        <f ca="1">IFERROR(__xludf.DUMMYFUNCTION("""COMPUTED_VALUE"""),0)</f>
        <v>0</v>
      </c>
      <c r="N596" s="46">
        <f ca="1">IFERROR(__xludf.DUMMYFUNCTION("""COMPUTED_VALUE"""),25000)</f>
        <v>25000</v>
      </c>
      <c r="O596" s="46">
        <f ca="1">IFERROR(__xludf.DUMMYFUNCTION("""COMPUTED_VALUE"""),3750)</f>
        <v>3750</v>
      </c>
      <c r="P596" s="46">
        <f ca="1">IFERROR(__xludf.DUMMYFUNCTION("""COMPUTED_VALUE"""),0)</f>
        <v>0</v>
      </c>
      <c r="Q596" s="47">
        <f ca="1">IFERROR(__xludf.DUMMYFUNCTION("""COMPUTED_VALUE"""),0)</f>
        <v>0</v>
      </c>
      <c r="R596" s="24">
        <f ca="1">IFERROR(__xludf.DUMMYFUNCTION("""COMPUTED_VALUE"""),0)</f>
        <v>0</v>
      </c>
      <c r="S596" s="23">
        <f ca="1">IFERROR(__xludf.DUMMYFUNCTION("""COMPUTED_VALUE"""),3750)</f>
        <v>3750</v>
      </c>
      <c r="T596" s="48">
        <f ca="1">IFERROR(__xludf.DUMMYFUNCTION("""COMPUTED_VALUE"""),0)</f>
        <v>0</v>
      </c>
      <c r="U596" s="47">
        <f ca="1">IFERROR(__xludf.DUMMYFUNCTION("""COMPUTED_VALUE"""),0)</f>
        <v>0</v>
      </c>
      <c r="V596" s="47">
        <f ca="1">IFERROR(__xludf.DUMMYFUNCTION("""COMPUTED_VALUE"""),0)</f>
        <v>0</v>
      </c>
      <c r="W596" s="47">
        <f ca="1">IFERROR(__xludf.DUMMYFUNCTION("""COMPUTED_VALUE"""),0)</f>
        <v>0</v>
      </c>
      <c r="X596" s="47">
        <f ca="1">IFERROR(__xludf.DUMMYFUNCTION("""COMPUTED_VALUE"""),0)</f>
        <v>0</v>
      </c>
      <c r="Y596" s="44">
        <f ca="1">IFERROR(__xludf.DUMMYFUNCTION("""COMPUTED_VALUE"""),0)</f>
        <v>0</v>
      </c>
      <c r="Z596" s="44">
        <f ca="1">IFERROR(__xludf.DUMMYFUNCTION("""COMPUTED_VALUE"""),0)</f>
        <v>0</v>
      </c>
      <c r="AA596" s="44">
        <f ca="1">IFERROR(__xludf.DUMMYFUNCTION("""COMPUTED_VALUE"""),0)</f>
        <v>0</v>
      </c>
      <c r="AB596" s="44">
        <f ca="1">IFERROR(__xludf.DUMMYFUNCTION("""COMPUTED_VALUE"""),0)</f>
        <v>0</v>
      </c>
      <c r="AC596" s="47">
        <f ca="1">IFERROR(__xludf.DUMMYFUNCTION("""COMPUTED_VALUE"""),0)</f>
        <v>0</v>
      </c>
      <c r="AD596" s="49"/>
      <c r="AE596" s="27"/>
    </row>
    <row r="597" spans="1:31" ht="14.3">
      <c r="A597" s="42" t="str">
        <f ca="1">IFERROR(__xludf.DUMMYFUNCTION("""COMPUTED_VALUE"""),"21SDSCE01155")</f>
        <v>21SDSCE01155</v>
      </c>
      <c r="B597" s="43" t="str">
        <f ca="1">IFERROR(__xludf.DUMMYFUNCTION("""COMPUTED_VALUE"""),"TIMBADIYA KHUSH PRAVINBHAI")</f>
        <v>TIMBADIYA KHUSH PRAVINBHAI</v>
      </c>
      <c r="C597" s="42" t="str">
        <f ca="1">IFERROR(__xludf.DUMMYFUNCTION("""COMPUTED_VALUE"""),"SDS")</f>
        <v>SDS</v>
      </c>
      <c r="D597" s="42" t="str">
        <f ca="1">IFERROR(__xludf.DUMMYFUNCTION("""COMPUTED_VALUE"""),"DCE")</f>
        <v>DCE</v>
      </c>
      <c r="E597" s="44">
        <f ca="1">IFERROR(__xludf.DUMMYFUNCTION("""COMPUTED_VALUE"""),6)</f>
        <v>6</v>
      </c>
      <c r="F597" s="42" t="str">
        <f ca="1">IFERROR(__xludf.DUMMYFUNCTION("""COMPUTED_VALUE"""),"8780661099 9913872716")</f>
        <v>8780661099 9913872716</v>
      </c>
      <c r="G597" s="42" t="str">
        <f ca="1">IFERROR(__xludf.DUMMYFUNCTION("""COMPUTED_VALUE"""),"8780661099 9913872716")</f>
        <v>8780661099 9913872716</v>
      </c>
      <c r="H597" s="2" t="str">
        <f ca="1">IFERROR(__xludf.DUMMYFUNCTION("""COMPUTED_VALUE"""),"DCE_2021-24")</f>
        <v>DCE_2021-24</v>
      </c>
      <c r="I597" s="45" t="str">
        <f ca="1">IFERROR(__xludf.DUMMYFUNCTION("""COMPUTED_VALUE"""),"MYSY")</f>
        <v>MYSY</v>
      </c>
      <c r="J597" s="46">
        <f ca="1">IFERROR(__xludf.DUMMYFUNCTION("""COMPUTED_VALUE"""),25000)</f>
        <v>25000</v>
      </c>
      <c r="K597" s="46">
        <f ca="1">IFERROR(__xludf.DUMMYFUNCTION("""COMPUTED_VALUE"""),25000)</f>
        <v>25000</v>
      </c>
      <c r="L597" s="46">
        <f ca="1">IFERROR(__xludf.DUMMYFUNCTION("""COMPUTED_VALUE"""),0)</f>
        <v>0</v>
      </c>
      <c r="M597" s="47">
        <f ca="1">IFERROR(__xludf.DUMMYFUNCTION("""COMPUTED_VALUE"""),0)</f>
        <v>0</v>
      </c>
      <c r="N597" s="46">
        <f ca="1">IFERROR(__xludf.DUMMYFUNCTION("""COMPUTED_VALUE"""),0)</f>
        <v>0</v>
      </c>
      <c r="O597" s="46">
        <f ca="1">IFERROR(__xludf.DUMMYFUNCTION("""COMPUTED_VALUE"""),3750)</f>
        <v>3750</v>
      </c>
      <c r="P597" s="46">
        <f ca="1">IFERROR(__xludf.DUMMYFUNCTION("""COMPUTED_VALUE"""),3750)</f>
        <v>3750</v>
      </c>
      <c r="Q597" s="47">
        <f ca="1">IFERROR(__xludf.DUMMYFUNCTION("""COMPUTED_VALUE"""),0)</f>
        <v>0</v>
      </c>
      <c r="R597" s="24">
        <f ca="1">IFERROR(__xludf.DUMMYFUNCTION("""COMPUTED_VALUE"""),0)</f>
        <v>0</v>
      </c>
      <c r="S597" s="23">
        <f ca="1">IFERROR(__xludf.DUMMYFUNCTION("""COMPUTED_VALUE"""),0)</f>
        <v>0</v>
      </c>
      <c r="T597" s="48">
        <f ca="1">IFERROR(__xludf.DUMMYFUNCTION("""COMPUTED_VALUE"""),0)</f>
        <v>0</v>
      </c>
      <c r="U597" s="47">
        <f ca="1">IFERROR(__xludf.DUMMYFUNCTION("""COMPUTED_VALUE"""),0)</f>
        <v>0</v>
      </c>
      <c r="V597" s="47">
        <f ca="1">IFERROR(__xludf.DUMMYFUNCTION("""COMPUTED_VALUE"""),0)</f>
        <v>0</v>
      </c>
      <c r="W597" s="47">
        <f ca="1">IFERROR(__xludf.DUMMYFUNCTION("""COMPUTED_VALUE"""),0)</f>
        <v>0</v>
      </c>
      <c r="X597" s="47">
        <f ca="1">IFERROR(__xludf.DUMMYFUNCTION("""COMPUTED_VALUE"""),0)</f>
        <v>0</v>
      </c>
      <c r="Y597" s="44">
        <f ca="1">IFERROR(__xludf.DUMMYFUNCTION("""COMPUTED_VALUE"""),0)</f>
        <v>0</v>
      </c>
      <c r="Z597" s="44">
        <f ca="1">IFERROR(__xludf.DUMMYFUNCTION("""COMPUTED_VALUE"""),0)</f>
        <v>0</v>
      </c>
      <c r="AA597" s="44">
        <f ca="1">IFERROR(__xludf.DUMMYFUNCTION("""COMPUTED_VALUE"""),0)</f>
        <v>0</v>
      </c>
      <c r="AB597" s="44">
        <f ca="1">IFERROR(__xludf.DUMMYFUNCTION("""COMPUTED_VALUE"""),0)</f>
        <v>0</v>
      </c>
      <c r="AC597" s="47">
        <f ca="1">IFERROR(__xludf.DUMMYFUNCTION("""COMPUTED_VALUE"""),0)</f>
        <v>0</v>
      </c>
      <c r="AD597" s="49" t="str">
        <f ca="1">IFERROR(__xludf.DUMMYFUNCTION("""COMPUTED_VALUE"""),"MYSY(50%) + KSPS(25%)")</f>
        <v>MYSY(50%) + KSPS(25%)</v>
      </c>
      <c r="AE597" s="27"/>
    </row>
    <row r="598" spans="1:31" ht="14.3">
      <c r="A598" s="42" t="str">
        <f ca="1">IFERROR(__xludf.DUMMYFUNCTION("""COMPUTED_VALUE"""),"21SDSCE01157")</f>
        <v>21SDSCE01157</v>
      </c>
      <c r="B598" s="43" t="str">
        <f ca="1">IFERROR(__xludf.DUMMYFUNCTION("""COMPUTED_VALUE"""),"VAGHASIYA OM GHANSHYAMBHAI")</f>
        <v>VAGHASIYA OM GHANSHYAMBHAI</v>
      </c>
      <c r="C598" s="42" t="str">
        <f ca="1">IFERROR(__xludf.DUMMYFUNCTION("""COMPUTED_VALUE"""),"SDS")</f>
        <v>SDS</v>
      </c>
      <c r="D598" s="42" t="str">
        <f ca="1">IFERROR(__xludf.DUMMYFUNCTION("""COMPUTED_VALUE"""),"DCE")</f>
        <v>DCE</v>
      </c>
      <c r="E598" s="44">
        <f ca="1">IFERROR(__xludf.DUMMYFUNCTION("""COMPUTED_VALUE"""),6)</f>
        <v>6</v>
      </c>
      <c r="F598" s="42" t="str">
        <f ca="1">IFERROR(__xludf.DUMMYFUNCTION("""COMPUTED_VALUE"""),"9924270840
9924270840")</f>
        <v>9924270840
9924270840</v>
      </c>
      <c r="G598" s="42" t="str">
        <f ca="1">IFERROR(__xludf.DUMMYFUNCTION("""COMPUTED_VALUE"""),"9924270840
9924270840")</f>
        <v>9924270840
9924270840</v>
      </c>
      <c r="H598" s="2" t="str">
        <f ca="1">IFERROR(__xludf.DUMMYFUNCTION("""COMPUTED_VALUE"""),"DCE_2021-24")</f>
        <v>DCE_2021-24</v>
      </c>
      <c r="I598" s="45" t="str">
        <f ca="1">IFERROR(__xludf.DUMMYFUNCTION("""COMPUTED_VALUE"""),"TFW")</f>
        <v>TFW</v>
      </c>
      <c r="J598" s="46">
        <f ca="1">IFERROR(__xludf.DUMMYFUNCTION("""COMPUTED_VALUE"""),25000)</f>
        <v>25000</v>
      </c>
      <c r="K598" s="46">
        <f ca="1">IFERROR(__xludf.DUMMYFUNCTION("""COMPUTED_VALUE"""),0)</f>
        <v>0</v>
      </c>
      <c r="L598" s="46">
        <f ca="1">IFERROR(__xludf.DUMMYFUNCTION("""COMPUTED_VALUE"""),0)</f>
        <v>0</v>
      </c>
      <c r="M598" s="47">
        <f ca="1">IFERROR(__xludf.DUMMYFUNCTION("""COMPUTED_VALUE"""),25000)</f>
        <v>25000</v>
      </c>
      <c r="N598" s="46">
        <f ca="1">IFERROR(__xludf.DUMMYFUNCTION("""COMPUTED_VALUE"""),0)</f>
        <v>0</v>
      </c>
      <c r="O598" s="46">
        <f ca="1">IFERROR(__xludf.DUMMYFUNCTION("""COMPUTED_VALUE"""),3750)</f>
        <v>3750</v>
      </c>
      <c r="P598" s="46">
        <f ca="1">IFERROR(__xludf.DUMMYFUNCTION("""COMPUTED_VALUE"""),3750)</f>
        <v>3750</v>
      </c>
      <c r="Q598" s="47">
        <f ca="1">IFERROR(__xludf.DUMMYFUNCTION("""COMPUTED_VALUE"""),0)</f>
        <v>0</v>
      </c>
      <c r="R598" s="24">
        <f ca="1">IFERROR(__xludf.DUMMYFUNCTION("""COMPUTED_VALUE"""),0)</f>
        <v>0</v>
      </c>
      <c r="S598" s="23">
        <f ca="1">IFERROR(__xludf.DUMMYFUNCTION("""COMPUTED_VALUE"""),0)</f>
        <v>0</v>
      </c>
      <c r="T598" s="48">
        <f ca="1">IFERROR(__xludf.DUMMYFUNCTION("""COMPUTED_VALUE"""),0)</f>
        <v>0</v>
      </c>
      <c r="U598" s="47">
        <f ca="1">IFERROR(__xludf.DUMMYFUNCTION("""COMPUTED_VALUE"""),0)</f>
        <v>0</v>
      </c>
      <c r="V598" s="47">
        <f ca="1">IFERROR(__xludf.DUMMYFUNCTION("""COMPUTED_VALUE"""),0)</f>
        <v>0</v>
      </c>
      <c r="W598" s="47">
        <f ca="1">IFERROR(__xludf.DUMMYFUNCTION("""COMPUTED_VALUE"""),0)</f>
        <v>0</v>
      </c>
      <c r="X598" s="47">
        <f ca="1">IFERROR(__xludf.DUMMYFUNCTION("""COMPUTED_VALUE"""),0)</f>
        <v>0</v>
      </c>
      <c r="Y598" s="44">
        <f ca="1">IFERROR(__xludf.DUMMYFUNCTION("""COMPUTED_VALUE"""),0)</f>
        <v>0</v>
      </c>
      <c r="Z598" s="44">
        <f ca="1">IFERROR(__xludf.DUMMYFUNCTION("""COMPUTED_VALUE"""),0)</f>
        <v>0</v>
      </c>
      <c r="AA598" s="44">
        <f ca="1">IFERROR(__xludf.DUMMYFUNCTION("""COMPUTED_VALUE"""),0)</f>
        <v>0</v>
      </c>
      <c r="AB598" s="44">
        <f ca="1">IFERROR(__xludf.DUMMYFUNCTION("""COMPUTED_VALUE"""),0)</f>
        <v>0</v>
      </c>
      <c r="AC598" s="47">
        <f ca="1">IFERROR(__xludf.DUMMYFUNCTION("""COMPUTED_VALUE"""),0)</f>
        <v>0</v>
      </c>
      <c r="AD598" s="49"/>
      <c r="AE598" s="27"/>
    </row>
    <row r="599" spans="1:31" ht="14.3">
      <c r="A599" s="42" t="str">
        <f ca="1">IFERROR(__xludf.DUMMYFUNCTION("""COMPUTED_VALUE"""),"21SDSCE01158")</f>
        <v>21SDSCE01158</v>
      </c>
      <c r="B599" s="43" t="str">
        <f ca="1">IFERROR(__xludf.DUMMYFUNCTION("""COMPUTED_VALUE"""),"VAISHNAV DENIS MANSUKHBHAI")</f>
        <v>VAISHNAV DENIS MANSUKHBHAI</v>
      </c>
      <c r="C599" s="42" t="str">
        <f ca="1">IFERROR(__xludf.DUMMYFUNCTION("""COMPUTED_VALUE"""),"SDS")</f>
        <v>SDS</v>
      </c>
      <c r="D599" s="42" t="str">
        <f ca="1">IFERROR(__xludf.DUMMYFUNCTION("""COMPUTED_VALUE"""),"DCE")</f>
        <v>DCE</v>
      </c>
      <c r="E599" s="44">
        <f ca="1">IFERROR(__xludf.DUMMYFUNCTION("""COMPUTED_VALUE"""),6)</f>
        <v>6</v>
      </c>
      <c r="F599" s="42" t="str">
        <f ca="1">IFERROR(__xludf.DUMMYFUNCTION("""COMPUTED_VALUE"""),"7861056615 9825512714")</f>
        <v>7861056615 9825512714</v>
      </c>
      <c r="G599" s="42" t="str">
        <f ca="1">IFERROR(__xludf.DUMMYFUNCTION("""COMPUTED_VALUE"""),"7861056615 9825512714")</f>
        <v>7861056615 9825512714</v>
      </c>
      <c r="H599" s="2" t="str">
        <f ca="1">IFERROR(__xludf.DUMMYFUNCTION("""COMPUTED_VALUE"""),"DCE_2021-24")</f>
        <v>DCE_2021-24</v>
      </c>
      <c r="I599" s="45" t="str">
        <f ca="1">IFERROR(__xludf.DUMMYFUNCTION("""COMPUTED_VALUE"""),"MYSY")</f>
        <v>MYSY</v>
      </c>
      <c r="J599" s="46">
        <f ca="1">IFERROR(__xludf.DUMMYFUNCTION("""COMPUTED_VALUE"""),25000)</f>
        <v>25000</v>
      </c>
      <c r="K599" s="46">
        <f ca="1">IFERROR(__xludf.DUMMYFUNCTION("""COMPUTED_VALUE"""),0)</f>
        <v>0</v>
      </c>
      <c r="L599" s="46">
        <f ca="1">IFERROR(__xludf.DUMMYFUNCTION("""COMPUTED_VALUE"""),25000)</f>
        <v>25000</v>
      </c>
      <c r="M599" s="47">
        <f ca="1">IFERROR(__xludf.DUMMYFUNCTION("""COMPUTED_VALUE"""),0)</f>
        <v>0</v>
      </c>
      <c r="N599" s="46">
        <f ca="1">IFERROR(__xludf.DUMMYFUNCTION("""COMPUTED_VALUE"""),25000)</f>
        <v>25000</v>
      </c>
      <c r="O599" s="46">
        <f ca="1">IFERROR(__xludf.DUMMYFUNCTION("""COMPUTED_VALUE"""),3750)</f>
        <v>3750</v>
      </c>
      <c r="P599" s="46">
        <f ca="1">IFERROR(__xludf.DUMMYFUNCTION("""COMPUTED_VALUE"""),3750)</f>
        <v>3750</v>
      </c>
      <c r="Q599" s="47">
        <f ca="1">IFERROR(__xludf.DUMMYFUNCTION("""COMPUTED_VALUE"""),0)</f>
        <v>0</v>
      </c>
      <c r="R599" s="24">
        <f ca="1">IFERROR(__xludf.DUMMYFUNCTION("""COMPUTED_VALUE"""),0)</f>
        <v>0</v>
      </c>
      <c r="S599" s="23">
        <f ca="1">IFERROR(__xludf.DUMMYFUNCTION("""COMPUTED_VALUE"""),0)</f>
        <v>0</v>
      </c>
      <c r="T599" s="48">
        <f ca="1">IFERROR(__xludf.DUMMYFUNCTION("""COMPUTED_VALUE"""),0)</f>
        <v>0</v>
      </c>
      <c r="U599" s="47">
        <f ca="1">IFERROR(__xludf.DUMMYFUNCTION("""COMPUTED_VALUE"""),0)</f>
        <v>0</v>
      </c>
      <c r="V599" s="47">
        <f ca="1">IFERROR(__xludf.DUMMYFUNCTION("""COMPUTED_VALUE"""),0)</f>
        <v>0</v>
      </c>
      <c r="W599" s="47">
        <f ca="1">IFERROR(__xludf.DUMMYFUNCTION("""COMPUTED_VALUE"""),0)</f>
        <v>0</v>
      </c>
      <c r="X599" s="47">
        <f ca="1">IFERROR(__xludf.DUMMYFUNCTION("""COMPUTED_VALUE"""),0)</f>
        <v>0</v>
      </c>
      <c r="Y599" s="44">
        <f ca="1">IFERROR(__xludf.DUMMYFUNCTION("""COMPUTED_VALUE"""),0)</f>
        <v>0</v>
      </c>
      <c r="Z599" s="44">
        <f ca="1">IFERROR(__xludf.DUMMYFUNCTION("""COMPUTED_VALUE"""),0)</f>
        <v>0</v>
      </c>
      <c r="AA599" s="44">
        <f ca="1">IFERROR(__xludf.DUMMYFUNCTION("""COMPUTED_VALUE"""),0)</f>
        <v>0</v>
      </c>
      <c r="AB599" s="44">
        <f ca="1">IFERROR(__xludf.DUMMYFUNCTION("""COMPUTED_VALUE"""),0)</f>
        <v>0</v>
      </c>
      <c r="AC599" s="47">
        <f ca="1">IFERROR(__xludf.DUMMYFUNCTION("""COMPUTED_VALUE"""),0)</f>
        <v>0</v>
      </c>
      <c r="AD599" s="49" t="str">
        <f ca="1">IFERROR(__xludf.DUMMYFUNCTION("""COMPUTED_VALUE"""),"KSPS(25%) + MYSY(50%)")</f>
        <v>KSPS(25%) + MYSY(50%)</v>
      </c>
      <c r="AE599" s="27"/>
    </row>
    <row r="600" spans="1:31" ht="46.2">
      <c r="A600" s="42" t="str">
        <f ca="1">IFERROR(__xludf.DUMMYFUNCTION("""COMPUTED_VALUE"""),"21SDSCE01014")</f>
        <v>21SDSCE01014</v>
      </c>
      <c r="B600" s="43" t="str">
        <f ca="1">IFERROR(__xludf.DUMMYFUNCTION("""COMPUTED_VALUE"""),"DEVHITKA VIVEK SHAILESHBHAI")</f>
        <v>DEVHITKA VIVEK SHAILESHBHAI</v>
      </c>
      <c r="C600" s="42" t="str">
        <f ca="1">IFERROR(__xludf.DUMMYFUNCTION("""COMPUTED_VALUE"""),"SDS")</f>
        <v>SDS</v>
      </c>
      <c r="D600" s="42" t="str">
        <f ca="1">IFERROR(__xludf.DUMMYFUNCTION("""COMPUTED_VALUE"""),"DCE")</f>
        <v>DCE</v>
      </c>
      <c r="E600" s="44">
        <f ca="1">IFERROR(__xludf.DUMMYFUNCTION("""COMPUTED_VALUE"""),6)</f>
        <v>6</v>
      </c>
      <c r="F600" s="42" t="str">
        <f ca="1">IFERROR(__xludf.DUMMYFUNCTION("""COMPUTED_VALUE"""),"8320550857
9537976996")</f>
        <v>8320550857
9537976996</v>
      </c>
      <c r="G600" s="42" t="str">
        <f ca="1">IFERROR(__xludf.DUMMYFUNCTION("""COMPUTED_VALUE"""),"8320550857
9537976996")</f>
        <v>8320550857
9537976996</v>
      </c>
      <c r="H600" s="2" t="str">
        <f ca="1">IFERROR(__xludf.DUMMYFUNCTION("""COMPUTED_VALUE"""),"DCE_2021-24")</f>
        <v>DCE_2021-24</v>
      </c>
      <c r="I600" s="45" t="str">
        <f ca="1">IFERROR(__xludf.DUMMYFUNCTION("""COMPUTED_VALUE"""),"KSP")</f>
        <v>KSP</v>
      </c>
      <c r="J600" s="46">
        <f ca="1">IFERROR(__xludf.DUMMYFUNCTION("""COMPUTED_VALUE"""),25000)</f>
        <v>25000</v>
      </c>
      <c r="K600" s="46">
        <f ca="1">IFERROR(__xludf.DUMMYFUNCTION("""COMPUTED_VALUE"""),18750)</f>
        <v>18750</v>
      </c>
      <c r="L600" s="46">
        <f ca="1">IFERROR(__xludf.DUMMYFUNCTION("""COMPUTED_VALUE"""),0)</f>
        <v>0</v>
      </c>
      <c r="M600" s="47">
        <f ca="1">IFERROR(__xludf.DUMMYFUNCTION("""COMPUTED_VALUE"""),6250)</f>
        <v>6250</v>
      </c>
      <c r="N600" s="46">
        <f ca="1">IFERROR(__xludf.DUMMYFUNCTION("""COMPUTED_VALUE"""),0)</f>
        <v>0</v>
      </c>
      <c r="O600" s="46">
        <f ca="1">IFERROR(__xludf.DUMMYFUNCTION("""COMPUTED_VALUE"""),3750)</f>
        <v>3750</v>
      </c>
      <c r="P600" s="46">
        <f ca="1">IFERROR(__xludf.DUMMYFUNCTION("""COMPUTED_VALUE"""),3750)</f>
        <v>3750</v>
      </c>
      <c r="Q600" s="47">
        <f ca="1">IFERROR(__xludf.DUMMYFUNCTION("""COMPUTED_VALUE"""),0)</f>
        <v>0</v>
      </c>
      <c r="R600" s="24">
        <f ca="1">IFERROR(__xludf.DUMMYFUNCTION("""COMPUTED_VALUE"""),0)</f>
        <v>0</v>
      </c>
      <c r="S600" s="23">
        <f ca="1">IFERROR(__xludf.DUMMYFUNCTION("""COMPUTED_VALUE"""),0)</f>
        <v>0</v>
      </c>
      <c r="T600" s="48">
        <f ca="1">IFERROR(__xludf.DUMMYFUNCTION("""COMPUTED_VALUE"""),0)</f>
        <v>0</v>
      </c>
      <c r="U600" s="47">
        <f ca="1">IFERROR(__xludf.DUMMYFUNCTION("""COMPUTED_VALUE"""),0)</f>
        <v>0</v>
      </c>
      <c r="V600" s="47">
        <f ca="1">IFERROR(__xludf.DUMMYFUNCTION("""COMPUTED_VALUE"""),0)</f>
        <v>0</v>
      </c>
      <c r="W600" s="47">
        <f ca="1">IFERROR(__xludf.DUMMYFUNCTION("""COMPUTED_VALUE"""),0)</f>
        <v>0</v>
      </c>
      <c r="X600" s="47">
        <f ca="1">IFERROR(__xludf.DUMMYFUNCTION("""COMPUTED_VALUE"""),0)</f>
        <v>0</v>
      </c>
      <c r="Y600" s="44">
        <f ca="1">IFERROR(__xludf.DUMMYFUNCTION("""COMPUTED_VALUE"""),0)</f>
        <v>0</v>
      </c>
      <c r="Z600" s="44">
        <f ca="1">IFERROR(__xludf.DUMMYFUNCTION("""COMPUTED_VALUE"""),0)</f>
        <v>0</v>
      </c>
      <c r="AA600" s="44">
        <f ca="1">IFERROR(__xludf.DUMMYFUNCTION("""COMPUTED_VALUE"""),0)</f>
        <v>0</v>
      </c>
      <c r="AB600" s="44">
        <f ca="1">IFERROR(__xludf.DUMMYFUNCTION("""COMPUTED_VALUE"""),0)</f>
        <v>0</v>
      </c>
      <c r="AC600" s="47">
        <f ca="1">IFERROR(__xludf.DUMMYFUNCTION("""COMPUTED_VALUE"""),0)</f>
        <v>0</v>
      </c>
      <c r="AD600" s="49" t="str">
        <f ca="1">IFERROR(__xludf.DUMMYFUNCTION("""COMPUTED_VALUE""")," KSPS(25%)
NOT ELIGIBLE TO MYSY SCHOLARSHIP
RS 6250 PER SEM SCHOLARSHIP")</f>
        <v xml:space="preserve"> KSPS(25%)
NOT ELIGIBLE TO MYSY SCHOLARSHIP
RS 6250 PER SEM SCHOLARSHIP</v>
      </c>
      <c r="AE600" s="27"/>
    </row>
    <row r="601" spans="1:31" ht="14.3">
      <c r="A601" s="42" t="str">
        <f ca="1">IFERROR(__xludf.DUMMYFUNCTION("""COMPUTED_VALUE"""),"20SDSCE01001")</f>
        <v>20SDSCE01001</v>
      </c>
      <c r="B601" s="43" t="str">
        <f ca="1">IFERROR(__xludf.DUMMYFUNCTION("""COMPUTED_VALUE"""),"ADESHARA UMANG MUKESHBHAI")</f>
        <v>ADESHARA UMANG MUKESHBHAI</v>
      </c>
      <c r="C601" s="42" t="str">
        <f ca="1">IFERROR(__xludf.DUMMYFUNCTION("""COMPUTED_VALUE"""),"SDS")</f>
        <v>SDS</v>
      </c>
      <c r="D601" s="42" t="str">
        <f ca="1">IFERROR(__xludf.DUMMYFUNCTION("""COMPUTED_VALUE"""),"DCE")</f>
        <v>DCE</v>
      </c>
      <c r="E601" s="44">
        <f ca="1">IFERROR(__xludf.DUMMYFUNCTION("""COMPUTED_VALUE"""),6)</f>
        <v>6</v>
      </c>
      <c r="F601" s="42" t="str">
        <f ca="1">IFERROR(__xludf.DUMMYFUNCTION("""COMPUTED_VALUE"""),"9898372232
8460774596")</f>
        <v>9898372232
8460774596</v>
      </c>
      <c r="G601" s="42" t="str">
        <f ca="1">IFERROR(__xludf.DUMMYFUNCTION("""COMPUTED_VALUE"""),"9898372232
8460774596")</f>
        <v>9898372232
8460774596</v>
      </c>
      <c r="H601" s="2" t="str">
        <f ca="1">IFERROR(__xludf.DUMMYFUNCTION("""COMPUTED_VALUE"""),"DCE_2020-23")</f>
        <v>DCE_2020-23</v>
      </c>
      <c r="I601" s="45"/>
      <c r="J601" s="46">
        <f ca="1">IFERROR(__xludf.DUMMYFUNCTION("""COMPUTED_VALUE"""),25000)</f>
        <v>25000</v>
      </c>
      <c r="K601" s="46">
        <f ca="1">IFERROR(__xludf.DUMMYFUNCTION("""COMPUTED_VALUE"""),25000)</f>
        <v>25000</v>
      </c>
      <c r="L601" s="46">
        <f ca="1">IFERROR(__xludf.DUMMYFUNCTION("""COMPUTED_VALUE"""),0)</f>
        <v>0</v>
      </c>
      <c r="M601" s="47">
        <f ca="1">IFERROR(__xludf.DUMMYFUNCTION("""COMPUTED_VALUE"""),0)</f>
        <v>0</v>
      </c>
      <c r="N601" s="46">
        <f ca="1">IFERROR(__xludf.DUMMYFUNCTION("""COMPUTED_VALUE"""),0)</f>
        <v>0</v>
      </c>
      <c r="O601" s="46">
        <f ca="1">IFERROR(__xludf.DUMMYFUNCTION("""COMPUTED_VALUE"""),3750)</f>
        <v>3750</v>
      </c>
      <c r="P601" s="46">
        <f ca="1">IFERROR(__xludf.DUMMYFUNCTION("""COMPUTED_VALUE"""),3750)</f>
        <v>3750</v>
      </c>
      <c r="Q601" s="47">
        <f ca="1">IFERROR(__xludf.DUMMYFUNCTION("""COMPUTED_VALUE"""),0)</f>
        <v>0</v>
      </c>
      <c r="R601" s="24">
        <f ca="1">IFERROR(__xludf.DUMMYFUNCTION("""COMPUTED_VALUE"""),0)</f>
        <v>0</v>
      </c>
      <c r="S601" s="23">
        <f ca="1">IFERROR(__xludf.DUMMYFUNCTION("""COMPUTED_VALUE"""),0)</f>
        <v>0</v>
      </c>
      <c r="T601" s="48">
        <f ca="1">IFERROR(__xludf.DUMMYFUNCTION("""COMPUTED_VALUE"""),0)</f>
        <v>0</v>
      </c>
      <c r="U601" s="47">
        <f ca="1">IFERROR(__xludf.DUMMYFUNCTION("""COMPUTED_VALUE"""),0)</f>
        <v>0</v>
      </c>
      <c r="V601" s="47">
        <f ca="1">IFERROR(__xludf.DUMMYFUNCTION("""COMPUTED_VALUE"""),0)</f>
        <v>0</v>
      </c>
      <c r="W601" s="47">
        <f ca="1">IFERROR(__xludf.DUMMYFUNCTION("""COMPUTED_VALUE"""),0)</f>
        <v>0</v>
      </c>
      <c r="X601" s="47">
        <f ca="1">IFERROR(__xludf.DUMMYFUNCTION("""COMPUTED_VALUE"""),0)</f>
        <v>0</v>
      </c>
      <c r="Y601" s="44">
        <f ca="1">IFERROR(__xludf.DUMMYFUNCTION("""COMPUTED_VALUE"""),0)</f>
        <v>0</v>
      </c>
      <c r="Z601" s="44">
        <f ca="1">IFERROR(__xludf.DUMMYFUNCTION("""COMPUTED_VALUE"""),0)</f>
        <v>0</v>
      </c>
      <c r="AA601" s="44">
        <f ca="1">IFERROR(__xludf.DUMMYFUNCTION("""COMPUTED_VALUE"""),0)</f>
        <v>0</v>
      </c>
      <c r="AB601" s="44">
        <f ca="1">IFERROR(__xludf.DUMMYFUNCTION("""COMPUTED_VALUE"""),0)</f>
        <v>0</v>
      </c>
      <c r="AC601" s="47">
        <f ca="1">IFERROR(__xludf.DUMMYFUNCTION("""COMPUTED_VALUE"""),0)</f>
        <v>0</v>
      </c>
      <c r="AD601" s="49"/>
      <c r="AE601" s="27"/>
    </row>
    <row r="602" spans="1:31" ht="14.3">
      <c r="A602" s="42" t="str">
        <f ca="1">IFERROR(__xludf.DUMMYFUNCTION("""COMPUTED_VALUE"""),"20SDSCE01051")</f>
        <v>20SDSCE01051</v>
      </c>
      <c r="B602" s="43" t="str">
        <f ca="1">IFERROR(__xludf.DUMMYFUNCTION("""COMPUTED_VALUE"""),"KARDANI DAKSHKUMAR RAJESHBHAI")</f>
        <v>KARDANI DAKSHKUMAR RAJESHBHAI</v>
      </c>
      <c r="C602" s="42" t="str">
        <f ca="1">IFERROR(__xludf.DUMMYFUNCTION("""COMPUTED_VALUE"""),"SDS")</f>
        <v>SDS</v>
      </c>
      <c r="D602" s="42" t="str">
        <f ca="1">IFERROR(__xludf.DUMMYFUNCTION("""COMPUTED_VALUE"""),"DCE")</f>
        <v>DCE</v>
      </c>
      <c r="E602" s="44">
        <f ca="1">IFERROR(__xludf.DUMMYFUNCTION("""COMPUTED_VALUE"""),6)</f>
        <v>6</v>
      </c>
      <c r="F602" s="42" t="str">
        <f ca="1">IFERROR(__xludf.DUMMYFUNCTION("""COMPUTED_VALUE"""),"9104716745
9601999250")</f>
        <v>9104716745
9601999250</v>
      </c>
      <c r="G602" s="42" t="str">
        <f ca="1">IFERROR(__xludf.DUMMYFUNCTION("""COMPUTED_VALUE"""),"9104716745
9601999250")</f>
        <v>9104716745
9601999250</v>
      </c>
      <c r="H602" s="2" t="str">
        <f ca="1">IFERROR(__xludf.DUMMYFUNCTION("""COMPUTED_VALUE"""),"DCE_2020-23")</f>
        <v>DCE_2020-23</v>
      </c>
      <c r="I602" s="45"/>
      <c r="J602" s="46">
        <f ca="1">IFERROR(__xludf.DUMMYFUNCTION("""COMPUTED_VALUE"""),25000)</f>
        <v>25000</v>
      </c>
      <c r="K602" s="46">
        <f ca="1">IFERROR(__xludf.DUMMYFUNCTION("""COMPUTED_VALUE"""),0)</f>
        <v>0</v>
      </c>
      <c r="L602" s="46">
        <f ca="1">IFERROR(__xludf.DUMMYFUNCTION("""COMPUTED_VALUE"""),0)</f>
        <v>0</v>
      </c>
      <c r="M602" s="47">
        <f ca="1">IFERROR(__xludf.DUMMYFUNCTION("""COMPUTED_VALUE"""),0)</f>
        <v>0</v>
      </c>
      <c r="N602" s="46">
        <f ca="1">IFERROR(__xludf.DUMMYFUNCTION("""COMPUTED_VALUE"""),25000)</f>
        <v>25000</v>
      </c>
      <c r="O602" s="46">
        <f ca="1">IFERROR(__xludf.DUMMYFUNCTION("""COMPUTED_VALUE"""),3750)</f>
        <v>3750</v>
      </c>
      <c r="P602" s="46">
        <f ca="1">IFERROR(__xludf.DUMMYFUNCTION("""COMPUTED_VALUE"""),0)</f>
        <v>0</v>
      </c>
      <c r="Q602" s="47">
        <f ca="1">IFERROR(__xludf.DUMMYFUNCTION("""COMPUTED_VALUE"""),0)</f>
        <v>0</v>
      </c>
      <c r="R602" s="24">
        <f ca="1">IFERROR(__xludf.DUMMYFUNCTION("""COMPUTED_VALUE"""),0)</f>
        <v>0</v>
      </c>
      <c r="S602" s="23">
        <f ca="1">IFERROR(__xludf.DUMMYFUNCTION("""COMPUTED_VALUE"""),3750)</f>
        <v>3750</v>
      </c>
      <c r="T602" s="48">
        <f ca="1">IFERROR(__xludf.DUMMYFUNCTION("""COMPUTED_VALUE"""),0)</f>
        <v>0</v>
      </c>
      <c r="U602" s="47">
        <f ca="1">IFERROR(__xludf.DUMMYFUNCTION("""COMPUTED_VALUE"""),0)</f>
        <v>0</v>
      </c>
      <c r="V602" s="47">
        <f ca="1">IFERROR(__xludf.DUMMYFUNCTION("""COMPUTED_VALUE"""),0)</f>
        <v>0</v>
      </c>
      <c r="W602" s="47">
        <f ca="1">IFERROR(__xludf.DUMMYFUNCTION("""COMPUTED_VALUE"""),0)</f>
        <v>0</v>
      </c>
      <c r="X602" s="47">
        <f ca="1">IFERROR(__xludf.DUMMYFUNCTION("""COMPUTED_VALUE"""),0)</f>
        <v>0</v>
      </c>
      <c r="Y602" s="44">
        <f ca="1">IFERROR(__xludf.DUMMYFUNCTION("""COMPUTED_VALUE"""),0)</f>
        <v>0</v>
      </c>
      <c r="Z602" s="44">
        <f ca="1">IFERROR(__xludf.DUMMYFUNCTION("""COMPUTED_VALUE"""),0)</f>
        <v>0</v>
      </c>
      <c r="AA602" s="44">
        <f ca="1">IFERROR(__xludf.DUMMYFUNCTION("""COMPUTED_VALUE"""),0)</f>
        <v>0</v>
      </c>
      <c r="AB602" s="44">
        <f ca="1">IFERROR(__xludf.DUMMYFUNCTION("""COMPUTED_VALUE"""),0)</f>
        <v>0</v>
      </c>
      <c r="AC602" s="47">
        <f ca="1">IFERROR(__xludf.DUMMYFUNCTION("""COMPUTED_VALUE"""),0)</f>
        <v>0</v>
      </c>
      <c r="AD602" s="49"/>
      <c r="AE602" s="27"/>
    </row>
    <row r="603" spans="1:31" ht="14.3">
      <c r="A603" s="42" t="str">
        <f ca="1">IFERROR(__xludf.DUMMYFUNCTION("""COMPUTED_VALUE"""),"21SDSCE01087")</f>
        <v>21SDSCE01087</v>
      </c>
      <c r="B603" s="43" t="str">
        <f ca="1">IFERROR(__xludf.DUMMYFUNCTION("""COMPUTED_VALUE"""),"PANCHANI TIRTH PARESHBHAI")</f>
        <v>PANCHANI TIRTH PARESHBHAI</v>
      </c>
      <c r="C603" s="42" t="str">
        <f ca="1">IFERROR(__xludf.DUMMYFUNCTION("""COMPUTED_VALUE"""),"SDS")</f>
        <v>SDS</v>
      </c>
      <c r="D603" s="42" t="str">
        <f ca="1">IFERROR(__xludf.DUMMYFUNCTION("""COMPUTED_VALUE"""),"DCE")</f>
        <v>DCE</v>
      </c>
      <c r="E603" s="44">
        <f ca="1">IFERROR(__xludf.DUMMYFUNCTION("""COMPUTED_VALUE"""),6)</f>
        <v>6</v>
      </c>
      <c r="F603" s="42" t="str">
        <f ca="1">IFERROR(__xludf.DUMMYFUNCTION("""COMPUTED_VALUE"""),"9925739443
9898166309")</f>
        <v>9925739443
9898166309</v>
      </c>
      <c r="G603" s="42" t="str">
        <f ca="1">IFERROR(__xludf.DUMMYFUNCTION("""COMPUTED_VALUE"""),"9925739443
9898166309")</f>
        <v>9925739443
9898166309</v>
      </c>
      <c r="H603" s="2" t="str">
        <f ca="1">IFERROR(__xludf.DUMMYFUNCTION("""COMPUTED_VALUE"""),"DCE_2021-24")</f>
        <v>DCE_2021-24</v>
      </c>
      <c r="I603" s="45"/>
      <c r="J603" s="46">
        <f ca="1">IFERROR(__xludf.DUMMYFUNCTION("""COMPUTED_VALUE"""),25000)</f>
        <v>25000</v>
      </c>
      <c r="K603" s="46">
        <f ca="1">IFERROR(__xludf.DUMMYFUNCTION("""COMPUTED_VALUE"""),25000)</f>
        <v>25000</v>
      </c>
      <c r="L603" s="46">
        <f ca="1">IFERROR(__xludf.DUMMYFUNCTION("""COMPUTED_VALUE"""),0)</f>
        <v>0</v>
      </c>
      <c r="M603" s="47">
        <f ca="1">IFERROR(__xludf.DUMMYFUNCTION("""COMPUTED_VALUE"""),0)</f>
        <v>0</v>
      </c>
      <c r="N603" s="46">
        <f ca="1">IFERROR(__xludf.DUMMYFUNCTION("""COMPUTED_VALUE"""),0)</f>
        <v>0</v>
      </c>
      <c r="O603" s="46">
        <f ca="1">IFERROR(__xludf.DUMMYFUNCTION("""COMPUTED_VALUE"""),3750)</f>
        <v>3750</v>
      </c>
      <c r="P603" s="46">
        <f ca="1">IFERROR(__xludf.DUMMYFUNCTION("""COMPUTED_VALUE"""),3750)</f>
        <v>3750</v>
      </c>
      <c r="Q603" s="47">
        <f ca="1">IFERROR(__xludf.DUMMYFUNCTION("""COMPUTED_VALUE"""),0)</f>
        <v>0</v>
      </c>
      <c r="R603" s="24">
        <f ca="1">IFERROR(__xludf.DUMMYFUNCTION("""COMPUTED_VALUE"""),0)</f>
        <v>0</v>
      </c>
      <c r="S603" s="23">
        <f ca="1">IFERROR(__xludf.DUMMYFUNCTION("""COMPUTED_VALUE"""),0)</f>
        <v>0</v>
      </c>
      <c r="T603" s="48">
        <f ca="1">IFERROR(__xludf.DUMMYFUNCTION("""COMPUTED_VALUE"""),0)</f>
        <v>0</v>
      </c>
      <c r="U603" s="47">
        <f ca="1">IFERROR(__xludf.DUMMYFUNCTION("""COMPUTED_VALUE"""),0)</f>
        <v>0</v>
      </c>
      <c r="V603" s="47">
        <f ca="1">IFERROR(__xludf.DUMMYFUNCTION("""COMPUTED_VALUE"""),0)</f>
        <v>0</v>
      </c>
      <c r="W603" s="47">
        <f ca="1">IFERROR(__xludf.DUMMYFUNCTION("""COMPUTED_VALUE"""),0)</f>
        <v>0</v>
      </c>
      <c r="X603" s="47">
        <f ca="1">IFERROR(__xludf.DUMMYFUNCTION("""COMPUTED_VALUE"""),0)</f>
        <v>0</v>
      </c>
      <c r="Y603" s="44">
        <f ca="1">IFERROR(__xludf.DUMMYFUNCTION("""COMPUTED_VALUE"""),0)</f>
        <v>0</v>
      </c>
      <c r="Z603" s="44">
        <f ca="1">IFERROR(__xludf.DUMMYFUNCTION("""COMPUTED_VALUE"""),0)</f>
        <v>0</v>
      </c>
      <c r="AA603" s="44">
        <f ca="1">IFERROR(__xludf.DUMMYFUNCTION("""COMPUTED_VALUE"""),0)</f>
        <v>0</v>
      </c>
      <c r="AB603" s="44">
        <f ca="1">IFERROR(__xludf.DUMMYFUNCTION("""COMPUTED_VALUE"""),0)</f>
        <v>0</v>
      </c>
      <c r="AC603" s="47">
        <f ca="1">IFERROR(__xludf.DUMMYFUNCTION("""COMPUTED_VALUE"""),0)</f>
        <v>0</v>
      </c>
      <c r="AD603" s="49"/>
      <c r="AE603" s="27"/>
    </row>
    <row r="604" spans="1:31" ht="14.3">
      <c r="A604" s="42" t="str">
        <f ca="1">IFERROR(__xludf.DUMMYFUNCTION("""COMPUTED_VALUE"""),"21SDSCE01074")</f>
        <v>21SDSCE01074</v>
      </c>
      <c r="B604" s="43" t="str">
        <f ca="1">IFERROR(__xludf.DUMMYFUNCTION("""COMPUTED_VALUE"""),"HERANJA SIBTEN KAYUMBHAI")</f>
        <v>HERANJA SIBTEN KAYUMBHAI</v>
      </c>
      <c r="C604" s="42" t="str">
        <f ca="1">IFERROR(__xludf.DUMMYFUNCTION("""COMPUTED_VALUE"""),"SDS")</f>
        <v>SDS</v>
      </c>
      <c r="D604" s="42" t="str">
        <f ca="1">IFERROR(__xludf.DUMMYFUNCTION("""COMPUTED_VALUE"""),"DCE")</f>
        <v>DCE</v>
      </c>
      <c r="E604" s="44">
        <f ca="1">IFERROR(__xludf.DUMMYFUNCTION("""COMPUTED_VALUE"""),6)</f>
        <v>6</v>
      </c>
      <c r="F604" s="42" t="str">
        <f ca="1">IFERROR(__xludf.DUMMYFUNCTION("""COMPUTED_VALUE"""),"8849171546 9824093660")</f>
        <v>8849171546 9824093660</v>
      </c>
      <c r="G604" s="42" t="str">
        <f ca="1">IFERROR(__xludf.DUMMYFUNCTION("""COMPUTED_VALUE"""),"8849171546 9824093660")</f>
        <v>8849171546 9824093660</v>
      </c>
      <c r="H604" s="2" t="str">
        <f ca="1">IFERROR(__xludf.DUMMYFUNCTION("""COMPUTED_VALUE"""),"DCE_2021-24")</f>
        <v>DCE_2021-24</v>
      </c>
      <c r="I604" s="45" t="str">
        <f ca="1">IFERROR(__xludf.DUMMYFUNCTION("""COMPUTED_VALUE"""),"KSP")</f>
        <v>KSP</v>
      </c>
      <c r="J604" s="46">
        <f ca="1">IFERROR(__xludf.DUMMYFUNCTION("""COMPUTED_VALUE"""),25000)</f>
        <v>25000</v>
      </c>
      <c r="K604" s="46">
        <f ca="1">IFERROR(__xludf.DUMMYFUNCTION("""COMPUTED_VALUE"""),12500)</f>
        <v>12500</v>
      </c>
      <c r="L604" s="46">
        <f ca="1">IFERROR(__xludf.DUMMYFUNCTION("""COMPUTED_VALUE"""),0)</f>
        <v>0</v>
      </c>
      <c r="M604" s="47">
        <f ca="1">IFERROR(__xludf.DUMMYFUNCTION("""COMPUTED_VALUE"""),12500)</f>
        <v>12500</v>
      </c>
      <c r="N604" s="46">
        <f ca="1">IFERROR(__xludf.DUMMYFUNCTION("""COMPUTED_VALUE"""),0)</f>
        <v>0</v>
      </c>
      <c r="O604" s="46">
        <f ca="1">IFERROR(__xludf.DUMMYFUNCTION("""COMPUTED_VALUE"""),3750)</f>
        <v>3750</v>
      </c>
      <c r="P604" s="46">
        <f ca="1">IFERROR(__xludf.DUMMYFUNCTION("""COMPUTED_VALUE"""),3750)</f>
        <v>3750</v>
      </c>
      <c r="Q604" s="47">
        <f ca="1">IFERROR(__xludf.DUMMYFUNCTION("""COMPUTED_VALUE"""),0)</f>
        <v>0</v>
      </c>
      <c r="R604" s="24">
        <f ca="1">IFERROR(__xludf.DUMMYFUNCTION("""COMPUTED_VALUE"""),0)</f>
        <v>0</v>
      </c>
      <c r="S604" s="23">
        <f ca="1">IFERROR(__xludf.DUMMYFUNCTION("""COMPUTED_VALUE"""),0)</f>
        <v>0</v>
      </c>
      <c r="T604" s="50"/>
      <c r="U604" s="44"/>
      <c r="V604" s="44"/>
      <c r="W604" s="44"/>
      <c r="X604" s="44"/>
      <c r="Y604" s="44"/>
      <c r="Z604" s="44"/>
      <c r="AA604" s="44"/>
      <c r="AB604" s="44"/>
      <c r="AC604" s="44"/>
      <c r="AD604" s="49"/>
      <c r="AE604" s="27"/>
    </row>
    <row r="605" spans="1:31" ht="14.3">
      <c r="A605" s="42" t="str">
        <f ca="1">IFERROR(__xludf.DUMMYFUNCTION("""COMPUTED_VALUE"""),"21SDSCE01139")</f>
        <v>21SDSCE01139</v>
      </c>
      <c r="B605" s="43" t="str">
        <f ca="1">IFERROR(__xludf.DUMMYFUNCTION("""COMPUTED_VALUE"""),"PARMAR RIYA MUKESHBHAI")</f>
        <v>PARMAR RIYA MUKESHBHAI</v>
      </c>
      <c r="C605" s="42" t="str">
        <f ca="1">IFERROR(__xludf.DUMMYFUNCTION("""COMPUTED_VALUE"""),"SDS")</f>
        <v>SDS</v>
      </c>
      <c r="D605" s="42" t="str">
        <f ca="1">IFERROR(__xludf.DUMMYFUNCTION("""COMPUTED_VALUE"""),"DCE")</f>
        <v>DCE</v>
      </c>
      <c r="E605" s="44">
        <f ca="1">IFERROR(__xludf.DUMMYFUNCTION("""COMPUTED_VALUE"""),6)</f>
        <v>6</v>
      </c>
      <c r="F605" s="42" t="str">
        <f ca="1">IFERROR(__xludf.DUMMYFUNCTION("""COMPUTED_VALUE"""),"6354545688 9427221961")</f>
        <v>6354545688 9427221961</v>
      </c>
      <c r="G605" s="42" t="str">
        <f ca="1">IFERROR(__xludf.DUMMYFUNCTION("""COMPUTED_VALUE"""),"6354545688 9427221961")</f>
        <v>6354545688 9427221961</v>
      </c>
      <c r="H605" s="2" t="str">
        <f ca="1">IFERROR(__xludf.DUMMYFUNCTION("""COMPUTED_VALUE"""),"DCE_2021-24")</f>
        <v>DCE_2021-24</v>
      </c>
      <c r="I605" s="45" t="str">
        <f ca="1">IFERROR(__xludf.DUMMYFUNCTION("""COMPUTED_VALUE"""),"KSP")</f>
        <v>KSP</v>
      </c>
      <c r="J605" s="46">
        <f ca="1">IFERROR(__xludf.DUMMYFUNCTION("""COMPUTED_VALUE"""),25000)</f>
        <v>25000</v>
      </c>
      <c r="K605" s="46">
        <f ca="1">IFERROR(__xludf.DUMMYFUNCTION("""COMPUTED_VALUE"""),12500)</f>
        <v>12500</v>
      </c>
      <c r="L605" s="46">
        <f ca="1">IFERROR(__xludf.DUMMYFUNCTION("""COMPUTED_VALUE"""),0)</f>
        <v>0</v>
      </c>
      <c r="M605" s="47">
        <f ca="1">IFERROR(__xludf.DUMMYFUNCTION("""COMPUTED_VALUE"""),12500)</f>
        <v>12500</v>
      </c>
      <c r="N605" s="46">
        <f ca="1">IFERROR(__xludf.DUMMYFUNCTION("""COMPUTED_VALUE"""),0)</f>
        <v>0</v>
      </c>
      <c r="O605" s="46">
        <f ca="1">IFERROR(__xludf.DUMMYFUNCTION("""COMPUTED_VALUE"""),3750)</f>
        <v>3750</v>
      </c>
      <c r="P605" s="46">
        <f ca="1">IFERROR(__xludf.DUMMYFUNCTION("""COMPUTED_VALUE"""),3750)</f>
        <v>3750</v>
      </c>
      <c r="Q605" s="47">
        <f ca="1">IFERROR(__xludf.DUMMYFUNCTION("""COMPUTED_VALUE"""),0)</f>
        <v>0</v>
      </c>
      <c r="R605" s="24">
        <f ca="1">IFERROR(__xludf.DUMMYFUNCTION("""COMPUTED_VALUE"""),0)</f>
        <v>0</v>
      </c>
      <c r="S605" s="23">
        <f ca="1">IFERROR(__xludf.DUMMYFUNCTION("""COMPUTED_VALUE"""),0)</f>
        <v>0</v>
      </c>
      <c r="T605" s="50"/>
      <c r="U605" s="44"/>
      <c r="V605" s="44"/>
      <c r="W605" s="44"/>
      <c r="X605" s="44"/>
      <c r="Y605" s="44"/>
      <c r="Z605" s="44"/>
      <c r="AA605" s="44"/>
      <c r="AB605" s="44"/>
      <c r="AC605" s="44"/>
      <c r="AD605" s="49"/>
      <c r="AE605" s="27"/>
    </row>
    <row r="606" spans="1:31" ht="14.3">
      <c r="A606" s="42" t="str">
        <f ca="1">IFERROR(__xludf.DUMMYFUNCTION("""COMPUTED_VALUE"""),"21SDSCE01607")</f>
        <v>21SDSCE01607</v>
      </c>
      <c r="B606" s="43" t="str">
        <f ca="1">IFERROR(__xludf.DUMMYFUNCTION("""COMPUTED_VALUE"""),"SUJAY KUMAR MAHATO")</f>
        <v>SUJAY KUMAR MAHATO</v>
      </c>
      <c r="C606" s="42" t="str">
        <f ca="1">IFERROR(__xludf.DUMMYFUNCTION("""COMPUTED_VALUE"""),"SDS")</f>
        <v>SDS</v>
      </c>
      <c r="D606" s="42" t="str">
        <f ca="1">IFERROR(__xludf.DUMMYFUNCTION("""COMPUTED_VALUE"""),"DCE")</f>
        <v>DCE</v>
      </c>
      <c r="E606" s="44">
        <f ca="1">IFERROR(__xludf.DUMMYFUNCTION("""COMPUTED_VALUE"""),6)</f>
        <v>6</v>
      </c>
      <c r="F606" s="42" t="str">
        <f ca="1">IFERROR(__xludf.DUMMYFUNCTION("""COMPUTED_VALUE"""),"INTERNATIONAL")</f>
        <v>INTERNATIONAL</v>
      </c>
      <c r="G606" s="42" t="str">
        <f ca="1">IFERROR(__xludf.DUMMYFUNCTION("""COMPUTED_VALUE"""),"INR FEE STUDENT")</f>
        <v>INR FEE STUDENT</v>
      </c>
      <c r="H606" s="2" t="str">
        <f ca="1">IFERROR(__xludf.DUMMYFUNCTION("""COMPUTED_VALUE"""),"DCE_2021-24")</f>
        <v>DCE_2021-24</v>
      </c>
      <c r="I606" s="45"/>
      <c r="J606" s="46">
        <f ca="1">IFERROR(__xludf.DUMMYFUNCTION("""COMPUTED_VALUE"""),35000)</f>
        <v>35000</v>
      </c>
      <c r="K606" s="46">
        <f ca="1">IFERROR(__xludf.DUMMYFUNCTION("""COMPUTED_VALUE"""),35000)</f>
        <v>35000</v>
      </c>
      <c r="L606" s="46">
        <f ca="1">IFERROR(__xludf.DUMMYFUNCTION("""COMPUTED_VALUE"""),0)</f>
        <v>0</v>
      </c>
      <c r="M606" s="47">
        <f ca="1">IFERROR(__xludf.DUMMYFUNCTION("""COMPUTED_VALUE"""),0)</f>
        <v>0</v>
      </c>
      <c r="N606" s="46">
        <f ca="1">IFERROR(__xludf.DUMMYFUNCTION("""COMPUTED_VALUE"""),0)</f>
        <v>0</v>
      </c>
      <c r="O606" s="46">
        <f ca="1">IFERROR(__xludf.DUMMYFUNCTION("""COMPUTED_VALUE"""),1250)</f>
        <v>1250</v>
      </c>
      <c r="P606" s="46">
        <f ca="1">IFERROR(__xludf.DUMMYFUNCTION("""COMPUTED_VALUE"""),1250)</f>
        <v>1250</v>
      </c>
      <c r="Q606" s="47">
        <f ca="1">IFERROR(__xludf.DUMMYFUNCTION("""COMPUTED_VALUE"""),0)</f>
        <v>0</v>
      </c>
      <c r="R606" s="24">
        <f ca="1">IFERROR(__xludf.DUMMYFUNCTION("""COMPUTED_VALUE"""),0)</f>
        <v>0</v>
      </c>
      <c r="S606" s="23">
        <f ca="1">IFERROR(__xludf.DUMMYFUNCTION("""COMPUTED_VALUE"""),0)</f>
        <v>0</v>
      </c>
      <c r="T606" s="50"/>
      <c r="U606" s="44"/>
      <c r="V606" s="44"/>
      <c r="W606" s="44"/>
      <c r="X606" s="44"/>
      <c r="Y606" s="44"/>
      <c r="Z606" s="44"/>
      <c r="AA606" s="44"/>
      <c r="AB606" s="44"/>
      <c r="AC606" s="44"/>
      <c r="AD606" s="49"/>
      <c r="AE606" s="27"/>
    </row>
    <row r="607" spans="1:31" ht="14.3">
      <c r="A607" s="42" t="str">
        <f ca="1">IFERROR(__xludf.DUMMYFUNCTION("""COMPUTED_VALUE"""),"20SDSCE01064")</f>
        <v>20SDSCE01064</v>
      </c>
      <c r="B607" s="43" t="str">
        <f ca="1">IFERROR(__xludf.DUMMYFUNCTION("""COMPUTED_VALUE"""),"MEHTA NISHIT BHAVESH")</f>
        <v>MEHTA NISHIT BHAVESH</v>
      </c>
      <c r="C607" s="42" t="str">
        <f ca="1">IFERROR(__xludf.DUMMYFUNCTION("""COMPUTED_VALUE"""),"SDS")</f>
        <v>SDS</v>
      </c>
      <c r="D607" s="42" t="str">
        <f ca="1">IFERROR(__xludf.DUMMYFUNCTION("""COMPUTED_VALUE"""),"DCE")</f>
        <v>DCE</v>
      </c>
      <c r="E607" s="44">
        <f ca="1">IFERROR(__xludf.DUMMYFUNCTION("""COMPUTED_VALUE"""),6)</f>
        <v>6</v>
      </c>
      <c r="F607" s="42" t="str">
        <f ca="1">IFERROR(__xludf.DUMMYFUNCTION("""COMPUTED_VALUE"""),"9426670411 
9879570411")</f>
        <v>9426670411 
9879570411</v>
      </c>
      <c r="G607" s="42" t="str">
        <f ca="1">IFERROR(__xludf.DUMMYFUNCTION("""COMPUTED_VALUE"""),"9426670411 
9879570411")</f>
        <v>9426670411 
9879570411</v>
      </c>
      <c r="H607" s="2" t="str">
        <f ca="1">IFERROR(__xludf.DUMMYFUNCTION("""COMPUTED_VALUE"""),"DCE_2020-23")</f>
        <v>DCE_2020-23</v>
      </c>
      <c r="I607" s="45" t="str">
        <f ca="1">IFERROR(__xludf.DUMMYFUNCTION("""COMPUTED_VALUE"""),"KSP")</f>
        <v>KSP</v>
      </c>
      <c r="J607" s="46">
        <f ca="1">IFERROR(__xludf.DUMMYFUNCTION("""COMPUTED_VALUE"""),25000)</f>
        <v>25000</v>
      </c>
      <c r="K607" s="46">
        <f ca="1">IFERROR(__xludf.DUMMYFUNCTION("""COMPUTED_VALUE"""),0)</f>
        <v>0</v>
      </c>
      <c r="L607" s="46">
        <f ca="1">IFERROR(__xludf.DUMMYFUNCTION("""COMPUTED_VALUE"""),0)</f>
        <v>0</v>
      </c>
      <c r="M607" s="47">
        <f ca="1">IFERROR(__xludf.DUMMYFUNCTION("""COMPUTED_VALUE"""),1250)</f>
        <v>1250</v>
      </c>
      <c r="N607" s="46">
        <f ca="1">IFERROR(__xludf.DUMMYFUNCTION("""COMPUTED_VALUE"""),23750)</f>
        <v>23750</v>
      </c>
      <c r="O607" s="46">
        <f ca="1">IFERROR(__xludf.DUMMYFUNCTION("""COMPUTED_VALUE"""),3750)</f>
        <v>3750</v>
      </c>
      <c r="P607" s="46">
        <f ca="1">IFERROR(__xludf.DUMMYFUNCTION("""COMPUTED_VALUE"""),0)</f>
        <v>0</v>
      </c>
      <c r="Q607" s="47">
        <f ca="1">IFERROR(__xludf.DUMMYFUNCTION("""COMPUTED_VALUE"""),0)</f>
        <v>0</v>
      </c>
      <c r="R607" s="24">
        <f ca="1">IFERROR(__xludf.DUMMYFUNCTION("""COMPUTED_VALUE"""),0)</f>
        <v>0</v>
      </c>
      <c r="S607" s="23">
        <f ca="1">IFERROR(__xludf.DUMMYFUNCTION("""COMPUTED_VALUE"""),3750)</f>
        <v>3750</v>
      </c>
      <c r="T607" s="50"/>
      <c r="U607" s="44"/>
      <c r="V607" s="44"/>
      <c r="W607" s="44"/>
      <c r="X607" s="44"/>
      <c r="Y607" s="44"/>
      <c r="Z607" s="44"/>
      <c r="AA607" s="44"/>
      <c r="AB607" s="44"/>
      <c r="AC607" s="44"/>
      <c r="AD607" s="49"/>
      <c r="AE607" s="27"/>
    </row>
    <row r="608" spans="1:31" ht="14.3">
      <c r="A608" s="42" t="str">
        <f ca="1">IFERROR(__xludf.DUMMYFUNCTION("""COMPUTED_VALUE"""),"20SDSCE01143")</f>
        <v>20SDSCE01143</v>
      </c>
      <c r="B608" s="43" t="str">
        <f ca="1">IFERROR(__xludf.DUMMYFUNCTION("""COMPUTED_VALUE"""),"ZINZUVADIYA RAJ MANOJBHAI")</f>
        <v>ZINZUVADIYA RAJ MANOJBHAI</v>
      </c>
      <c r="C608" s="42" t="str">
        <f ca="1">IFERROR(__xludf.DUMMYFUNCTION("""COMPUTED_VALUE"""),"SDS")</f>
        <v>SDS</v>
      </c>
      <c r="D608" s="42" t="str">
        <f ca="1">IFERROR(__xludf.DUMMYFUNCTION("""COMPUTED_VALUE"""),"DCE")</f>
        <v>DCE</v>
      </c>
      <c r="E608" s="44">
        <f ca="1">IFERROR(__xludf.DUMMYFUNCTION("""COMPUTED_VALUE"""),6)</f>
        <v>6</v>
      </c>
      <c r="F608" s="42" t="str">
        <f ca="1">IFERROR(__xludf.DUMMYFUNCTION("""COMPUTED_VALUE"""),"9428058928")</f>
        <v>9428058928</v>
      </c>
      <c r="G608" s="42" t="str">
        <f ca="1">IFERROR(__xludf.DUMMYFUNCTION("""COMPUTED_VALUE"""),"9428058928")</f>
        <v>9428058928</v>
      </c>
      <c r="H608" s="2" t="str">
        <f ca="1">IFERROR(__xludf.DUMMYFUNCTION("""COMPUTED_VALUE"""),"DCE_2021-24")</f>
        <v>DCE_2021-24</v>
      </c>
      <c r="I608" s="45" t="str">
        <f ca="1">IFERROR(__xludf.DUMMYFUNCTION("""COMPUTED_VALUE"""),"KSP")</f>
        <v>KSP</v>
      </c>
      <c r="J608" s="46">
        <f ca="1">IFERROR(__xludf.DUMMYFUNCTION("""COMPUTED_VALUE"""),25000)</f>
        <v>25000</v>
      </c>
      <c r="K608" s="46">
        <f ca="1">IFERROR(__xludf.DUMMYFUNCTION("""COMPUTED_VALUE"""),0)</f>
        <v>0</v>
      </c>
      <c r="L608" s="46">
        <f ca="1">IFERROR(__xludf.DUMMYFUNCTION("""COMPUTED_VALUE"""),0)</f>
        <v>0</v>
      </c>
      <c r="M608" s="47">
        <f ca="1">IFERROR(__xludf.DUMMYFUNCTION("""COMPUTED_VALUE"""),12500)</f>
        <v>12500</v>
      </c>
      <c r="N608" s="46">
        <f ca="1">IFERROR(__xludf.DUMMYFUNCTION("""COMPUTED_VALUE"""),12500)</f>
        <v>12500</v>
      </c>
      <c r="O608" s="46">
        <f ca="1">IFERROR(__xludf.DUMMYFUNCTION("""COMPUTED_VALUE"""),3750)</f>
        <v>3750</v>
      </c>
      <c r="P608" s="46">
        <f ca="1">IFERROR(__xludf.DUMMYFUNCTION("""COMPUTED_VALUE"""),0)</f>
        <v>0</v>
      </c>
      <c r="Q608" s="47">
        <f ca="1">IFERROR(__xludf.DUMMYFUNCTION("""COMPUTED_VALUE"""),0)</f>
        <v>0</v>
      </c>
      <c r="R608" s="40"/>
      <c r="S608" s="23">
        <f ca="1">IFERROR(__xludf.DUMMYFUNCTION("""COMPUTED_VALUE"""),3750)</f>
        <v>3750</v>
      </c>
      <c r="T608" s="50"/>
      <c r="U608" s="44"/>
      <c r="V608" s="44"/>
      <c r="W608" s="44"/>
      <c r="X608" s="44"/>
      <c r="Y608" s="44"/>
      <c r="Z608" s="44"/>
      <c r="AA608" s="44"/>
      <c r="AB608" s="44"/>
      <c r="AC608" s="44"/>
      <c r="AD608" s="49"/>
      <c r="AE608" s="27"/>
    </row>
    <row r="609" spans="1:31" ht="14.3">
      <c r="A609" s="42" t="str">
        <f ca="1">IFERROR(__xludf.DUMMYFUNCTION("""COMPUTED_VALUE"""),"23SDSCV01001")</f>
        <v>23SDSCV01001</v>
      </c>
      <c r="B609" s="43" t="str">
        <f ca="1">IFERROR(__xludf.DUMMYFUNCTION("""COMPUTED_VALUE"""),"BHESANIYA PRANAV PRAMTHESHBHAI")</f>
        <v>BHESANIYA PRANAV PRAMTHESHBHAI</v>
      </c>
      <c r="C609" s="42" t="str">
        <f ca="1">IFERROR(__xludf.DUMMYFUNCTION("""COMPUTED_VALUE"""),"SDS")</f>
        <v>SDS</v>
      </c>
      <c r="D609" s="42" t="str">
        <f ca="1">IFERROR(__xludf.DUMMYFUNCTION("""COMPUTED_VALUE"""),"DCV")</f>
        <v>DCV</v>
      </c>
      <c r="E609" s="44">
        <f ca="1">IFERROR(__xludf.DUMMYFUNCTION("""COMPUTED_VALUE"""),2)</f>
        <v>2</v>
      </c>
      <c r="F609" s="42" t="str">
        <f ca="1">IFERROR(__xludf.DUMMYFUNCTION("""COMPUTED_VALUE"""),"9638824103 9512640663")</f>
        <v>9638824103 9512640663</v>
      </c>
      <c r="G609" s="42" t="str">
        <f ca="1">IFERROR(__xludf.DUMMYFUNCTION("""COMPUTED_VALUE"""),"9638824103 9512640663")</f>
        <v>9638824103 9512640663</v>
      </c>
      <c r="H609" s="2" t="str">
        <f ca="1">IFERROR(__xludf.DUMMYFUNCTION("""COMPUTED_VALUE"""),"DCV_2023-26")</f>
        <v>DCV_2023-26</v>
      </c>
      <c r="I609" s="45"/>
      <c r="J609" s="46">
        <f ca="1">IFERROR(__xludf.DUMMYFUNCTION("""COMPUTED_VALUE"""),27500)</f>
        <v>27500</v>
      </c>
      <c r="K609" s="46">
        <f ca="1">IFERROR(__xludf.DUMMYFUNCTION("""COMPUTED_VALUE"""),12500)</f>
        <v>12500</v>
      </c>
      <c r="L609" s="46">
        <f ca="1">IFERROR(__xludf.DUMMYFUNCTION("""COMPUTED_VALUE"""),0)</f>
        <v>0</v>
      </c>
      <c r="M609" s="47">
        <f ca="1">IFERROR(__xludf.DUMMYFUNCTION("""COMPUTED_VALUE"""),0)</f>
        <v>0</v>
      </c>
      <c r="N609" s="46">
        <f ca="1">IFERROR(__xludf.DUMMYFUNCTION("""COMPUTED_VALUE"""),15000)</f>
        <v>15000</v>
      </c>
      <c r="O609" s="46">
        <f ca="1">IFERROR(__xludf.DUMMYFUNCTION("""COMPUTED_VALUE"""),3000)</f>
        <v>3000</v>
      </c>
      <c r="P609" s="46">
        <f ca="1">IFERROR(__xludf.DUMMYFUNCTION("""COMPUTED_VALUE"""),3000)</f>
        <v>3000</v>
      </c>
      <c r="Q609" s="47">
        <f ca="1">IFERROR(__xludf.DUMMYFUNCTION("""COMPUTED_VALUE"""),0)</f>
        <v>0</v>
      </c>
      <c r="R609" s="24">
        <f ca="1">IFERROR(__xludf.DUMMYFUNCTION("""COMPUTED_VALUE"""),0)</f>
        <v>0</v>
      </c>
      <c r="S609" s="23">
        <f ca="1">IFERROR(__xludf.DUMMYFUNCTION("""COMPUTED_VALUE"""),0)</f>
        <v>0</v>
      </c>
      <c r="T609" s="48">
        <f ca="1">IFERROR(__xludf.DUMMYFUNCTION("""COMPUTED_VALUE"""),0)</f>
        <v>0</v>
      </c>
      <c r="U609" s="47">
        <f ca="1">IFERROR(__xludf.DUMMYFUNCTION("""COMPUTED_VALUE"""),0)</f>
        <v>0</v>
      </c>
      <c r="V609" s="47">
        <f ca="1">IFERROR(__xludf.DUMMYFUNCTION("""COMPUTED_VALUE"""),0)</f>
        <v>0</v>
      </c>
      <c r="W609" s="47">
        <f ca="1">IFERROR(__xludf.DUMMYFUNCTION("""COMPUTED_VALUE"""),0)</f>
        <v>0</v>
      </c>
      <c r="X609" s="47">
        <f ca="1">IFERROR(__xludf.DUMMYFUNCTION("""COMPUTED_VALUE"""),0)</f>
        <v>0</v>
      </c>
      <c r="Y609" s="44">
        <f ca="1">IFERROR(__xludf.DUMMYFUNCTION("""COMPUTED_VALUE"""),0)</f>
        <v>0</v>
      </c>
      <c r="Z609" s="44">
        <f ca="1">IFERROR(__xludf.DUMMYFUNCTION("""COMPUTED_VALUE"""),0)</f>
        <v>0</v>
      </c>
      <c r="AA609" s="44">
        <f ca="1">IFERROR(__xludf.DUMMYFUNCTION("""COMPUTED_VALUE"""),0)</f>
        <v>0</v>
      </c>
      <c r="AB609" s="44">
        <f ca="1">IFERROR(__xludf.DUMMYFUNCTION("""COMPUTED_VALUE"""),0)</f>
        <v>0</v>
      </c>
      <c r="AC609" s="47">
        <f ca="1">IFERROR(__xludf.DUMMYFUNCTION("""COMPUTED_VALUE"""),0)</f>
        <v>0</v>
      </c>
      <c r="AD609" s="49"/>
      <c r="AE609" s="27"/>
    </row>
    <row r="610" spans="1:31" ht="14.3">
      <c r="A610" s="42" t="str">
        <f ca="1">IFERROR(__xludf.DUMMYFUNCTION("""COMPUTED_VALUE"""),"23SDSCV01002")</f>
        <v>23SDSCV01002</v>
      </c>
      <c r="B610" s="43" t="str">
        <f ca="1">IFERROR(__xludf.DUMMYFUNCTION("""COMPUTED_VALUE"""),"DEDA PRUTHVIRAJSINH MAHENDRASINH")</f>
        <v>DEDA PRUTHVIRAJSINH MAHENDRASINH</v>
      </c>
      <c r="C610" s="42" t="str">
        <f ca="1">IFERROR(__xludf.DUMMYFUNCTION("""COMPUTED_VALUE"""),"SDS")</f>
        <v>SDS</v>
      </c>
      <c r="D610" s="42" t="str">
        <f ca="1">IFERROR(__xludf.DUMMYFUNCTION("""COMPUTED_VALUE"""),"DCV")</f>
        <v>DCV</v>
      </c>
      <c r="E610" s="44">
        <f ca="1">IFERROR(__xludf.DUMMYFUNCTION("""COMPUTED_VALUE"""),2)</f>
        <v>2</v>
      </c>
      <c r="F610" s="42" t="str">
        <f ca="1">IFERROR(__xludf.DUMMYFUNCTION("""COMPUTED_VALUE"""),"7016986771 9979256735")</f>
        <v>7016986771 9979256735</v>
      </c>
      <c r="G610" s="42" t="str">
        <f ca="1">IFERROR(__xludf.DUMMYFUNCTION("""COMPUTED_VALUE"""),"7016986771 9979256735")</f>
        <v>7016986771 9979256735</v>
      </c>
      <c r="H610" s="2" t="str">
        <f ca="1">IFERROR(__xludf.DUMMYFUNCTION("""COMPUTED_VALUE"""),"DCV_2023-26")</f>
        <v>DCV_2023-26</v>
      </c>
      <c r="I610" s="45"/>
      <c r="J610" s="46">
        <f ca="1">IFERROR(__xludf.DUMMYFUNCTION("""COMPUTED_VALUE"""),27500)</f>
        <v>27500</v>
      </c>
      <c r="K610" s="46">
        <f ca="1">IFERROR(__xludf.DUMMYFUNCTION("""COMPUTED_VALUE"""),27500)</f>
        <v>27500</v>
      </c>
      <c r="L610" s="46">
        <f ca="1">IFERROR(__xludf.DUMMYFUNCTION("""COMPUTED_VALUE"""),0)</f>
        <v>0</v>
      </c>
      <c r="M610" s="47">
        <f ca="1">IFERROR(__xludf.DUMMYFUNCTION("""COMPUTED_VALUE"""),0)</f>
        <v>0</v>
      </c>
      <c r="N610" s="46">
        <f ca="1">IFERROR(__xludf.DUMMYFUNCTION("""COMPUTED_VALUE"""),0)</f>
        <v>0</v>
      </c>
      <c r="O610" s="46">
        <f ca="1">IFERROR(__xludf.DUMMYFUNCTION("""COMPUTED_VALUE"""),3000)</f>
        <v>3000</v>
      </c>
      <c r="P610" s="46">
        <f ca="1">IFERROR(__xludf.DUMMYFUNCTION("""COMPUTED_VALUE"""),3000)</f>
        <v>3000</v>
      </c>
      <c r="Q610" s="47">
        <f ca="1">IFERROR(__xludf.DUMMYFUNCTION("""COMPUTED_VALUE"""),0)</f>
        <v>0</v>
      </c>
      <c r="R610" s="24">
        <f ca="1">IFERROR(__xludf.DUMMYFUNCTION("""COMPUTED_VALUE"""),0)</f>
        <v>0</v>
      </c>
      <c r="S610" s="23">
        <f ca="1">IFERROR(__xludf.DUMMYFUNCTION("""COMPUTED_VALUE"""),0)</f>
        <v>0</v>
      </c>
      <c r="T610" s="48">
        <f ca="1">IFERROR(__xludf.DUMMYFUNCTION("""COMPUTED_VALUE"""),0)</f>
        <v>0</v>
      </c>
      <c r="U610" s="47">
        <f ca="1">IFERROR(__xludf.DUMMYFUNCTION("""COMPUTED_VALUE"""),0)</f>
        <v>0</v>
      </c>
      <c r="V610" s="47">
        <f ca="1">IFERROR(__xludf.DUMMYFUNCTION("""COMPUTED_VALUE"""),0)</f>
        <v>0</v>
      </c>
      <c r="W610" s="47">
        <f ca="1">IFERROR(__xludf.DUMMYFUNCTION("""COMPUTED_VALUE"""),0)</f>
        <v>0</v>
      </c>
      <c r="X610" s="47">
        <f ca="1">IFERROR(__xludf.DUMMYFUNCTION("""COMPUTED_VALUE"""),0)</f>
        <v>0</v>
      </c>
      <c r="Y610" s="44">
        <f ca="1">IFERROR(__xludf.DUMMYFUNCTION("""COMPUTED_VALUE"""),0)</f>
        <v>0</v>
      </c>
      <c r="Z610" s="44">
        <f ca="1">IFERROR(__xludf.DUMMYFUNCTION("""COMPUTED_VALUE"""),0)</f>
        <v>0</v>
      </c>
      <c r="AA610" s="44">
        <f ca="1">IFERROR(__xludf.DUMMYFUNCTION("""COMPUTED_VALUE"""),0)</f>
        <v>0</v>
      </c>
      <c r="AB610" s="44">
        <f ca="1">IFERROR(__xludf.DUMMYFUNCTION("""COMPUTED_VALUE"""),0)</f>
        <v>0</v>
      </c>
      <c r="AC610" s="47">
        <f ca="1">IFERROR(__xludf.DUMMYFUNCTION("""COMPUTED_VALUE"""),0)</f>
        <v>0</v>
      </c>
      <c r="AD610" s="49"/>
      <c r="AE610" s="27"/>
    </row>
    <row r="611" spans="1:31" ht="14.3">
      <c r="A611" s="42" t="str">
        <f ca="1">IFERROR(__xludf.DUMMYFUNCTION("""COMPUTED_VALUE"""),"23SDSCV01003")</f>
        <v>23SDSCV01003</v>
      </c>
      <c r="B611" s="43" t="str">
        <f ca="1">IFERROR(__xludf.DUMMYFUNCTION("""COMPUTED_VALUE"""),"GHONIYA ANSH SANJAYBHAI")</f>
        <v>GHONIYA ANSH SANJAYBHAI</v>
      </c>
      <c r="C611" s="42" t="str">
        <f ca="1">IFERROR(__xludf.DUMMYFUNCTION("""COMPUTED_VALUE"""),"SDS")</f>
        <v>SDS</v>
      </c>
      <c r="D611" s="42" t="str">
        <f ca="1">IFERROR(__xludf.DUMMYFUNCTION("""COMPUTED_VALUE"""),"DCV")</f>
        <v>DCV</v>
      </c>
      <c r="E611" s="44">
        <f ca="1">IFERROR(__xludf.DUMMYFUNCTION("""COMPUTED_VALUE"""),2)</f>
        <v>2</v>
      </c>
      <c r="F611" s="42" t="str">
        <f ca="1">IFERROR(__xludf.DUMMYFUNCTION("""COMPUTED_VALUE"""),"9081620280 9913923743")</f>
        <v>9081620280 9913923743</v>
      </c>
      <c r="G611" s="42" t="str">
        <f ca="1">IFERROR(__xludf.DUMMYFUNCTION("""COMPUTED_VALUE"""),"9081620280 9913923743")</f>
        <v>9081620280 9913923743</v>
      </c>
      <c r="H611" s="2" t="str">
        <f ca="1">IFERROR(__xludf.DUMMYFUNCTION("""COMPUTED_VALUE"""),"DCV_2023-26")</f>
        <v>DCV_2023-26</v>
      </c>
      <c r="I611" s="45"/>
      <c r="J611" s="46">
        <f ca="1">IFERROR(__xludf.DUMMYFUNCTION("""COMPUTED_VALUE"""),27500)</f>
        <v>27500</v>
      </c>
      <c r="K611" s="46">
        <f ca="1">IFERROR(__xludf.DUMMYFUNCTION("""COMPUTED_VALUE"""),27500)</f>
        <v>27500</v>
      </c>
      <c r="L611" s="46">
        <f ca="1">IFERROR(__xludf.DUMMYFUNCTION("""COMPUTED_VALUE"""),0)</f>
        <v>0</v>
      </c>
      <c r="M611" s="47">
        <f ca="1">IFERROR(__xludf.DUMMYFUNCTION("""COMPUTED_VALUE"""),0)</f>
        <v>0</v>
      </c>
      <c r="N611" s="46">
        <f ca="1">IFERROR(__xludf.DUMMYFUNCTION("""COMPUTED_VALUE"""),0)</f>
        <v>0</v>
      </c>
      <c r="O611" s="46">
        <f ca="1">IFERROR(__xludf.DUMMYFUNCTION("""COMPUTED_VALUE"""),3000)</f>
        <v>3000</v>
      </c>
      <c r="P611" s="46">
        <f ca="1">IFERROR(__xludf.DUMMYFUNCTION("""COMPUTED_VALUE"""),3000)</f>
        <v>3000</v>
      </c>
      <c r="Q611" s="47">
        <f ca="1">IFERROR(__xludf.DUMMYFUNCTION("""COMPUTED_VALUE"""),0)</f>
        <v>0</v>
      </c>
      <c r="R611" s="24">
        <f ca="1">IFERROR(__xludf.DUMMYFUNCTION("""COMPUTED_VALUE"""),0)</f>
        <v>0</v>
      </c>
      <c r="S611" s="23">
        <f ca="1">IFERROR(__xludf.DUMMYFUNCTION("""COMPUTED_VALUE"""),0)</f>
        <v>0</v>
      </c>
      <c r="T611" s="48">
        <f ca="1">IFERROR(__xludf.DUMMYFUNCTION("""COMPUTED_VALUE"""),0)</f>
        <v>0</v>
      </c>
      <c r="U611" s="47">
        <f ca="1">IFERROR(__xludf.DUMMYFUNCTION("""COMPUTED_VALUE"""),0)</f>
        <v>0</v>
      </c>
      <c r="V611" s="47">
        <f ca="1">IFERROR(__xludf.DUMMYFUNCTION("""COMPUTED_VALUE"""),0)</f>
        <v>0</v>
      </c>
      <c r="W611" s="47">
        <f ca="1">IFERROR(__xludf.DUMMYFUNCTION("""COMPUTED_VALUE"""),0)</f>
        <v>0</v>
      </c>
      <c r="X611" s="47">
        <f ca="1">IFERROR(__xludf.DUMMYFUNCTION("""COMPUTED_VALUE"""),0)</f>
        <v>0</v>
      </c>
      <c r="Y611" s="44">
        <f ca="1">IFERROR(__xludf.DUMMYFUNCTION("""COMPUTED_VALUE"""),0)</f>
        <v>0</v>
      </c>
      <c r="Z611" s="44">
        <f ca="1">IFERROR(__xludf.DUMMYFUNCTION("""COMPUTED_VALUE"""),0)</f>
        <v>0</v>
      </c>
      <c r="AA611" s="44">
        <f ca="1">IFERROR(__xludf.DUMMYFUNCTION("""COMPUTED_VALUE"""),0)</f>
        <v>0</v>
      </c>
      <c r="AB611" s="44">
        <f ca="1">IFERROR(__xludf.DUMMYFUNCTION("""COMPUTED_VALUE"""),0)</f>
        <v>0</v>
      </c>
      <c r="AC611" s="47">
        <f ca="1">IFERROR(__xludf.DUMMYFUNCTION("""COMPUTED_VALUE"""),0)</f>
        <v>0</v>
      </c>
      <c r="AD611" s="49"/>
      <c r="AE611" s="27"/>
    </row>
    <row r="612" spans="1:31" ht="14.3">
      <c r="A612" s="42" t="str">
        <f ca="1">IFERROR(__xludf.DUMMYFUNCTION("""COMPUTED_VALUE"""),"23SDSCV01004")</f>
        <v>23SDSCV01004</v>
      </c>
      <c r="B612" s="43" t="str">
        <f ca="1">IFERROR(__xludf.DUMMYFUNCTION("""COMPUTED_VALUE"""),"KAMANI FENIL SHITALBHAI")</f>
        <v>KAMANI FENIL SHITALBHAI</v>
      </c>
      <c r="C612" s="42" t="str">
        <f ca="1">IFERROR(__xludf.DUMMYFUNCTION("""COMPUTED_VALUE"""),"SDS")</f>
        <v>SDS</v>
      </c>
      <c r="D612" s="42" t="str">
        <f ca="1">IFERROR(__xludf.DUMMYFUNCTION("""COMPUTED_VALUE"""),"DCV")</f>
        <v>DCV</v>
      </c>
      <c r="E612" s="44">
        <f ca="1">IFERROR(__xludf.DUMMYFUNCTION("""COMPUTED_VALUE"""),2)</f>
        <v>2</v>
      </c>
      <c r="F612" s="42" t="str">
        <f ca="1">IFERROR(__xludf.DUMMYFUNCTION("""COMPUTED_VALUE"""),"9265244144 9408635407")</f>
        <v>9265244144 9408635407</v>
      </c>
      <c r="G612" s="42" t="str">
        <f ca="1">IFERROR(__xludf.DUMMYFUNCTION("""COMPUTED_VALUE"""),"9265244144 9408635407")</f>
        <v>9265244144 9408635407</v>
      </c>
      <c r="H612" s="2" t="str">
        <f ca="1">IFERROR(__xludf.DUMMYFUNCTION("""COMPUTED_VALUE"""),"DCV_2023-26")</f>
        <v>DCV_2023-26</v>
      </c>
      <c r="I612" s="45" t="str">
        <f ca="1">IFERROR(__xludf.DUMMYFUNCTION("""COMPUTED_VALUE"""),"MYSY")</f>
        <v>MYSY</v>
      </c>
      <c r="J612" s="46">
        <f ca="1">IFERROR(__xludf.DUMMYFUNCTION("""COMPUTED_VALUE"""),27500)</f>
        <v>27500</v>
      </c>
      <c r="K612" s="46">
        <f ca="1">IFERROR(__xludf.DUMMYFUNCTION("""COMPUTED_VALUE"""),25000)</f>
        <v>25000</v>
      </c>
      <c r="L612" s="46">
        <f ca="1">IFERROR(__xludf.DUMMYFUNCTION("""COMPUTED_VALUE"""),0)</f>
        <v>0</v>
      </c>
      <c r="M612" s="47">
        <f ca="1">IFERROR(__xludf.DUMMYFUNCTION("""COMPUTED_VALUE"""),0)</f>
        <v>0</v>
      </c>
      <c r="N612" s="46">
        <f ca="1">IFERROR(__xludf.DUMMYFUNCTION("""COMPUTED_VALUE"""),2500)</f>
        <v>2500</v>
      </c>
      <c r="O612" s="46">
        <f ca="1">IFERROR(__xludf.DUMMYFUNCTION("""COMPUTED_VALUE"""),3000)</f>
        <v>3000</v>
      </c>
      <c r="P612" s="46">
        <f ca="1">IFERROR(__xludf.DUMMYFUNCTION("""COMPUTED_VALUE"""),3000)</f>
        <v>3000</v>
      </c>
      <c r="Q612" s="47">
        <f ca="1">IFERROR(__xludf.DUMMYFUNCTION("""COMPUTED_VALUE"""),0)</f>
        <v>0</v>
      </c>
      <c r="R612" s="24">
        <f ca="1">IFERROR(__xludf.DUMMYFUNCTION("""COMPUTED_VALUE"""),0)</f>
        <v>0</v>
      </c>
      <c r="S612" s="23">
        <f ca="1">IFERROR(__xludf.DUMMYFUNCTION("""COMPUTED_VALUE"""),0)</f>
        <v>0</v>
      </c>
      <c r="T612" s="48">
        <f ca="1">IFERROR(__xludf.DUMMYFUNCTION("""COMPUTED_VALUE"""),0)</f>
        <v>0</v>
      </c>
      <c r="U612" s="47">
        <f ca="1">IFERROR(__xludf.DUMMYFUNCTION("""COMPUTED_VALUE"""),0)</f>
        <v>0</v>
      </c>
      <c r="V612" s="47">
        <f ca="1">IFERROR(__xludf.DUMMYFUNCTION("""COMPUTED_VALUE"""),0)</f>
        <v>0</v>
      </c>
      <c r="W612" s="47">
        <f ca="1">IFERROR(__xludf.DUMMYFUNCTION("""COMPUTED_VALUE"""),0)</f>
        <v>0</v>
      </c>
      <c r="X612" s="47">
        <f ca="1">IFERROR(__xludf.DUMMYFUNCTION("""COMPUTED_VALUE"""),0)</f>
        <v>0</v>
      </c>
      <c r="Y612" s="44">
        <f ca="1">IFERROR(__xludf.DUMMYFUNCTION("""COMPUTED_VALUE"""),0)</f>
        <v>0</v>
      </c>
      <c r="Z612" s="44">
        <f ca="1">IFERROR(__xludf.DUMMYFUNCTION("""COMPUTED_VALUE"""),0)</f>
        <v>0</v>
      </c>
      <c r="AA612" s="44">
        <f ca="1">IFERROR(__xludf.DUMMYFUNCTION("""COMPUTED_VALUE"""),0)</f>
        <v>0</v>
      </c>
      <c r="AB612" s="44">
        <f ca="1">IFERROR(__xludf.DUMMYFUNCTION("""COMPUTED_VALUE"""),0)</f>
        <v>0</v>
      </c>
      <c r="AC612" s="47">
        <f ca="1">IFERROR(__xludf.DUMMYFUNCTION("""COMPUTED_VALUE"""),0)</f>
        <v>0</v>
      </c>
      <c r="AD612" s="49"/>
      <c r="AE612" s="27"/>
    </row>
    <row r="613" spans="1:31" ht="14.3">
      <c r="A613" s="42" t="str">
        <f ca="1">IFERROR(__xludf.DUMMYFUNCTION("""COMPUTED_VALUE"""),"23SDSCV01005")</f>
        <v>23SDSCV01005</v>
      </c>
      <c r="B613" s="43" t="str">
        <f ca="1">IFERROR(__xludf.DUMMYFUNCTION("""COMPUTED_VALUE"""),"MEGHANI GAUTAM")</f>
        <v>MEGHANI GAUTAM</v>
      </c>
      <c r="C613" s="42" t="str">
        <f ca="1">IFERROR(__xludf.DUMMYFUNCTION("""COMPUTED_VALUE"""),"SDS")</f>
        <v>SDS</v>
      </c>
      <c r="D613" s="42" t="str">
        <f ca="1">IFERROR(__xludf.DUMMYFUNCTION("""COMPUTED_VALUE"""),"DCV")</f>
        <v>DCV</v>
      </c>
      <c r="E613" s="44">
        <f ca="1">IFERROR(__xludf.DUMMYFUNCTION("""COMPUTED_VALUE"""),2)</f>
        <v>2</v>
      </c>
      <c r="F613" s="42" t="str">
        <f ca="1">IFERROR(__xludf.DUMMYFUNCTION("""COMPUTED_VALUE"""),"8849901506 9925064119")</f>
        <v>8849901506 9925064119</v>
      </c>
      <c r="G613" s="42" t="str">
        <f ca="1">IFERROR(__xludf.DUMMYFUNCTION("""COMPUTED_VALUE"""),"8849901506 9925064119")</f>
        <v>8849901506 9925064119</v>
      </c>
      <c r="H613" s="2" t="str">
        <f ca="1">IFERROR(__xludf.DUMMYFUNCTION("""COMPUTED_VALUE"""),"DCE_2023-26")</f>
        <v>DCE_2023-26</v>
      </c>
      <c r="I613" s="45"/>
      <c r="J613" s="46">
        <f ca="1">IFERROR(__xludf.DUMMYFUNCTION("""COMPUTED_VALUE"""),27500)</f>
        <v>27500</v>
      </c>
      <c r="K613" s="46">
        <f ca="1">IFERROR(__xludf.DUMMYFUNCTION("""COMPUTED_VALUE"""),27500)</f>
        <v>27500</v>
      </c>
      <c r="L613" s="46">
        <f ca="1">IFERROR(__xludf.DUMMYFUNCTION("""COMPUTED_VALUE"""),0)</f>
        <v>0</v>
      </c>
      <c r="M613" s="47">
        <f ca="1">IFERROR(__xludf.DUMMYFUNCTION("""COMPUTED_VALUE"""),0)</f>
        <v>0</v>
      </c>
      <c r="N613" s="46">
        <f ca="1">IFERROR(__xludf.DUMMYFUNCTION("""COMPUTED_VALUE"""),0)</f>
        <v>0</v>
      </c>
      <c r="O613" s="46">
        <f ca="1">IFERROR(__xludf.DUMMYFUNCTION("""COMPUTED_VALUE"""),3000)</f>
        <v>3000</v>
      </c>
      <c r="P613" s="46">
        <f ca="1">IFERROR(__xludf.DUMMYFUNCTION("""COMPUTED_VALUE"""),3000)</f>
        <v>3000</v>
      </c>
      <c r="Q613" s="47">
        <f ca="1">IFERROR(__xludf.DUMMYFUNCTION("""COMPUTED_VALUE"""),0)</f>
        <v>0</v>
      </c>
      <c r="R613" s="24">
        <f ca="1">IFERROR(__xludf.DUMMYFUNCTION("""COMPUTED_VALUE"""),0)</f>
        <v>0</v>
      </c>
      <c r="S613" s="23">
        <f ca="1">IFERROR(__xludf.DUMMYFUNCTION("""COMPUTED_VALUE"""),0)</f>
        <v>0</v>
      </c>
      <c r="T613" s="48">
        <f ca="1">IFERROR(__xludf.DUMMYFUNCTION("""COMPUTED_VALUE"""),0)</f>
        <v>0</v>
      </c>
      <c r="U613" s="47">
        <f ca="1">IFERROR(__xludf.DUMMYFUNCTION("""COMPUTED_VALUE"""),0)</f>
        <v>0</v>
      </c>
      <c r="V613" s="47">
        <f ca="1">IFERROR(__xludf.DUMMYFUNCTION("""COMPUTED_VALUE"""),0)</f>
        <v>0</v>
      </c>
      <c r="W613" s="47">
        <f ca="1">IFERROR(__xludf.DUMMYFUNCTION("""COMPUTED_VALUE"""),0)</f>
        <v>0</v>
      </c>
      <c r="X613" s="47">
        <f ca="1">IFERROR(__xludf.DUMMYFUNCTION("""COMPUTED_VALUE"""),0)</f>
        <v>0</v>
      </c>
      <c r="Y613" s="44">
        <f ca="1">IFERROR(__xludf.DUMMYFUNCTION("""COMPUTED_VALUE"""),0)</f>
        <v>0</v>
      </c>
      <c r="Z613" s="44">
        <f ca="1">IFERROR(__xludf.DUMMYFUNCTION("""COMPUTED_VALUE"""),0)</f>
        <v>0</v>
      </c>
      <c r="AA613" s="44">
        <f ca="1">IFERROR(__xludf.DUMMYFUNCTION("""COMPUTED_VALUE"""),0)</f>
        <v>0</v>
      </c>
      <c r="AB613" s="44">
        <f ca="1">IFERROR(__xludf.DUMMYFUNCTION("""COMPUTED_VALUE"""),0)</f>
        <v>0</v>
      </c>
      <c r="AC613" s="47">
        <f ca="1">IFERROR(__xludf.DUMMYFUNCTION("""COMPUTED_VALUE"""),0)</f>
        <v>0</v>
      </c>
      <c r="AD613" s="49"/>
      <c r="AE613" s="27"/>
    </row>
    <row r="614" spans="1:31" ht="14.3">
      <c r="A614" s="42" t="str">
        <f ca="1">IFERROR(__xludf.DUMMYFUNCTION("""COMPUTED_VALUE"""),"23SDSCV01006")</f>
        <v>23SDSCV01006</v>
      </c>
      <c r="B614" s="43" t="str">
        <f ca="1">IFERROR(__xludf.DUMMYFUNCTION("""COMPUTED_VALUE"""),"PAMBHAR AAYUSH")</f>
        <v>PAMBHAR AAYUSH</v>
      </c>
      <c r="C614" s="42" t="str">
        <f ca="1">IFERROR(__xludf.DUMMYFUNCTION("""COMPUTED_VALUE"""),"SDS")</f>
        <v>SDS</v>
      </c>
      <c r="D614" s="42" t="str">
        <f ca="1">IFERROR(__xludf.DUMMYFUNCTION("""COMPUTED_VALUE"""),"DCV")</f>
        <v>DCV</v>
      </c>
      <c r="E614" s="44">
        <f ca="1">IFERROR(__xludf.DUMMYFUNCTION("""COMPUTED_VALUE"""),2)</f>
        <v>2</v>
      </c>
      <c r="F614" s="42" t="str">
        <f ca="1">IFERROR(__xludf.DUMMYFUNCTION("""COMPUTED_VALUE"""),"9327823085 6354877916")</f>
        <v>9327823085 6354877916</v>
      </c>
      <c r="G614" s="42" t="str">
        <f ca="1">IFERROR(__xludf.DUMMYFUNCTION("""COMPUTED_VALUE"""),"9327823085 6354877916")</f>
        <v>9327823085 6354877916</v>
      </c>
      <c r="H614" s="2" t="str">
        <f ca="1">IFERROR(__xludf.DUMMYFUNCTION("""COMPUTED_VALUE"""),"DCv_2023-26")</f>
        <v>DCv_2023-26</v>
      </c>
      <c r="I614" s="45"/>
      <c r="J614" s="46">
        <f ca="1">IFERROR(__xludf.DUMMYFUNCTION("""COMPUTED_VALUE"""),27500)</f>
        <v>27500</v>
      </c>
      <c r="K614" s="46">
        <f ca="1">IFERROR(__xludf.DUMMYFUNCTION("""COMPUTED_VALUE"""),27500)</f>
        <v>27500</v>
      </c>
      <c r="L614" s="46">
        <f ca="1">IFERROR(__xludf.DUMMYFUNCTION("""COMPUTED_VALUE"""),0)</f>
        <v>0</v>
      </c>
      <c r="M614" s="47">
        <f ca="1">IFERROR(__xludf.DUMMYFUNCTION("""COMPUTED_VALUE"""),0)</f>
        <v>0</v>
      </c>
      <c r="N614" s="46">
        <f ca="1">IFERROR(__xludf.DUMMYFUNCTION("""COMPUTED_VALUE"""),0)</f>
        <v>0</v>
      </c>
      <c r="O614" s="46">
        <f ca="1">IFERROR(__xludf.DUMMYFUNCTION("""COMPUTED_VALUE"""),3000)</f>
        <v>3000</v>
      </c>
      <c r="P614" s="46">
        <f ca="1">IFERROR(__xludf.DUMMYFUNCTION("""COMPUTED_VALUE"""),3000)</f>
        <v>3000</v>
      </c>
      <c r="Q614" s="47">
        <f ca="1">IFERROR(__xludf.DUMMYFUNCTION("""COMPUTED_VALUE"""),0)</f>
        <v>0</v>
      </c>
      <c r="R614" s="24">
        <f ca="1">IFERROR(__xludf.DUMMYFUNCTION("""COMPUTED_VALUE"""),0)</f>
        <v>0</v>
      </c>
      <c r="S614" s="23">
        <f ca="1">IFERROR(__xludf.DUMMYFUNCTION("""COMPUTED_VALUE"""),0)</f>
        <v>0</v>
      </c>
      <c r="T614" s="48">
        <f ca="1">IFERROR(__xludf.DUMMYFUNCTION("""COMPUTED_VALUE"""),0)</f>
        <v>0</v>
      </c>
      <c r="U614" s="47">
        <f ca="1">IFERROR(__xludf.DUMMYFUNCTION("""COMPUTED_VALUE"""),0)</f>
        <v>0</v>
      </c>
      <c r="V614" s="47">
        <f ca="1">IFERROR(__xludf.DUMMYFUNCTION("""COMPUTED_VALUE"""),0)</f>
        <v>0</v>
      </c>
      <c r="W614" s="47">
        <f ca="1">IFERROR(__xludf.DUMMYFUNCTION("""COMPUTED_VALUE"""),0)</f>
        <v>0</v>
      </c>
      <c r="X614" s="47">
        <f ca="1">IFERROR(__xludf.DUMMYFUNCTION("""COMPUTED_VALUE"""),0)</f>
        <v>0</v>
      </c>
      <c r="Y614" s="44">
        <f ca="1">IFERROR(__xludf.DUMMYFUNCTION("""COMPUTED_VALUE"""),0)</f>
        <v>0</v>
      </c>
      <c r="Z614" s="44">
        <f ca="1">IFERROR(__xludf.DUMMYFUNCTION("""COMPUTED_VALUE"""),0)</f>
        <v>0</v>
      </c>
      <c r="AA614" s="44">
        <f ca="1">IFERROR(__xludf.DUMMYFUNCTION("""COMPUTED_VALUE"""),0)</f>
        <v>0</v>
      </c>
      <c r="AB614" s="44">
        <f ca="1">IFERROR(__xludf.DUMMYFUNCTION("""COMPUTED_VALUE"""),0)</f>
        <v>0</v>
      </c>
      <c r="AC614" s="47">
        <f ca="1">IFERROR(__xludf.DUMMYFUNCTION("""COMPUTED_VALUE"""),0)</f>
        <v>0</v>
      </c>
      <c r="AD614" s="49"/>
      <c r="AE614" s="27"/>
    </row>
    <row r="615" spans="1:31" ht="28.55">
      <c r="A615" s="42" t="str">
        <f ca="1">IFERROR(__xludf.DUMMYFUNCTION("""COMPUTED_VALUE"""),"23SDSCV01007")</f>
        <v>23SDSCV01007</v>
      </c>
      <c r="B615" s="43" t="str">
        <f ca="1">IFERROR(__xludf.DUMMYFUNCTION("""COMPUTED_VALUE"""),"PARMAR AKASH GOVINDBHAI")</f>
        <v>PARMAR AKASH GOVINDBHAI</v>
      </c>
      <c r="C615" s="42" t="str">
        <f ca="1">IFERROR(__xludf.DUMMYFUNCTION("""COMPUTED_VALUE"""),"SDS")</f>
        <v>SDS</v>
      </c>
      <c r="D615" s="42" t="str">
        <f ca="1">IFERROR(__xludf.DUMMYFUNCTION("""COMPUTED_VALUE"""),"DCV")</f>
        <v>DCV</v>
      </c>
      <c r="E615" s="44">
        <f ca="1">IFERROR(__xludf.DUMMYFUNCTION("""COMPUTED_VALUE"""),2)</f>
        <v>2</v>
      </c>
      <c r="F615" s="42" t="str">
        <f ca="1">IFERROR(__xludf.DUMMYFUNCTION("""COMPUTED_VALUE"""),"8780083783 9825619875")</f>
        <v>8780083783 9825619875</v>
      </c>
      <c r="G615" s="42" t="str">
        <f ca="1">IFERROR(__xludf.DUMMYFUNCTION("""COMPUTED_VALUE"""),"8780083783 9825619875")</f>
        <v>8780083783 9825619875</v>
      </c>
      <c r="H615" s="2" t="str">
        <f ca="1">IFERROR(__xludf.DUMMYFUNCTION("""COMPUTED_VALUE"""),"DCV_2023-26")</f>
        <v>DCV_2023-26</v>
      </c>
      <c r="I615" s="45" t="str">
        <f ca="1">IFERROR(__xludf.DUMMYFUNCTION("""COMPUTED_VALUE"""),"FREESHIP CARD")</f>
        <v>FREESHIP CARD</v>
      </c>
      <c r="J615" s="46">
        <f ca="1">IFERROR(__xludf.DUMMYFUNCTION("""COMPUTED_VALUE"""),27500)</f>
        <v>27500</v>
      </c>
      <c r="K615" s="46">
        <f ca="1">IFERROR(__xludf.DUMMYFUNCTION("""COMPUTED_VALUE"""),0)</f>
        <v>0</v>
      </c>
      <c r="L615" s="46">
        <f ca="1">IFERROR(__xludf.DUMMYFUNCTION("""COMPUTED_VALUE"""),0)</f>
        <v>0</v>
      </c>
      <c r="M615" s="47">
        <f ca="1">IFERROR(__xludf.DUMMYFUNCTION("""COMPUTED_VALUE"""),0)</f>
        <v>0</v>
      </c>
      <c r="N615" s="46">
        <f ca="1">IFERROR(__xludf.DUMMYFUNCTION("""COMPUTED_VALUE"""),27500)</f>
        <v>27500</v>
      </c>
      <c r="O615" s="46">
        <f ca="1">IFERROR(__xludf.DUMMYFUNCTION("""COMPUTED_VALUE"""),3000)</f>
        <v>3000</v>
      </c>
      <c r="P615" s="46">
        <f ca="1">IFERROR(__xludf.DUMMYFUNCTION("""COMPUTED_VALUE"""),3000)</f>
        <v>3000</v>
      </c>
      <c r="Q615" s="47">
        <f ca="1">IFERROR(__xludf.DUMMYFUNCTION("""COMPUTED_VALUE"""),0)</f>
        <v>0</v>
      </c>
      <c r="R615" s="24">
        <f ca="1">IFERROR(__xludf.DUMMYFUNCTION("""COMPUTED_VALUE"""),0)</f>
        <v>0</v>
      </c>
      <c r="S615" s="23">
        <f ca="1">IFERROR(__xludf.DUMMYFUNCTION("""COMPUTED_VALUE"""),0)</f>
        <v>0</v>
      </c>
      <c r="T615" s="48">
        <f ca="1">IFERROR(__xludf.DUMMYFUNCTION("""COMPUTED_VALUE"""),0)</f>
        <v>0</v>
      </c>
      <c r="U615" s="47">
        <f ca="1">IFERROR(__xludf.DUMMYFUNCTION("""COMPUTED_VALUE"""),0)</f>
        <v>0</v>
      </c>
      <c r="V615" s="47">
        <f ca="1">IFERROR(__xludf.DUMMYFUNCTION("""COMPUTED_VALUE"""),0)</f>
        <v>0</v>
      </c>
      <c r="W615" s="47">
        <f ca="1">IFERROR(__xludf.DUMMYFUNCTION("""COMPUTED_VALUE"""),0)</f>
        <v>0</v>
      </c>
      <c r="X615" s="47">
        <f ca="1">IFERROR(__xludf.DUMMYFUNCTION("""COMPUTED_VALUE"""),0)</f>
        <v>0</v>
      </c>
      <c r="Y615" s="44">
        <f ca="1">IFERROR(__xludf.DUMMYFUNCTION("""COMPUTED_VALUE"""),0)</f>
        <v>0</v>
      </c>
      <c r="Z615" s="44">
        <f ca="1">IFERROR(__xludf.DUMMYFUNCTION("""COMPUTED_VALUE"""),0)</f>
        <v>0</v>
      </c>
      <c r="AA615" s="44">
        <f ca="1">IFERROR(__xludf.DUMMYFUNCTION("""COMPUTED_VALUE"""),0)</f>
        <v>0</v>
      </c>
      <c r="AB615" s="44">
        <f ca="1">IFERROR(__xludf.DUMMYFUNCTION("""COMPUTED_VALUE"""),0)</f>
        <v>0</v>
      </c>
      <c r="AC615" s="47">
        <f ca="1">IFERROR(__xludf.DUMMYFUNCTION("""COMPUTED_VALUE"""),0)</f>
        <v>0</v>
      </c>
      <c r="AD615" s="49"/>
      <c r="AE615" s="27"/>
    </row>
    <row r="616" spans="1:31" ht="14.3">
      <c r="A616" s="42" t="str">
        <f ca="1">IFERROR(__xludf.DUMMYFUNCTION("""COMPUTED_VALUE"""),"23SDSCV01008")</f>
        <v>23SDSCV01008</v>
      </c>
      <c r="B616" s="43" t="str">
        <f ca="1">IFERROR(__xludf.DUMMYFUNCTION("""COMPUTED_VALUE"""),"SAKARIYA PARTH MANDEEPBHAI")</f>
        <v>SAKARIYA PARTH MANDEEPBHAI</v>
      </c>
      <c r="C616" s="42" t="str">
        <f ca="1">IFERROR(__xludf.DUMMYFUNCTION("""COMPUTED_VALUE"""),"SDS")</f>
        <v>SDS</v>
      </c>
      <c r="D616" s="42" t="str">
        <f ca="1">IFERROR(__xludf.DUMMYFUNCTION("""COMPUTED_VALUE"""),"DCV")</f>
        <v>DCV</v>
      </c>
      <c r="E616" s="44">
        <f ca="1">IFERROR(__xludf.DUMMYFUNCTION("""COMPUTED_VALUE"""),2)</f>
        <v>2</v>
      </c>
      <c r="F616" s="42" t="str">
        <f ca="1">IFERROR(__xludf.DUMMYFUNCTION("""COMPUTED_VALUE"""),"9316303919 9099084252")</f>
        <v>9316303919 9099084252</v>
      </c>
      <c r="G616" s="42" t="str">
        <f ca="1">IFERROR(__xludf.DUMMYFUNCTION("""COMPUTED_VALUE"""),"9316303919 9099084252")</f>
        <v>9316303919 9099084252</v>
      </c>
      <c r="H616" s="2" t="str">
        <f ca="1">IFERROR(__xludf.DUMMYFUNCTION("""COMPUTED_VALUE"""),"DCV_2023-26")</f>
        <v>DCV_2023-26</v>
      </c>
      <c r="I616" s="45" t="str">
        <f ca="1">IFERROR(__xludf.DUMMYFUNCTION("""COMPUTED_VALUE"""),"KSP")</f>
        <v>KSP</v>
      </c>
      <c r="J616" s="46">
        <f ca="1">IFERROR(__xludf.DUMMYFUNCTION("""COMPUTED_VALUE"""),27500)</f>
        <v>27500</v>
      </c>
      <c r="K616" s="46">
        <f ca="1">IFERROR(__xludf.DUMMYFUNCTION("""COMPUTED_VALUE"""),15000)</f>
        <v>15000</v>
      </c>
      <c r="L616" s="46">
        <f ca="1">IFERROR(__xludf.DUMMYFUNCTION("""COMPUTED_VALUE"""),0)</f>
        <v>0</v>
      </c>
      <c r="M616" s="47">
        <f ca="1">IFERROR(__xludf.DUMMYFUNCTION("""COMPUTED_VALUE"""),12500)</f>
        <v>12500</v>
      </c>
      <c r="N616" s="46">
        <f ca="1">IFERROR(__xludf.DUMMYFUNCTION("""COMPUTED_VALUE"""),0)</f>
        <v>0</v>
      </c>
      <c r="O616" s="46">
        <f ca="1">IFERROR(__xludf.DUMMYFUNCTION("""COMPUTED_VALUE"""),3000)</f>
        <v>3000</v>
      </c>
      <c r="P616" s="46">
        <f ca="1">IFERROR(__xludf.DUMMYFUNCTION("""COMPUTED_VALUE"""),3000)</f>
        <v>3000</v>
      </c>
      <c r="Q616" s="47">
        <f ca="1">IFERROR(__xludf.DUMMYFUNCTION("""COMPUTED_VALUE"""),0)</f>
        <v>0</v>
      </c>
      <c r="R616" s="24">
        <f ca="1">IFERROR(__xludf.DUMMYFUNCTION("""COMPUTED_VALUE"""),0)</f>
        <v>0</v>
      </c>
      <c r="S616" s="23">
        <f ca="1">IFERROR(__xludf.DUMMYFUNCTION("""COMPUTED_VALUE"""),0)</f>
        <v>0</v>
      </c>
      <c r="T616" s="48">
        <f ca="1">IFERROR(__xludf.DUMMYFUNCTION("""COMPUTED_VALUE"""),0)</f>
        <v>0</v>
      </c>
      <c r="U616" s="47">
        <f ca="1">IFERROR(__xludf.DUMMYFUNCTION("""COMPUTED_VALUE"""),0)</f>
        <v>0</v>
      </c>
      <c r="V616" s="47">
        <f ca="1">IFERROR(__xludf.DUMMYFUNCTION("""COMPUTED_VALUE"""),0)</f>
        <v>0</v>
      </c>
      <c r="W616" s="47">
        <f ca="1">IFERROR(__xludf.DUMMYFUNCTION("""COMPUTED_VALUE"""),0)</f>
        <v>0</v>
      </c>
      <c r="X616" s="47">
        <f ca="1">IFERROR(__xludf.DUMMYFUNCTION("""COMPUTED_VALUE"""),0)</f>
        <v>0</v>
      </c>
      <c r="Y616" s="44">
        <f ca="1">IFERROR(__xludf.DUMMYFUNCTION("""COMPUTED_VALUE"""),0)</f>
        <v>0</v>
      </c>
      <c r="Z616" s="44">
        <f ca="1">IFERROR(__xludf.DUMMYFUNCTION("""COMPUTED_VALUE"""),0)</f>
        <v>0</v>
      </c>
      <c r="AA616" s="44">
        <f ca="1">IFERROR(__xludf.DUMMYFUNCTION("""COMPUTED_VALUE"""),0)</f>
        <v>0</v>
      </c>
      <c r="AB616" s="44">
        <f ca="1">IFERROR(__xludf.DUMMYFUNCTION("""COMPUTED_VALUE"""),0)</f>
        <v>0</v>
      </c>
      <c r="AC616" s="47">
        <f ca="1">IFERROR(__xludf.DUMMYFUNCTION("""COMPUTED_VALUE"""),0)</f>
        <v>0</v>
      </c>
      <c r="AD616" s="49" t="str">
        <f ca="1">IFERROR(__xludf.DUMMYFUNCTION("""COMPUTED_VALUE"""),"KSPS ( 12500/- )")</f>
        <v>KSPS ( 12500/- )</v>
      </c>
      <c r="AE616" s="27"/>
    </row>
    <row r="617" spans="1:31" ht="14.3">
      <c r="A617" s="42" t="str">
        <f ca="1">IFERROR(__xludf.DUMMYFUNCTION("""COMPUTED_VALUE"""),"23SDSCV01009")</f>
        <v>23SDSCV01009</v>
      </c>
      <c r="B617" s="43" t="str">
        <f ca="1">IFERROR(__xludf.DUMMYFUNCTION("""COMPUTED_VALUE"""),"SHELADIYA HEMANSHU PRAVINBHAI")</f>
        <v>SHELADIYA HEMANSHU PRAVINBHAI</v>
      </c>
      <c r="C617" s="42" t="str">
        <f ca="1">IFERROR(__xludf.DUMMYFUNCTION("""COMPUTED_VALUE"""),"SDS")</f>
        <v>SDS</v>
      </c>
      <c r="D617" s="42" t="str">
        <f ca="1">IFERROR(__xludf.DUMMYFUNCTION("""COMPUTED_VALUE"""),"DCV")</f>
        <v>DCV</v>
      </c>
      <c r="E617" s="44">
        <f ca="1">IFERROR(__xludf.DUMMYFUNCTION("""COMPUTED_VALUE"""),2)</f>
        <v>2</v>
      </c>
      <c r="F617" s="42" t="str">
        <f ca="1">IFERROR(__xludf.DUMMYFUNCTION("""COMPUTED_VALUE"""),"9427277012 9687352002 9824549768")</f>
        <v>9427277012 9687352002 9824549768</v>
      </c>
      <c r="G617" s="42" t="str">
        <f ca="1">IFERROR(__xludf.DUMMYFUNCTION("""COMPUTED_VALUE"""),"9427277012 9687352002 9824549768")</f>
        <v>9427277012 9687352002 9824549768</v>
      </c>
      <c r="H617" s="2" t="str">
        <f ca="1">IFERROR(__xludf.DUMMYFUNCTION("""COMPUTED_VALUE"""),"DCV_2023-26")</f>
        <v>DCV_2023-26</v>
      </c>
      <c r="I617" s="45"/>
      <c r="J617" s="46">
        <f ca="1">IFERROR(__xludf.DUMMYFUNCTION("""COMPUTED_VALUE"""),27500)</f>
        <v>27500</v>
      </c>
      <c r="K617" s="46">
        <f ca="1">IFERROR(__xludf.DUMMYFUNCTION("""COMPUTED_VALUE"""),27500)</f>
        <v>27500</v>
      </c>
      <c r="L617" s="46">
        <f ca="1">IFERROR(__xludf.DUMMYFUNCTION("""COMPUTED_VALUE"""),0)</f>
        <v>0</v>
      </c>
      <c r="M617" s="47">
        <f ca="1">IFERROR(__xludf.DUMMYFUNCTION("""COMPUTED_VALUE"""),0)</f>
        <v>0</v>
      </c>
      <c r="N617" s="46">
        <f ca="1">IFERROR(__xludf.DUMMYFUNCTION("""COMPUTED_VALUE"""),0)</f>
        <v>0</v>
      </c>
      <c r="O617" s="46">
        <f ca="1">IFERROR(__xludf.DUMMYFUNCTION("""COMPUTED_VALUE"""),3000)</f>
        <v>3000</v>
      </c>
      <c r="P617" s="46">
        <f ca="1">IFERROR(__xludf.DUMMYFUNCTION("""COMPUTED_VALUE"""),3000)</f>
        <v>3000</v>
      </c>
      <c r="Q617" s="47">
        <f ca="1">IFERROR(__xludf.DUMMYFUNCTION("""COMPUTED_VALUE"""),0)</f>
        <v>0</v>
      </c>
      <c r="R617" s="24">
        <f ca="1">IFERROR(__xludf.DUMMYFUNCTION("""COMPUTED_VALUE"""),0)</f>
        <v>0</v>
      </c>
      <c r="S617" s="23">
        <f ca="1">IFERROR(__xludf.DUMMYFUNCTION("""COMPUTED_VALUE"""),0)</f>
        <v>0</v>
      </c>
      <c r="T617" s="48">
        <f ca="1">IFERROR(__xludf.DUMMYFUNCTION("""COMPUTED_VALUE"""),0)</f>
        <v>0</v>
      </c>
      <c r="U617" s="47">
        <f ca="1">IFERROR(__xludf.DUMMYFUNCTION("""COMPUTED_VALUE"""),0)</f>
        <v>0</v>
      </c>
      <c r="V617" s="47">
        <f ca="1">IFERROR(__xludf.DUMMYFUNCTION("""COMPUTED_VALUE"""),0)</f>
        <v>0</v>
      </c>
      <c r="W617" s="47">
        <f ca="1">IFERROR(__xludf.DUMMYFUNCTION("""COMPUTED_VALUE"""),0)</f>
        <v>0</v>
      </c>
      <c r="X617" s="47">
        <f ca="1">IFERROR(__xludf.DUMMYFUNCTION("""COMPUTED_VALUE"""),0)</f>
        <v>0</v>
      </c>
      <c r="Y617" s="44">
        <f ca="1">IFERROR(__xludf.DUMMYFUNCTION("""COMPUTED_VALUE"""),0)</f>
        <v>0</v>
      </c>
      <c r="Z617" s="44">
        <f ca="1">IFERROR(__xludf.DUMMYFUNCTION("""COMPUTED_VALUE"""),0)</f>
        <v>0</v>
      </c>
      <c r="AA617" s="44">
        <f ca="1">IFERROR(__xludf.DUMMYFUNCTION("""COMPUTED_VALUE"""),0)</f>
        <v>0</v>
      </c>
      <c r="AB617" s="44">
        <f ca="1">IFERROR(__xludf.DUMMYFUNCTION("""COMPUTED_VALUE"""),0)</f>
        <v>0</v>
      </c>
      <c r="AC617" s="47">
        <f ca="1">IFERROR(__xludf.DUMMYFUNCTION("""COMPUTED_VALUE"""),0)</f>
        <v>0</v>
      </c>
      <c r="AD617" s="49"/>
      <c r="AE617" s="27"/>
    </row>
    <row r="618" spans="1:31" ht="14.3">
      <c r="A618" s="42" t="str">
        <f ca="1">IFERROR(__xludf.DUMMYFUNCTION("""COMPUTED_VALUE"""),"23SDSCV01010")</f>
        <v>23SDSCV01010</v>
      </c>
      <c r="B618" s="43" t="str">
        <f ca="1">IFERROR(__xludf.DUMMYFUNCTION("""COMPUTED_VALUE"""),"VALA JAYDEEP DHIRUBHAI")</f>
        <v>VALA JAYDEEP DHIRUBHAI</v>
      </c>
      <c r="C618" s="42" t="str">
        <f ca="1">IFERROR(__xludf.DUMMYFUNCTION("""COMPUTED_VALUE"""),"SDS")</f>
        <v>SDS</v>
      </c>
      <c r="D618" s="42" t="str">
        <f ca="1">IFERROR(__xludf.DUMMYFUNCTION("""COMPUTED_VALUE"""),"DCV")</f>
        <v>DCV</v>
      </c>
      <c r="E618" s="44">
        <f ca="1">IFERROR(__xludf.DUMMYFUNCTION("""COMPUTED_VALUE"""),2)</f>
        <v>2</v>
      </c>
      <c r="F618" s="42" t="str">
        <f ca="1">IFERROR(__xludf.DUMMYFUNCTION("""COMPUTED_VALUE"""),"8849993464 9638493901")</f>
        <v>8849993464 9638493901</v>
      </c>
      <c r="G618" s="42" t="str">
        <f ca="1">IFERROR(__xludf.DUMMYFUNCTION("""COMPUTED_VALUE"""),"8849993464 9638493901")</f>
        <v>8849993464 9638493901</v>
      </c>
      <c r="H618" s="2" t="str">
        <f ca="1">IFERROR(__xludf.DUMMYFUNCTION("""COMPUTED_VALUE"""),"DCV_2023-26")</f>
        <v>DCV_2023-26</v>
      </c>
      <c r="I618" s="45"/>
      <c r="J618" s="46">
        <f ca="1">IFERROR(__xludf.DUMMYFUNCTION("""COMPUTED_VALUE"""),27500)</f>
        <v>27500</v>
      </c>
      <c r="K618" s="46">
        <f ca="1">IFERROR(__xludf.DUMMYFUNCTION("""COMPUTED_VALUE"""),27500)</f>
        <v>27500</v>
      </c>
      <c r="L618" s="46">
        <f ca="1">IFERROR(__xludf.DUMMYFUNCTION("""COMPUTED_VALUE"""),0)</f>
        <v>0</v>
      </c>
      <c r="M618" s="47">
        <f ca="1">IFERROR(__xludf.DUMMYFUNCTION("""COMPUTED_VALUE"""),0)</f>
        <v>0</v>
      </c>
      <c r="N618" s="46">
        <f ca="1">IFERROR(__xludf.DUMMYFUNCTION("""COMPUTED_VALUE"""),0)</f>
        <v>0</v>
      </c>
      <c r="O618" s="46">
        <f ca="1">IFERROR(__xludf.DUMMYFUNCTION("""COMPUTED_VALUE"""),3000)</f>
        <v>3000</v>
      </c>
      <c r="P618" s="46">
        <f ca="1">IFERROR(__xludf.DUMMYFUNCTION("""COMPUTED_VALUE"""),3000)</f>
        <v>3000</v>
      </c>
      <c r="Q618" s="47">
        <f ca="1">IFERROR(__xludf.DUMMYFUNCTION("""COMPUTED_VALUE"""),0)</f>
        <v>0</v>
      </c>
      <c r="R618" s="24">
        <f ca="1">IFERROR(__xludf.DUMMYFUNCTION("""COMPUTED_VALUE"""),0)</f>
        <v>0</v>
      </c>
      <c r="S618" s="23">
        <f ca="1">IFERROR(__xludf.DUMMYFUNCTION("""COMPUTED_VALUE"""),0)</f>
        <v>0</v>
      </c>
      <c r="T618" s="48">
        <f ca="1">IFERROR(__xludf.DUMMYFUNCTION("""COMPUTED_VALUE"""),0)</f>
        <v>0</v>
      </c>
      <c r="U618" s="47">
        <f ca="1">IFERROR(__xludf.DUMMYFUNCTION("""COMPUTED_VALUE"""),0)</f>
        <v>0</v>
      </c>
      <c r="V618" s="47">
        <f ca="1">IFERROR(__xludf.DUMMYFUNCTION("""COMPUTED_VALUE"""),0)</f>
        <v>0</v>
      </c>
      <c r="W618" s="47">
        <f ca="1">IFERROR(__xludf.DUMMYFUNCTION("""COMPUTED_VALUE"""),0)</f>
        <v>0</v>
      </c>
      <c r="X618" s="47">
        <f ca="1">IFERROR(__xludf.DUMMYFUNCTION("""COMPUTED_VALUE"""),0)</f>
        <v>0</v>
      </c>
      <c r="Y618" s="44">
        <f ca="1">IFERROR(__xludf.DUMMYFUNCTION("""COMPUTED_VALUE"""),0)</f>
        <v>0</v>
      </c>
      <c r="Z618" s="44">
        <f ca="1">IFERROR(__xludf.DUMMYFUNCTION("""COMPUTED_VALUE"""),0)</f>
        <v>0</v>
      </c>
      <c r="AA618" s="44">
        <f ca="1">IFERROR(__xludf.DUMMYFUNCTION("""COMPUTED_VALUE"""),0)</f>
        <v>0</v>
      </c>
      <c r="AB618" s="44">
        <f ca="1">IFERROR(__xludf.DUMMYFUNCTION("""COMPUTED_VALUE"""),0)</f>
        <v>0</v>
      </c>
      <c r="AC618" s="47">
        <f ca="1">IFERROR(__xludf.DUMMYFUNCTION("""COMPUTED_VALUE"""),0)</f>
        <v>0</v>
      </c>
      <c r="AD618" s="49"/>
      <c r="AE618" s="27"/>
    </row>
    <row r="619" spans="1:31" ht="14.3">
      <c r="A619" s="42" t="str">
        <f ca="1">IFERROR(__xludf.DUMMYFUNCTION("""COMPUTED_VALUE"""),"23SDSCV01011")</f>
        <v>23SDSCV01011</v>
      </c>
      <c r="B619" s="43" t="str">
        <f ca="1">IFERROR(__xludf.DUMMYFUNCTION("""COMPUTED_VALUE"""),"MARU DARSHAN DHARMSHIBHAI")</f>
        <v>MARU DARSHAN DHARMSHIBHAI</v>
      </c>
      <c r="C619" s="42" t="str">
        <f ca="1">IFERROR(__xludf.DUMMYFUNCTION("""COMPUTED_VALUE"""),"SDS")</f>
        <v>SDS</v>
      </c>
      <c r="D619" s="42" t="str">
        <f ca="1">IFERROR(__xludf.DUMMYFUNCTION("""COMPUTED_VALUE"""),"DCV")</f>
        <v>DCV</v>
      </c>
      <c r="E619" s="44">
        <f ca="1">IFERROR(__xludf.DUMMYFUNCTION("""COMPUTED_VALUE"""),2)</f>
        <v>2</v>
      </c>
      <c r="F619" s="42" t="str">
        <f ca="1">IFERROR(__xludf.DUMMYFUNCTION("""COMPUTED_VALUE"""),"9978467015 9925564402")</f>
        <v>9978467015 9925564402</v>
      </c>
      <c r="G619" s="42" t="str">
        <f ca="1">IFERROR(__xludf.DUMMYFUNCTION("""COMPUTED_VALUE"""),"9978467015 9925564402")</f>
        <v>9978467015 9925564402</v>
      </c>
      <c r="H619" s="2" t="str">
        <f ca="1">IFERROR(__xludf.DUMMYFUNCTION("""COMPUTED_VALUE"""),"DCV_2023-26")</f>
        <v>DCV_2023-26</v>
      </c>
      <c r="I619" s="45"/>
      <c r="J619" s="46">
        <f ca="1">IFERROR(__xludf.DUMMYFUNCTION("""COMPUTED_VALUE"""),27500)</f>
        <v>27500</v>
      </c>
      <c r="K619" s="46">
        <f ca="1">IFERROR(__xludf.DUMMYFUNCTION("""COMPUTED_VALUE"""),0)</f>
        <v>0</v>
      </c>
      <c r="L619" s="46">
        <f ca="1">IFERROR(__xludf.DUMMYFUNCTION("""COMPUTED_VALUE"""),0)</f>
        <v>0</v>
      </c>
      <c r="M619" s="44"/>
      <c r="N619" s="46">
        <f ca="1">IFERROR(__xludf.DUMMYFUNCTION("""COMPUTED_VALUE"""),27500)</f>
        <v>27500</v>
      </c>
      <c r="O619" s="46">
        <f ca="1">IFERROR(__xludf.DUMMYFUNCTION("""COMPUTED_VALUE"""),3000)</f>
        <v>3000</v>
      </c>
      <c r="P619" s="46">
        <f ca="1">IFERROR(__xludf.DUMMYFUNCTION("""COMPUTED_VALUE"""),3000)</f>
        <v>3000</v>
      </c>
      <c r="Q619" s="47">
        <f ca="1">IFERROR(__xludf.DUMMYFUNCTION("""COMPUTED_VALUE"""),0)</f>
        <v>0</v>
      </c>
      <c r="R619" s="24">
        <f ca="1">IFERROR(__xludf.DUMMYFUNCTION("""COMPUTED_VALUE"""),0)</f>
        <v>0</v>
      </c>
      <c r="S619" s="23">
        <f ca="1">IFERROR(__xludf.DUMMYFUNCTION("""COMPUTED_VALUE"""),0)</f>
        <v>0</v>
      </c>
      <c r="T619" s="48">
        <f ca="1">IFERROR(__xludf.DUMMYFUNCTION("""COMPUTED_VALUE"""),0)</f>
        <v>0</v>
      </c>
      <c r="U619" s="47">
        <f ca="1">IFERROR(__xludf.DUMMYFUNCTION("""COMPUTED_VALUE"""),0)</f>
        <v>0</v>
      </c>
      <c r="V619" s="47">
        <f ca="1">IFERROR(__xludf.DUMMYFUNCTION("""COMPUTED_VALUE"""),0)</f>
        <v>0</v>
      </c>
      <c r="W619" s="47">
        <f ca="1">IFERROR(__xludf.DUMMYFUNCTION("""COMPUTED_VALUE"""),0)</f>
        <v>0</v>
      </c>
      <c r="X619" s="47">
        <f ca="1">IFERROR(__xludf.DUMMYFUNCTION("""COMPUTED_VALUE"""),0)</f>
        <v>0</v>
      </c>
      <c r="Y619" s="44">
        <f ca="1">IFERROR(__xludf.DUMMYFUNCTION("""COMPUTED_VALUE"""),0)</f>
        <v>0</v>
      </c>
      <c r="Z619" s="44">
        <f ca="1">IFERROR(__xludf.DUMMYFUNCTION("""COMPUTED_VALUE"""),0)</f>
        <v>0</v>
      </c>
      <c r="AA619" s="44">
        <f ca="1">IFERROR(__xludf.DUMMYFUNCTION("""COMPUTED_VALUE"""),0)</f>
        <v>0</v>
      </c>
      <c r="AB619" s="44">
        <f ca="1">IFERROR(__xludf.DUMMYFUNCTION("""COMPUTED_VALUE"""),0)</f>
        <v>0</v>
      </c>
      <c r="AC619" s="47">
        <f ca="1">IFERROR(__xludf.DUMMYFUNCTION("""COMPUTED_VALUE"""),0)</f>
        <v>0</v>
      </c>
      <c r="AD619" s="49"/>
      <c r="AE619" s="27"/>
    </row>
    <row r="620" spans="1:31" ht="14.3">
      <c r="A620" s="42" t="str">
        <f ca="1">IFERROR(__xludf.DUMMYFUNCTION("""COMPUTED_VALUE"""),"23SDSCV01012")</f>
        <v>23SDSCV01012</v>
      </c>
      <c r="B620" s="43" t="str">
        <f ca="1">IFERROR(__xludf.DUMMYFUNCTION("""COMPUTED_VALUE"""),"SAMA AKSHA IKBALBHAI")</f>
        <v>SAMA AKSHA IKBALBHAI</v>
      </c>
      <c r="C620" s="42" t="str">
        <f ca="1">IFERROR(__xludf.DUMMYFUNCTION("""COMPUTED_VALUE"""),"SDS")</f>
        <v>SDS</v>
      </c>
      <c r="D620" s="42" t="str">
        <f ca="1">IFERROR(__xludf.DUMMYFUNCTION("""COMPUTED_VALUE"""),"DCV")</f>
        <v>DCV</v>
      </c>
      <c r="E620" s="44">
        <f ca="1">IFERROR(__xludf.DUMMYFUNCTION("""COMPUTED_VALUE"""),2)</f>
        <v>2</v>
      </c>
      <c r="F620" s="42" t="str">
        <f ca="1">IFERROR(__xludf.DUMMYFUNCTION("""COMPUTED_VALUE"""),"9825564911 9925237811 9824299078")</f>
        <v>9825564911 9925237811 9824299078</v>
      </c>
      <c r="G620" s="42" t="str">
        <f ca="1">IFERROR(__xludf.DUMMYFUNCTION("""COMPUTED_VALUE"""),"9825564911 9925237811 9824299078")</f>
        <v>9825564911 9925237811 9824299078</v>
      </c>
      <c r="H620" s="2" t="str">
        <f ca="1">IFERROR(__xludf.DUMMYFUNCTION("""COMPUTED_VALUE"""),"DCV_2023-26")</f>
        <v>DCV_2023-26</v>
      </c>
      <c r="I620" s="45" t="str">
        <f ca="1">IFERROR(__xludf.DUMMYFUNCTION("""COMPUTED_VALUE"""),"MYSY")</f>
        <v>MYSY</v>
      </c>
      <c r="J620" s="46">
        <f ca="1">IFERROR(__xludf.DUMMYFUNCTION("""COMPUTED_VALUE"""),27500)</f>
        <v>27500</v>
      </c>
      <c r="K620" s="46">
        <f ca="1">IFERROR(__xludf.DUMMYFUNCTION("""COMPUTED_VALUE"""),12000)</f>
        <v>12000</v>
      </c>
      <c r="L620" s="46">
        <f ca="1">IFERROR(__xludf.DUMMYFUNCTION("""COMPUTED_VALUE"""),15500)</f>
        <v>15500</v>
      </c>
      <c r="M620" s="47">
        <f ca="1">IFERROR(__xludf.DUMMYFUNCTION("""COMPUTED_VALUE"""),0)</f>
        <v>0</v>
      </c>
      <c r="N620" s="46">
        <f ca="1">IFERROR(__xludf.DUMMYFUNCTION("""COMPUTED_VALUE"""),15500)</f>
        <v>15500</v>
      </c>
      <c r="O620" s="46">
        <f ca="1">IFERROR(__xludf.DUMMYFUNCTION("""COMPUTED_VALUE"""),3000)</f>
        <v>3000</v>
      </c>
      <c r="P620" s="46">
        <f ca="1">IFERROR(__xludf.DUMMYFUNCTION("""COMPUTED_VALUE"""),3000)</f>
        <v>3000</v>
      </c>
      <c r="Q620" s="47">
        <f ca="1">IFERROR(__xludf.DUMMYFUNCTION("""COMPUTED_VALUE"""),0)</f>
        <v>0</v>
      </c>
      <c r="R620" s="24">
        <f ca="1">IFERROR(__xludf.DUMMYFUNCTION("""COMPUTED_VALUE"""),0)</f>
        <v>0</v>
      </c>
      <c r="S620" s="23">
        <f ca="1">IFERROR(__xludf.DUMMYFUNCTION("""COMPUTED_VALUE"""),0)</f>
        <v>0</v>
      </c>
      <c r="T620" s="48">
        <f ca="1">IFERROR(__xludf.DUMMYFUNCTION("""COMPUTED_VALUE"""),0)</f>
        <v>0</v>
      </c>
      <c r="U620" s="47">
        <f ca="1">IFERROR(__xludf.DUMMYFUNCTION("""COMPUTED_VALUE"""),0)</f>
        <v>0</v>
      </c>
      <c r="V620" s="47">
        <f ca="1">IFERROR(__xludf.DUMMYFUNCTION("""COMPUTED_VALUE"""),0)</f>
        <v>0</v>
      </c>
      <c r="W620" s="47">
        <f ca="1">IFERROR(__xludf.DUMMYFUNCTION("""COMPUTED_VALUE"""),0)</f>
        <v>0</v>
      </c>
      <c r="X620" s="47">
        <f ca="1">IFERROR(__xludf.DUMMYFUNCTION("""COMPUTED_VALUE"""),0)</f>
        <v>0</v>
      </c>
      <c r="Y620" s="44">
        <f ca="1">IFERROR(__xludf.DUMMYFUNCTION("""COMPUTED_VALUE"""),0)</f>
        <v>0</v>
      </c>
      <c r="Z620" s="44">
        <f ca="1">IFERROR(__xludf.DUMMYFUNCTION("""COMPUTED_VALUE"""),0)</f>
        <v>0</v>
      </c>
      <c r="AA620" s="44">
        <f ca="1">IFERROR(__xludf.DUMMYFUNCTION("""COMPUTED_VALUE"""),0)</f>
        <v>0</v>
      </c>
      <c r="AB620" s="44">
        <f ca="1">IFERROR(__xludf.DUMMYFUNCTION("""COMPUTED_VALUE"""),0)</f>
        <v>0</v>
      </c>
      <c r="AC620" s="47">
        <f ca="1">IFERROR(__xludf.DUMMYFUNCTION("""COMPUTED_VALUE"""),0)</f>
        <v>0</v>
      </c>
      <c r="AD620" s="49" t="str">
        <f ca="1">IFERROR(__xludf.DUMMYFUNCTION("""COMPUTED_VALUE"""),"MYSY (25000/-)	KSPS ( 12500/- )")</f>
        <v>MYSY (25000/-)	KSPS ( 12500/- )</v>
      </c>
      <c r="AE620" s="27"/>
    </row>
    <row r="621" spans="1:31" ht="14.3">
      <c r="A621" s="42" t="str">
        <f ca="1">IFERROR(__xludf.DUMMYFUNCTION("""COMPUTED_VALUE"""),"23SDSCV01013")</f>
        <v>23SDSCV01013</v>
      </c>
      <c r="B621" s="43" t="str">
        <f ca="1">IFERROR(__xludf.DUMMYFUNCTION("""COMPUTED_VALUE"""),"ANSHU KUMARI")</f>
        <v>ANSHU KUMARI</v>
      </c>
      <c r="C621" s="42" t="str">
        <f ca="1">IFERROR(__xludf.DUMMYFUNCTION("""COMPUTED_VALUE"""),"SDS")</f>
        <v>SDS</v>
      </c>
      <c r="D621" s="42" t="str">
        <f ca="1">IFERROR(__xludf.DUMMYFUNCTION("""COMPUTED_VALUE"""),"DCV")</f>
        <v>DCV</v>
      </c>
      <c r="E621" s="44">
        <f ca="1">IFERROR(__xludf.DUMMYFUNCTION("""COMPUTED_VALUE"""),2)</f>
        <v>2</v>
      </c>
      <c r="F621" s="42" t="str">
        <f ca="1">IFERROR(__xludf.DUMMYFUNCTION("""COMPUTED_VALUE"""),"BIHAR STUDENT")</f>
        <v>BIHAR STUDENT</v>
      </c>
      <c r="G621" s="42" t="str">
        <f ca="1">IFERROR(__xludf.DUMMYFUNCTION("""COMPUTED_VALUE"""),"BIHAR STUDENT")</f>
        <v>BIHAR STUDENT</v>
      </c>
      <c r="H621" s="2" t="str">
        <f ca="1">IFERROR(__xludf.DUMMYFUNCTION("""COMPUTED_VALUE"""),"DCV_2023-26")</f>
        <v>DCV_2023-26</v>
      </c>
      <c r="I621" s="45"/>
      <c r="J621" s="46">
        <f ca="1">IFERROR(__xludf.DUMMYFUNCTION("""COMPUTED_VALUE"""),0)</f>
        <v>0</v>
      </c>
      <c r="K621" s="46">
        <f ca="1">IFERROR(__xludf.DUMMYFUNCTION("""COMPUTED_VALUE"""),0)</f>
        <v>0</v>
      </c>
      <c r="L621" s="46">
        <f ca="1">IFERROR(__xludf.DUMMYFUNCTION("""COMPUTED_VALUE"""),0)</f>
        <v>0</v>
      </c>
      <c r="M621" s="47">
        <f ca="1">IFERROR(__xludf.DUMMYFUNCTION("""COMPUTED_VALUE"""),0)</f>
        <v>0</v>
      </c>
      <c r="N621" s="46">
        <f ca="1">IFERROR(__xludf.DUMMYFUNCTION("""COMPUTED_VALUE"""),0)</f>
        <v>0</v>
      </c>
      <c r="O621" s="46">
        <f ca="1">IFERROR(__xludf.DUMMYFUNCTION("""COMPUTED_VALUE"""),0)</f>
        <v>0</v>
      </c>
      <c r="P621" s="46">
        <f ca="1">IFERROR(__xludf.DUMMYFUNCTION("""COMPUTED_VALUE"""),0)</f>
        <v>0</v>
      </c>
      <c r="Q621" s="47">
        <f ca="1">IFERROR(__xludf.DUMMYFUNCTION("""COMPUTED_VALUE"""),0)</f>
        <v>0</v>
      </c>
      <c r="R621" s="24">
        <f ca="1">IFERROR(__xludf.DUMMYFUNCTION("""COMPUTED_VALUE"""),0)</f>
        <v>0</v>
      </c>
      <c r="S621" s="23">
        <f ca="1">IFERROR(__xludf.DUMMYFUNCTION("""COMPUTED_VALUE"""),0)</f>
        <v>0</v>
      </c>
      <c r="T621" s="48">
        <f ca="1">IFERROR(__xludf.DUMMYFUNCTION("""COMPUTED_VALUE"""),0)</f>
        <v>0</v>
      </c>
      <c r="U621" s="47">
        <f ca="1">IFERROR(__xludf.DUMMYFUNCTION("""COMPUTED_VALUE"""),0)</f>
        <v>0</v>
      </c>
      <c r="V621" s="47">
        <f ca="1">IFERROR(__xludf.DUMMYFUNCTION("""COMPUTED_VALUE"""),0)</f>
        <v>0</v>
      </c>
      <c r="W621" s="47">
        <f ca="1">IFERROR(__xludf.DUMMYFUNCTION("""COMPUTED_VALUE"""),0)</f>
        <v>0</v>
      </c>
      <c r="X621" s="47">
        <f ca="1">IFERROR(__xludf.DUMMYFUNCTION("""COMPUTED_VALUE"""),0)</f>
        <v>0</v>
      </c>
      <c r="Y621" s="44">
        <f ca="1">IFERROR(__xludf.DUMMYFUNCTION("""COMPUTED_VALUE"""),0)</f>
        <v>0</v>
      </c>
      <c r="Z621" s="44">
        <f ca="1">IFERROR(__xludf.DUMMYFUNCTION("""COMPUTED_VALUE"""),0)</f>
        <v>0</v>
      </c>
      <c r="AA621" s="44">
        <f ca="1">IFERROR(__xludf.DUMMYFUNCTION("""COMPUTED_VALUE"""),0)</f>
        <v>0</v>
      </c>
      <c r="AB621" s="44">
        <f ca="1">IFERROR(__xludf.DUMMYFUNCTION("""COMPUTED_VALUE"""),0)</f>
        <v>0</v>
      </c>
      <c r="AC621" s="47">
        <f ca="1">IFERROR(__xludf.DUMMYFUNCTION("""COMPUTED_VALUE"""),0)</f>
        <v>0</v>
      </c>
      <c r="AD621" s="49"/>
      <c r="AE621" s="27"/>
    </row>
    <row r="622" spans="1:31" ht="14.3">
      <c r="A622" s="42" t="str">
        <f ca="1">IFERROR(__xludf.DUMMYFUNCTION("""COMPUTED_VALUE"""),"23SDSCV01602")</f>
        <v>23SDSCV01602</v>
      </c>
      <c r="B622" s="43" t="str">
        <f ca="1">IFERROR(__xludf.DUMMYFUNCTION("""COMPUTED_VALUE"""),"RAM NATH RAY")</f>
        <v>RAM NATH RAY</v>
      </c>
      <c r="C622" s="42" t="str">
        <f ca="1">IFERROR(__xludf.DUMMYFUNCTION("""COMPUTED_VALUE"""),"SDS")</f>
        <v>SDS</v>
      </c>
      <c r="D622" s="42" t="str">
        <f ca="1">IFERROR(__xludf.DUMMYFUNCTION("""COMPUTED_VALUE"""),"DCV")</f>
        <v>DCV</v>
      </c>
      <c r="E622" s="44">
        <f ca="1">IFERROR(__xludf.DUMMYFUNCTION("""COMPUTED_VALUE"""),2)</f>
        <v>2</v>
      </c>
      <c r="F622" s="42" t="str">
        <f ca="1">IFERROR(__xludf.DUMMYFUNCTION("""COMPUTED_VALUE"""),"INTERNATIONAL")</f>
        <v>INTERNATIONAL</v>
      </c>
      <c r="G622" s="42" t="str">
        <f ca="1">IFERROR(__xludf.DUMMYFUNCTION("""COMPUTED_VALUE"""),"INR FEE STUDENT")</f>
        <v>INR FEE STUDENT</v>
      </c>
      <c r="H622" s="2" t="str">
        <f ca="1">IFERROR(__xludf.DUMMYFUNCTION("""COMPUTED_VALUE"""),"DCV_2023-26")</f>
        <v>DCV_2023-26</v>
      </c>
      <c r="I622" s="45"/>
      <c r="J622" s="46">
        <f ca="1">IFERROR(__xludf.DUMMYFUNCTION("""COMPUTED_VALUE"""),0)</f>
        <v>0</v>
      </c>
      <c r="K622" s="46">
        <f ca="1">IFERROR(__xludf.DUMMYFUNCTION("""COMPUTED_VALUE"""),0)</f>
        <v>0</v>
      </c>
      <c r="L622" s="46">
        <f ca="1">IFERROR(__xludf.DUMMYFUNCTION("""COMPUTED_VALUE"""),0)</f>
        <v>0</v>
      </c>
      <c r="M622" s="47">
        <f ca="1">IFERROR(__xludf.DUMMYFUNCTION("""COMPUTED_VALUE"""),0)</f>
        <v>0</v>
      </c>
      <c r="N622" s="46">
        <f ca="1">IFERROR(__xludf.DUMMYFUNCTION("""COMPUTED_VALUE"""),0)</f>
        <v>0</v>
      </c>
      <c r="O622" s="46">
        <f ca="1">IFERROR(__xludf.DUMMYFUNCTION("""COMPUTED_VALUE"""),0)</f>
        <v>0</v>
      </c>
      <c r="P622" s="46">
        <f ca="1">IFERROR(__xludf.DUMMYFUNCTION("""COMPUTED_VALUE"""),0)</f>
        <v>0</v>
      </c>
      <c r="Q622" s="47">
        <f ca="1">IFERROR(__xludf.DUMMYFUNCTION("""COMPUTED_VALUE"""),0)</f>
        <v>0</v>
      </c>
      <c r="R622" s="24">
        <f ca="1">IFERROR(__xludf.DUMMYFUNCTION("""COMPUTED_VALUE"""),0)</f>
        <v>0</v>
      </c>
      <c r="S622" s="23">
        <f ca="1">IFERROR(__xludf.DUMMYFUNCTION("""COMPUTED_VALUE"""),0)</f>
        <v>0</v>
      </c>
      <c r="T622" s="48">
        <f ca="1">IFERROR(__xludf.DUMMYFUNCTION("""COMPUTED_VALUE"""),0)</f>
        <v>0</v>
      </c>
      <c r="U622" s="47">
        <f ca="1">IFERROR(__xludf.DUMMYFUNCTION("""COMPUTED_VALUE"""),0)</f>
        <v>0</v>
      </c>
      <c r="V622" s="47">
        <f ca="1">IFERROR(__xludf.DUMMYFUNCTION("""COMPUTED_VALUE"""),0)</f>
        <v>0</v>
      </c>
      <c r="W622" s="47">
        <f ca="1">IFERROR(__xludf.DUMMYFUNCTION("""COMPUTED_VALUE"""),0)</f>
        <v>0</v>
      </c>
      <c r="X622" s="47">
        <f ca="1">IFERROR(__xludf.DUMMYFUNCTION("""COMPUTED_VALUE"""),0)</f>
        <v>0</v>
      </c>
      <c r="Y622" s="44">
        <f ca="1">IFERROR(__xludf.DUMMYFUNCTION("""COMPUTED_VALUE"""),0)</f>
        <v>0</v>
      </c>
      <c r="Z622" s="44">
        <f ca="1">IFERROR(__xludf.DUMMYFUNCTION("""COMPUTED_VALUE"""),0)</f>
        <v>0</v>
      </c>
      <c r="AA622" s="44">
        <f ca="1">IFERROR(__xludf.DUMMYFUNCTION("""COMPUTED_VALUE"""),0)</f>
        <v>0</v>
      </c>
      <c r="AB622" s="44">
        <f ca="1">IFERROR(__xludf.DUMMYFUNCTION("""COMPUTED_VALUE"""),0)</f>
        <v>0</v>
      </c>
      <c r="AC622" s="47">
        <f ca="1">IFERROR(__xludf.DUMMYFUNCTION("""COMPUTED_VALUE"""),0)</f>
        <v>0</v>
      </c>
      <c r="AD622" s="49"/>
      <c r="AE622" s="27"/>
    </row>
    <row r="623" spans="1:31" ht="14.3">
      <c r="A623" s="42" t="str">
        <f ca="1">IFERROR(__xludf.DUMMYFUNCTION("""COMPUTED_VALUE"""),"23SDSCV01601")</f>
        <v>23SDSCV01601</v>
      </c>
      <c r="B623" s="43" t="str">
        <f ca="1">IFERROR(__xludf.DUMMYFUNCTION("""COMPUTED_VALUE"""),"CHANDAN KUMAR YADAV")</f>
        <v>CHANDAN KUMAR YADAV</v>
      </c>
      <c r="C623" s="42" t="str">
        <f ca="1">IFERROR(__xludf.DUMMYFUNCTION("""COMPUTED_VALUE"""),"SDS")</f>
        <v>SDS</v>
      </c>
      <c r="D623" s="42" t="str">
        <f ca="1">IFERROR(__xludf.DUMMYFUNCTION("""COMPUTED_VALUE"""),"DCV")</f>
        <v>DCV</v>
      </c>
      <c r="E623" s="44">
        <f ca="1">IFERROR(__xludf.DUMMYFUNCTION("""COMPUTED_VALUE"""),2)</f>
        <v>2</v>
      </c>
      <c r="F623" s="42" t="str">
        <f ca="1">IFERROR(__xludf.DUMMYFUNCTION("""COMPUTED_VALUE"""),"INTERNATIONAL")</f>
        <v>INTERNATIONAL</v>
      </c>
      <c r="G623" s="42" t="str">
        <f ca="1">IFERROR(__xludf.DUMMYFUNCTION("""COMPUTED_VALUE"""),"INR FEE STUDENT")</f>
        <v>INR FEE STUDENT</v>
      </c>
      <c r="H623" s="2" t="str">
        <f ca="1">IFERROR(__xludf.DUMMYFUNCTION("""COMPUTED_VALUE"""),"DCV_2023-26")</f>
        <v>DCV_2023-26</v>
      </c>
      <c r="I623" s="45"/>
      <c r="J623" s="46">
        <f ca="1">IFERROR(__xludf.DUMMYFUNCTION("""COMPUTED_VALUE"""),0)</f>
        <v>0</v>
      </c>
      <c r="K623" s="46">
        <f ca="1">IFERROR(__xludf.DUMMYFUNCTION("""COMPUTED_VALUE"""),0)</f>
        <v>0</v>
      </c>
      <c r="L623" s="46">
        <f ca="1">IFERROR(__xludf.DUMMYFUNCTION("""COMPUTED_VALUE"""),0)</f>
        <v>0</v>
      </c>
      <c r="M623" s="47">
        <f ca="1">IFERROR(__xludf.DUMMYFUNCTION("""COMPUTED_VALUE"""),0)</f>
        <v>0</v>
      </c>
      <c r="N623" s="46">
        <f ca="1">IFERROR(__xludf.DUMMYFUNCTION("""COMPUTED_VALUE"""),0)</f>
        <v>0</v>
      </c>
      <c r="O623" s="46">
        <f ca="1">IFERROR(__xludf.DUMMYFUNCTION("""COMPUTED_VALUE"""),0)</f>
        <v>0</v>
      </c>
      <c r="P623" s="46">
        <f ca="1">IFERROR(__xludf.DUMMYFUNCTION("""COMPUTED_VALUE"""),0)</f>
        <v>0</v>
      </c>
      <c r="Q623" s="47">
        <f ca="1">IFERROR(__xludf.DUMMYFUNCTION("""COMPUTED_VALUE"""),0)</f>
        <v>0</v>
      </c>
      <c r="R623" s="24">
        <f ca="1">IFERROR(__xludf.DUMMYFUNCTION("""COMPUTED_VALUE"""),0)</f>
        <v>0</v>
      </c>
      <c r="S623" s="23">
        <f ca="1">IFERROR(__xludf.DUMMYFUNCTION("""COMPUTED_VALUE"""),0)</f>
        <v>0</v>
      </c>
      <c r="T623" s="50"/>
      <c r="U623" s="44"/>
      <c r="V623" s="44"/>
      <c r="W623" s="44"/>
      <c r="X623" s="44"/>
      <c r="Y623" s="44"/>
      <c r="Z623" s="44"/>
      <c r="AA623" s="44"/>
      <c r="AB623" s="44"/>
      <c r="AC623" s="44"/>
      <c r="AD623" s="49"/>
      <c r="AE623" s="27"/>
    </row>
    <row r="624" spans="1:31" ht="28.55">
      <c r="A624" s="42" t="str">
        <f ca="1">IFERROR(__xludf.DUMMYFUNCTION("""COMPUTED_VALUE"""),"21SDSCV01022")</f>
        <v>21SDSCV01022</v>
      </c>
      <c r="B624" s="43" t="str">
        <f ca="1">IFERROR(__xludf.DUMMYFUNCTION("""COMPUTED_VALUE"""),"VALA MIHIRKUMAR RAMESHBHAI")</f>
        <v>VALA MIHIRKUMAR RAMESHBHAI</v>
      </c>
      <c r="C624" s="42" t="str">
        <f ca="1">IFERROR(__xludf.DUMMYFUNCTION("""COMPUTED_VALUE"""),"SDS")</f>
        <v>SDS</v>
      </c>
      <c r="D624" s="42" t="str">
        <f ca="1">IFERROR(__xludf.DUMMYFUNCTION("""COMPUTED_VALUE"""),"DCV")</f>
        <v>DCV</v>
      </c>
      <c r="E624" s="44">
        <f ca="1">IFERROR(__xludf.DUMMYFUNCTION("""COMPUTED_VALUE"""),4)</f>
        <v>4</v>
      </c>
      <c r="F624" s="42" t="str">
        <f ca="1">IFERROR(__xludf.DUMMYFUNCTION("""COMPUTED_VALUE"""),"9824499413
8866576374")</f>
        <v>9824499413
8866576374</v>
      </c>
      <c r="G624" s="42" t="str">
        <f ca="1">IFERROR(__xludf.DUMMYFUNCTION("""COMPUTED_VALUE"""),"9824499413
8866576374")</f>
        <v>9824499413
8866576374</v>
      </c>
      <c r="H624" s="2" t="str">
        <f ca="1">IFERROR(__xludf.DUMMYFUNCTION("""COMPUTED_VALUE"""),"DCV_2022-25")</f>
        <v>DCV_2022-25</v>
      </c>
      <c r="I624" s="45" t="str">
        <f ca="1">IFERROR(__xludf.DUMMYFUNCTION("""COMPUTED_VALUE"""),"FREESHIP CARD")</f>
        <v>FREESHIP CARD</v>
      </c>
      <c r="J624" s="46">
        <f ca="1">IFERROR(__xludf.DUMMYFUNCTION("""COMPUTED_VALUE"""),25000)</f>
        <v>25000</v>
      </c>
      <c r="K624" s="46">
        <f ca="1">IFERROR(__xludf.DUMMYFUNCTION("""COMPUTED_VALUE"""),0)</f>
        <v>0</v>
      </c>
      <c r="L624" s="46">
        <f ca="1">IFERROR(__xludf.DUMMYFUNCTION("""COMPUTED_VALUE"""),0)</f>
        <v>0</v>
      </c>
      <c r="M624" s="47">
        <f ca="1">IFERROR(__xludf.DUMMYFUNCTION("""COMPUTED_VALUE"""),0)</f>
        <v>0</v>
      </c>
      <c r="N624" s="46">
        <f ca="1">IFERROR(__xludf.DUMMYFUNCTION("""COMPUTED_VALUE"""),25000)</f>
        <v>25000</v>
      </c>
      <c r="O624" s="46">
        <f ca="1">IFERROR(__xludf.DUMMYFUNCTION("""COMPUTED_VALUE"""),3000)</f>
        <v>3000</v>
      </c>
      <c r="P624" s="46">
        <f ca="1">IFERROR(__xludf.DUMMYFUNCTION("""COMPUTED_VALUE"""),3000)</f>
        <v>3000</v>
      </c>
      <c r="Q624" s="47">
        <f ca="1">IFERROR(__xludf.DUMMYFUNCTION("""COMPUTED_VALUE"""),0)</f>
        <v>0</v>
      </c>
      <c r="R624" s="24">
        <f ca="1">IFERROR(__xludf.DUMMYFUNCTION("""COMPUTED_VALUE"""),0)</f>
        <v>0</v>
      </c>
      <c r="S624" s="23">
        <f ca="1">IFERROR(__xludf.DUMMYFUNCTION("""COMPUTED_VALUE"""),0)</f>
        <v>0</v>
      </c>
      <c r="T624" s="48">
        <f ca="1">IFERROR(__xludf.DUMMYFUNCTION("""COMPUTED_VALUE"""),0)</f>
        <v>0</v>
      </c>
      <c r="U624" s="47">
        <f ca="1">IFERROR(__xludf.DUMMYFUNCTION("""COMPUTED_VALUE"""),0)</f>
        <v>0</v>
      </c>
      <c r="V624" s="47">
        <f ca="1">IFERROR(__xludf.DUMMYFUNCTION("""COMPUTED_VALUE"""),0)</f>
        <v>0</v>
      </c>
      <c r="W624" s="47">
        <f ca="1">IFERROR(__xludf.DUMMYFUNCTION("""COMPUTED_VALUE"""),0)</f>
        <v>0</v>
      </c>
      <c r="X624" s="47">
        <f ca="1">IFERROR(__xludf.DUMMYFUNCTION("""COMPUTED_VALUE"""),0)</f>
        <v>0</v>
      </c>
      <c r="Y624" s="44">
        <f ca="1">IFERROR(__xludf.DUMMYFUNCTION("""COMPUTED_VALUE"""),0)</f>
        <v>0</v>
      </c>
      <c r="Z624" s="44">
        <f ca="1">IFERROR(__xludf.DUMMYFUNCTION("""COMPUTED_VALUE"""),0)</f>
        <v>0</v>
      </c>
      <c r="AA624" s="44">
        <f ca="1">IFERROR(__xludf.DUMMYFUNCTION("""COMPUTED_VALUE"""),0)</f>
        <v>0</v>
      </c>
      <c r="AB624" s="44">
        <f ca="1">IFERROR(__xludf.DUMMYFUNCTION("""COMPUTED_VALUE"""),0)</f>
        <v>0</v>
      </c>
      <c r="AC624" s="47">
        <f ca="1">IFERROR(__xludf.DUMMYFUNCTION("""COMPUTED_VALUE"""),0)</f>
        <v>0</v>
      </c>
      <c r="AD624" s="49"/>
      <c r="AE624" s="27"/>
    </row>
    <row r="625" spans="1:31" ht="23.1">
      <c r="A625" s="42" t="str">
        <f ca="1">IFERROR(__xludf.DUMMYFUNCTION("""COMPUTED_VALUE"""),"22SDSCV01001")</f>
        <v>22SDSCV01001</v>
      </c>
      <c r="B625" s="43" t="str">
        <f ca="1">IFERROR(__xludf.DUMMYFUNCTION("""COMPUTED_VALUE"""),"CHABHADIYA MILAN DHARMENDRABHAI")</f>
        <v>CHABHADIYA MILAN DHARMENDRABHAI</v>
      </c>
      <c r="C625" s="42" t="str">
        <f ca="1">IFERROR(__xludf.DUMMYFUNCTION("""COMPUTED_VALUE"""),"SDS")</f>
        <v>SDS</v>
      </c>
      <c r="D625" s="42" t="str">
        <f ca="1">IFERROR(__xludf.DUMMYFUNCTION("""COMPUTED_VALUE"""),"DCV")</f>
        <v>DCV</v>
      </c>
      <c r="E625" s="44">
        <f ca="1">IFERROR(__xludf.DUMMYFUNCTION("""COMPUTED_VALUE"""),4)</f>
        <v>4</v>
      </c>
      <c r="F625" s="42" t="str">
        <f ca="1">IFERROR(__xludf.DUMMYFUNCTION("""COMPUTED_VALUE"""),"9601618904 9998623709")</f>
        <v>9601618904 9998623709</v>
      </c>
      <c r="G625" s="42" t="str">
        <f ca="1">IFERROR(__xludf.DUMMYFUNCTION("""COMPUTED_VALUE"""),"9601618904 9998623709")</f>
        <v>9601618904 9998623709</v>
      </c>
      <c r="H625" s="2" t="str">
        <f ca="1">IFERROR(__xludf.DUMMYFUNCTION("""COMPUTED_VALUE"""),"DCV_2022-25")</f>
        <v>DCV_2022-25</v>
      </c>
      <c r="I625" s="45" t="str">
        <f ca="1">IFERROR(__xludf.DUMMYFUNCTION("""COMPUTED_VALUE"""),"KSP")</f>
        <v>KSP</v>
      </c>
      <c r="J625" s="46">
        <f ca="1">IFERROR(__xludf.DUMMYFUNCTION("""COMPUTED_VALUE"""),25000)</f>
        <v>25000</v>
      </c>
      <c r="K625" s="46">
        <f ca="1">IFERROR(__xludf.DUMMYFUNCTION("""COMPUTED_VALUE"""),12500)</f>
        <v>12500</v>
      </c>
      <c r="L625" s="46">
        <f ca="1">IFERROR(__xludf.DUMMYFUNCTION("""COMPUTED_VALUE"""),0)</f>
        <v>0</v>
      </c>
      <c r="M625" s="47">
        <f ca="1">IFERROR(__xludf.DUMMYFUNCTION("""COMPUTED_VALUE"""),0)</f>
        <v>0</v>
      </c>
      <c r="N625" s="46">
        <f ca="1">IFERROR(__xludf.DUMMYFUNCTION("""COMPUTED_VALUE"""),12500)</f>
        <v>12500</v>
      </c>
      <c r="O625" s="46">
        <f ca="1">IFERROR(__xludf.DUMMYFUNCTION("""COMPUTED_VALUE"""),3000)</f>
        <v>3000</v>
      </c>
      <c r="P625" s="46">
        <f ca="1">IFERROR(__xludf.DUMMYFUNCTION("""COMPUTED_VALUE"""),3000)</f>
        <v>3000</v>
      </c>
      <c r="Q625" s="47">
        <f ca="1">IFERROR(__xludf.DUMMYFUNCTION("""COMPUTED_VALUE"""),0)</f>
        <v>0</v>
      </c>
      <c r="R625" s="24">
        <f ca="1">IFERROR(__xludf.DUMMYFUNCTION("""COMPUTED_VALUE"""),0)</f>
        <v>0</v>
      </c>
      <c r="S625" s="23">
        <f ca="1">IFERROR(__xludf.DUMMYFUNCTION("""COMPUTED_VALUE"""),0)</f>
        <v>0</v>
      </c>
      <c r="T625" s="48">
        <f ca="1">IFERROR(__xludf.DUMMYFUNCTION("""COMPUTED_VALUE"""),0)</f>
        <v>0</v>
      </c>
      <c r="U625" s="47">
        <f ca="1">IFERROR(__xludf.DUMMYFUNCTION("""COMPUTED_VALUE"""),0)</f>
        <v>0</v>
      </c>
      <c r="V625" s="47">
        <f ca="1">IFERROR(__xludf.DUMMYFUNCTION("""COMPUTED_VALUE"""),0)</f>
        <v>0</v>
      </c>
      <c r="W625" s="47">
        <f ca="1">IFERROR(__xludf.DUMMYFUNCTION("""COMPUTED_VALUE"""),0)</f>
        <v>0</v>
      </c>
      <c r="X625" s="47">
        <f ca="1">IFERROR(__xludf.DUMMYFUNCTION("""COMPUTED_VALUE"""),0)</f>
        <v>0</v>
      </c>
      <c r="Y625" s="44">
        <f ca="1">IFERROR(__xludf.DUMMYFUNCTION("""COMPUTED_VALUE"""),0)</f>
        <v>0</v>
      </c>
      <c r="Z625" s="44">
        <f ca="1">IFERROR(__xludf.DUMMYFUNCTION("""COMPUTED_VALUE"""),0)</f>
        <v>0</v>
      </c>
      <c r="AA625" s="44">
        <f ca="1">IFERROR(__xludf.DUMMYFUNCTION("""COMPUTED_VALUE"""),0)</f>
        <v>0</v>
      </c>
      <c r="AB625" s="44">
        <f ca="1">IFERROR(__xludf.DUMMYFUNCTION("""COMPUTED_VALUE"""),0)</f>
        <v>0</v>
      </c>
      <c r="AC625" s="47">
        <f ca="1">IFERROR(__xludf.DUMMYFUNCTION("""COMPUTED_VALUE"""),0)</f>
        <v>0</v>
      </c>
      <c r="AD625" s="49" t="str">
        <f ca="1">IFERROR(__xludf.DUMMYFUNCTION("""COMPUTED_VALUE"""),"RS 12500 PER SEM SCHOLARSHIP")</f>
        <v>RS 12500 PER SEM SCHOLARSHIP</v>
      </c>
      <c r="AE625" s="27"/>
    </row>
    <row r="626" spans="1:31" ht="14.3">
      <c r="A626" s="42" t="str">
        <f ca="1">IFERROR(__xludf.DUMMYFUNCTION("""COMPUTED_VALUE"""),"22SDSCV01002")</f>
        <v>22SDSCV01002</v>
      </c>
      <c r="B626" s="43" t="str">
        <f ca="1">IFERROR(__xludf.DUMMYFUNCTION("""COMPUTED_VALUE"""),"CHAVDA RAJNANDNI MAHENDRASINH")</f>
        <v>CHAVDA RAJNANDNI MAHENDRASINH</v>
      </c>
      <c r="C626" s="42" t="str">
        <f ca="1">IFERROR(__xludf.DUMMYFUNCTION("""COMPUTED_VALUE"""),"SDS")</f>
        <v>SDS</v>
      </c>
      <c r="D626" s="42" t="str">
        <f ca="1">IFERROR(__xludf.DUMMYFUNCTION("""COMPUTED_VALUE"""),"DCV")</f>
        <v>DCV</v>
      </c>
      <c r="E626" s="44">
        <f ca="1">IFERROR(__xludf.DUMMYFUNCTION("""COMPUTED_VALUE"""),4)</f>
        <v>4</v>
      </c>
      <c r="F626" s="42" t="str">
        <f ca="1">IFERROR(__xludf.DUMMYFUNCTION("""COMPUTED_VALUE"""),"8469483686 9638757473")</f>
        <v>8469483686 9638757473</v>
      </c>
      <c r="G626" s="42" t="str">
        <f ca="1">IFERROR(__xludf.DUMMYFUNCTION("""COMPUTED_VALUE"""),"8469483686 9638757473")</f>
        <v>8469483686 9638757473</v>
      </c>
      <c r="H626" s="2" t="str">
        <f ca="1">IFERROR(__xludf.DUMMYFUNCTION("""COMPUTED_VALUE"""),"DCV_2022-25")</f>
        <v>DCV_2022-25</v>
      </c>
      <c r="I626" s="45"/>
      <c r="J626" s="46">
        <f ca="1">IFERROR(__xludf.DUMMYFUNCTION("""COMPUTED_VALUE"""),25000)</f>
        <v>25000</v>
      </c>
      <c r="K626" s="46">
        <f ca="1">IFERROR(__xludf.DUMMYFUNCTION("""COMPUTED_VALUE"""),25000)</f>
        <v>25000</v>
      </c>
      <c r="L626" s="46">
        <f ca="1">IFERROR(__xludf.DUMMYFUNCTION("""COMPUTED_VALUE"""),0)</f>
        <v>0</v>
      </c>
      <c r="M626" s="47">
        <f ca="1">IFERROR(__xludf.DUMMYFUNCTION("""COMPUTED_VALUE"""),0)</f>
        <v>0</v>
      </c>
      <c r="N626" s="46">
        <f ca="1">IFERROR(__xludf.DUMMYFUNCTION("""COMPUTED_VALUE"""),0)</f>
        <v>0</v>
      </c>
      <c r="O626" s="46">
        <f ca="1">IFERROR(__xludf.DUMMYFUNCTION("""COMPUTED_VALUE"""),3000)</f>
        <v>3000</v>
      </c>
      <c r="P626" s="46">
        <f ca="1">IFERROR(__xludf.DUMMYFUNCTION("""COMPUTED_VALUE"""),3000)</f>
        <v>3000</v>
      </c>
      <c r="Q626" s="47">
        <f ca="1">IFERROR(__xludf.DUMMYFUNCTION("""COMPUTED_VALUE"""),0)</f>
        <v>0</v>
      </c>
      <c r="R626" s="24">
        <f ca="1">IFERROR(__xludf.DUMMYFUNCTION("""COMPUTED_VALUE"""),0)</f>
        <v>0</v>
      </c>
      <c r="S626" s="23">
        <f ca="1">IFERROR(__xludf.DUMMYFUNCTION("""COMPUTED_VALUE"""),0)</f>
        <v>0</v>
      </c>
      <c r="T626" s="48">
        <f ca="1">IFERROR(__xludf.DUMMYFUNCTION("""COMPUTED_VALUE"""),0)</f>
        <v>0</v>
      </c>
      <c r="U626" s="47">
        <f ca="1">IFERROR(__xludf.DUMMYFUNCTION("""COMPUTED_VALUE"""),0)</f>
        <v>0</v>
      </c>
      <c r="V626" s="47">
        <f ca="1">IFERROR(__xludf.DUMMYFUNCTION("""COMPUTED_VALUE"""),0)</f>
        <v>0</v>
      </c>
      <c r="W626" s="47">
        <f ca="1">IFERROR(__xludf.DUMMYFUNCTION("""COMPUTED_VALUE"""),0)</f>
        <v>0</v>
      </c>
      <c r="X626" s="47">
        <f ca="1">IFERROR(__xludf.DUMMYFUNCTION("""COMPUTED_VALUE"""),0)</f>
        <v>0</v>
      </c>
      <c r="Y626" s="44">
        <f ca="1">IFERROR(__xludf.DUMMYFUNCTION("""COMPUTED_VALUE"""),0)</f>
        <v>0</v>
      </c>
      <c r="Z626" s="44">
        <f ca="1">IFERROR(__xludf.DUMMYFUNCTION("""COMPUTED_VALUE"""),0)</f>
        <v>0</v>
      </c>
      <c r="AA626" s="44">
        <f ca="1">IFERROR(__xludf.DUMMYFUNCTION("""COMPUTED_VALUE"""),0)</f>
        <v>0</v>
      </c>
      <c r="AB626" s="44">
        <f ca="1">IFERROR(__xludf.DUMMYFUNCTION("""COMPUTED_VALUE"""),0)</f>
        <v>0</v>
      </c>
      <c r="AC626" s="47">
        <f ca="1">IFERROR(__xludf.DUMMYFUNCTION("""COMPUTED_VALUE"""),0)</f>
        <v>0</v>
      </c>
      <c r="AD626" s="49"/>
      <c r="AE626" s="27"/>
    </row>
    <row r="627" spans="1:31" ht="23.1">
      <c r="A627" s="42" t="str">
        <f ca="1">IFERROR(__xludf.DUMMYFUNCTION("""COMPUTED_VALUE"""),"22SDSCV01003")</f>
        <v>22SDSCV01003</v>
      </c>
      <c r="B627" s="43" t="str">
        <f ca="1">IFERROR(__xludf.DUMMYFUNCTION("""COMPUTED_VALUE"""),"DOBARIYA AYUSH RASIKBHAI")</f>
        <v>DOBARIYA AYUSH RASIKBHAI</v>
      </c>
      <c r="C627" s="42" t="str">
        <f ca="1">IFERROR(__xludf.DUMMYFUNCTION("""COMPUTED_VALUE"""),"SDS")</f>
        <v>SDS</v>
      </c>
      <c r="D627" s="42" t="str">
        <f ca="1">IFERROR(__xludf.DUMMYFUNCTION("""COMPUTED_VALUE"""),"DCV")</f>
        <v>DCV</v>
      </c>
      <c r="E627" s="44">
        <f ca="1">IFERROR(__xludf.DUMMYFUNCTION("""COMPUTED_VALUE"""),4)</f>
        <v>4</v>
      </c>
      <c r="F627" s="42" t="str">
        <f ca="1">IFERROR(__xludf.DUMMYFUNCTION("""COMPUTED_VALUE"""),"9726245996 9624434117")</f>
        <v>9726245996 9624434117</v>
      </c>
      <c r="G627" s="42" t="str">
        <f ca="1">IFERROR(__xludf.DUMMYFUNCTION("""COMPUTED_VALUE"""),"9726245996 9624434117")</f>
        <v>9726245996 9624434117</v>
      </c>
      <c r="H627" s="2" t="str">
        <f ca="1">IFERROR(__xludf.DUMMYFUNCTION("""COMPUTED_VALUE"""),"DCV_2022-25")</f>
        <v>DCV_2022-25</v>
      </c>
      <c r="I627" s="45" t="str">
        <f ca="1">IFERROR(__xludf.DUMMYFUNCTION("""COMPUTED_VALUE"""),"KSP")</f>
        <v>KSP</v>
      </c>
      <c r="J627" s="46">
        <f ca="1">IFERROR(__xludf.DUMMYFUNCTION("""COMPUTED_VALUE"""),25000)</f>
        <v>25000</v>
      </c>
      <c r="K627" s="46">
        <f ca="1">IFERROR(__xludf.DUMMYFUNCTION("""COMPUTED_VALUE"""),12500)</f>
        <v>12500</v>
      </c>
      <c r="L627" s="46">
        <f ca="1">IFERROR(__xludf.DUMMYFUNCTION("""COMPUTED_VALUE"""),0)</f>
        <v>0</v>
      </c>
      <c r="M627" s="47">
        <f ca="1">IFERROR(__xludf.DUMMYFUNCTION("""COMPUTED_VALUE"""),12500)</f>
        <v>12500</v>
      </c>
      <c r="N627" s="46">
        <f ca="1">IFERROR(__xludf.DUMMYFUNCTION("""COMPUTED_VALUE"""),0)</f>
        <v>0</v>
      </c>
      <c r="O627" s="46">
        <f ca="1">IFERROR(__xludf.DUMMYFUNCTION("""COMPUTED_VALUE"""),3000)</f>
        <v>3000</v>
      </c>
      <c r="P627" s="46">
        <f ca="1">IFERROR(__xludf.DUMMYFUNCTION("""COMPUTED_VALUE"""),3000)</f>
        <v>3000</v>
      </c>
      <c r="Q627" s="47">
        <f ca="1">IFERROR(__xludf.DUMMYFUNCTION("""COMPUTED_VALUE"""),0)</f>
        <v>0</v>
      </c>
      <c r="R627" s="24">
        <f ca="1">IFERROR(__xludf.DUMMYFUNCTION("""COMPUTED_VALUE"""),0)</f>
        <v>0</v>
      </c>
      <c r="S627" s="23">
        <f ca="1">IFERROR(__xludf.DUMMYFUNCTION("""COMPUTED_VALUE"""),0)</f>
        <v>0</v>
      </c>
      <c r="T627" s="48">
        <f ca="1">IFERROR(__xludf.DUMMYFUNCTION("""COMPUTED_VALUE"""),0)</f>
        <v>0</v>
      </c>
      <c r="U627" s="47">
        <f ca="1">IFERROR(__xludf.DUMMYFUNCTION("""COMPUTED_VALUE"""),0)</f>
        <v>0</v>
      </c>
      <c r="V627" s="47">
        <f ca="1">IFERROR(__xludf.DUMMYFUNCTION("""COMPUTED_VALUE"""),0)</f>
        <v>0</v>
      </c>
      <c r="W627" s="47">
        <f ca="1">IFERROR(__xludf.DUMMYFUNCTION("""COMPUTED_VALUE"""),0)</f>
        <v>0</v>
      </c>
      <c r="X627" s="47">
        <f ca="1">IFERROR(__xludf.DUMMYFUNCTION("""COMPUTED_VALUE"""),0)</f>
        <v>0</v>
      </c>
      <c r="Y627" s="44">
        <f ca="1">IFERROR(__xludf.DUMMYFUNCTION("""COMPUTED_VALUE"""),0)</f>
        <v>0</v>
      </c>
      <c r="Z627" s="44">
        <f ca="1">IFERROR(__xludf.DUMMYFUNCTION("""COMPUTED_VALUE"""),0)</f>
        <v>0</v>
      </c>
      <c r="AA627" s="44">
        <f ca="1">IFERROR(__xludf.DUMMYFUNCTION("""COMPUTED_VALUE"""),0)</f>
        <v>0</v>
      </c>
      <c r="AB627" s="44">
        <f ca="1">IFERROR(__xludf.DUMMYFUNCTION("""COMPUTED_VALUE"""),0)</f>
        <v>0</v>
      </c>
      <c r="AC627" s="47">
        <f ca="1">IFERROR(__xludf.DUMMYFUNCTION("""COMPUTED_VALUE"""),0)</f>
        <v>0</v>
      </c>
      <c r="AD627" s="49" t="str">
        <f ca="1">IFERROR(__xludf.DUMMYFUNCTION("""COMPUTED_VALUE"""),"RS 12500 PER SEM SCHOLARSHIP")</f>
        <v>RS 12500 PER SEM SCHOLARSHIP</v>
      </c>
      <c r="AE627" s="27"/>
    </row>
    <row r="628" spans="1:31" ht="14.3">
      <c r="A628" s="42" t="str">
        <f ca="1">IFERROR(__xludf.DUMMYFUNCTION("""COMPUTED_VALUE"""),"22SDSCV01004")</f>
        <v>22SDSCV01004</v>
      </c>
      <c r="B628" s="43" t="str">
        <f ca="1">IFERROR(__xludf.DUMMYFUNCTION("""COMPUTED_VALUE"""),"DOD JAYDRATH SANJAYBHAI")</f>
        <v>DOD JAYDRATH SANJAYBHAI</v>
      </c>
      <c r="C628" s="42" t="str">
        <f ca="1">IFERROR(__xludf.DUMMYFUNCTION("""COMPUTED_VALUE"""),"SDS")</f>
        <v>SDS</v>
      </c>
      <c r="D628" s="42" t="str">
        <f ca="1">IFERROR(__xludf.DUMMYFUNCTION("""COMPUTED_VALUE"""),"DCV")</f>
        <v>DCV</v>
      </c>
      <c r="E628" s="44">
        <f ca="1">IFERROR(__xludf.DUMMYFUNCTION("""COMPUTED_VALUE"""),4)</f>
        <v>4</v>
      </c>
      <c r="F628" s="42" t="str">
        <f ca="1">IFERROR(__xludf.DUMMYFUNCTION("""COMPUTED_VALUE"""),"7211115929 9879915929")</f>
        <v>7211115929 9879915929</v>
      </c>
      <c r="G628" s="42" t="str">
        <f ca="1">IFERROR(__xludf.DUMMYFUNCTION("""COMPUTED_VALUE"""),"7211115929 9879915929")</f>
        <v>7211115929 9879915929</v>
      </c>
      <c r="H628" s="2" t="str">
        <f ca="1">IFERROR(__xludf.DUMMYFUNCTION("""COMPUTED_VALUE"""),"DCV_2022-25")</f>
        <v>DCV_2022-25</v>
      </c>
      <c r="I628" s="45" t="str">
        <f ca="1">IFERROR(__xludf.DUMMYFUNCTION("""COMPUTED_VALUE"""),"KSP")</f>
        <v>KSP</v>
      </c>
      <c r="J628" s="46">
        <f ca="1">IFERROR(__xludf.DUMMYFUNCTION("""COMPUTED_VALUE"""),25000)</f>
        <v>25000</v>
      </c>
      <c r="K628" s="46">
        <f ca="1">IFERROR(__xludf.DUMMYFUNCTION("""COMPUTED_VALUE"""),0)</f>
        <v>0</v>
      </c>
      <c r="L628" s="46">
        <f ca="1">IFERROR(__xludf.DUMMYFUNCTION("""COMPUTED_VALUE"""),0)</f>
        <v>0</v>
      </c>
      <c r="M628" s="47">
        <f ca="1">IFERROR(__xludf.DUMMYFUNCTION("""COMPUTED_VALUE"""),6250)</f>
        <v>6250</v>
      </c>
      <c r="N628" s="46">
        <f ca="1">IFERROR(__xludf.DUMMYFUNCTION("""COMPUTED_VALUE"""),18750)</f>
        <v>18750</v>
      </c>
      <c r="O628" s="46">
        <f ca="1">IFERROR(__xludf.DUMMYFUNCTION("""COMPUTED_VALUE"""),3000)</f>
        <v>3000</v>
      </c>
      <c r="P628" s="46">
        <f ca="1">IFERROR(__xludf.DUMMYFUNCTION("""COMPUTED_VALUE"""),0)</f>
        <v>0</v>
      </c>
      <c r="Q628" s="47">
        <f ca="1">IFERROR(__xludf.DUMMYFUNCTION("""COMPUTED_VALUE"""),0)</f>
        <v>0</v>
      </c>
      <c r="R628" s="24">
        <f ca="1">IFERROR(__xludf.DUMMYFUNCTION("""COMPUTED_VALUE"""),0)</f>
        <v>0</v>
      </c>
      <c r="S628" s="23">
        <f ca="1">IFERROR(__xludf.DUMMYFUNCTION("""COMPUTED_VALUE"""),3000)</f>
        <v>3000</v>
      </c>
      <c r="T628" s="48">
        <f ca="1">IFERROR(__xludf.DUMMYFUNCTION("""COMPUTED_VALUE"""),0)</f>
        <v>0</v>
      </c>
      <c r="U628" s="47">
        <f ca="1">IFERROR(__xludf.DUMMYFUNCTION("""COMPUTED_VALUE"""),0)</f>
        <v>0</v>
      </c>
      <c r="V628" s="47">
        <f ca="1">IFERROR(__xludf.DUMMYFUNCTION("""COMPUTED_VALUE"""),0)</f>
        <v>0</v>
      </c>
      <c r="W628" s="47">
        <f ca="1">IFERROR(__xludf.DUMMYFUNCTION("""COMPUTED_VALUE"""),0)</f>
        <v>0</v>
      </c>
      <c r="X628" s="47">
        <f ca="1">IFERROR(__xludf.DUMMYFUNCTION("""COMPUTED_VALUE"""),0)</f>
        <v>0</v>
      </c>
      <c r="Y628" s="44">
        <f ca="1">IFERROR(__xludf.DUMMYFUNCTION("""COMPUTED_VALUE"""),0)</f>
        <v>0</v>
      </c>
      <c r="Z628" s="44">
        <f ca="1">IFERROR(__xludf.DUMMYFUNCTION("""COMPUTED_VALUE"""),0)</f>
        <v>0</v>
      </c>
      <c r="AA628" s="44">
        <f ca="1">IFERROR(__xludf.DUMMYFUNCTION("""COMPUTED_VALUE"""),0)</f>
        <v>0</v>
      </c>
      <c r="AB628" s="44">
        <f ca="1">IFERROR(__xludf.DUMMYFUNCTION("""COMPUTED_VALUE"""),0)</f>
        <v>0</v>
      </c>
      <c r="AC628" s="47">
        <f ca="1">IFERROR(__xludf.DUMMYFUNCTION("""COMPUTED_VALUE"""),0)</f>
        <v>0</v>
      </c>
      <c r="AD628" s="49" t="str">
        <f ca="1">IFERROR(__xludf.DUMMYFUNCTION("""COMPUTED_VALUE"""),"RS 6250 PER SEM SCHOLARSHIP")</f>
        <v>RS 6250 PER SEM SCHOLARSHIP</v>
      </c>
      <c r="AE628" s="27"/>
    </row>
    <row r="629" spans="1:31" ht="14.3">
      <c r="A629" s="42" t="str">
        <f ca="1">IFERROR(__xludf.DUMMYFUNCTION("""COMPUTED_VALUE"""),"22SDSCV01005")</f>
        <v>22SDSCV01005</v>
      </c>
      <c r="B629" s="43" t="str">
        <f ca="1">IFERROR(__xludf.DUMMYFUNCTION("""COMPUTED_VALUE"""),"DODIYA KEVIN ASHWINBHAI")</f>
        <v>DODIYA KEVIN ASHWINBHAI</v>
      </c>
      <c r="C629" s="42" t="str">
        <f ca="1">IFERROR(__xludf.DUMMYFUNCTION("""COMPUTED_VALUE"""),"SDS")</f>
        <v>SDS</v>
      </c>
      <c r="D629" s="42" t="str">
        <f ca="1">IFERROR(__xludf.DUMMYFUNCTION("""COMPUTED_VALUE"""),"DCV")</f>
        <v>DCV</v>
      </c>
      <c r="E629" s="44">
        <f ca="1">IFERROR(__xludf.DUMMYFUNCTION("""COMPUTED_VALUE"""),4)</f>
        <v>4</v>
      </c>
      <c r="F629" s="42" t="str">
        <f ca="1">IFERROR(__xludf.DUMMYFUNCTION("""COMPUTED_VALUE"""),"8160312810 9714906250")</f>
        <v>8160312810 9714906250</v>
      </c>
      <c r="G629" s="42" t="str">
        <f ca="1">IFERROR(__xludf.DUMMYFUNCTION("""COMPUTED_VALUE"""),"8160312810 9714906250")</f>
        <v>8160312810 9714906250</v>
      </c>
      <c r="H629" s="2" t="str">
        <f ca="1">IFERROR(__xludf.DUMMYFUNCTION("""COMPUTED_VALUE"""),"DCV_2022-25")</f>
        <v>DCV_2022-25</v>
      </c>
      <c r="I629" s="45" t="str">
        <f ca="1">IFERROR(__xludf.DUMMYFUNCTION("""COMPUTED_VALUE"""),"MYSY")</f>
        <v>MYSY</v>
      </c>
      <c r="J629" s="46">
        <f ca="1">IFERROR(__xludf.DUMMYFUNCTION("""COMPUTED_VALUE"""),25000)</f>
        <v>25000</v>
      </c>
      <c r="K629" s="46">
        <f ca="1">IFERROR(__xludf.DUMMYFUNCTION("""COMPUTED_VALUE"""),0)</f>
        <v>0</v>
      </c>
      <c r="L629" s="46">
        <f ca="1">IFERROR(__xludf.DUMMYFUNCTION("""COMPUTED_VALUE"""),0)</f>
        <v>0</v>
      </c>
      <c r="M629" s="47">
        <f ca="1">IFERROR(__xludf.DUMMYFUNCTION("""COMPUTED_VALUE"""),0)</f>
        <v>0</v>
      </c>
      <c r="N629" s="46">
        <f ca="1">IFERROR(__xludf.DUMMYFUNCTION("""COMPUTED_VALUE"""),25000)</f>
        <v>25000</v>
      </c>
      <c r="O629" s="46">
        <f ca="1">IFERROR(__xludf.DUMMYFUNCTION("""COMPUTED_VALUE"""),3000)</f>
        <v>3000</v>
      </c>
      <c r="P629" s="46">
        <f ca="1">IFERROR(__xludf.DUMMYFUNCTION("""COMPUTED_VALUE"""),0)</f>
        <v>0</v>
      </c>
      <c r="Q629" s="47">
        <f ca="1">IFERROR(__xludf.DUMMYFUNCTION("""COMPUTED_VALUE"""),0)</f>
        <v>0</v>
      </c>
      <c r="R629" s="24">
        <f ca="1">IFERROR(__xludf.DUMMYFUNCTION("""COMPUTED_VALUE"""),0)</f>
        <v>0</v>
      </c>
      <c r="S629" s="23">
        <f ca="1">IFERROR(__xludf.DUMMYFUNCTION("""COMPUTED_VALUE"""),3000)</f>
        <v>3000</v>
      </c>
      <c r="T629" s="48">
        <f ca="1">IFERROR(__xludf.DUMMYFUNCTION("""COMPUTED_VALUE"""),0)</f>
        <v>0</v>
      </c>
      <c r="U629" s="47">
        <f ca="1">IFERROR(__xludf.DUMMYFUNCTION("""COMPUTED_VALUE"""),0)</f>
        <v>0</v>
      </c>
      <c r="V629" s="47">
        <f ca="1">IFERROR(__xludf.DUMMYFUNCTION("""COMPUTED_VALUE"""),0)</f>
        <v>0</v>
      </c>
      <c r="W629" s="47">
        <f ca="1">IFERROR(__xludf.DUMMYFUNCTION("""COMPUTED_VALUE"""),0)</f>
        <v>0</v>
      </c>
      <c r="X629" s="47">
        <f ca="1">IFERROR(__xludf.DUMMYFUNCTION("""COMPUTED_VALUE"""),0)</f>
        <v>0</v>
      </c>
      <c r="Y629" s="44">
        <f ca="1">IFERROR(__xludf.DUMMYFUNCTION("""COMPUTED_VALUE"""),0)</f>
        <v>0</v>
      </c>
      <c r="Z629" s="44">
        <f ca="1">IFERROR(__xludf.DUMMYFUNCTION("""COMPUTED_VALUE"""),0)</f>
        <v>0</v>
      </c>
      <c r="AA629" s="44">
        <f ca="1">IFERROR(__xludf.DUMMYFUNCTION("""COMPUTED_VALUE"""),0)</f>
        <v>0</v>
      </c>
      <c r="AB629" s="44">
        <f ca="1">IFERROR(__xludf.DUMMYFUNCTION("""COMPUTED_VALUE"""),0)</f>
        <v>0</v>
      </c>
      <c r="AC629" s="47">
        <f ca="1">IFERROR(__xludf.DUMMYFUNCTION("""COMPUTED_VALUE"""),0)</f>
        <v>0</v>
      </c>
      <c r="AD629" s="49" t="str">
        <f ca="1">IFERROR(__xludf.DUMMYFUNCTION("""COMPUTED_VALUE"""),"KSPS(25%) + MYSY(50%) ")</f>
        <v xml:space="preserve">KSPS(25%) + MYSY(50%) </v>
      </c>
      <c r="AE629" s="27"/>
    </row>
    <row r="630" spans="1:31" ht="14.3">
      <c r="A630" s="42" t="str">
        <f ca="1">IFERROR(__xludf.DUMMYFUNCTION("""COMPUTED_VALUE"""),"22SDSCV01006")</f>
        <v>22SDSCV01006</v>
      </c>
      <c r="B630" s="43" t="str">
        <f ca="1">IFERROR(__xludf.DUMMYFUNCTION("""COMPUTED_VALUE"""),"GAJERA BHAVIN KANTIBHAI")</f>
        <v>GAJERA BHAVIN KANTIBHAI</v>
      </c>
      <c r="C630" s="42" t="str">
        <f ca="1">IFERROR(__xludf.DUMMYFUNCTION("""COMPUTED_VALUE"""),"SDS")</f>
        <v>SDS</v>
      </c>
      <c r="D630" s="42" t="str">
        <f ca="1">IFERROR(__xludf.DUMMYFUNCTION("""COMPUTED_VALUE"""),"DCV")</f>
        <v>DCV</v>
      </c>
      <c r="E630" s="44">
        <f ca="1">IFERROR(__xludf.DUMMYFUNCTION("""COMPUTED_VALUE"""),4)</f>
        <v>4</v>
      </c>
      <c r="F630" s="42" t="str">
        <f ca="1">IFERROR(__xludf.DUMMYFUNCTION("""COMPUTED_VALUE"""),"9574499388 7698236276")</f>
        <v>9574499388 7698236276</v>
      </c>
      <c r="G630" s="42" t="str">
        <f ca="1">IFERROR(__xludf.DUMMYFUNCTION("""COMPUTED_VALUE"""),"9574499388 7698236276")</f>
        <v>9574499388 7698236276</v>
      </c>
      <c r="H630" s="2" t="str">
        <f ca="1">IFERROR(__xludf.DUMMYFUNCTION("""COMPUTED_VALUE"""),"DCV_2022-25")</f>
        <v>DCV_2022-25</v>
      </c>
      <c r="I630" s="45" t="str">
        <f ca="1">IFERROR(__xludf.DUMMYFUNCTION("""COMPUTED_VALUE"""),"MYSY")</f>
        <v>MYSY</v>
      </c>
      <c r="J630" s="46">
        <f ca="1">IFERROR(__xludf.DUMMYFUNCTION("""COMPUTED_VALUE"""),25000)</f>
        <v>25000</v>
      </c>
      <c r="K630" s="46">
        <f ca="1">IFERROR(__xludf.DUMMYFUNCTION("""COMPUTED_VALUE"""),0)</f>
        <v>0</v>
      </c>
      <c r="L630" s="46">
        <f ca="1">IFERROR(__xludf.DUMMYFUNCTION("""COMPUTED_VALUE"""),0)</f>
        <v>0</v>
      </c>
      <c r="M630" s="47">
        <f ca="1">IFERROR(__xludf.DUMMYFUNCTION("""COMPUTED_VALUE"""),0)</f>
        <v>0</v>
      </c>
      <c r="N630" s="46">
        <f ca="1">IFERROR(__xludf.DUMMYFUNCTION("""COMPUTED_VALUE"""),25000)</f>
        <v>25000</v>
      </c>
      <c r="O630" s="46">
        <f ca="1">IFERROR(__xludf.DUMMYFUNCTION("""COMPUTED_VALUE"""),3000)</f>
        <v>3000</v>
      </c>
      <c r="P630" s="46">
        <f ca="1">IFERROR(__xludf.DUMMYFUNCTION("""COMPUTED_VALUE"""),3000)</f>
        <v>3000</v>
      </c>
      <c r="Q630" s="47">
        <f ca="1">IFERROR(__xludf.DUMMYFUNCTION("""COMPUTED_VALUE"""),0)</f>
        <v>0</v>
      </c>
      <c r="R630" s="24">
        <f ca="1">IFERROR(__xludf.DUMMYFUNCTION("""COMPUTED_VALUE"""),0)</f>
        <v>0</v>
      </c>
      <c r="S630" s="23">
        <f ca="1">IFERROR(__xludf.DUMMYFUNCTION("""COMPUTED_VALUE"""),0)</f>
        <v>0</v>
      </c>
      <c r="T630" s="48">
        <f ca="1">IFERROR(__xludf.DUMMYFUNCTION("""COMPUTED_VALUE"""),0)</f>
        <v>0</v>
      </c>
      <c r="U630" s="47">
        <f ca="1">IFERROR(__xludf.DUMMYFUNCTION("""COMPUTED_VALUE"""),0)</f>
        <v>0</v>
      </c>
      <c r="V630" s="47">
        <f ca="1">IFERROR(__xludf.DUMMYFUNCTION("""COMPUTED_VALUE"""),0)</f>
        <v>0</v>
      </c>
      <c r="W630" s="47">
        <f ca="1">IFERROR(__xludf.DUMMYFUNCTION("""COMPUTED_VALUE"""),0)</f>
        <v>0</v>
      </c>
      <c r="X630" s="47">
        <f ca="1">IFERROR(__xludf.DUMMYFUNCTION("""COMPUTED_VALUE"""),0)</f>
        <v>0</v>
      </c>
      <c r="Y630" s="44">
        <f ca="1">IFERROR(__xludf.DUMMYFUNCTION("""COMPUTED_VALUE"""),0)</f>
        <v>0</v>
      </c>
      <c r="Z630" s="44">
        <f ca="1">IFERROR(__xludf.DUMMYFUNCTION("""COMPUTED_VALUE"""),0)</f>
        <v>0</v>
      </c>
      <c r="AA630" s="44">
        <f ca="1">IFERROR(__xludf.DUMMYFUNCTION("""COMPUTED_VALUE"""),0)</f>
        <v>0</v>
      </c>
      <c r="AB630" s="44">
        <f ca="1">IFERROR(__xludf.DUMMYFUNCTION("""COMPUTED_VALUE"""),0)</f>
        <v>0</v>
      </c>
      <c r="AC630" s="47">
        <f ca="1">IFERROR(__xludf.DUMMYFUNCTION("""COMPUTED_VALUE"""),0)</f>
        <v>0</v>
      </c>
      <c r="AD630" s="49" t="str">
        <f ca="1">IFERROR(__xludf.DUMMYFUNCTION("""COMPUTED_VALUE"""),"KSPS(50%) + MYSY(50%) ")</f>
        <v xml:space="preserve">KSPS(50%) + MYSY(50%) </v>
      </c>
      <c r="AE630" s="27"/>
    </row>
    <row r="631" spans="1:31" ht="14.3">
      <c r="A631" s="42" t="str">
        <f ca="1">IFERROR(__xludf.DUMMYFUNCTION("""COMPUTED_VALUE"""),"22SDSCV01007")</f>
        <v>22SDSCV01007</v>
      </c>
      <c r="B631" s="43" t="str">
        <f ca="1">IFERROR(__xludf.DUMMYFUNCTION("""COMPUTED_VALUE"""),"AHMAD IBRAR")</f>
        <v>AHMAD IBRAR</v>
      </c>
      <c r="C631" s="42" t="str">
        <f ca="1">IFERROR(__xludf.DUMMYFUNCTION("""COMPUTED_VALUE"""),"SDS")</f>
        <v>SDS</v>
      </c>
      <c r="D631" s="42" t="str">
        <f ca="1">IFERROR(__xludf.DUMMYFUNCTION("""COMPUTED_VALUE"""),"DCV")</f>
        <v>DCV</v>
      </c>
      <c r="E631" s="44">
        <f ca="1">IFERROR(__xludf.DUMMYFUNCTION("""COMPUTED_VALUE"""),4)</f>
        <v>4</v>
      </c>
      <c r="F631" s="42" t="str">
        <f ca="1">IFERROR(__xludf.DUMMYFUNCTION("""COMPUTED_VALUE"""),"BIHAR STUDENT")</f>
        <v>BIHAR STUDENT</v>
      </c>
      <c r="G631" s="42" t="str">
        <f ca="1">IFERROR(__xludf.DUMMYFUNCTION("""COMPUTED_VALUE"""),"BIHAR STUDENT")</f>
        <v>BIHAR STUDENT</v>
      </c>
      <c r="H631" s="2" t="str">
        <f ca="1">IFERROR(__xludf.DUMMYFUNCTION("""COMPUTED_VALUE"""),"DCV_2022-25")</f>
        <v>DCV_2022-25</v>
      </c>
      <c r="I631" s="45"/>
      <c r="J631" s="46">
        <f ca="1">IFERROR(__xludf.DUMMYFUNCTION("""COMPUTED_VALUE"""),42500)</f>
        <v>42500</v>
      </c>
      <c r="K631" s="46">
        <f ca="1">IFERROR(__xludf.DUMMYFUNCTION("""COMPUTED_VALUE"""),0)</f>
        <v>0</v>
      </c>
      <c r="L631" s="46">
        <f ca="1">IFERROR(__xludf.DUMMYFUNCTION("""COMPUTED_VALUE"""),0)</f>
        <v>0</v>
      </c>
      <c r="M631" s="47">
        <f ca="1">IFERROR(__xludf.DUMMYFUNCTION("""COMPUTED_VALUE"""),0)</f>
        <v>0</v>
      </c>
      <c r="N631" s="46">
        <f ca="1">IFERROR(__xludf.DUMMYFUNCTION("""COMPUTED_VALUE"""),42500)</f>
        <v>42500</v>
      </c>
      <c r="O631" s="46">
        <f ca="1">IFERROR(__xludf.DUMMYFUNCTION("""COMPUTED_VALUE"""),3000)</f>
        <v>3000</v>
      </c>
      <c r="P631" s="46">
        <f ca="1">IFERROR(__xludf.DUMMYFUNCTION("""COMPUTED_VALUE"""),0)</f>
        <v>0</v>
      </c>
      <c r="Q631" s="47">
        <f ca="1">IFERROR(__xludf.DUMMYFUNCTION("""COMPUTED_VALUE"""),0)</f>
        <v>0</v>
      </c>
      <c r="R631" s="24">
        <f ca="1">IFERROR(__xludf.DUMMYFUNCTION("""COMPUTED_VALUE"""),0)</f>
        <v>0</v>
      </c>
      <c r="S631" s="23">
        <f ca="1">IFERROR(__xludf.DUMMYFUNCTION("""COMPUTED_VALUE"""),3000)</f>
        <v>3000</v>
      </c>
      <c r="T631" s="48">
        <f ca="1">IFERROR(__xludf.DUMMYFUNCTION("""COMPUTED_VALUE"""),0)</f>
        <v>0</v>
      </c>
      <c r="U631" s="47">
        <f ca="1">IFERROR(__xludf.DUMMYFUNCTION("""COMPUTED_VALUE"""),0)</f>
        <v>0</v>
      </c>
      <c r="V631" s="47">
        <f ca="1">IFERROR(__xludf.DUMMYFUNCTION("""COMPUTED_VALUE"""),0)</f>
        <v>0</v>
      </c>
      <c r="W631" s="47">
        <f ca="1">IFERROR(__xludf.DUMMYFUNCTION("""COMPUTED_VALUE"""),0)</f>
        <v>0</v>
      </c>
      <c r="X631" s="47">
        <f ca="1">IFERROR(__xludf.DUMMYFUNCTION("""COMPUTED_VALUE"""),0)</f>
        <v>0</v>
      </c>
      <c r="Y631" s="44">
        <f ca="1">IFERROR(__xludf.DUMMYFUNCTION("""COMPUTED_VALUE"""),0)</f>
        <v>0</v>
      </c>
      <c r="Z631" s="44">
        <f ca="1">IFERROR(__xludf.DUMMYFUNCTION("""COMPUTED_VALUE"""),0)</f>
        <v>0</v>
      </c>
      <c r="AA631" s="44">
        <f ca="1">IFERROR(__xludf.DUMMYFUNCTION("""COMPUTED_VALUE"""),0)</f>
        <v>0</v>
      </c>
      <c r="AB631" s="44">
        <f ca="1">IFERROR(__xludf.DUMMYFUNCTION("""COMPUTED_VALUE"""),0)</f>
        <v>0</v>
      </c>
      <c r="AC631" s="47">
        <f ca="1">IFERROR(__xludf.DUMMYFUNCTION("""COMPUTED_VALUE"""),0)</f>
        <v>0</v>
      </c>
      <c r="AD631" s="49"/>
      <c r="AE631" s="27"/>
    </row>
    <row r="632" spans="1:31" ht="14.3">
      <c r="A632" s="42" t="str">
        <f ca="1">IFERROR(__xludf.DUMMYFUNCTION("""COMPUTED_VALUE"""),"22SDSCV01008")</f>
        <v>22SDSCV01008</v>
      </c>
      <c r="B632" s="43" t="str">
        <f ca="1">IFERROR(__xludf.DUMMYFUNCTION("""COMPUTED_VALUE"""),"JADWANI JANVI SUBHASHBHAI")</f>
        <v>JADWANI JANVI SUBHASHBHAI</v>
      </c>
      <c r="C632" s="42" t="str">
        <f ca="1">IFERROR(__xludf.DUMMYFUNCTION("""COMPUTED_VALUE"""),"SDS")</f>
        <v>SDS</v>
      </c>
      <c r="D632" s="42" t="str">
        <f ca="1">IFERROR(__xludf.DUMMYFUNCTION("""COMPUTED_VALUE"""),"DCV")</f>
        <v>DCV</v>
      </c>
      <c r="E632" s="44">
        <f ca="1">IFERROR(__xludf.DUMMYFUNCTION("""COMPUTED_VALUE"""),4)</f>
        <v>4</v>
      </c>
      <c r="F632" s="42" t="str">
        <f ca="1">IFERROR(__xludf.DUMMYFUNCTION("""COMPUTED_VALUE"""),"7990037575 9737128277 7567048123")</f>
        <v>7990037575 9737128277 7567048123</v>
      </c>
      <c r="G632" s="42" t="str">
        <f ca="1">IFERROR(__xludf.DUMMYFUNCTION("""COMPUTED_VALUE"""),"7990037575 9737128277 7567048123")</f>
        <v>7990037575 9737128277 7567048123</v>
      </c>
      <c r="H632" s="2" t="str">
        <f ca="1">IFERROR(__xludf.DUMMYFUNCTION("""COMPUTED_VALUE"""),"DCV_2022-25")</f>
        <v>DCV_2022-25</v>
      </c>
      <c r="I632" s="45" t="str">
        <f ca="1">IFERROR(__xludf.DUMMYFUNCTION("""COMPUTED_VALUE"""),"MYSY")</f>
        <v>MYSY</v>
      </c>
      <c r="J632" s="46">
        <f ca="1">IFERROR(__xludf.DUMMYFUNCTION("""COMPUTED_VALUE"""),25000)</f>
        <v>25000</v>
      </c>
      <c r="K632" s="46">
        <f ca="1">IFERROR(__xludf.DUMMYFUNCTION("""COMPUTED_VALUE"""),25000)</f>
        <v>25000</v>
      </c>
      <c r="L632" s="46">
        <f ca="1">IFERROR(__xludf.DUMMYFUNCTION("""COMPUTED_VALUE"""),0)</f>
        <v>0</v>
      </c>
      <c r="M632" s="47">
        <f ca="1">IFERROR(__xludf.DUMMYFUNCTION("""COMPUTED_VALUE"""),0)</f>
        <v>0</v>
      </c>
      <c r="N632" s="46">
        <f ca="1">IFERROR(__xludf.DUMMYFUNCTION("""COMPUTED_VALUE"""),0)</f>
        <v>0</v>
      </c>
      <c r="O632" s="46">
        <f ca="1">IFERROR(__xludf.DUMMYFUNCTION("""COMPUTED_VALUE"""),3000)</f>
        <v>3000</v>
      </c>
      <c r="P632" s="46">
        <f ca="1">IFERROR(__xludf.DUMMYFUNCTION("""COMPUTED_VALUE"""),3000)</f>
        <v>3000</v>
      </c>
      <c r="Q632" s="47">
        <f ca="1">IFERROR(__xludf.DUMMYFUNCTION("""COMPUTED_VALUE"""),0)</f>
        <v>0</v>
      </c>
      <c r="R632" s="24">
        <f ca="1">IFERROR(__xludf.DUMMYFUNCTION("""COMPUTED_VALUE"""),0)</f>
        <v>0</v>
      </c>
      <c r="S632" s="23">
        <f ca="1">IFERROR(__xludf.DUMMYFUNCTION("""COMPUTED_VALUE"""),0)</f>
        <v>0</v>
      </c>
      <c r="T632" s="48">
        <f ca="1">IFERROR(__xludf.DUMMYFUNCTION("""COMPUTED_VALUE"""),0)</f>
        <v>0</v>
      </c>
      <c r="U632" s="47">
        <f ca="1">IFERROR(__xludf.DUMMYFUNCTION("""COMPUTED_VALUE"""),0)</f>
        <v>0</v>
      </c>
      <c r="V632" s="47">
        <f ca="1">IFERROR(__xludf.DUMMYFUNCTION("""COMPUTED_VALUE"""),0)</f>
        <v>0</v>
      </c>
      <c r="W632" s="47">
        <f ca="1">IFERROR(__xludf.DUMMYFUNCTION("""COMPUTED_VALUE"""),0)</f>
        <v>0</v>
      </c>
      <c r="X632" s="47">
        <f ca="1">IFERROR(__xludf.DUMMYFUNCTION("""COMPUTED_VALUE"""),0)</f>
        <v>0</v>
      </c>
      <c r="Y632" s="44">
        <f ca="1">IFERROR(__xludf.DUMMYFUNCTION("""COMPUTED_VALUE"""),0)</f>
        <v>0</v>
      </c>
      <c r="Z632" s="44">
        <f ca="1">IFERROR(__xludf.DUMMYFUNCTION("""COMPUTED_VALUE"""),0)</f>
        <v>0</v>
      </c>
      <c r="AA632" s="44">
        <f ca="1">IFERROR(__xludf.DUMMYFUNCTION("""COMPUTED_VALUE"""),0)</f>
        <v>0</v>
      </c>
      <c r="AB632" s="44">
        <f ca="1">IFERROR(__xludf.DUMMYFUNCTION("""COMPUTED_VALUE"""),0)</f>
        <v>0</v>
      </c>
      <c r="AC632" s="47">
        <f ca="1">IFERROR(__xludf.DUMMYFUNCTION("""COMPUTED_VALUE"""),0)</f>
        <v>0</v>
      </c>
      <c r="AD632" s="49" t="str">
        <f ca="1">IFERROR(__xludf.DUMMYFUNCTION("""COMPUTED_VALUE"""),"KSPS(25%) + MYSY(50%) ")</f>
        <v xml:space="preserve">KSPS(25%) + MYSY(50%) </v>
      </c>
      <c r="AE632" s="27"/>
    </row>
    <row r="633" spans="1:31" ht="14.3">
      <c r="A633" s="42" t="str">
        <f ca="1">IFERROR(__xludf.DUMMYFUNCTION("""COMPUTED_VALUE"""),"22SDSCV01009")</f>
        <v>22SDSCV01009</v>
      </c>
      <c r="B633" s="43" t="str">
        <f ca="1">IFERROR(__xludf.DUMMYFUNCTION("""COMPUTED_VALUE"""),"KAKKAD HET GOPALDAS")</f>
        <v>KAKKAD HET GOPALDAS</v>
      </c>
      <c r="C633" s="42" t="str">
        <f ca="1">IFERROR(__xludf.DUMMYFUNCTION("""COMPUTED_VALUE"""),"SDS")</f>
        <v>SDS</v>
      </c>
      <c r="D633" s="42" t="str">
        <f ca="1">IFERROR(__xludf.DUMMYFUNCTION("""COMPUTED_VALUE"""),"DCV")</f>
        <v>DCV</v>
      </c>
      <c r="E633" s="44">
        <f ca="1">IFERROR(__xludf.DUMMYFUNCTION("""COMPUTED_VALUE"""),4)</f>
        <v>4</v>
      </c>
      <c r="F633" s="42" t="str">
        <f ca="1">IFERROR(__xludf.DUMMYFUNCTION("""COMPUTED_VALUE"""),"6351375815 9925992966")</f>
        <v>6351375815 9925992966</v>
      </c>
      <c r="G633" s="42" t="str">
        <f ca="1">IFERROR(__xludf.DUMMYFUNCTION("""COMPUTED_VALUE"""),"6351375815 9925992966")</f>
        <v>6351375815 9925992966</v>
      </c>
      <c r="H633" s="2" t="str">
        <f ca="1">IFERROR(__xludf.DUMMYFUNCTION("""COMPUTED_VALUE"""),"DCV_2022-25")</f>
        <v>DCV_2022-25</v>
      </c>
      <c r="I633" s="45" t="str">
        <f ca="1">IFERROR(__xludf.DUMMYFUNCTION("""COMPUTED_VALUE"""),"KSP")</f>
        <v>KSP</v>
      </c>
      <c r="J633" s="46">
        <f ca="1">IFERROR(__xludf.DUMMYFUNCTION("""COMPUTED_VALUE"""),25000)</f>
        <v>25000</v>
      </c>
      <c r="K633" s="46">
        <f ca="1">IFERROR(__xludf.DUMMYFUNCTION("""COMPUTED_VALUE"""),18750)</f>
        <v>18750</v>
      </c>
      <c r="L633" s="46">
        <f ca="1">IFERROR(__xludf.DUMMYFUNCTION("""COMPUTED_VALUE"""),0)</f>
        <v>0</v>
      </c>
      <c r="M633" s="47">
        <f ca="1">IFERROR(__xludf.DUMMYFUNCTION("""COMPUTED_VALUE"""),6250)</f>
        <v>6250</v>
      </c>
      <c r="N633" s="46">
        <f ca="1">IFERROR(__xludf.DUMMYFUNCTION("""COMPUTED_VALUE"""),0)</f>
        <v>0</v>
      </c>
      <c r="O633" s="46">
        <f ca="1">IFERROR(__xludf.DUMMYFUNCTION("""COMPUTED_VALUE"""),3000)</f>
        <v>3000</v>
      </c>
      <c r="P633" s="46">
        <f ca="1">IFERROR(__xludf.DUMMYFUNCTION("""COMPUTED_VALUE"""),3000)</f>
        <v>3000</v>
      </c>
      <c r="Q633" s="47">
        <f ca="1">IFERROR(__xludf.DUMMYFUNCTION("""COMPUTED_VALUE"""),0)</f>
        <v>0</v>
      </c>
      <c r="R633" s="24">
        <f ca="1">IFERROR(__xludf.DUMMYFUNCTION("""COMPUTED_VALUE"""),0)</f>
        <v>0</v>
      </c>
      <c r="S633" s="23">
        <f ca="1">IFERROR(__xludf.DUMMYFUNCTION("""COMPUTED_VALUE"""),0)</f>
        <v>0</v>
      </c>
      <c r="T633" s="48">
        <f ca="1">IFERROR(__xludf.DUMMYFUNCTION("""COMPUTED_VALUE"""),0)</f>
        <v>0</v>
      </c>
      <c r="U633" s="47">
        <f ca="1">IFERROR(__xludf.DUMMYFUNCTION("""COMPUTED_VALUE"""),0)</f>
        <v>0</v>
      </c>
      <c r="V633" s="47">
        <f ca="1">IFERROR(__xludf.DUMMYFUNCTION("""COMPUTED_VALUE"""),0)</f>
        <v>0</v>
      </c>
      <c r="W633" s="47">
        <f ca="1">IFERROR(__xludf.DUMMYFUNCTION("""COMPUTED_VALUE"""),0)</f>
        <v>0</v>
      </c>
      <c r="X633" s="47">
        <f ca="1">IFERROR(__xludf.DUMMYFUNCTION("""COMPUTED_VALUE"""),0)</f>
        <v>0</v>
      </c>
      <c r="Y633" s="44">
        <f ca="1">IFERROR(__xludf.DUMMYFUNCTION("""COMPUTED_VALUE"""),0)</f>
        <v>0</v>
      </c>
      <c r="Z633" s="44">
        <f ca="1">IFERROR(__xludf.DUMMYFUNCTION("""COMPUTED_VALUE"""),0)</f>
        <v>0</v>
      </c>
      <c r="AA633" s="44">
        <f ca="1">IFERROR(__xludf.DUMMYFUNCTION("""COMPUTED_VALUE"""),0)</f>
        <v>0</v>
      </c>
      <c r="AB633" s="44">
        <f ca="1">IFERROR(__xludf.DUMMYFUNCTION("""COMPUTED_VALUE"""),0)</f>
        <v>0</v>
      </c>
      <c r="AC633" s="47">
        <f ca="1">IFERROR(__xludf.DUMMYFUNCTION("""COMPUTED_VALUE"""),0)</f>
        <v>0</v>
      </c>
      <c r="AD633" s="49" t="str">
        <f ca="1">IFERROR(__xludf.DUMMYFUNCTION("""COMPUTED_VALUE"""),"RS 6250 PER SEM SCHOLARSHIP")</f>
        <v>RS 6250 PER SEM SCHOLARSHIP</v>
      </c>
      <c r="AE633" s="27"/>
    </row>
    <row r="634" spans="1:31" ht="14.3">
      <c r="A634" s="42" t="str">
        <f ca="1">IFERROR(__xludf.DUMMYFUNCTION("""COMPUTED_VALUE"""),"22SDSCV01011")</f>
        <v>22SDSCV01011</v>
      </c>
      <c r="B634" s="43" t="str">
        <f ca="1">IFERROR(__xludf.DUMMYFUNCTION("""COMPUTED_VALUE"""),"RONAK SENGHANI")</f>
        <v>RONAK SENGHANI</v>
      </c>
      <c r="C634" s="42" t="str">
        <f ca="1">IFERROR(__xludf.DUMMYFUNCTION("""COMPUTED_VALUE"""),"SDS")</f>
        <v>SDS</v>
      </c>
      <c r="D634" s="42" t="str">
        <f ca="1">IFERROR(__xludf.DUMMYFUNCTION("""COMPUTED_VALUE"""),"DCV")</f>
        <v>DCV</v>
      </c>
      <c r="E634" s="44">
        <f ca="1">IFERROR(__xludf.DUMMYFUNCTION("""COMPUTED_VALUE"""),4)</f>
        <v>4</v>
      </c>
      <c r="F634" s="42" t="str">
        <f ca="1">IFERROR(__xludf.DUMMYFUNCTION("""COMPUTED_VALUE"""),"9825899767 9978254666")</f>
        <v>9825899767 9978254666</v>
      </c>
      <c r="G634" s="42" t="str">
        <f ca="1">IFERROR(__xludf.DUMMYFUNCTION("""COMPUTED_VALUE"""),"9825899767 9978254666")</f>
        <v>9825899767 9978254666</v>
      </c>
      <c r="H634" s="2" t="str">
        <f ca="1">IFERROR(__xludf.DUMMYFUNCTION("""COMPUTED_VALUE"""),"DCV_2022-25")</f>
        <v>DCV_2022-25</v>
      </c>
      <c r="I634" s="45"/>
      <c r="J634" s="46">
        <f ca="1">IFERROR(__xludf.DUMMYFUNCTION("""COMPUTED_VALUE"""),25000)</f>
        <v>25000</v>
      </c>
      <c r="K634" s="46">
        <f ca="1">IFERROR(__xludf.DUMMYFUNCTION("""COMPUTED_VALUE"""),25000)</f>
        <v>25000</v>
      </c>
      <c r="L634" s="46">
        <f ca="1">IFERROR(__xludf.DUMMYFUNCTION("""COMPUTED_VALUE"""),0)</f>
        <v>0</v>
      </c>
      <c r="M634" s="47">
        <f ca="1">IFERROR(__xludf.DUMMYFUNCTION("""COMPUTED_VALUE"""),0)</f>
        <v>0</v>
      </c>
      <c r="N634" s="46">
        <f ca="1">IFERROR(__xludf.DUMMYFUNCTION("""COMPUTED_VALUE"""),0)</f>
        <v>0</v>
      </c>
      <c r="O634" s="46">
        <f ca="1">IFERROR(__xludf.DUMMYFUNCTION("""COMPUTED_VALUE"""),3000)</f>
        <v>3000</v>
      </c>
      <c r="P634" s="46">
        <f ca="1">IFERROR(__xludf.DUMMYFUNCTION("""COMPUTED_VALUE"""),3000)</f>
        <v>3000</v>
      </c>
      <c r="Q634" s="47">
        <f ca="1">IFERROR(__xludf.DUMMYFUNCTION("""COMPUTED_VALUE"""),0)</f>
        <v>0</v>
      </c>
      <c r="R634" s="24">
        <f ca="1">IFERROR(__xludf.DUMMYFUNCTION("""COMPUTED_VALUE"""),0)</f>
        <v>0</v>
      </c>
      <c r="S634" s="23">
        <f ca="1">IFERROR(__xludf.DUMMYFUNCTION("""COMPUTED_VALUE"""),0)</f>
        <v>0</v>
      </c>
      <c r="T634" s="48">
        <f ca="1">IFERROR(__xludf.DUMMYFUNCTION("""COMPUTED_VALUE"""),0)</f>
        <v>0</v>
      </c>
      <c r="U634" s="47">
        <f ca="1">IFERROR(__xludf.DUMMYFUNCTION("""COMPUTED_VALUE"""),0)</f>
        <v>0</v>
      </c>
      <c r="V634" s="47">
        <f ca="1">IFERROR(__xludf.DUMMYFUNCTION("""COMPUTED_VALUE"""),0)</f>
        <v>0</v>
      </c>
      <c r="W634" s="47">
        <f ca="1">IFERROR(__xludf.DUMMYFUNCTION("""COMPUTED_VALUE"""),0)</f>
        <v>0</v>
      </c>
      <c r="X634" s="47">
        <f ca="1">IFERROR(__xludf.DUMMYFUNCTION("""COMPUTED_VALUE"""),0)</f>
        <v>0</v>
      </c>
      <c r="Y634" s="44">
        <f ca="1">IFERROR(__xludf.DUMMYFUNCTION("""COMPUTED_VALUE"""),0)</f>
        <v>0</v>
      </c>
      <c r="Z634" s="44">
        <f ca="1">IFERROR(__xludf.DUMMYFUNCTION("""COMPUTED_VALUE"""),0)</f>
        <v>0</v>
      </c>
      <c r="AA634" s="44">
        <f ca="1">IFERROR(__xludf.DUMMYFUNCTION("""COMPUTED_VALUE"""),0)</f>
        <v>0</v>
      </c>
      <c r="AB634" s="44">
        <f ca="1">IFERROR(__xludf.DUMMYFUNCTION("""COMPUTED_VALUE"""),0)</f>
        <v>0</v>
      </c>
      <c r="AC634" s="47">
        <f ca="1">IFERROR(__xludf.DUMMYFUNCTION("""COMPUTED_VALUE"""),0)</f>
        <v>0</v>
      </c>
      <c r="AD634" s="49"/>
      <c r="AE634" s="27"/>
    </row>
    <row r="635" spans="1:31" ht="14.3">
      <c r="A635" s="42" t="str">
        <f ca="1">IFERROR(__xludf.DUMMYFUNCTION("""COMPUTED_VALUE"""),"22SDSCV01012")</f>
        <v>22SDSCV01012</v>
      </c>
      <c r="B635" s="43" t="str">
        <f ca="1">IFERROR(__xludf.DUMMYFUNCTION("""COMPUTED_VALUE"""),"THORIYA BHUMIBEN DHARMENDRABHAI")</f>
        <v>THORIYA BHUMIBEN DHARMENDRABHAI</v>
      </c>
      <c r="C635" s="42" t="str">
        <f ca="1">IFERROR(__xludf.DUMMYFUNCTION("""COMPUTED_VALUE"""),"SDS")</f>
        <v>SDS</v>
      </c>
      <c r="D635" s="42" t="str">
        <f ca="1">IFERROR(__xludf.DUMMYFUNCTION("""COMPUTED_VALUE"""),"DCV")</f>
        <v>DCV</v>
      </c>
      <c r="E635" s="44">
        <f ca="1">IFERROR(__xludf.DUMMYFUNCTION("""COMPUTED_VALUE"""),4)</f>
        <v>4</v>
      </c>
      <c r="F635" s="42" t="str">
        <f ca="1">IFERROR(__xludf.DUMMYFUNCTION("""COMPUTED_VALUE"""),"7490006165 9909281497")</f>
        <v>7490006165 9909281497</v>
      </c>
      <c r="G635" s="42" t="str">
        <f ca="1">IFERROR(__xludf.DUMMYFUNCTION("""COMPUTED_VALUE"""),"7490006165 9909281497")</f>
        <v>7490006165 9909281497</v>
      </c>
      <c r="H635" s="2" t="str">
        <f ca="1">IFERROR(__xludf.DUMMYFUNCTION("""COMPUTED_VALUE"""),"DCV_2022-25")</f>
        <v>DCV_2022-25</v>
      </c>
      <c r="I635" s="45" t="str">
        <f ca="1">IFERROR(__xludf.DUMMYFUNCTION("""COMPUTED_VALUE"""),"MYSY")</f>
        <v>MYSY</v>
      </c>
      <c r="J635" s="46">
        <f ca="1">IFERROR(__xludf.DUMMYFUNCTION("""COMPUTED_VALUE"""),25000)</f>
        <v>25000</v>
      </c>
      <c r="K635" s="46">
        <f ca="1">IFERROR(__xludf.DUMMYFUNCTION("""COMPUTED_VALUE"""),0)</f>
        <v>0</v>
      </c>
      <c r="L635" s="46">
        <f ca="1">IFERROR(__xludf.DUMMYFUNCTION("""COMPUTED_VALUE"""),0)</f>
        <v>0</v>
      </c>
      <c r="M635" s="47">
        <f ca="1">IFERROR(__xludf.DUMMYFUNCTION("""COMPUTED_VALUE"""),0)</f>
        <v>0</v>
      </c>
      <c r="N635" s="46">
        <f ca="1">IFERROR(__xludf.DUMMYFUNCTION("""COMPUTED_VALUE"""),25000)</f>
        <v>25000</v>
      </c>
      <c r="O635" s="46">
        <f ca="1">IFERROR(__xludf.DUMMYFUNCTION("""COMPUTED_VALUE"""),3000)</f>
        <v>3000</v>
      </c>
      <c r="P635" s="46">
        <f ca="1">IFERROR(__xludf.DUMMYFUNCTION("""COMPUTED_VALUE"""),3000)</f>
        <v>3000</v>
      </c>
      <c r="Q635" s="47">
        <f ca="1">IFERROR(__xludf.DUMMYFUNCTION("""COMPUTED_VALUE"""),0)</f>
        <v>0</v>
      </c>
      <c r="R635" s="24">
        <f ca="1">IFERROR(__xludf.DUMMYFUNCTION("""COMPUTED_VALUE"""),0)</f>
        <v>0</v>
      </c>
      <c r="S635" s="23">
        <f ca="1">IFERROR(__xludf.DUMMYFUNCTION("""COMPUTED_VALUE"""),0)</f>
        <v>0</v>
      </c>
      <c r="T635" s="48">
        <f ca="1">IFERROR(__xludf.DUMMYFUNCTION("""COMPUTED_VALUE"""),0)</f>
        <v>0</v>
      </c>
      <c r="U635" s="47">
        <f ca="1">IFERROR(__xludf.DUMMYFUNCTION("""COMPUTED_VALUE"""),0)</f>
        <v>0</v>
      </c>
      <c r="V635" s="47">
        <f ca="1">IFERROR(__xludf.DUMMYFUNCTION("""COMPUTED_VALUE"""),0)</f>
        <v>0</v>
      </c>
      <c r="W635" s="47">
        <f ca="1">IFERROR(__xludf.DUMMYFUNCTION("""COMPUTED_VALUE"""),0)</f>
        <v>0</v>
      </c>
      <c r="X635" s="47">
        <f ca="1">IFERROR(__xludf.DUMMYFUNCTION("""COMPUTED_VALUE"""),0)</f>
        <v>0</v>
      </c>
      <c r="Y635" s="44">
        <f ca="1">IFERROR(__xludf.DUMMYFUNCTION("""COMPUTED_VALUE"""),0)</f>
        <v>0</v>
      </c>
      <c r="Z635" s="44">
        <f ca="1">IFERROR(__xludf.DUMMYFUNCTION("""COMPUTED_VALUE"""),0)</f>
        <v>0</v>
      </c>
      <c r="AA635" s="44">
        <f ca="1">IFERROR(__xludf.DUMMYFUNCTION("""COMPUTED_VALUE"""),0)</f>
        <v>0</v>
      </c>
      <c r="AB635" s="44">
        <f ca="1">IFERROR(__xludf.DUMMYFUNCTION("""COMPUTED_VALUE"""),0)</f>
        <v>0</v>
      </c>
      <c r="AC635" s="47">
        <f ca="1">IFERROR(__xludf.DUMMYFUNCTION("""COMPUTED_VALUE"""),0)</f>
        <v>0</v>
      </c>
      <c r="AD635" s="49" t="str">
        <f ca="1">IFERROR(__xludf.DUMMYFUNCTION("""COMPUTED_VALUE"""),"KSPS(25%) + MYSY(50%) ")</f>
        <v xml:space="preserve">KSPS(25%) + MYSY(50%) </v>
      </c>
      <c r="AE635" s="27"/>
    </row>
    <row r="636" spans="1:31" ht="14.3">
      <c r="A636" s="42" t="str">
        <f ca="1">IFERROR(__xludf.DUMMYFUNCTION("""COMPUTED_VALUE"""),"22SDSCV01013")</f>
        <v>22SDSCV01013</v>
      </c>
      <c r="B636" s="43" t="str">
        <f ca="1">IFERROR(__xludf.DUMMYFUNCTION("""COMPUTED_VALUE"""),"VADAVIYA AEHMADRAJA GULAMRASUL")</f>
        <v>VADAVIYA AEHMADRAJA GULAMRASUL</v>
      </c>
      <c r="C636" s="42" t="str">
        <f ca="1">IFERROR(__xludf.DUMMYFUNCTION("""COMPUTED_VALUE"""),"SDS")</f>
        <v>SDS</v>
      </c>
      <c r="D636" s="42" t="str">
        <f ca="1">IFERROR(__xludf.DUMMYFUNCTION("""COMPUTED_VALUE"""),"DCV")</f>
        <v>DCV</v>
      </c>
      <c r="E636" s="44">
        <f ca="1">IFERROR(__xludf.DUMMYFUNCTION("""COMPUTED_VALUE"""),4)</f>
        <v>4</v>
      </c>
      <c r="F636" s="42" t="str">
        <f ca="1">IFERROR(__xludf.DUMMYFUNCTION("""COMPUTED_VALUE"""),"9054863486 8140409745")</f>
        <v>9054863486 8140409745</v>
      </c>
      <c r="G636" s="42" t="str">
        <f ca="1">IFERROR(__xludf.DUMMYFUNCTION("""COMPUTED_VALUE"""),"9054863486 8140409745")</f>
        <v>9054863486 8140409745</v>
      </c>
      <c r="H636" s="2" t="str">
        <f ca="1">IFERROR(__xludf.DUMMYFUNCTION("""COMPUTED_VALUE"""),"DCV_2022-25")</f>
        <v>DCV_2022-25</v>
      </c>
      <c r="I636" s="45" t="str">
        <f ca="1">IFERROR(__xludf.DUMMYFUNCTION("""COMPUTED_VALUE"""),"MYSY")</f>
        <v>MYSY</v>
      </c>
      <c r="J636" s="46">
        <f ca="1">IFERROR(__xludf.DUMMYFUNCTION("""COMPUTED_VALUE"""),25000)</f>
        <v>25000</v>
      </c>
      <c r="K636" s="46">
        <f ca="1">IFERROR(__xludf.DUMMYFUNCTION("""COMPUTED_VALUE"""),0)</f>
        <v>0</v>
      </c>
      <c r="L636" s="46">
        <f ca="1">IFERROR(__xludf.DUMMYFUNCTION("""COMPUTED_VALUE"""),0)</f>
        <v>0</v>
      </c>
      <c r="M636" s="47">
        <f ca="1">IFERROR(__xludf.DUMMYFUNCTION("""COMPUTED_VALUE"""),0)</f>
        <v>0</v>
      </c>
      <c r="N636" s="46">
        <f ca="1">IFERROR(__xludf.DUMMYFUNCTION("""COMPUTED_VALUE"""),25000)</f>
        <v>25000</v>
      </c>
      <c r="O636" s="46">
        <f ca="1">IFERROR(__xludf.DUMMYFUNCTION("""COMPUTED_VALUE"""),3000)</f>
        <v>3000</v>
      </c>
      <c r="P636" s="46">
        <f ca="1">IFERROR(__xludf.DUMMYFUNCTION("""COMPUTED_VALUE"""),3000)</f>
        <v>3000</v>
      </c>
      <c r="Q636" s="47">
        <f ca="1">IFERROR(__xludf.DUMMYFUNCTION("""COMPUTED_VALUE"""),0)</f>
        <v>0</v>
      </c>
      <c r="R636" s="24">
        <f ca="1">IFERROR(__xludf.DUMMYFUNCTION("""COMPUTED_VALUE"""),0)</f>
        <v>0</v>
      </c>
      <c r="S636" s="23">
        <f ca="1">IFERROR(__xludf.DUMMYFUNCTION("""COMPUTED_VALUE"""),0)</f>
        <v>0</v>
      </c>
      <c r="T636" s="48">
        <f ca="1">IFERROR(__xludf.DUMMYFUNCTION("""COMPUTED_VALUE"""),0)</f>
        <v>0</v>
      </c>
      <c r="U636" s="47">
        <f ca="1">IFERROR(__xludf.DUMMYFUNCTION("""COMPUTED_VALUE"""),0)</f>
        <v>0</v>
      </c>
      <c r="V636" s="47">
        <f ca="1">IFERROR(__xludf.DUMMYFUNCTION("""COMPUTED_VALUE"""),0)</f>
        <v>0</v>
      </c>
      <c r="W636" s="47">
        <f ca="1">IFERROR(__xludf.DUMMYFUNCTION("""COMPUTED_VALUE"""),0)</f>
        <v>0</v>
      </c>
      <c r="X636" s="47">
        <f ca="1">IFERROR(__xludf.DUMMYFUNCTION("""COMPUTED_VALUE"""),0)</f>
        <v>0</v>
      </c>
      <c r="Y636" s="44">
        <f ca="1">IFERROR(__xludf.DUMMYFUNCTION("""COMPUTED_VALUE"""),0)</f>
        <v>0</v>
      </c>
      <c r="Z636" s="44">
        <f ca="1">IFERROR(__xludf.DUMMYFUNCTION("""COMPUTED_VALUE"""),0)</f>
        <v>0</v>
      </c>
      <c r="AA636" s="44">
        <f ca="1">IFERROR(__xludf.DUMMYFUNCTION("""COMPUTED_VALUE"""),0)</f>
        <v>0</v>
      </c>
      <c r="AB636" s="44">
        <f ca="1">IFERROR(__xludf.DUMMYFUNCTION("""COMPUTED_VALUE"""),0)</f>
        <v>0</v>
      </c>
      <c r="AC636" s="47">
        <f ca="1">IFERROR(__xludf.DUMMYFUNCTION("""COMPUTED_VALUE"""),0)</f>
        <v>0</v>
      </c>
      <c r="AD636" s="49" t="str">
        <f ca="1">IFERROR(__xludf.DUMMYFUNCTION("""COMPUTED_VALUE"""),"KSPS(50%) + MYSY(50%) ")</f>
        <v xml:space="preserve">KSPS(50%) + MYSY(50%) </v>
      </c>
      <c r="AE636" s="27"/>
    </row>
    <row r="637" spans="1:31" ht="28.55">
      <c r="A637" s="42" t="str">
        <f ca="1">IFERROR(__xludf.DUMMYFUNCTION("""COMPUTED_VALUE"""),"22SDSCV01014")</f>
        <v>22SDSCV01014</v>
      </c>
      <c r="B637" s="43" t="str">
        <f ca="1">IFERROR(__xludf.DUMMYFUNCTION("""COMPUTED_VALUE"""),"VAGHELA HIREN MOHAN")</f>
        <v>VAGHELA HIREN MOHAN</v>
      </c>
      <c r="C637" s="42" t="str">
        <f ca="1">IFERROR(__xludf.DUMMYFUNCTION("""COMPUTED_VALUE"""),"SDS")</f>
        <v>SDS</v>
      </c>
      <c r="D637" s="42" t="str">
        <f ca="1">IFERROR(__xludf.DUMMYFUNCTION("""COMPUTED_VALUE"""),"DCV")</f>
        <v>DCV</v>
      </c>
      <c r="E637" s="44">
        <f ca="1">IFERROR(__xludf.DUMMYFUNCTION("""COMPUTED_VALUE"""),4)</f>
        <v>4</v>
      </c>
      <c r="F637" s="42" t="str">
        <f ca="1">IFERROR(__xludf.DUMMYFUNCTION("""COMPUTED_VALUE"""),"9081789733 9737130524")</f>
        <v>9081789733 9737130524</v>
      </c>
      <c r="G637" s="42" t="str">
        <f ca="1">IFERROR(__xludf.DUMMYFUNCTION("""COMPUTED_VALUE"""),"9081789733 9737130524")</f>
        <v>9081789733 9737130524</v>
      </c>
      <c r="H637" s="2" t="str">
        <f ca="1">IFERROR(__xludf.DUMMYFUNCTION("""COMPUTED_VALUE"""),"DCV_2022-25")</f>
        <v>DCV_2022-25</v>
      </c>
      <c r="I637" s="45" t="str">
        <f ca="1">IFERROR(__xludf.DUMMYFUNCTION("""COMPUTED_VALUE"""),"FREESHIP CARD")</f>
        <v>FREESHIP CARD</v>
      </c>
      <c r="J637" s="46">
        <f ca="1">IFERROR(__xludf.DUMMYFUNCTION("""COMPUTED_VALUE"""),25000)</f>
        <v>25000</v>
      </c>
      <c r="K637" s="46">
        <f ca="1">IFERROR(__xludf.DUMMYFUNCTION("""COMPUTED_VALUE"""),0)</f>
        <v>0</v>
      </c>
      <c r="L637" s="46">
        <f ca="1">IFERROR(__xludf.DUMMYFUNCTION("""COMPUTED_VALUE"""),0)</f>
        <v>0</v>
      </c>
      <c r="M637" s="47">
        <f ca="1">IFERROR(__xludf.DUMMYFUNCTION("""COMPUTED_VALUE"""),0)</f>
        <v>0</v>
      </c>
      <c r="N637" s="46">
        <f ca="1">IFERROR(__xludf.DUMMYFUNCTION("""COMPUTED_VALUE"""),25000)</f>
        <v>25000</v>
      </c>
      <c r="O637" s="46">
        <f ca="1">IFERROR(__xludf.DUMMYFUNCTION("""COMPUTED_VALUE"""),3000)</f>
        <v>3000</v>
      </c>
      <c r="P637" s="46">
        <f ca="1">IFERROR(__xludf.DUMMYFUNCTION("""COMPUTED_VALUE"""),0)</f>
        <v>0</v>
      </c>
      <c r="Q637" s="47">
        <f ca="1">IFERROR(__xludf.DUMMYFUNCTION("""COMPUTED_VALUE"""),0)</f>
        <v>0</v>
      </c>
      <c r="R637" s="24">
        <f ca="1">IFERROR(__xludf.DUMMYFUNCTION("""COMPUTED_VALUE"""),0)</f>
        <v>0</v>
      </c>
      <c r="S637" s="23">
        <f ca="1">IFERROR(__xludf.DUMMYFUNCTION("""COMPUTED_VALUE"""),3000)</f>
        <v>3000</v>
      </c>
      <c r="T637" s="48">
        <f ca="1">IFERROR(__xludf.DUMMYFUNCTION("""COMPUTED_VALUE"""),0)</f>
        <v>0</v>
      </c>
      <c r="U637" s="47">
        <f ca="1">IFERROR(__xludf.DUMMYFUNCTION("""COMPUTED_VALUE"""),0)</f>
        <v>0</v>
      </c>
      <c r="V637" s="47">
        <f ca="1">IFERROR(__xludf.DUMMYFUNCTION("""COMPUTED_VALUE"""),0)</f>
        <v>0</v>
      </c>
      <c r="W637" s="47">
        <f ca="1">IFERROR(__xludf.DUMMYFUNCTION("""COMPUTED_VALUE"""),0)</f>
        <v>0</v>
      </c>
      <c r="X637" s="47">
        <f ca="1">IFERROR(__xludf.DUMMYFUNCTION("""COMPUTED_VALUE"""),0)</f>
        <v>0</v>
      </c>
      <c r="Y637" s="44">
        <f ca="1">IFERROR(__xludf.DUMMYFUNCTION("""COMPUTED_VALUE"""),0)</f>
        <v>0</v>
      </c>
      <c r="Z637" s="44">
        <f ca="1">IFERROR(__xludf.DUMMYFUNCTION("""COMPUTED_VALUE"""),0)</f>
        <v>0</v>
      </c>
      <c r="AA637" s="44">
        <f ca="1">IFERROR(__xludf.DUMMYFUNCTION("""COMPUTED_VALUE"""),0)</f>
        <v>0</v>
      </c>
      <c r="AB637" s="44">
        <f ca="1">IFERROR(__xludf.DUMMYFUNCTION("""COMPUTED_VALUE"""),0)</f>
        <v>0</v>
      </c>
      <c r="AC637" s="47">
        <f ca="1">IFERROR(__xludf.DUMMYFUNCTION("""COMPUTED_VALUE"""),0)</f>
        <v>0</v>
      </c>
      <c r="AD637" s="49" t="str">
        <f ca="1">IFERROR(__xludf.DUMMYFUNCTION("""COMPUTED_VALUE"""),"FREESHIPCARD STUDENT")</f>
        <v>FREESHIPCARD STUDENT</v>
      </c>
      <c r="AE637" s="27"/>
    </row>
    <row r="638" spans="1:31" ht="14.3">
      <c r="A638" s="42" t="str">
        <f ca="1">IFERROR(__xludf.DUMMYFUNCTION("""COMPUTED_VALUE"""),"22SDSCV01015")</f>
        <v>22SDSCV01015</v>
      </c>
      <c r="B638" s="43" t="str">
        <f ca="1">IFERROR(__xludf.DUMMYFUNCTION("""COMPUTED_VALUE"""),"VALA KRISHRAJSINH SHAKTISINH")</f>
        <v>VALA KRISHRAJSINH SHAKTISINH</v>
      </c>
      <c r="C638" s="42" t="str">
        <f ca="1">IFERROR(__xludf.DUMMYFUNCTION("""COMPUTED_VALUE"""),"SDS")</f>
        <v>SDS</v>
      </c>
      <c r="D638" s="42" t="str">
        <f ca="1">IFERROR(__xludf.DUMMYFUNCTION("""COMPUTED_VALUE"""),"DCV")</f>
        <v>DCV</v>
      </c>
      <c r="E638" s="44">
        <f ca="1">IFERROR(__xludf.DUMMYFUNCTION("""COMPUTED_VALUE"""),4)</f>
        <v>4</v>
      </c>
      <c r="F638" s="42" t="str">
        <f ca="1">IFERROR(__xludf.DUMMYFUNCTION("""COMPUTED_VALUE"""),"9913448817 7990934615")</f>
        <v>9913448817 7990934615</v>
      </c>
      <c r="G638" s="42" t="str">
        <f ca="1">IFERROR(__xludf.DUMMYFUNCTION("""COMPUTED_VALUE"""),"9913448817 7990934615")</f>
        <v>9913448817 7990934615</v>
      </c>
      <c r="H638" s="2" t="str">
        <f ca="1">IFERROR(__xludf.DUMMYFUNCTION("""COMPUTED_VALUE"""),"DCV_2022-25")</f>
        <v>DCV_2022-25</v>
      </c>
      <c r="I638" s="45"/>
      <c r="J638" s="46">
        <f ca="1">IFERROR(__xludf.DUMMYFUNCTION("""COMPUTED_VALUE"""),25000)</f>
        <v>25000</v>
      </c>
      <c r="K638" s="46">
        <f ca="1">IFERROR(__xludf.DUMMYFUNCTION("""COMPUTED_VALUE"""),25000)</f>
        <v>25000</v>
      </c>
      <c r="L638" s="46">
        <f ca="1">IFERROR(__xludf.DUMMYFUNCTION("""COMPUTED_VALUE"""),0)</f>
        <v>0</v>
      </c>
      <c r="M638" s="47">
        <f ca="1">IFERROR(__xludf.DUMMYFUNCTION("""COMPUTED_VALUE"""),0)</f>
        <v>0</v>
      </c>
      <c r="N638" s="46">
        <f ca="1">IFERROR(__xludf.DUMMYFUNCTION("""COMPUTED_VALUE"""),0)</f>
        <v>0</v>
      </c>
      <c r="O638" s="46">
        <f ca="1">IFERROR(__xludf.DUMMYFUNCTION("""COMPUTED_VALUE"""),3000)</f>
        <v>3000</v>
      </c>
      <c r="P638" s="46">
        <f ca="1">IFERROR(__xludf.DUMMYFUNCTION("""COMPUTED_VALUE"""),3000)</f>
        <v>3000</v>
      </c>
      <c r="Q638" s="47">
        <f ca="1">IFERROR(__xludf.DUMMYFUNCTION("""COMPUTED_VALUE"""),0)</f>
        <v>0</v>
      </c>
      <c r="R638" s="24">
        <f ca="1">IFERROR(__xludf.DUMMYFUNCTION("""COMPUTED_VALUE"""),0)</f>
        <v>0</v>
      </c>
      <c r="S638" s="23">
        <f ca="1">IFERROR(__xludf.DUMMYFUNCTION("""COMPUTED_VALUE"""),0)</f>
        <v>0</v>
      </c>
      <c r="T638" s="48">
        <f ca="1">IFERROR(__xludf.DUMMYFUNCTION("""COMPUTED_VALUE"""),0)</f>
        <v>0</v>
      </c>
      <c r="U638" s="47">
        <f ca="1">IFERROR(__xludf.DUMMYFUNCTION("""COMPUTED_VALUE"""),0)</f>
        <v>0</v>
      </c>
      <c r="V638" s="47">
        <f ca="1">IFERROR(__xludf.DUMMYFUNCTION("""COMPUTED_VALUE"""),0)</f>
        <v>0</v>
      </c>
      <c r="W638" s="47">
        <f ca="1">IFERROR(__xludf.DUMMYFUNCTION("""COMPUTED_VALUE"""),0)</f>
        <v>0</v>
      </c>
      <c r="X638" s="47">
        <f ca="1">IFERROR(__xludf.DUMMYFUNCTION("""COMPUTED_VALUE"""),0)</f>
        <v>0</v>
      </c>
      <c r="Y638" s="44">
        <f ca="1">IFERROR(__xludf.DUMMYFUNCTION("""COMPUTED_VALUE"""),0)</f>
        <v>0</v>
      </c>
      <c r="Z638" s="44">
        <f ca="1">IFERROR(__xludf.DUMMYFUNCTION("""COMPUTED_VALUE"""),0)</f>
        <v>0</v>
      </c>
      <c r="AA638" s="44">
        <f ca="1">IFERROR(__xludf.DUMMYFUNCTION("""COMPUTED_VALUE"""),0)</f>
        <v>0</v>
      </c>
      <c r="AB638" s="44">
        <f ca="1">IFERROR(__xludf.DUMMYFUNCTION("""COMPUTED_VALUE"""),0)</f>
        <v>0</v>
      </c>
      <c r="AC638" s="47">
        <f ca="1">IFERROR(__xludf.DUMMYFUNCTION("""COMPUTED_VALUE"""),0)</f>
        <v>0</v>
      </c>
      <c r="AD638" s="49"/>
      <c r="AE638" s="27"/>
    </row>
    <row r="639" spans="1:31" ht="28.55">
      <c r="A639" s="42" t="str">
        <f ca="1">IFERROR(__xludf.DUMMYFUNCTION("""COMPUTED_VALUE"""),"22SDSCV01016")</f>
        <v>22SDSCV01016</v>
      </c>
      <c r="B639" s="43" t="str">
        <f ca="1">IFERROR(__xludf.DUMMYFUNCTION("""COMPUTED_VALUE"""),"VANIYA NAYNA ARVINDBHAI")</f>
        <v>VANIYA NAYNA ARVINDBHAI</v>
      </c>
      <c r="C639" s="42" t="str">
        <f ca="1">IFERROR(__xludf.DUMMYFUNCTION("""COMPUTED_VALUE"""),"SDS")</f>
        <v>SDS</v>
      </c>
      <c r="D639" s="42" t="str">
        <f ca="1">IFERROR(__xludf.DUMMYFUNCTION("""COMPUTED_VALUE"""),"DCV")</f>
        <v>DCV</v>
      </c>
      <c r="E639" s="44">
        <f ca="1">IFERROR(__xludf.DUMMYFUNCTION("""COMPUTED_VALUE"""),4)</f>
        <v>4</v>
      </c>
      <c r="F639" s="42" t="str">
        <f ca="1">IFERROR(__xludf.DUMMYFUNCTION("""COMPUTED_VALUE"""),"8154086985
7096924910")</f>
        <v>8154086985
7096924910</v>
      </c>
      <c r="G639" s="42" t="str">
        <f ca="1">IFERROR(__xludf.DUMMYFUNCTION("""COMPUTED_VALUE"""),"8154086985
7096924910")</f>
        <v>8154086985
7096924910</v>
      </c>
      <c r="H639" s="2" t="str">
        <f ca="1">IFERROR(__xludf.DUMMYFUNCTION("""COMPUTED_VALUE"""),"DCV_2022-25")</f>
        <v>DCV_2022-25</v>
      </c>
      <c r="I639" s="45" t="str">
        <f ca="1">IFERROR(__xludf.DUMMYFUNCTION("""COMPUTED_VALUE"""),"FREESHIP CARD")</f>
        <v>FREESHIP CARD</v>
      </c>
      <c r="J639" s="46">
        <f ca="1">IFERROR(__xludf.DUMMYFUNCTION("""COMPUTED_VALUE"""),25000)</f>
        <v>25000</v>
      </c>
      <c r="K639" s="46">
        <f ca="1">IFERROR(__xludf.DUMMYFUNCTION("""COMPUTED_VALUE"""),0)</f>
        <v>0</v>
      </c>
      <c r="L639" s="46">
        <f ca="1">IFERROR(__xludf.DUMMYFUNCTION("""COMPUTED_VALUE"""),0)</f>
        <v>0</v>
      </c>
      <c r="M639" s="47">
        <f ca="1">IFERROR(__xludf.DUMMYFUNCTION("""COMPUTED_VALUE"""),0)</f>
        <v>0</v>
      </c>
      <c r="N639" s="46">
        <f ca="1">IFERROR(__xludf.DUMMYFUNCTION("""COMPUTED_VALUE"""),25000)</f>
        <v>25000</v>
      </c>
      <c r="O639" s="46">
        <f ca="1">IFERROR(__xludf.DUMMYFUNCTION("""COMPUTED_VALUE"""),3000)</f>
        <v>3000</v>
      </c>
      <c r="P639" s="46">
        <f ca="1">IFERROR(__xludf.DUMMYFUNCTION("""COMPUTED_VALUE"""),0)</f>
        <v>0</v>
      </c>
      <c r="Q639" s="47">
        <f ca="1">IFERROR(__xludf.DUMMYFUNCTION("""COMPUTED_VALUE"""),0)</f>
        <v>0</v>
      </c>
      <c r="R639" s="24">
        <f ca="1">IFERROR(__xludf.DUMMYFUNCTION("""COMPUTED_VALUE"""),0)</f>
        <v>0</v>
      </c>
      <c r="S639" s="23">
        <f ca="1">IFERROR(__xludf.DUMMYFUNCTION("""COMPUTED_VALUE"""),3000)</f>
        <v>3000</v>
      </c>
      <c r="T639" s="48">
        <f ca="1">IFERROR(__xludf.DUMMYFUNCTION("""COMPUTED_VALUE"""),0)</f>
        <v>0</v>
      </c>
      <c r="U639" s="47">
        <f ca="1">IFERROR(__xludf.DUMMYFUNCTION("""COMPUTED_VALUE"""),0)</f>
        <v>0</v>
      </c>
      <c r="V639" s="47">
        <f ca="1">IFERROR(__xludf.DUMMYFUNCTION("""COMPUTED_VALUE"""),0)</f>
        <v>0</v>
      </c>
      <c r="W639" s="47">
        <f ca="1">IFERROR(__xludf.DUMMYFUNCTION("""COMPUTED_VALUE"""),0)</f>
        <v>0</v>
      </c>
      <c r="X639" s="47">
        <f ca="1">IFERROR(__xludf.DUMMYFUNCTION("""COMPUTED_VALUE"""),0)</f>
        <v>0</v>
      </c>
      <c r="Y639" s="44">
        <f ca="1">IFERROR(__xludf.DUMMYFUNCTION("""COMPUTED_VALUE"""),0)</f>
        <v>0</v>
      </c>
      <c r="Z639" s="44">
        <f ca="1">IFERROR(__xludf.DUMMYFUNCTION("""COMPUTED_VALUE"""),0)</f>
        <v>0</v>
      </c>
      <c r="AA639" s="44">
        <f ca="1">IFERROR(__xludf.DUMMYFUNCTION("""COMPUTED_VALUE"""),0)</f>
        <v>0</v>
      </c>
      <c r="AB639" s="44">
        <f ca="1">IFERROR(__xludf.DUMMYFUNCTION("""COMPUTED_VALUE"""),0)</f>
        <v>0</v>
      </c>
      <c r="AC639" s="47">
        <f ca="1">IFERROR(__xludf.DUMMYFUNCTION("""COMPUTED_VALUE"""),0)</f>
        <v>0</v>
      </c>
      <c r="AD639" s="49" t="str">
        <f ca="1">IFERROR(__xludf.DUMMYFUNCTION("""COMPUTED_VALUE"""),"FREESHIPCARD STUDENT")</f>
        <v>FREESHIPCARD STUDENT</v>
      </c>
      <c r="AE639" s="27"/>
    </row>
    <row r="640" spans="1:31" ht="14.3">
      <c r="A640" s="42" t="str">
        <f ca="1">IFERROR(__xludf.DUMMYFUNCTION("""COMPUTED_VALUE"""),"22SDSCV01017")</f>
        <v>22SDSCV01017</v>
      </c>
      <c r="B640" s="43" t="str">
        <f ca="1">IFERROR(__xludf.DUMMYFUNCTION("""COMPUTED_VALUE"""),"VISHNUSWAMI RUDRA ASHISHBHAI")</f>
        <v>VISHNUSWAMI RUDRA ASHISHBHAI</v>
      </c>
      <c r="C640" s="42" t="str">
        <f ca="1">IFERROR(__xludf.DUMMYFUNCTION("""COMPUTED_VALUE"""),"SDS")</f>
        <v>SDS</v>
      </c>
      <c r="D640" s="42" t="str">
        <f ca="1">IFERROR(__xludf.DUMMYFUNCTION("""COMPUTED_VALUE"""),"DCV")</f>
        <v>DCV</v>
      </c>
      <c r="E640" s="44">
        <f ca="1">IFERROR(__xludf.DUMMYFUNCTION("""COMPUTED_VALUE"""),4)</f>
        <v>4</v>
      </c>
      <c r="F640" s="42" t="str">
        <f ca="1">IFERROR(__xludf.DUMMYFUNCTION("""COMPUTED_VALUE"""),"9313100568 
9737545100")</f>
        <v>9313100568 
9737545100</v>
      </c>
      <c r="G640" s="42" t="str">
        <f ca="1">IFERROR(__xludf.DUMMYFUNCTION("""COMPUTED_VALUE"""),"9313100568 
9737545100")</f>
        <v>9313100568 
9737545100</v>
      </c>
      <c r="H640" s="2" t="str">
        <f ca="1">IFERROR(__xludf.DUMMYFUNCTION("""COMPUTED_VALUE"""),"DCV_2022-25")</f>
        <v>DCV_2022-25</v>
      </c>
      <c r="I640" s="45" t="str">
        <f ca="1">IFERROR(__xludf.DUMMYFUNCTION("""COMPUTED_VALUE"""),"KSP")</f>
        <v>KSP</v>
      </c>
      <c r="J640" s="46">
        <f ca="1">IFERROR(__xludf.DUMMYFUNCTION("""COMPUTED_VALUE"""),25000)</f>
        <v>25000</v>
      </c>
      <c r="K640" s="46">
        <f ca="1">IFERROR(__xludf.DUMMYFUNCTION("""COMPUTED_VALUE"""),18750)</f>
        <v>18750</v>
      </c>
      <c r="L640" s="46">
        <f ca="1">IFERROR(__xludf.DUMMYFUNCTION("""COMPUTED_VALUE"""),0)</f>
        <v>0</v>
      </c>
      <c r="M640" s="47">
        <f ca="1">IFERROR(__xludf.DUMMYFUNCTION("""COMPUTED_VALUE"""),6250)</f>
        <v>6250</v>
      </c>
      <c r="N640" s="46">
        <f ca="1">IFERROR(__xludf.DUMMYFUNCTION("""COMPUTED_VALUE"""),0)</f>
        <v>0</v>
      </c>
      <c r="O640" s="46">
        <f ca="1">IFERROR(__xludf.DUMMYFUNCTION("""COMPUTED_VALUE"""),3000)</f>
        <v>3000</v>
      </c>
      <c r="P640" s="46">
        <f ca="1">IFERROR(__xludf.DUMMYFUNCTION("""COMPUTED_VALUE"""),3000)</f>
        <v>3000</v>
      </c>
      <c r="Q640" s="47">
        <f ca="1">IFERROR(__xludf.DUMMYFUNCTION("""COMPUTED_VALUE"""),0)</f>
        <v>0</v>
      </c>
      <c r="R640" s="24">
        <f ca="1">IFERROR(__xludf.DUMMYFUNCTION("""COMPUTED_VALUE"""),0)</f>
        <v>0</v>
      </c>
      <c r="S640" s="23">
        <f ca="1">IFERROR(__xludf.DUMMYFUNCTION("""COMPUTED_VALUE"""),0)</f>
        <v>0</v>
      </c>
      <c r="T640" s="48">
        <f ca="1">IFERROR(__xludf.DUMMYFUNCTION("""COMPUTED_VALUE"""),0)</f>
        <v>0</v>
      </c>
      <c r="U640" s="47">
        <f ca="1">IFERROR(__xludf.DUMMYFUNCTION("""COMPUTED_VALUE"""),0)</f>
        <v>0</v>
      </c>
      <c r="V640" s="47">
        <f ca="1">IFERROR(__xludf.DUMMYFUNCTION("""COMPUTED_VALUE"""),0)</f>
        <v>0</v>
      </c>
      <c r="W640" s="47">
        <f ca="1">IFERROR(__xludf.DUMMYFUNCTION("""COMPUTED_VALUE"""),0)</f>
        <v>0</v>
      </c>
      <c r="X640" s="47">
        <f ca="1">IFERROR(__xludf.DUMMYFUNCTION("""COMPUTED_VALUE"""),0)</f>
        <v>0</v>
      </c>
      <c r="Y640" s="44">
        <f ca="1">IFERROR(__xludf.DUMMYFUNCTION("""COMPUTED_VALUE"""),0)</f>
        <v>0</v>
      </c>
      <c r="Z640" s="44">
        <f ca="1">IFERROR(__xludf.DUMMYFUNCTION("""COMPUTED_VALUE"""),0)</f>
        <v>0</v>
      </c>
      <c r="AA640" s="44">
        <f ca="1">IFERROR(__xludf.DUMMYFUNCTION("""COMPUTED_VALUE"""),0)</f>
        <v>0</v>
      </c>
      <c r="AB640" s="44">
        <f ca="1">IFERROR(__xludf.DUMMYFUNCTION("""COMPUTED_VALUE"""),0)</f>
        <v>0</v>
      </c>
      <c r="AC640" s="47">
        <f ca="1">IFERROR(__xludf.DUMMYFUNCTION("""COMPUTED_VALUE"""),0)</f>
        <v>0</v>
      </c>
      <c r="AD640" s="49" t="str">
        <f ca="1">IFERROR(__xludf.DUMMYFUNCTION("""COMPUTED_VALUE"""),"RS 6250 PER SEM SCHOLARSHIP")</f>
        <v>RS 6250 PER SEM SCHOLARSHIP</v>
      </c>
      <c r="AE640" s="27"/>
    </row>
    <row r="641" spans="1:31" ht="14.3">
      <c r="A641" s="42" t="str">
        <f ca="1">IFERROR(__xludf.DUMMYFUNCTION("""COMPUTED_VALUE"""),"22SDSCV01018")</f>
        <v>22SDSCV01018</v>
      </c>
      <c r="B641" s="43" t="str">
        <f ca="1">IFERROR(__xludf.DUMMYFUNCTION("""COMPUTED_VALUE"""),"ZANKAT PRUTHVI DIPSINHBHAI")</f>
        <v>ZANKAT PRUTHVI DIPSINHBHAI</v>
      </c>
      <c r="C641" s="42" t="str">
        <f ca="1">IFERROR(__xludf.DUMMYFUNCTION("""COMPUTED_VALUE"""),"SDS")</f>
        <v>SDS</v>
      </c>
      <c r="D641" s="42" t="str">
        <f ca="1">IFERROR(__xludf.DUMMYFUNCTION("""COMPUTED_VALUE"""),"DCV")</f>
        <v>DCV</v>
      </c>
      <c r="E641" s="44">
        <f ca="1">IFERROR(__xludf.DUMMYFUNCTION("""COMPUTED_VALUE"""),4)</f>
        <v>4</v>
      </c>
      <c r="F641" s="42" t="str">
        <f ca="1">IFERROR(__xludf.DUMMYFUNCTION("""COMPUTED_VALUE"""),"9228107016 9551434444")</f>
        <v>9228107016 9551434444</v>
      </c>
      <c r="G641" s="42" t="str">
        <f ca="1">IFERROR(__xludf.DUMMYFUNCTION("""COMPUTED_VALUE"""),"9228107016 9551434444")</f>
        <v>9228107016 9551434444</v>
      </c>
      <c r="H641" s="2" t="str">
        <f ca="1">IFERROR(__xludf.DUMMYFUNCTION("""COMPUTED_VALUE"""),"DCV_2022-25")</f>
        <v>DCV_2022-25</v>
      </c>
      <c r="I641" s="45"/>
      <c r="J641" s="46">
        <f ca="1">IFERROR(__xludf.DUMMYFUNCTION("""COMPUTED_VALUE"""),25000)</f>
        <v>25000</v>
      </c>
      <c r="K641" s="46">
        <f ca="1">IFERROR(__xludf.DUMMYFUNCTION("""COMPUTED_VALUE"""),25000)</f>
        <v>25000</v>
      </c>
      <c r="L641" s="46">
        <f ca="1">IFERROR(__xludf.DUMMYFUNCTION("""COMPUTED_VALUE"""),0)</f>
        <v>0</v>
      </c>
      <c r="M641" s="47">
        <f ca="1">IFERROR(__xludf.DUMMYFUNCTION("""COMPUTED_VALUE"""),0)</f>
        <v>0</v>
      </c>
      <c r="N641" s="46">
        <f ca="1">IFERROR(__xludf.DUMMYFUNCTION("""COMPUTED_VALUE"""),0)</f>
        <v>0</v>
      </c>
      <c r="O641" s="46">
        <f ca="1">IFERROR(__xludf.DUMMYFUNCTION("""COMPUTED_VALUE"""),3000)</f>
        <v>3000</v>
      </c>
      <c r="P641" s="46">
        <f ca="1">IFERROR(__xludf.DUMMYFUNCTION("""COMPUTED_VALUE"""),3000)</f>
        <v>3000</v>
      </c>
      <c r="Q641" s="47">
        <f ca="1">IFERROR(__xludf.DUMMYFUNCTION("""COMPUTED_VALUE"""),0)</f>
        <v>0</v>
      </c>
      <c r="R641" s="24">
        <f ca="1">IFERROR(__xludf.DUMMYFUNCTION("""COMPUTED_VALUE"""),0)</f>
        <v>0</v>
      </c>
      <c r="S641" s="23">
        <f ca="1">IFERROR(__xludf.DUMMYFUNCTION("""COMPUTED_VALUE"""),0)</f>
        <v>0</v>
      </c>
      <c r="T641" s="48">
        <f ca="1">IFERROR(__xludf.DUMMYFUNCTION("""COMPUTED_VALUE"""),0)</f>
        <v>0</v>
      </c>
      <c r="U641" s="47">
        <f ca="1">IFERROR(__xludf.DUMMYFUNCTION("""COMPUTED_VALUE"""),0)</f>
        <v>0</v>
      </c>
      <c r="V641" s="47">
        <f ca="1">IFERROR(__xludf.DUMMYFUNCTION("""COMPUTED_VALUE"""),0)</f>
        <v>0</v>
      </c>
      <c r="W641" s="47">
        <f ca="1">IFERROR(__xludf.DUMMYFUNCTION("""COMPUTED_VALUE"""),0)</f>
        <v>0</v>
      </c>
      <c r="X641" s="47">
        <f ca="1">IFERROR(__xludf.DUMMYFUNCTION("""COMPUTED_VALUE"""),0)</f>
        <v>0</v>
      </c>
      <c r="Y641" s="44">
        <f ca="1">IFERROR(__xludf.DUMMYFUNCTION("""COMPUTED_VALUE"""),0)</f>
        <v>0</v>
      </c>
      <c r="Z641" s="44">
        <f ca="1">IFERROR(__xludf.DUMMYFUNCTION("""COMPUTED_VALUE"""),0)</f>
        <v>0</v>
      </c>
      <c r="AA641" s="44">
        <f ca="1">IFERROR(__xludf.DUMMYFUNCTION("""COMPUTED_VALUE"""),0)</f>
        <v>0</v>
      </c>
      <c r="AB641" s="44">
        <f ca="1">IFERROR(__xludf.DUMMYFUNCTION("""COMPUTED_VALUE"""),0)</f>
        <v>0</v>
      </c>
      <c r="AC641" s="47">
        <f ca="1">IFERROR(__xludf.DUMMYFUNCTION("""COMPUTED_VALUE"""),0)</f>
        <v>0</v>
      </c>
      <c r="AD641" s="49"/>
      <c r="AE641" s="27"/>
    </row>
    <row r="642" spans="1:31" ht="14.3">
      <c r="A642" s="42" t="str">
        <f ca="1">IFERROR(__xludf.DUMMYFUNCTION("""COMPUTED_VALUE"""),"22SDSCV01019")</f>
        <v>22SDSCV01019</v>
      </c>
      <c r="B642" s="43" t="str">
        <f ca="1">IFERROR(__xludf.DUMMYFUNCTION("""COMPUTED_VALUE"""),"SAQUIB MALIK")</f>
        <v>SAQUIB MALIK</v>
      </c>
      <c r="C642" s="42" t="str">
        <f ca="1">IFERROR(__xludf.DUMMYFUNCTION("""COMPUTED_VALUE"""),"SDS")</f>
        <v>SDS</v>
      </c>
      <c r="D642" s="42" t="str">
        <f ca="1">IFERROR(__xludf.DUMMYFUNCTION("""COMPUTED_VALUE"""),"DCV")</f>
        <v>DCV</v>
      </c>
      <c r="E642" s="44">
        <f ca="1">IFERROR(__xludf.DUMMYFUNCTION("""COMPUTED_VALUE"""),4)</f>
        <v>4</v>
      </c>
      <c r="F642" s="42" t="str">
        <f ca="1">IFERROR(__xludf.DUMMYFUNCTION("""COMPUTED_VALUE"""),"BIHAR STUDENT")</f>
        <v>BIHAR STUDENT</v>
      </c>
      <c r="G642" s="42" t="str">
        <f ca="1">IFERROR(__xludf.DUMMYFUNCTION("""COMPUTED_VALUE"""),"BIHAR STUDENT")</f>
        <v>BIHAR STUDENT</v>
      </c>
      <c r="H642" s="2" t="str">
        <f ca="1">IFERROR(__xludf.DUMMYFUNCTION("""COMPUTED_VALUE"""),"DCV_2022-25")</f>
        <v>DCV_2022-25</v>
      </c>
      <c r="I642" s="45"/>
      <c r="J642" s="46">
        <f ca="1">IFERROR(__xludf.DUMMYFUNCTION("""COMPUTED_VALUE"""),42500)</f>
        <v>42500</v>
      </c>
      <c r="K642" s="46">
        <f ca="1">IFERROR(__xludf.DUMMYFUNCTION("""COMPUTED_VALUE"""),0)</f>
        <v>0</v>
      </c>
      <c r="L642" s="46">
        <f ca="1">IFERROR(__xludf.DUMMYFUNCTION("""COMPUTED_VALUE"""),0)</f>
        <v>0</v>
      </c>
      <c r="M642" s="47">
        <f ca="1">IFERROR(__xludf.DUMMYFUNCTION("""COMPUTED_VALUE"""),0)</f>
        <v>0</v>
      </c>
      <c r="N642" s="46">
        <f ca="1">IFERROR(__xludf.DUMMYFUNCTION("""COMPUTED_VALUE"""),42500)</f>
        <v>42500</v>
      </c>
      <c r="O642" s="46">
        <f ca="1">IFERROR(__xludf.DUMMYFUNCTION("""COMPUTED_VALUE"""),0)</f>
        <v>0</v>
      </c>
      <c r="P642" s="46">
        <f ca="1">IFERROR(__xludf.DUMMYFUNCTION("""COMPUTED_VALUE"""),0)</f>
        <v>0</v>
      </c>
      <c r="Q642" s="47">
        <f ca="1">IFERROR(__xludf.DUMMYFUNCTION("""COMPUTED_VALUE"""),0)</f>
        <v>0</v>
      </c>
      <c r="R642" s="24">
        <f ca="1">IFERROR(__xludf.DUMMYFUNCTION("""COMPUTED_VALUE"""),0)</f>
        <v>0</v>
      </c>
      <c r="S642" s="23">
        <f ca="1">IFERROR(__xludf.DUMMYFUNCTION("""COMPUTED_VALUE"""),0)</f>
        <v>0</v>
      </c>
      <c r="T642" s="48">
        <f ca="1">IFERROR(__xludf.DUMMYFUNCTION("""COMPUTED_VALUE"""),0)</f>
        <v>0</v>
      </c>
      <c r="U642" s="47">
        <f ca="1">IFERROR(__xludf.DUMMYFUNCTION("""COMPUTED_VALUE"""),0)</f>
        <v>0</v>
      </c>
      <c r="V642" s="47">
        <f ca="1">IFERROR(__xludf.DUMMYFUNCTION("""COMPUTED_VALUE"""),0)</f>
        <v>0</v>
      </c>
      <c r="W642" s="47">
        <f ca="1">IFERROR(__xludf.DUMMYFUNCTION("""COMPUTED_VALUE"""),0)</f>
        <v>0</v>
      </c>
      <c r="X642" s="47">
        <f ca="1">IFERROR(__xludf.DUMMYFUNCTION("""COMPUTED_VALUE"""),0)</f>
        <v>0</v>
      </c>
      <c r="Y642" s="44">
        <f ca="1">IFERROR(__xludf.DUMMYFUNCTION("""COMPUTED_VALUE"""),0)</f>
        <v>0</v>
      </c>
      <c r="Z642" s="44">
        <f ca="1">IFERROR(__xludf.DUMMYFUNCTION("""COMPUTED_VALUE"""),0)</f>
        <v>0</v>
      </c>
      <c r="AA642" s="44">
        <f ca="1">IFERROR(__xludf.DUMMYFUNCTION("""COMPUTED_VALUE"""),0)</f>
        <v>0</v>
      </c>
      <c r="AB642" s="44">
        <f ca="1">IFERROR(__xludf.DUMMYFUNCTION("""COMPUTED_VALUE"""),0)</f>
        <v>0</v>
      </c>
      <c r="AC642" s="47">
        <f ca="1">IFERROR(__xludf.DUMMYFUNCTION("""COMPUTED_VALUE"""),0)</f>
        <v>0</v>
      </c>
      <c r="AD642" s="49"/>
      <c r="AE642" s="27"/>
    </row>
    <row r="643" spans="1:31" ht="14.3">
      <c r="A643" s="42" t="str">
        <f ca="1">IFERROR(__xludf.DUMMYFUNCTION("""COMPUTED_VALUE"""),"22SDSCV01023")</f>
        <v>22SDSCV01023</v>
      </c>
      <c r="B643" s="43" t="str">
        <f ca="1">IFERROR(__xludf.DUMMYFUNCTION("""COMPUTED_VALUE"""),"DODIYA ADITYA BIPINBHAI")</f>
        <v>DODIYA ADITYA BIPINBHAI</v>
      </c>
      <c r="C643" s="42" t="str">
        <f ca="1">IFERROR(__xludf.DUMMYFUNCTION("""COMPUTED_VALUE"""),"SDS")</f>
        <v>SDS</v>
      </c>
      <c r="D643" s="42" t="str">
        <f ca="1">IFERROR(__xludf.DUMMYFUNCTION("""COMPUTED_VALUE"""),"DCV")</f>
        <v>DCV</v>
      </c>
      <c r="E643" s="44">
        <f ca="1">IFERROR(__xludf.DUMMYFUNCTION("""COMPUTED_VALUE"""),4)</f>
        <v>4</v>
      </c>
      <c r="F643" s="42" t="str">
        <f ca="1">IFERROR(__xludf.DUMMYFUNCTION("""COMPUTED_VALUE"""),"7265973600 7984938832")</f>
        <v>7265973600 7984938832</v>
      </c>
      <c r="G643" s="42" t="str">
        <f ca="1">IFERROR(__xludf.DUMMYFUNCTION("""COMPUTED_VALUE"""),"7265973600 7984938832")</f>
        <v>7265973600 7984938832</v>
      </c>
      <c r="H643" s="2" t="str">
        <f ca="1">IFERROR(__xludf.DUMMYFUNCTION("""COMPUTED_VALUE"""),"DCV_2022-25")</f>
        <v>DCV_2022-25</v>
      </c>
      <c r="I643" s="45"/>
      <c r="J643" s="46">
        <f ca="1">IFERROR(__xludf.DUMMYFUNCTION("""COMPUTED_VALUE"""),25000)</f>
        <v>25000</v>
      </c>
      <c r="K643" s="46">
        <f ca="1">IFERROR(__xludf.DUMMYFUNCTION("""COMPUTED_VALUE"""),1250)</f>
        <v>1250</v>
      </c>
      <c r="L643" s="46">
        <f ca="1">IFERROR(__xludf.DUMMYFUNCTION("""COMPUTED_VALUE"""),0)</f>
        <v>0</v>
      </c>
      <c r="M643" s="47">
        <f ca="1">IFERROR(__xludf.DUMMYFUNCTION("""COMPUTED_VALUE"""),0)</f>
        <v>0</v>
      </c>
      <c r="N643" s="46">
        <f ca="1">IFERROR(__xludf.DUMMYFUNCTION("""COMPUTED_VALUE"""),23750)</f>
        <v>23750</v>
      </c>
      <c r="O643" s="46">
        <f ca="1">IFERROR(__xludf.DUMMYFUNCTION("""COMPUTED_VALUE"""),3000)</f>
        <v>3000</v>
      </c>
      <c r="P643" s="46">
        <f ca="1">IFERROR(__xludf.DUMMYFUNCTION("""COMPUTED_VALUE"""),0)</f>
        <v>0</v>
      </c>
      <c r="Q643" s="47">
        <f ca="1">IFERROR(__xludf.DUMMYFUNCTION("""COMPUTED_VALUE"""),0)</f>
        <v>0</v>
      </c>
      <c r="R643" s="24">
        <f ca="1">IFERROR(__xludf.DUMMYFUNCTION("""COMPUTED_VALUE"""),0)</f>
        <v>0</v>
      </c>
      <c r="S643" s="23">
        <f ca="1">IFERROR(__xludf.DUMMYFUNCTION("""COMPUTED_VALUE"""),3000)</f>
        <v>3000</v>
      </c>
      <c r="T643" s="48">
        <f ca="1">IFERROR(__xludf.DUMMYFUNCTION("""COMPUTED_VALUE"""),0)</f>
        <v>0</v>
      </c>
      <c r="U643" s="47">
        <f ca="1">IFERROR(__xludf.DUMMYFUNCTION("""COMPUTED_VALUE"""),0)</f>
        <v>0</v>
      </c>
      <c r="V643" s="47">
        <f ca="1">IFERROR(__xludf.DUMMYFUNCTION("""COMPUTED_VALUE"""),0)</f>
        <v>0</v>
      </c>
      <c r="W643" s="47">
        <f ca="1">IFERROR(__xludf.DUMMYFUNCTION("""COMPUTED_VALUE"""),0)</f>
        <v>0</v>
      </c>
      <c r="X643" s="47">
        <f ca="1">IFERROR(__xludf.DUMMYFUNCTION("""COMPUTED_VALUE"""),0)</f>
        <v>0</v>
      </c>
      <c r="Y643" s="44">
        <f ca="1">IFERROR(__xludf.DUMMYFUNCTION("""COMPUTED_VALUE"""),0)</f>
        <v>0</v>
      </c>
      <c r="Z643" s="44">
        <f ca="1">IFERROR(__xludf.DUMMYFUNCTION("""COMPUTED_VALUE"""),0)</f>
        <v>0</v>
      </c>
      <c r="AA643" s="44">
        <f ca="1">IFERROR(__xludf.DUMMYFUNCTION("""COMPUTED_VALUE"""),0)</f>
        <v>0</v>
      </c>
      <c r="AB643" s="44">
        <f ca="1">IFERROR(__xludf.DUMMYFUNCTION("""COMPUTED_VALUE"""),0)</f>
        <v>0</v>
      </c>
      <c r="AC643" s="47">
        <f ca="1">IFERROR(__xludf.DUMMYFUNCTION("""COMPUTED_VALUE"""),0)</f>
        <v>0</v>
      </c>
      <c r="AD643" s="49"/>
      <c r="AE643" s="27"/>
    </row>
    <row r="644" spans="1:31" ht="14.3">
      <c r="A644" s="42" t="str">
        <f ca="1">IFERROR(__xludf.DUMMYFUNCTION("""COMPUTED_VALUE"""),"22SDSCV01024")</f>
        <v>22SDSCV01024</v>
      </c>
      <c r="B644" s="43" t="str">
        <f ca="1">IFERROR(__xludf.DUMMYFUNCTION("""COMPUTED_VALUE"""),"TANK JENISH CHANDRESHBHAI")</f>
        <v>TANK JENISH CHANDRESHBHAI</v>
      </c>
      <c r="C644" s="42" t="str">
        <f ca="1">IFERROR(__xludf.DUMMYFUNCTION("""COMPUTED_VALUE"""),"SDS")</f>
        <v>SDS</v>
      </c>
      <c r="D644" s="42" t="str">
        <f ca="1">IFERROR(__xludf.DUMMYFUNCTION("""COMPUTED_VALUE"""),"DCV")</f>
        <v>DCV</v>
      </c>
      <c r="E644" s="44">
        <f ca="1">IFERROR(__xludf.DUMMYFUNCTION("""COMPUTED_VALUE"""),4)</f>
        <v>4</v>
      </c>
      <c r="F644" s="42" t="str">
        <f ca="1">IFERROR(__xludf.DUMMYFUNCTION("""COMPUTED_VALUE"""),"7046048123 9824860036")</f>
        <v>7046048123 9824860036</v>
      </c>
      <c r="G644" s="42" t="str">
        <f ca="1">IFERROR(__xludf.DUMMYFUNCTION("""COMPUTED_VALUE"""),"7046048123 9824860036")</f>
        <v>7046048123 9824860036</v>
      </c>
      <c r="H644" s="2" t="str">
        <f ca="1">IFERROR(__xludf.DUMMYFUNCTION("""COMPUTED_VALUE"""),"DCV_2022-25")</f>
        <v>DCV_2022-25</v>
      </c>
      <c r="I644" s="45"/>
      <c r="J644" s="46">
        <f ca="1">IFERROR(__xludf.DUMMYFUNCTION("""COMPUTED_VALUE"""),25000)</f>
        <v>25000</v>
      </c>
      <c r="K644" s="46">
        <f ca="1">IFERROR(__xludf.DUMMYFUNCTION("""COMPUTED_VALUE"""),0)</f>
        <v>0</v>
      </c>
      <c r="L644" s="46">
        <f ca="1">IFERROR(__xludf.DUMMYFUNCTION("""COMPUTED_VALUE"""),0)</f>
        <v>0</v>
      </c>
      <c r="M644" s="47">
        <f ca="1">IFERROR(__xludf.DUMMYFUNCTION("""COMPUTED_VALUE"""),0)</f>
        <v>0</v>
      </c>
      <c r="N644" s="46">
        <f ca="1">IFERROR(__xludf.DUMMYFUNCTION("""COMPUTED_VALUE"""),25000)</f>
        <v>25000</v>
      </c>
      <c r="O644" s="46">
        <f ca="1">IFERROR(__xludf.DUMMYFUNCTION("""COMPUTED_VALUE"""),3000)</f>
        <v>3000</v>
      </c>
      <c r="P644" s="46">
        <f ca="1">IFERROR(__xludf.DUMMYFUNCTION("""COMPUTED_VALUE"""),0)</f>
        <v>0</v>
      </c>
      <c r="Q644" s="47">
        <f ca="1">IFERROR(__xludf.DUMMYFUNCTION("""COMPUTED_VALUE"""),0)</f>
        <v>0</v>
      </c>
      <c r="R644" s="24">
        <f ca="1">IFERROR(__xludf.DUMMYFUNCTION("""COMPUTED_VALUE"""),0)</f>
        <v>0</v>
      </c>
      <c r="S644" s="23">
        <f ca="1">IFERROR(__xludf.DUMMYFUNCTION("""COMPUTED_VALUE"""),3000)</f>
        <v>3000</v>
      </c>
      <c r="T644" s="48">
        <f ca="1">IFERROR(__xludf.DUMMYFUNCTION("""COMPUTED_VALUE"""),0)</f>
        <v>0</v>
      </c>
      <c r="U644" s="47">
        <f ca="1">IFERROR(__xludf.DUMMYFUNCTION("""COMPUTED_VALUE"""),0)</f>
        <v>0</v>
      </c>
      <c r="V644" s="47">
        <f ca="1">IFERROR(__xludf.DUMMYFUNCTION("""COMPUTED_VALUE"""),0)</f>
        <v>0</v>
      </c>
      <c r="W644" s="47">
        <f ca="1">IFERROR(__xludf.DUMMYFUNCTION("""COMPUTED_VALUE"""),0)</f>
        <v>0</v>
      </c>
      <c r="X644" s="47">
        <f ca="1">IFERROR(__xludf.DUMMYFUNCTION("""COMPUTED_VALUE"""),0)</f>
        <v>0</v>
      </c>
      <c r="Y644" s="44">
        <f ca="1">IFERROR(__xludf.DUMMYFUNCTION("""COMPUTED_VALUE"""),0)</f>
        <v>0</v>
      </c>
      <c r="Z644" s="44">
        <f ca="1">IFERROR(__xludf.DUMMYFUNCTION("""COMPUTED_VALUE"""),0)</f>
        <v>0</v>
      </c>
      <c r="AA644" s="44">
        <f ca="1">IFERROR(__xludf.DUMMYFUNCTION("""COMPUTED_VALUE"""),0)</f>
        <v>0</v>
      </c>
      <c r="AB644" s="44">
        <f ca="1">IFERROR(__xludf.DUMMYFUNCTION("""COMPUTED_VALUE"""),0)</f>
        <v>0</v>
      </c>
      <c r="AC644" s="47">
        <f ca="1">IFERROR(__xludf.DUMMYFUNCTION("""COMPUTED_VALUE"""),0)</f>
        <v>0</v>
      </c>
      <c r="AD644" s="49"/>
      <c r="AE644" s="27"/>
    </row>
    <row r="645" spans="1:31" ht="14.3">
      <c r="A645" s="42" t="str">
        <f ca="1">IFERROR(__xludf.DUMMYFUNCTION("""COMPUTED_VALUE"""),"22SDSCV01026")</f>
        <v>22SDSCV01026</v>
      </c>
      <c r="B645" s="43" t="str">
        <f ca="1">IFERROR(__xludf.DUMMYFUNCTION("""COMPUTED_VALUE"""),"ABHIMANYU KUMAR")</f>
        <v>ABHIMANYU KUMAR</v>
      </c>
      <c r="C645" s="42" t="str">
        <f ca="1">IFERROR(__xludf.DUMMYFUNCTION("""COMPUTED_VALUE"""),"SDS")</f>
        <v>SDS</v>
      </c>
      <c r="D645" s="42" t="str">
        <f ca="1">IFERROR(__xludf.DUMMYFUNCTION("""COMPUTED_VALUE"""),"DCV")</f>
        <v>DCV</v>
      </c>
      <c r="E645" s="44">
        <f ca="1">IFERROR(__xludf.DUMMYFUNCTION("""COMPUTED_VALUE"""),4)</f>
        <v>4</v>
      </c>
      <c r="F645" s="42" t="str">
        <f ca="1">IFERROR(__xludf.DUMMYFUNCTION("""COMPUTED_VALUE"""),"BIHAR STUDENT")</f>
        <v>BIHAR STUDENT</v>
      </c>
      <c r="G645" s="42" t="str">
        <f ca="1">IFERROR(__xludf.DUMMYFUNCTION("""COMPUTED_VALUE"""),"BIHAR STUDENT")</f>
        <v>BIHAR STUDENT</v>
      </c>
      <c r="H645" s="2" t="str">
        <f ca="1">IFERROR(__xludf.DUMMYFUNCTION("""COMPUTED_VALUE"""),"DCV_2022-25")</f>
        <v>DCV_2022-25</v>
      </c>
      <c r="I645" s="45"/>
      <c r="J645" s="46">
        <f ca="1">IFERROR(__xludf.DUMMYFUNCTION("""COMPUTED_VALUE"""),42500)</f>
        <v>42500</v>
      </c>
      <c r="K645" s="46">
        <f ca="1">IFERROR(__xludf.DUMMYFUNCTION("""COMPUTED_VALUE"""),0)</f>
        <v>0</v>
      </c>
      <c r="L645" s="46">
        <f ca="1">IFERROR(__xludf.DUMMYFUNCTION("""COMPUTED_VALUE"""),0)</f>
        <v>0</v>
      </c>
      <c r="M645" s="47">
        <f ca="1">IFERROR(__xludf.DUMMYFUNCTION("""COMPUTED_VALUE"""),0)</f>
        <v>0</v>
      </c>
      <c r="N645" s="46">
        <f ca="1">IFERROR(__xludf.DUMMYFUNCTION("""COMPUTED_VALUE"""),42500)</f>
        <v>42500</v>
      </c>
      <c r="O645" s="46">
        <f ca="1">IFERROR(__xludf.DUMMYFUNCTION("""COMPUTED_VALUE"""),0)</f>
        <v>0</v>
      </c>
      <c r="P645" s="46">
        <f ca="1">IFERROR(__xludf.DUMMYFUNCTION("""COMPUTED_VALUE"""),0)</f>
        <v>0</v>
      </c>
      <c r="Q645" s="47">
        <f ca="1">IFERROR(__xludf.DUMMYFUNCTION("""COMPUTED_VALUE"""),0)</f>
        <v>0</v>
      </c>
      <c r="R645" s="24">
        <f ca="1">IFERROR(__xludf.DUMMYFUNCTION("""COMPUTED_VALUE"""),0)</f>
        <v>0</v>
      </c>
      <c r="S645" s="23">
        <f ca="1">IFERROR(__xludf.DUMMYFUNCTION("""COMPUTED_VALUE"""),0)</f>
        <v>0</v>
      </c>
      <c r="T645" s="48">
        <f ca="1">IFERROR(__xludf.DUMMYFUNCTION("""COMPUTED_VALUE"""),0)</f>
        <v>0</v>
      </c>
      <c r="U645" s="47">
        <f ca="1">IFERROR(__xludf.DUMMYFUNCTION("""COMPUTED_VALUE"""),0)</f>
        <v>0</v>
      </c>
      <c r="V645" s="47">
        <f ca="1">IFERROR(__xludf.DUMMYFUNCTION("""COMPUTED_VALUE"""),0)</f>
        <v>0</v>
      </c>
      <c r="W645" s="47">
        <f ca="1">IFERROR(__xludf.DUMMYFUNCTION("""COMPUTED_VALUE"""),0)</f>
        <v>0</v>
      </c>
      <c r="X645" s="47">
        <f ca="1">IFERROR(__xludf.DUMMYFUNCTION("""COMPUTED_VALUE"""),0)</f>
        <v>0</v>
      </c>
      <c r="Y645" s="44">
        <f ca="1">IFERROR(__xludf.DUMMYFUNCTION("""COMPUTED_VALUE"""),0)</f>
        <v>0</v>
      </c>
      <c r="Z645" s="44">
        <f ca="1">IFERROR(__xludf.DUMMYFUNCTION("""COMPUTED_VALUE"""),0)</f>
        <v>0</v>
      </c>
      <c r="AA645" s="44">
        <f ca="1">IFERROR(__xludf.DUMMYFUNCTION("""COMPUTED_VALUE"""),0)</f>
        <v>0</v>
      </c>
      <c r="AB645" s="44">
        <f ca="1">IFERROR(__xludf.DUMMYFUNCTION("""COMPUTED_VALUE"""),0)</f>
        <v>0</v>
      </c>
      <c r="AC645" s="47">
        <f ca="1">IFERROR(__xludf.DUMMYFUNCTION("""COMPUTED_VALUE"""),0)</f>
        <v>0</v>
      </c>
      <c r="AD645" s="49"/>
      <c r="AE645" s="27"/>
    </row>
    <row r="646" spans="1:31" ht="14.3">
      <c r="A646" s="42" t="str">
        <f ca="1">IFERROR(__xludf.DUMMYFUNCTION("""COMPUTED_VALUE"""),"22SDSCV01028")</f>
        <v>22SDSCV01028</v>
      </c>
      <c r="B646" s="43" t="str">
        <f ca="1">IFERROR(__xludf.DUMMYFUNCTION("""COMPUTED_VALUE"""),"AKASH KUMAR")</f>
        <v>AKASH KUMAR</v>
      </c>
      <c r="C646" s="42" t="str">
        <f ca="1">IFERROR(__xludf.DUMMYFUNCTION("""COMPUTED_VALUE"""),"SDS")</f>
        <v>SDS</v>
      </c>
      <c r="D646" s="42" t="str">
        <f ca="1">IFERROR(__xludf.DUMMYFUNCTION("""COMPUTED_VALUE"""),"DCV")</f>
        <v>DCV</v>
      </c>
      <c r="E646" s="44">
        <f ca="1">IFERROR(__xludf.DUMMYFUNCTION("""COMPUTED_VALUE"""),4)</f>
        <v>4</v>
      </c>
      <c r="F646" s="42" t="str">
        <f ca="1">IFERROR(__xludf.DUMMYFUNCTION("""COMPUTED_VALUE"""),"BIHAR STUDENT")</f>
        <v>BIHAR STUDENT</v>
      </c>
      <c r="G646" s="42" t="str">
        <f ca="1">IFERROR(__xludf.DUMMYFUNCTION("""COMPUTED_VALUE"""),"BIHAR STUDENT")</f>
        <v>BIHAR STUDENT</v>
      </c>
      <c r="H646" s="2" t="str">
        <f ca="1">IFERROR(__xludf.DUMMYFUNCTION("""COMPUTED_VALUE"""),"DCV_2022-25")</f>
        <v>DCV_2022-25</v>
      </c>
      <c r="I646" s="45"/>
      <c r="J646" s="46">
        <f ca="1">IFERROR(__xludf.DUMMYFUNCTION("""COMPUTED_VALUE"""),42500)</f>
        <v>42500</v>
      </c>
      <c r="K646" s="46">
        <f ca="1">IFERROR(__xludf.DUMMYFUNCTION("""COMPUTED_VALUE"""),42500)</f>
        <v>42500</v>
      </c>
      <c r="L646" s="46">
        <f ca="1">IFERROR(__xludf.DUMMYFUNCTION("""COMPUTED_VALUE"""),0)</f>
        <v>0</v>
      </c>
      <c r="M646" s="47">
        <f ca="1">IFERROR(__xludf.DUMMYFUNCTION("""COMPUTED_VALUE"""),0)</f>
        <v>0</v>
      </c>
      <c r="N646" s="46">
        <f ca="1">IFERROR(__xludf.DUMMYFUNCTION("""COMPUTED_VALUE"""),0)</f>
        <v>0</v>
      </c>
      <c r="O646" s="46">
        <f ca="1">IFERROR(__xludf.DUMMYFUNCTION("""COMPUTED_VALUE"""),0)</f>
        <v>0</v>
      </c>
      <c r="P646" s="46">
        <f ca="1">IFERROR(__xludf.DUMMYFUNCTION("""COMPUTED_VALUE"""),0)</f>
        <v>0</v>
      </c>
      <c r="Q646" s="47">
        <f ca="1">IFERROR(__xludf.DUMMYFUNCTION("""COMPUTED_VALUE"""),0)</f>
        <v>0</v>
      </c>
      <c r="R646" s="24">
        <f ca="1">IFERROR(__xludf.DUMMYFUNCTION("""COMPUTED_VALUE"""),0)</f>
        <v>0</v>
      </c>
      <c r="S646" s="23">
        <f ca="1">IFERROR(__xludf.DUMMYFUNCTION("""COMPUTED_VALUE"""),0)</f>
        <v>0</v>
      </c>
      <c r="T646" s="48">
        <f ca="1">IFERROR(__xludf.DUMMYFUNCTION("""COMPUTED_VALUE"""),0)</f>
        <v>0</v>
      </c>
      <c r="U646" s="47">
        <f ca="1">IFERROR(__xludf.DUMMYFUNCTION("""COMPUTED_VALUE"""),0)</f>
        <v>0</v>
      </c>
      <c r="V646" s="47">
        <f ca="1">IFERROR(__xludf.DUMMYFUNCTION("""COMPUTED_VALUE"""),0)</f>
        <v>0</v>
      </c>
      <c r="W646" s="47">
        <f ca="1">IFERROR(__xludf.DUMMYFUNCTION("""COMPUTED_VALUE"""),0)</f>
        <v>0</v>
      </c>
      <c r="X646" s="47">
        <f ca="1">IFERROR(__xludf.DUMMYFUNCTION("""COMPUTED_VALUE"""),0)</f>
        <v>0</v>
      </c>
      <c r="Y646" s="44">
        <f ca="1">IFERROR(__xludf.DUMMYFUNCTION("""COMPUTED_VALUE"""),0)</f>
        <v>0</v>
      </c>
      <c r="Z646" s="44">
        <f ca="1">IFERROR(__xludf.DUMMYFUNCTION("""COMPUTED_VALUE"""),0)</f>
        <v>0</v>
      </c>
      <c r="AA646" s="44">
        <f ca="1">IFERROR(__xludf.DUMMYFUNCTION("""COMPUTED_VALUE"""),0)</f>
        <v>0</v>
      </c>
      <c r="AB646" s="44">
        <f ca="1">IFERROR(__xludf.DUMMYFUNCTION("""COMPUTED_VALUE"""),0)</f>
        <v>0</v>
      </c>
      <c r="AC646" s="47">
        <f ca="1">IFERROR(__xludf.DUMMYFUNCTION("""COMPUTED_VALUE"""),0)</f>
        <v>0</v>
      </c>
      <c r="AD646" s="49"/>
      <c r="AE646" s="27"/>
    </row>
    <row r="647" spans="1:31" ht="14.3">
      <c r="A647" s="42" t="str">
        <f ca="1">IFERROR(__xludf.DUMMYFUNCTION("""COMPUTED_VALUE"""),"22SDSCV01029")</f>
        <v>22SDSCV01029</v>
      </c>
      <c r="B647" s="43" t="str">
        <f ca="1">IFERROR(__xludf.DUMMYFUNCTION("""COMPUTED_VALUE"""),"KUNDAN KUMAR")</f>
        <v>KUNDAN KUMAR</v>
      </c>
      <c r="C647" s="42" t="str">
        <f ca="1">IFERROR(__xludf.DUMMYFUNCTION("""COMPUTED_VALUE"""),"SDS")</f>
        <v>SDS</v>
      </c>
      <c r="D647" s="42" t="str">
        <f ca="1">IFERROR(__xludf.DUMMYFUNCTION("""COMPUTED_VALUE"""),"DCV")</f>
        <v>DCV</v>
      </c>
      <c r="E647" s="44">
        <f ca="1">IFERROR(__xludf.DUMMYFUNCTION("""COMPUTED_VALUE"""),4)</f>
        <v>4</v>
      </c>
      <c r="F647" s="42" t="str">
        <f ca="1">IFERROR(__xludf.DUMMYFUNCTION("""COMPUTED_VALUE"""),"BIHAR STUDENT")</f>
        <v>BIHAR STUDENT</v>
      </c>
      <c r="G647" s="42" t="str">
        <f ca="1">IFERROR(__xludf.DUMMYFUNCTION("""COMPUTED_VALUE"""),"BIHAR STUDENT")</f>
        <v>BIHAR STUDENT</v>
      </c>
      <c r="H647" s="2" t="str">
        <f ca="1">IFERROR(__xludf.DUMMYFUNCTION("""COMPUTED_VALUE"""),"DCV_2022-25")</f>
        <v>DCV_2022-25</v>
      </c>
      <c r="I647" s="45"/>
      <c r="J647" s="46">
        <f ca="1">IFERROR(__xludf.DUMMYFUNCTION("""COMPUTED_VALUE"""),42500)</f>
        <v>42500</v>
      </c>
      <c r="K647" s="46">
        <f ca="1">IFERROR(__xludf.DUMMYFUNCTION("""COMPUTED_VALUE"""),0)</f>
        <v>0</v>
      </c>
      <c r="L647" s="46">
        <f ca="1">IFERROR(__xludf.DUMMYFUNCTION("""COMPUTED_VALUE"""),0)</f>
        <v>0</v>
      </c>
      <c r="M647" s="47">
        <f ca="1">IFERROR(__xludf.DUMMYFUNCTION("""COMPUTED_VALUE"""),0)</f>
        <v>0</v>
      </c>
      <c r="N647" s="46">
        <f ca="1">IFERROR(__xludf.DUMMYFUNCTION("""COMPUTED_VALUE"""),42500)</f>
        <v>42500</v>
      </c>
      <c r="O647" s="46">
        <f ca="1">IFERROR(__xludf.DUMMYFUNCTION("""COMPUTED_VALUE"""),0)</f>
        <v>0</v>
      </c>
      <c r="P647" s="46">
        <f ca="1">IFERROR(__xludf.DUMMYFUNCTION("""COMPUTED_VALUE"""),0)</f>
        <v>0</v>
      </c>
      <c r="Q647" s="47">
        <f ca="1">IFERROR(__xludf.DUMMYFUNCTION("""COMPUTED_VALUE"""),0)</f>
        <v>0</v>
      </c>
      <c r="R647" s="24">
        <f ca="1">IFERROR(__xludf.DUMMYFUNCTION("""COMPUTED_VALUE"""),0)</f>
        <v>0</v>
      </c>
      <c r="S647" s="23">
        <f ca="1">IFERROR(__xludf.DUMMYFUNCTION("""COMPUTED_VALUE"""),0)</f>
        <v>0</v>
      </c>
      <c r="T647" s="48">
        <f ca="1">IFERROR(__xludf.DUMMYFUNCTION("""COMPUTED_VALUE"""),0)</f>
        <v>0</v>
      </c>
      <c r="U647" s="47">
        <f ca="1">IFERROR(__xludf.DUMMYFUNCTION("""COMPUTED_VALUE"""),0)</f>
        <v>0</v>
      </c>
      <c r="V647" s="47">
        <f ca="1">IFERROR(__xludf.DUMMYFUNCTION("""COMPUTED_VALUE"""),0)</f>
        <v>0</v>
      </c>
      <c r="W647" s="47">
        <f ca="1">IFERROR(__xludf.DUMMYFUNCTION("""COMPUTED_VALUE"""),0)</f>
        <v>0</v>
      </c>
      <c r="X647" s="47">
        <f ca="1">IFERROR(__xludf.DUMMYFUNCTION("""COMPUTED_VALUE"""),0)</f>
        <v>0</v>
      </c>
      <c r="Y647" s="44">
        <f ca="1">IFERROR(__xludf.DUMMYFUNCTION("""COMPUTED_VALUE"""),0)</f>
        <v>0</v>
      </c>
      <c r="Z647" s="44">
        <f ca="1">IFERROR(__xludf.DUMMYFUNCTION("""COMPUTED_VALUE"""),0)</f>
        <v>0</v>
      </c>
      <c r="AA647" s="44">
        <f ca="1">IFERROR(__xludf.DUMMYFUNCTION("""COMPUTED_VALUE"""),0)</f>
        <v>0</v>
      </c>
      <c r="AB647" s="44">
        <f ca="1">IFERROR(__xludf.DUMMYFUNCTION("""COMPUTED_VALUE"""),0)</f>
        <v>0</v>
      </c>
      <c r="AC647" s="47">
        <f ca="1">IFERROR(__xludf.DUMMYFUNCTION("""COMPUTED_VALUE"""),0)</f>
        <v>0</v>
      </c>
      <c r="AD647" s="49"/>
      <c r="AE647" s="27"/>
    </row>
    <row r="648" spans="1:31" ht="14.3">
      <c r="A648" s="42" t="str">
        <f ca="1">IFERROR(__xludf.DUMMYFUNCTION("""COMPUTED_VALUE"""),"22SDSCV01030")</f>
        <v>22SDSCV01030</v>
      </c>
      <c r="B648" s="43" t="str">
        <f ca="1">IFERROR(__xludf.DUMMYFUNCTION("""COMPUTED_VALUE"""),"NITESH KUMAR")</f>
        <v>NITESH KUMAR</v>
      </c>
      <c r="C648" s="42" t="str">
        <f ca="1">IFERROR(__xludf.DUMMYFUNCTION("""COMPUTED_VALUE"""),"SDS")</f>
        <v>SDS</v>
      </c>
      <c r="D648" s="42" t="str">
        <f ca="1">IFERROR(__xludf.DUMMYFUNCTION("""COMPUTED_VALUE"""),"DCV")</f>
        <v>DCV</v>
      </c>
      <c r="E648" s="44">
        <f ca="1">IFERROR(__xludf.DUMMYFUNCTION("""COMPUTED_VALUE"""),4)</f>
        <v>4</v>
      </c>
      <c r="F648" s="42" t="str">
        <f ca="1">IFERROR(__xludf.DUMMYFUNCTION("""COMPUTED_VALUE"""),"BIHAR STUDENT")</f>
        <v>BIHAR STUDENT</v>
      </c>
      <c r="G648" s="42" t="str">
        <f ca="1">IFERROR(__xludf.DUMMYFUNCTION("""COMPUTED_VALUE"""),"BIHAR STUDENT")</f>
        <v>BIHAR STUDENT</v>
      </c>
      <c r="H648" s="2" t="str">
        <f ca="1">IFERROR(__xludf.DUMMYFUNCTION("""COMPUTED_VALUE"""),"DCV_2022-25")</f>
        <v>DCV_2022-25</v>
      </c>
      <c r="I648" s="45"/>
      <c r="J648" s="46">
        <f ca="1">IFERROR(__xludf.DUMMYFUNCTION("""COMPUTED_VALUE"""),42500)</f>
        <v>42500</v>
      </c>
      <c r="K648" s="46">
        <f ca="1">IFERROR(__xludf.DUMMYFUNCTION("""COMPUTED_VALUE"""),0)</f>
        <v>0</v>
      </c>
      <c r="L648" s="46">
        <f ca="1">IFERROR(__xludf.DUMMYFUNCTION("""COMPUTED_VALUE"""),0)</f>
        <v>0</v>
      </c>
      <c r="M648" s="47">
        <f ca="1">IFERROR(__xludf.DUMMYFUNCTION("""COMPUTED_VALUE"""),0)</f>
        <v>0</v>
      </c>
      <c r="N648" s="46">
        <f ca="1">IFERROR(__xludf.DUMMYFUNCTION("""COMPUTED_VALUE"""),42500)</f>
        <v>42500</v>
      </c>
      <c r="O648" s="46">
        <f ca="1">IFERROR(__xludf.DUMMYFUNCTION("""COMPUTED_VALUE"""),0)</f>
        <v>0</v>
      </c>
      <c r="P648" s="46">
        <f ca="1">IFERROR(__xludf.DUMMYFUNCTION("""COMPUTED_VALUE"""),0)</f>
        <v>0</v>
      </c>
      <c r="Q648" s="47">
        <f ca="1">IFERROR(__xludf.DUMMYFUNCTION("""COMPUTED_VALUE"""),0)</f>
        <v>0</v>
      </c>
      <c r="R648" s="24">
        <f ca="1">IFERROR(__xludf.DUMMYFUNCTION("""COMPUTED_VALUE"""),0)</f>
        <v>0</v>
      </c>
      <c r="S648" s="23">
        <f ca="1">IFERROR(__xludf.DUMMYFUNCTION("""COMPUTED_VALUE"""),0)</f>
        <v>0</v>
      </c>
      <c r="T648" s="48">
        <f ca="1">IFERROR(__xludf.DUMMYFUNCTION("""COMPUTED_VALUE"""),0)</f>
        <v>0</v>
      </c>
      <c r="U648" s="47">
        <f ca="1">IFERROR(__xludf.DUMMYFUNCTION("""COMPUTED_VALUE"""),0)</f>
        <v>0</v>
      </c>
      <c r="V648" s="47">
        <f ca="1">IFERROR(__xludf.DUMMYFUNCTION("""COMPUTED_VALUE"""),0)</f>
        <v>0</v>
      </c>
      <c r="W648" s="47">
        <f ca="1">IFERROR(__xludf.DUMMYFUNCTION("""COMPUTED_VALUE"""),0)</f>
        <v>0</v>
      </c>
      <c r="X648" s="47">
        <f ca="1">IFERROR(__xludf.DUMMYFUNCTION("""COMPUTED_VALUE"""),0)</f>
        <v>0</v>
      </c>
      <c r="Y648" s="44">
        <f ca="1">IFERROR(__xludf.DUMMYFUNCTION("""COMPUTED_VALUE"""),0)</f>
        <v>0</v>
      </c>
      <c r="Z648" s="44">
        <f ca="1">IFERROR(__xludf.DUMMYFUNCTION("""COMPUTED_VALUE"""),0)</f>
        <v>0</v>
      </c>
      <c r="AA648" s="44">
        <f ca="1">IFERROR(__xludf.DUMMYFUNCTION("""COMPUTED_VALUE"""),0)</f>
        <v>0</v>
      </c>
      <c r="AB648" s="44">
        <f ca="1">IFERROR(__xludf.DUMMYFUNCTION("""COMPUTED_VALUE"""),0)</f>
        <v>0</v>
      </c>
      <c r="AC648" s="47">
        <f ca="1">IFERROR(__xludf.DUMMYFUNCTION("""COMPUTED_VALUE"""),0)</f>
        <v>0</v>
      </c>
      <c r="AD648" s="49"/>
      <c r="AE648" s="27"/>
    </row>
    <row r="649" spans="1:31" ht="14.3">
      <c r="A649" s="42" t="str">
        <f ca="1">IFERROR(__xludf.DUMMYFUNCTION("""COMPUTED_VALUE"""),"22SDSCV01031")</f>
        <v>22SDSCV01031</v>
      </c>
      <c r="B649" s="43" t="str">
        <f ca="1">IFERROR(__xludf.DUMMYFUNCTION("""COMPUTED_VALUE"""),"PRABHAT KUMAR")</f>
        <v>PRABHAT KUMAR</v>
      </c>
      <c r="C649" s="42" t="str">
        <f ca="1">IFERROR(__xludf.DUMMYFUNCTION("""COMPUTED_VALUE"""),"SDS")</f>
        <v>SDS</v>
      </c>
      <c r="D649" s="42" t="str">
        <f ca="1">IFERROR(__xludf.DUMMYFUNCTION("""COMPUTED_VALUE"""),"DCV")</f>
        <v>DCV</v>
      </c>
      <c r="E649" s="44">
        <f ca="1">IFERROR(__xludf.DUMMYFUNCTION("""COMPUTED_VALUE"""),4)</f>
        <v>4</v>
      </c>
      <c r="F649" s="42" t="str">
        <f ca="1">IFERROR(__xludf.DUMMYFUNCTION("""COMPUTED_VALUE"""),"BIHAR STUDENT")</f>
        <v>BIHAR STUDENT</v>
      </c>
      <c r="G649" s="42" t="str">
        <f ca="1">IFERROR(__xludf.DUMMYFUNCTION("""COMPUTED_VALUE"""),"BIHAR STUDENT")</f>
        <v>BIHAR STUDENT</v>
      </c>
      <c r="H649" s="2" t="str">
        <f ca="1">IFERROR(__xludf.DUMMYFUNCTION("""COMPUTED_VALUE"""),"DCV_2022-25")</f>
        <v>DCV_2022-25</v>
      </c>
      <c r="I649" s="45"/>
      <c r="J649" s="46">
        <f ca="1">IFERROR(__xludf.DUMMYFUNCTION("""COMPUTED_VALUE"""),42500)</f>
        <v>42500</v>
      </c>
      <c r="K649" s="46">
        <f ca="1">IFERROR(__xludf.DUMMYFUNCTION("""COMPUTED_VALUE"""),0)</f>
        <v>0</v>
      </c>
      <c r="L649" s="46">
        <f ca="1">IFERROR(__xludf.DUMMYFUNCTION("""COMPUTED_VALUE"""),0)</f>
        <v>0</v>
      </c>
      <c r="M649" s="47">
        <f ca="1">IFERROR(__xludf.DUMMYFUNCTION("""COMPUTED_VALUE"""),0)</f>
        <v>0</v>
      </c>
      <c r="N649" s="46">
        <f ca="1">IFERROR(__xludf.DUMMYFUNCTION("""COMPUTED_VALUE"""),42500)</f>
        <v>42500</v>
      </c>
      <c r="O649" s="46">
        <f ca="1">IFERROR(__xludf.DUMMYFUNCTION("""COMPUTED_VALUE"""),0)</f>
        <v>0</v>
      </c>
      <c r="P649" s="46">
        <f ca="1">IFERROR(__xludf.DUMMYFUNCTION("""COMPUTED_VALUE"""),0)</f>
        <v>0</v>
      </c>
      <c r="Q649" s="47">
        <f ca="1">IFERROR(__xludf.DUMMYFUNCTION("""COMPUTED_VALUE"""),0)</f>
        <v>0</v>
      </c>
      <c r="R649" s="24">
        <f ca="1">IFERROR(__xludf.DUMMYFUNCTION("""COMPUTED_VALUE"""),0)</f>
        <v>0</v>
      </c>
      <c r="S649" s="23">
        <f ca="1">IFERROR(__xludf.DUMMYFUNCTION("""COMPUTED_VALUE"""),0)</f>
        <v>0</v>
      </c>
      <c r="T649" s="48">
        <f ca="1">IFERROR(__xludf.DUMMYFUNCTION("""COMPUTED_VALUE"""),0)</f>
        <v>0</v>
      </c>
      <c r="U649" s="47">
        <f ca="1">IFERROR(__xludf.DUMMYFUNCTION("""COMPUTED_VALUE"""),0)</f>
        <v>0</v>
      </c>
      <c r="V649" s="47">
        <f ca="1">IFERROR(__xludf.DUMMYFUNCTION("""COMPUTED_VALUE"""),0)</f>
        <v>0</v>
      </c>
      <c r="W649" s="47">
        <f ca="1">IFERROR(__xludf.DUMMYFUNCTION("""COMPUTED_VALUE"""),0)</f>
        <v>0</v>
      </c>
      <c r="X649" s="47">
        <f ca="1">IFERROR(__xludf.DUMMYFUNCTION("""COMPUTED_VALUE"""),0)</f>
        <v>0</v>
      </c>
      <c r="Y649" s="44">
        <f ca="1">IFERROR(__xludf.DUMMYFUNCTION("""COMPUTED_VALUE"""),0)</f>
        <v>0</v>
      </c>
      <c r="Z649" s="44">
        <f ca="1">IFERROR(__xludf.DUMMYFUNCTION("""COMPUTED_VALUE"""),0)</f>
        <v>0</v>
      </c>
      <c r="AA649" s="44">
        <f ca="1">IFERROR(__xludf.DUMMYFUNCTION("""COMPUTED_VALUE"""),0)</f>
        <v>0</v>
      </c>
      <c r="AB649" s="44">
        <f ca="1">IFERROR(__xludf.DUMMYFUNCTION("""COMPUTED_VALUE"""),0)</f>
        <v>0</v>
      </c>
      <c r="AC649" s="47">
        <f ca="1">IFERROR(__xludf.DUMMYFUNCTION("""COMPUTED_VALUE"""),0)</f>
        <v>0</v>
      </c>
      <c r="AD649" s="49"/>
      <c r="AE649" s="27"/>
    </row>
    <row r="650" spans="1:31" ht="14.3">
      <c r="A650" s="42" t="str">
        <f ca="1">IFERROR(__xludf.DUMMYFUNCTION("""COMPUTED_VALUE"""),"22SDSCV01032")</f>
        <v>22SDSCV01032</v>
      </c>
      <c r="B650" s="43" t="str">
        <f ca="1">IFERROR(__xludf.DUMMYFUNCTION("""COMPUTED_VALUE"""),"PRASHANT KUMAR")</f>
        <v>PRASHANT KUMAR</v>
      </c>
      <c r="C650" s="42" t="str">
        <f ca="1">IFERROR(__xludf.DUMMYFUNCTION("""COMPUTED_VALUE"""),"SDS")</f>
        <v>SDS</v>
      </c>
      <c r="D650" s="42" t="str">
        <f ca="1">IFERROR(__xludf.DUMMYFUNCTION("""COMPUTED_VALUE"""),"DCV")</f>
        <v>DCV</v>
      </c>
      <c r="E650" s="44">
        <f ca="1">IFERROR(__xludf.DUMMYFUNCTION("""COMPUTED_VALUE"""),4)</f>
        <v>4</v>
      </c>
      <c r="F650" s="42" t="str">
        <f ca="1">IFERROR(__xludf.DUMMYFUNCTION("""COMPUTED_VALUE"""),"BIHAR STUDENT")</f>
        <v>BIHAR STUDENT</v>
      </c>
      <c r="G650" s="42" t="str">
        <f ca="1">IFERROR(__xludf.DUMMYFUNCTION("""COMPUTED_VALUE"""),"BIHAR STUDENT")</f>
        <v>BIHAR STUDENT</v>
      </c>
      <c r="H650" s="2" t="str">
        <f ca="1">IFERROR(__xludf.DUMMYFUNCTION("""COMPUTED_VALUE"""),"DCV_2022-25")</f>
        <v>DCV_2022-25</v>
      </c>
      <c r="I650" s="45"/>
      <c r="J650" s="46">
        <f ca="1">IFERROR(__xludf.DUMMYFUNCTION("""COMPUTED_VALUE"""),42500)</f>
        <v>42500</v>
      </c>
      <c r="K650" s="46">
        <f ca="1">IFERROR(__xludf.DUMMYFUNCTION("""COMPUTED_VALUE"""),0)</f>
        <v>0</v>
      </c>
      <c r="L650" s="46">
        <f ca="1">IFERROR(__xludf.DUMMYFUNCTION("""COMPUTED_VALUE"""),0)</f>
        <v>0</v>
      </c>
      <c r="M650" s="47">
        <f ca="1">IFERROR(__xludf.DUMMYFUNCTION("""COMPUTED_VALUE"""),0)</f>
        <v>0</v>
      </c>
      <c r="N650" s="46">
        <f ca="1">IFERROR(__xludf.DUMMYFUNCTION("""COMPUTED_VALUE"""),42500)</f>
        <v>42500</v>
      </c>
      <c r="O650" s="46">
        <f ca="1">IFERROR(__xludf.DUMMYFUNCTION("""COMPUTED_VALUE"""),0)</f>
        <v>0</v>
      </c>
      <c r="P650" s="46">
        <f ca="1">IFERROR(__xludf.DUMMYFUNCTION("""COMPUTED_VALUE"""),0)</f>
        <v>0</v>
      </c>
      <c r="Q650" s="47">
        <f ca="1">IFERROR(__xludf.DUMMYFUNCTION("""COMPUTED_VALUE"""),0)</f>
        <v>0</v>
      </c>
      <c r="R650" s="24">
        <f ca="1">IFERROR(__xludf.DUMMYFUNCTION("""COMPUTED_VALUE"""),0)</f>
        <v>0</v>
      </c>
      <c r="S650" s="23">
        <f ca="1">IFERROR(__xludf.DUMMYFUNCTION("""COMPUTED_VALUE"""),0)</f>
        <v>0</v>
      </c>
      <c r="T650" s="48">
        <f ca="1">IFERROR(__xludf.DUMMYFUNCTION("""COMPUTED_VALUE"""),0)</f>
        <v>0</v>
      </c>
      <c r="U650" s="47">
        <f ca="1">IFERROR(__xludf.DUMMYFUNCTION("""COMPUTED_VALUE"""),0)</f>
        <v>0</v>
      </c>
      <c r="V650" s="47">
        <f ca="1">IFERROR(__xludf.DUMMYFUNCTION("""COMPUTED_VALUE"""),0)</f>
        <v>0</v>
      </c>
      <c r="W650" s="47">
        <f ca="1">IFERROR(__xludf.DUMMYFUNCTION("""COMPUTED_VALUE"""),0)</f>
        <v>0</v>
      </c>
      <c r="X650" s="47">
        <f ca="1">IFERROR(__xludf.DUMMYFUNCTION("""COMPUTED_VALUE"""),0)</f>
        <v>0</v>
      </c>
      <c r="Y650" s="44">
        <f ca="1">IFERROR(__xludf.DUMMYFUNCTION("""COMPUTED_VALUE"""),0)</f>
        <v>0</v>
      </c>
      <c r="Z650" s="44">
        <f ca="1">IFERROR(__xludf.DUMMYFUNCTION("""COMPUTED_VALUE"""),0)</f>
        <v>0</v>
      </c>
      <c r="AA650" s="44">
        <f ca="1">IFERROR(__xludf.DUMMYFUNCTION("""COMPUTED_VALUE"""),0)</f>
        <v>0</v>
      </c>
      <c r="AB650" s="44">
        <f ca="1">IFERROR(__xludf.DUMMYFUNCTION("""COMPUTED_VALUE"""),0)</f>
        <v>0</v>
      </c>
      <c r="AC650" s="47">
        <f ca="1">IFERROR(__xludf.DUMMYFUNCTION("""COMPUTED_VALUE"""),0)</f>
        <v>0</v>
      </c>
      <c r="AD650" s="49"/>
      <c r="AE650" s="27"/>
    </row>
    <row r="651" spans="1:31" ht="14.3">
      <c r="A651" s="42" t="str">
        <f ca="1">IFERROR(__xludf.DUMMYFUNCTION("""COMPUTED_VALUE"""),"22SDSCV01033")</f>
        <v>22SDSCV01033</v>
      </c>
      <c r="B651" s="43" t="str">
        <f ca="1">IFERROR(__xludf.DUMMYFUNCTION("""COMPUTED_VALUE"""),"AMARJEET RAJ")</f>
        <v>AMARJEET RAJ</v>
      </c>
      <c r="C651" s="42" t="str">
        <f ca="1">IFERROR(__xludf.DUMMYFUNCTION("""COMPUTED_VALUE"""),"SDS")</f>
        <v>SDS</v>
      </c>
      <c r="D651" s="42" t="str">
        <f ca="1">IFERROR(__xludf.DUMMYFUNCTION("""COMPUTED_VALUE"""),"DCV")</f>
        <v>DCV</v>
      </c>
      <c r="E651" s="44">
        <f ca="1">IFERROR(__xludf.DUMMYFUNCTION("""COMPUTED_VALUE"""),4)</f>
        <v>4</v>
      </c>
      <c r="F651" s="42" t="str">
        <f ca="1">IFERROR(__xludf.DUMMYFUNCTION("""COMPUTED_VALUE"""),"BIHAR STUDENT")</f>
        <v>BIHAR STUDENT</v>
      </c>
      <c r="G651" s="42" t="str">
        <f ca="1">IFERROR(__xludf.DUMMYFUNCTION("""COMPUTED_VALUE"""),"BIHAR STUDENT")</f>
        <v>BIHAR STUDENT</v>
      </c>
      <c r="H651" s="2" t="str">
        <f ca="1">IFERROR(__xludf.DUMMYFUNCTION("""COMPUTED_VALUE"""),"DCV_2022-25")</f>
        <v>DCV_2022-25</v>
      </c>
      <c r="I651" s="45"/>
      <c r="J651" s="46">
        <f ca="1">IFERROR(__xludf.DUMMYFUNCTION("""COMPUTED_VALUE"""),42500)</f>
        <v>42500</v>
      </c>
      <c r="K651" s="46">
        <f ca="1">IFERROR(__xludf.DUMMYFUNCTION("""COMPUTED_VALUE"""),0)</f>
        <v>0</v>
      </c>
      <c r="L651" s="46">
        <f ca="1">IFERROR(__xludf.DUMMYFUNCTION("""COMPUTED_VALUE"""),0)</f>
        <v>0</v>
      </c>
      <c r="M651" s="47">
        <f ca="1">IFERROR(__xludf.DUMMYFUNCTION("""COMPUTED_VALUE"""),0)</f>
        <v>0</v>
      </c>
      <c r="N651" s="46">
        <f ca="1">IFERROR(__xludf.DUMMYFUNCTION("""COMPUTED_VALUE"""),42500)</f>
        <v>42500</v>
      </c>
      <c r="O651" s="46">
        <f ca="1">IFERROR(__xludf.DUMMYFUNCTION("""COMPUTED_VALUE"""),0)</f>
        <v>0</v>
      </c>
      <c r="P651" s="46">
        <f ca="1">IFERROR(__xludf.DUMMYFUNCTION("""COMPUTED_VALUE"""),0)</f>
        <v>0</v>
      </c>
      <c r="Q651" s="47">
        <f ca="1">IFERROR(__xludf.DUMMYFUNCTION("""COMPUTED_VALUE"""),0)</f>
        <v>0</v>
      </c>
      <c r="R651" s="24">
        <f ca="1">IFERROR(__xludf.DUMMYFUNCTION("""COMPUTED_VALUE"""),0)</f>
        <v>0</v>
      </c>
      <c r="S651" s="23">
        <f ca="1">IFERROR(__xludf.DUMMYFUNCTION("""COMPUTED_VALUE"""),0)</f>
        <v>0</v>
      </c>
      <c r="T651" s="48">
        <f ca="1">IFERROR(__xludf.DUMMYFUNCTION("""COMPUTED_VALUE"""),0)</f>
        <v>0</v>
      </c>
      <c r="U651" s="47">
        <f ca="1">IFERROR(__xludf.DUMMYFUNCTION("""COMPUTED_VALUE"""),0)</f>
        <v>0</v>
      </c>
      <c r="V651" s="47">
        <f ca="1">IFERROR(__xludf.DUMMYFUNCTION("""COMPUTED_VALUE"""),0)</f>
        <v>0</v>
      </c>
      <c r="W651" s="47">
        <f ca="1">IFERROR(__xludf.DUMMYFUNCTION("""COMPUTED_VALUE"""),0)</f>
        <v>0</v>
      </c>
      <c r="X651" s="47">
        <f ca="1">IFERROR(__xludf.DUMMYFUNCTION("""COMPUTED_VALUE"""),0)</f>
        <v>0</v>
      </c>
      <c r="Y651" s="44">
        <f ca="1">IFERROR(__xludf.DUMMYFUNCTION("""COMPUTED_VALUE"""),0)</f>
        <v>0</v>
      </c>
      <c r="Z651" s="44">
        <f ca="1">IFERROR(__xludf.DUMMYFUNCTION("""COMPUTED_VALUE"""),0)</f>
        <v>0</v>
      </c>
      <c r="AA651" s="44">
        <f ca="1">IFERROR(__xludf.DUMMYFUNCTION("""COMPUTED_VALUE"""),0)</f>
        <v>0</v>
      </c>
      <c r="AB651" s="44">
        <f ca="1">IFERROR(__xludf.DUMMYFUNCTION("""COMPUTED_VALUE"""),0)</f>
        <v>0</v>
      </c>
      <c r="AC651" s="47">
        <f ca="1">IFERROR(__xludf.DUMMYFUNCTION("""COMPUTED_VALUE"""),0)</f>
        <v>0</v>
      </c>
      <c r="AD651" s="49"/>
      <c r="AE651" s="27"/>
    </row>
    <row r="652" spans="1:31" ht="14.3">
      <c r="A652" s="42" t="str">
        <f ca="1">IFERROR(__xludf.DUMMYFUNCTION("""COMPUTED_VALUE"""),"22SDSCV01035")</f>
        <v>22SDSCV01035</v>
      </c>
      <c r="B652" s="43" t="str">
        <f ca="1">IFERROR(__xludf.DUMMYFUNCTION("""COMPUTED_VALUE"""),"MANTU KUMAR SHARMA")</f>
        <v>MANTU KUMAR SHARMA</v>
      </c>
      <c r="C652" s="42" t="str">
        <f ca="1">IFERROR(__xludf.DUMMYFUNCTION("""COMPUTED_VALUE"""),"SDS")</f>
        <v>SDS</v>
      </c>
      <c r="D652" s="42" t="str">
        <f ca="1">IFERROR(__xludf.DUMMYFUNCTION("""COMPUTED_VALUE"""),"DCV")</f>
        <v>DCV</v>
      </c>
      <c r="E652" s="44">
        <f ca="1">IFERROR(__xludf.DUMMYFUNCTION("""COMPUTED_VALUE"""),4)</f>
        <v>4</v>
      </c>
      <c r="F652" s="42" t="str">
        <f ca="1">IFERROR(__xludf.DUMMYFUNCTION("""COMPUTED_VALUE"""),"BIHAR STUDENT")</f>
        <v>BIHAR STUDENT</v>
      </c>
      <c r="G652" s="42" t="str">
        <f ca="1">IFERROR(__xludf.DUMMYFUNCTION("""COMPUTED_VALUE"""),"BIHAR STUDENT")</f>
        <v>BIHAR STUDENT</v>
      </c>
      <c r="H652" s="2" t="str">
        <f ca="1">IFERROR(__xludf.DUMMYFUNCTION("""COMPUTED_VALUE"""),"DCV_2022-25")</f>
        <v>DCV_2022-25</v>
      </c>
      <c r="I652" s="45"/>
      <c r="J652" s="46">
        <f ca="1">IFERROR(__xludf.DUMMYFUNCTION("""COMPUTED_VALUE"""),42500)</f>
        <v>42500</v>
      </c>
      <c r="K652" s="46">
        <f ca="1">IFERROR(__xludf.DUMMYFUNCTION("""COMPUTED_VALUE"""),0)</f>
        <v>0</v>
      </c>
      <c r="L652" s="46">
        <f ca="1">IFERROR(__xludf.DUMMYFUNCTION("""COMPUTED_VALUE"""),0)</f>
        <v>0</v>
      </c>
      <c r="M652" s="47">
        <f ca="1">IFERROR(__xludf.DUMMYFUNCTION("""COMPUTED_VALUE"""),0)</f>
        <v>0</v>
      </c>
      <c r="N652" s="46">
        <f ca="1">IFERROR(__xludf.DUMMYFUNCTION("""COMPUTED_VALUE"""),42500)</f>
        <v>42500</v>
      </c>
      <c r="O652" s="46">
        <f ca="1">IFERROR(__xludf.DUMMYFUNCTION("""COMPUTED_VALUE"""),0)</f>
        <v>0</v>
      </c>
      <c r="P652" s="46">
        <f ca="1">IFERROR(__xludf.DUMMYFUNCTION("""COMPUTED_VALUE"""),0)</f>
        <v>0</v>
      </c>
      <c r="Q652" s="47">
        <f ca="1">IFERROR(__xludf.DUMMYFUNCTION("""COMPUTED_VALUE"""),0)</f>
        <v>0</v>
      </c>
      <c r="R652" s="24">
        <f ca="1">IFERROR(__xludf.DUMMYFUNCTION("""COMPUTED_VALUE"""),0)</f>
        <v>0</v>
      </c>
      <c r="S652" s="23">
        <f ca="1">IFERROR(__xludf.DUMMYFUNCTION("""COMPUTED_VALUE"""),0)</f>
        <v>0</v>
      </c>
      <c r="T652" s="48">
        <f ca="1">IFERROR(__xludf.DUMMYFUNCTION("""COMPUTED_VALUE"""),0)</f>
        <v>0</v>
      </c>
      <c r="U652" s="47">
        <f ca="1">IFERROR(__xludf.DUMMYFUNCTION("""COMPUTED_VALUE"""),0)</f>
        <v>0</v>
      </c>
      <c r="V652" s="47">
        <f ca="1">IFERROR(__xludf.DUMMYFUNCTION("""COMPUTED_VALUE"""),0)</f>
        <v>0</v>
      </c>
      <c r="W652" s="47">
        <f ca="1">IFERROR(__xludf.DUMMYFUNCTION("""COMPUTED_VALUE"""),0)</f>
        <v>0</v>
      </c>
      <c r="X652" s="47">
        <f ca="1">IFERROR(__xludf.DUMMYFUNCTION("""COMPUTED_VALUE"""),0)</f>
        <v>0</v>
      </c>
      <c r="Y652" s="44">
        <f ca="1">IFERROR(__xludf.DUMMYFUNCTION("""COMPUTED_VALUE"""),0)</f>
        <v>0</v>
      </c>
      <c r="Z652" s="44">
        <f ca="1">IFERROR(__xludf.DUMMYFUNCTION("""COMPUTED_VALUE"""),0)</f>
        <v>0</v>
      </c>
      <c r="AA652" s="44">
        <f ca="1">IFERROR(__xludf.DUMMYFUNCTION("""COMPUTED_VALUE"""),0)</f>
        <v>0</v>
      </c>
      <c r="AB652" s="44">
        <f ca="1">IFERROR(__xludf.DUMMYFUNCTION("""COMPUTED_VALUE"""),0)</f>
        <v>0</v>
      </c>
      <c r="AC652" s="47">
        <f ca="1">IFERROR(__xludf.DUMMYFUNCTION("""COMPUTED_VALUE"""),0)</f>
        <v>0</v>
      </c>
      <c r="AD652" s="49"/>
      <c r="AE652" s="27"/>
    </row>
    <row r="653" spans="1:31" ht="14.3">
      <c r="A653" s="42" t="str">
        <f ca="1">IFERROR(__xludf.DUMMYFUNCTION("""COMPUTED_VALUE"""),"22SDSCV01036")</f>
        <v>22SDSCV01036</v>
      </c>
      <c r="B653" s="43" t="str">
        <f ca="1">IFERROR(__xludf.DUMMYFUNCTION("""COMPUTED_VALUE"""),"SHIBU KUMAR")</f>
        <v>SHIBU KUMAR</v>
      </c>
      <c r="C653" s="42" t="str">
        <f ca="1">IFERROR(__xludf.DUMMYFUNCTION("""COMPUTED_VALUE"""),"SDS")</f>
        <v>SDS</v>
      </c>
      <c r="D653" s="42" t="str">
        <f ca="1">IFERROR(__xludf.DUMMYFUNCTION("""COMPUTED_VALUE"""),"DCV")</f>
        <v>DCV</v>
      </c>
      <c r="E653" s="44">
        <f ca="1">IFERROR(__xludf.DUMMYFUNCTION("""COMPUTED_VALUE"""),4)</f>
        <v>4</v>
      </c>
      <c r="F653" s="42" t="str">
        <f ca="1">IFERROR(__xludf.DUMMYFUNCTION("""COMPUTED_VALUE"""),"BIHAR STUDENT")</f>
        <v>BIHAR STUDENT</v>
      </c>
      <c r="G653" s="42" t="str">
        <f ca="1">IFERROR(__xludf.DUMMYFUNCTION("""COMPUTED_VALUE"""),"BIHAR STUDENT")</f>
        <v>BIHAR STUDENT</v>
      </c>
      <c r="H653" s="2" t="str">
        <f ca="1">IFERROR(__xludf.DUMMYFUNCTION("""COMPUTED_VALUE"""),"DCV_2022-25")</f>
        <v>DCV_2022-25</v>
      </c>
      <c r="I653" s="45"/>
      <c r="J653" s="46">
        <f ca="1">IFERROR(__xludf.DUMMYFUNCTION("""COMPUTED_VALUE"""),42500)</f>
        <v>42500</v>
      </c>
      <c r="K653" s="46">
        <f ca="1">IFERROR(__xludf.DUMMYFUNCTION("""COMPUTED_VALUE"""),0)</f>
        <v>0</v>
      </c>
      <c r="L653" s="46">
        <f ca="1">IFERROR(__xludf.DUMMYFUNCTION("""COMPUTED_VALUE"""),0)</f>
        <v>0</v>
      </c>
      <c r="M653" s="47">
        <f ca="1">IFERROR(__xludf.DUMMYFUNCTION("""COMPUTED_VALUE"""),0)</f>
        <v>0</v>
      </c>
      <c r="N653" s="46">
        <f ca="1">IFERROR(__xludf.DUMMYFUNCTION("""COMPUTED_VALUE"""),42500)</f>
        <v>42500</v>
      </c>
      <c r="O653" s="46">
        <f ca="1">IFERROR(__xludf.DUMMYFUNCTION("""COMPUTED_VALUE"""),0)</f>
        <v>0</v>
      </c>
      <c r="P653" s="46">
        <f ca="1">IFERROR(__xludf.DUMMYFUNCTION("""COMPUTED_VALUE"""),0)</f>
        <v>0</v>
      </c>
      <c r="Q653" s="47">
        <f ca="1">IFERROR(__xludf.DUMMYFUNCTION("""COMPUTED_VALUE"""),0)</f>
        <v>0</v>
      </c>
      <c r="R653" s="24">
        <f ca="1">IFERROR(__xludf.DUMMYFUNCTION("""COMPUTED_VALUE"""),0)</f>
        <v>0</v>
      </c>
      <c r="S653" s="23">
        <f ca="1">IFERROR(__xludf.DUMMYFUNCTION("""COMPUTED_VALUE"""),0)</f>
        <v>0</v>
      </c>
      <c r="T653" s="48">
        <f ca="1">IFERROR(__xludf.DUMMYFUNCTION("""COMPUTED_VALUE"""),0)</f>
        <v>0</v>
      </c>
      <c r="U653" s="47">
        <f ca="1">IFERROR(__xludf.DUMMYFUNCTION("""COMPUTED_VALUE"""),0)</f>
        <v>0</v>
      </c>
      <c r="V653" s="47">
        <f ca="1">IFERROR(__xludf.DUMMYFUNCTION("""COMPUTED_VALUE"""),0)</f>
        <v>0</v>
      </c>
      <c r="W653" s="47">
        <f ca="1">IFERROR(__xludf.DUMMYFUNCTION("""COMPUTED_VALUE"""),0)</f>
        <v>0</v>
      </c>
      <c r="X653" s="47">
        <f ca="1">IFERROR(__xludf.DUMMYFUNCTION("""COMPUTED_VALUE"""),0)</f>
        <v>0</v>
      </c>
      <c r="Y653" s="44">
        <f ca="1">IFERROR(__xludf.DUMMYFUNCTION("""COMPUTED_VALUE"""),0)</f>
        <v>0</v>
      </c>
      <c r="Z653" s="44">
        <f ca="1">IFERROR(__xludf.DUMMYFUNCTION("""COMPUTED_VALUE"""),0)</f>
        <v>0</v>
      </c>
      <c r="AA653" s="44">
        <f ca="1">IFERROR(__xludf.DUMMYFUNCTION("""COMPUTED_VALUE"""),0)</f>
        <v>0</v>
      </c>
      <c r="AB653" s="44">
        <f ca="1">IFERROR(__xludf.DUMMYFUNCTION("""COMPUTED_VALUE"""),0)</f>
        <v>0</v>
      </c>
      <c r="AC653" s="47">
        <f ca="1">IFERROR(__xludf.DUMMYFUNCTION("""COMPUTED_VALUE"""),0)</f>
        <v>0</v>
      </c>
      <c r="AD653" s="49"/>
      <c r="AE653" s="27"/>
    </row>
    <row r="654" spans="1:31" ht="14.3">
      <c r="A654" s="42" t="str">
        <f ca="1">IFERROR(__xludf.DUMMYFUNCTION("""COMPUTED_VALUE"""),"22SDSCV01037")</f>
        <v>22SDSCV01037</v>
      </c>
      <c r="B654" s="43" t="str">
        <f ca="1">IFERROR(__xludf.DUMMYFUNCTION("""COMPUTED_VALUE"""),"UDIT KUMAR SINGH")</f>
        <v>UDIT KUMAR SINGH</v>
      </c>
      <c r="C654" s="42" t="str">
        <f ca="1">IFERROR(__xludf.DUMMYFUNCTION("""COMPUTED_VALUE"""),"SDS")</f>
        <v>SDS</v>
      </c>
      <c r="D654" s="42" t="str">
        <f ca="1">IFERROR(__xludf.DUMMYFUNCTION("""COMPUTED_VALUE"""),"DCV")</f>
        <v>DCV</v>
      </c>
      <c r="E654" s="44">
        <f ca="1">IFERROR(__xludf.DUMMYFUNCTION("""COMPUTED_VALUE"""),4)</f>
        <v>4</v>
      </c>
      <c r="F654" s="42" t="str">
        <f ca="1">IFERROR(__xludf.DUMMYFUNCTION("""COMPUTED_VALUE"""),"BIHAR STUDENT")</f>
        <v>BIHAR STUDENT</v>
      </c>
      <c r="G654" s="42" t="str">
        <f ca="1">IFERROR(__xludf.DUMMYFUNCTION("""COMPUTED_VALUE"""),"BIHAR STUDENT")</f>
        <v>BIHAR STUDENT</v>
      </c>
      <c r="H654" s="2" t="str">
        <f ca="1">IFERROR(__xludf.DUMMYFUNCTION("""COMPUTED_VALUE"""),"DCV_2022-25")</f>
        <v>DCV_2022-25</v>
      </c>
      <c r="I654" s="45"/>
      <c r="J654" s="46">
        <f ca="1">IFERROR(__xludf.DUMMYFUNCTION("""COMPUTED_VALUE"""),42500)</f>
        <v>42500</v>
      </c>
      <c r="K654" s="46">
        <f ca="1">IFERROR(__xludf.DUMMYFUNCTION("""COMPUTED_VALUE"""),0)</f>
        <v>0</v>
      </c>
      <c r="L654" s="46">
        <f ca="1">IFERROR(__xludf.DUMMYFUNCTION("""COMPUTED_VALUE"""),0)</f>
        <v>0</v>
      </c>
      <c r="M654" s="47">
        <f ca="1">IFERROR(__xludf.DUMMYFUNCTION("""COMPUTED_VALUE"""),0)</f>
        <v>0</v>
      </c>
      <c r="N654" s="46">
        <f ca="1">IFERROR(__xludf.DUMMYFUNCTION("""COMPUTED_VALUE"""),42500)</f>
        <v>42500</v>
      </c>
      <c r="O654" s="46">
        <f ca="1">IFERROR(__xludf.DUMMYFUNCTION("""COMPUTED_VALUE"""),0)</f>
        <v>0</v>
      </c>
      <c r="P654" s="46">
        <f ca="1">IFERROR(__xludf.DUMMYFUNCTION("""COMPUTED_VALUE"""),0)</f>
        <v>0</v>
      </c>
      <c r="Q654" s="47">
        <f ca="1">IFERROR(__xludf.DUMMYFUNCTION("""COMPUTED_VALUE"""),0)</f>
        <v>0</v>
      </c>
      <c r="R654" s="24">
        <f ca="1">IFERROR(__xludf.DUMMYFUNCTION("""COMPUTED_VALUE"""),0)</f>
        <v>0</v>
      </c>
      <c r="S654" s="23">
        <f ca="1">IFERROR(__xludf.DUMMYFUNCTION("""COMPUTED_VALUE"""),0)</f>
        <v>0</v>
      </c>
      <c r="T654" s="48">
        <f ca="1">IFERROR(__xludf.DUMMYFUNCTION("""COMPUTED_VALUE"""),0)</f>
        <v>0</v>
      </c>
      <c r="U654" s="47">
        <f ca="1">IFERROR(__xludf.DUMMYFUNCTION("""COMPUTED_VALUE"""),0)</f>
        <v>0</v>
      </c>
      <c r="V654" s="47">
        <f ca="1">IFERROR(__xludf.DUMMYFUNCTION("""COMPUTED_VALUE"""),0)</f>
        <v>0</v>
      </c>
      <c r="W654" s="47">
        <f ca="1">IFERROR(__xludf.DUMMYFUNCTION("""COMPUTED_VALUE"""),0)</f>
        <v>0</v>
      </c>
      <c r="X654" s="47">
        <f ca="1">IFERROR(__xludf.DUMMYFUNCTION("""COMPUTED_VALUE"""),0)</f>
        <v>0</v>
      </c>
      <c r="Y654" s="44">
        <f ca="1">IFERROR(__xludf.DUMMYFUNCTION("""COMPUTED_VALUE"""),0)</f>
        <v>0</v>
      </c>
      <c r="Z654" s="44">
        <f ca="1">IFERROR(__xludf.DUMMYFUNCTION("""COMPUTED_VALUE"""),0)</f>
        <v>0</v>
      </c>
      <c r="AA654" s="44">
        <f ca="1">IFERROR(__xludf.DUMMYFUNCTION("""COMPUTED_VALUE"""),0)</f>
        <v>0</v>
      </c>
      <c r="AB654" s="44">
        <f ca="1">IFERROR(__xludf.DUMMYFUNCTION("""COMPUTED_VALUE"""),0)</f>
        <v>0</v>
      </c>
      <c r="AC654" s="47">
        <f ca="1">IFERROR(__xludf.DUMMYFUNCTION("""COMPUTED_VALUE"""),0)</f>
        <v>0</v>
      </c>
      <c r="AD654" s="49"/>
      <c r="AE654" s="27"/>
    </row>
    <row r="655" spans="1:31" ht="14.3">
      <c r="A655" s="42" t="str">
        <f ca="1">IFERROR(__xludf.DUMMYFUNCTION("""COMPUTED_VALUE"""),"22SDSCV01038")</f>
        <v>22SDSCV01038</v>
      </c>
      <c r="B655" s="43" t="str">
        <f ca="1">IFERROR(__xludf.DUMMYFUNCTION("""COMPUTED_VALUE"""),"DILKHUSH KUMAR")</f>
        <v>DILKHUSH KUMAR</v>
      </c>
      <c r="C655" s="42" t="str">
        <f ca="1">IFERROR(__xludf.DUMMYFUNCTION("""COMPUTED_VALUE"""),"SDS")</f>
        <v>SDS</v>
      </c>
      <c r="D655" s="42" t="str">
        <f ca="1">IFERROR(__xludf.DUMMYFUNCTION("""COMPUTED_VALUE"""),"DCV")</f>
        <v>DCV</v>
      </c>
      <c r="E655" s="44">
        <f ca="1">IFERROR(__xludf.DUMMYFUNCTION("""COMPUTED_VALUE"""),4)</f>
        <v>4</v>
      </c>
      <c r="F655" s="42" t="str">
        <f ca="1">IFERROR(__xludf.DUMMYFUNCTION("""COMPUTED_VALUE"""),"BIHAR STUDENT")</f>
        <v>BIHAR STUDENT</v>
      </c>
      <c r="G655" s="42" t="str">
        <f ca="1">IFERROR(__xludf.DUMMYFUNCTION("""COMPUTED_VALUE"""),"BIHAR STUDENT")</f>
        <v>BIHAR STUDENT</v>
      </c>
      <c r="H655" s="2" t="str">
        <f ca="1">IFERROR(__xludf.DUMMYFUNCTION("""COMPUTED_VALUE"""),"DCV_2022-25")</f>
        <v>DCV_2022-25</v>
      </c>
      <c r="I655" s="45"/>
      <c r="J655" s="46">
        <f ca="1">IFERROR(__xludf.DUMMYFUNCTION("""COMPUTED_VALUE"""),42500)</f>
        <v>42500</v>
      </c>
      <c r="K655" s="46">
        <f ca="1">IFERROR(__xludf.DUMMYFUNCTION("""COMPUTED_VALUE"""),0)</f>
        <v>0</v>
      </c>
      <c r="L655" s="46">
        <f ca="1">IFERROR(__xludf.DUMMYFUNCTION("""COMPUTED_VALUE"""),0)</f>
        <v>0</v>
      </c>
      <c r="M655" s="47">
        <f ca="1">IFERROR(__xludf.DUMMYFUNCTION("""COMPUTED_VALUE"""),0)</f>
        <v>0</v>
      </c>
      <c r="N655" s="46">
        <f ca="1">IFERROR(__xludf.DUMMYFUNCTION("""COMPUTED_VALUE"""),42500)</f>
        <v>42500</v>
      </c>
      <c r="O655" s="46">
        <f ca="1">IFERROR(__xludf.DUMMYFUNCTION("""COMPUTED_VALUE"""),0)</f>
        <v>0</v>
      </c>
      <c r="P655" s="46">
        <f ca="1">IFERROR(__xludf.DUMMYFUNCTION("""COMPUTED_VALUE"""),0)</f>
        <v>0</v>
      </c>
      <c r="Q655" s="47">
        <f ca="1">IFERROR(__xludf.DUMMYFUNCTION("""COMPUTED_VALUE"""),0)</f>
        <v>0</v>
      </c>
      <c r="R655" s="24">
        <f ca="1">IFERROR(__xludf.DUMMYFUNCTION("""COMPUTED_VALUE"""),0)</f>
        <v>0</v>
      </c>
      <c r="S655" s="23">
        <f ca="1">IFERROR(__xludf.DUMMYFUNCTION("""COMPUTED_VALUE"""),0)</f>
        <v>0</v>
      </c>
      <c r="T655" s="48">
        <f ca="1">IFERROR(__xludf.DUMMYFUNCTION("""COMPUTED_VALUE"""),0)</f>
        <v>0</v>
      </c>
      <c r="U655" s="47">
        <f ca="1">IFERROR(__xludf.DUMMYFUNCTION("""COMPUTED_VALUE"""),0)</f>
        <v>0</v>
      </c>
      <c r="V655" s="47">
        <f ca="1">IFERROR(__xludf.DUMMYFUNCTION("""COMPUTED_VALUE"""),0)</f>
        <v>0</v>
      </c>
      <c r="W655" s="47">
        <f ca="1">IFERROR(__xludf.DUMMYFUNCTION("""COMPUTED_VALUE"""),0)</f>
        <v>0</v>
      </c>
      <c r="X655" s="47">
        <f ca="1">IFERROR(__xludf.DUMMYFUNCTION("""COMPUTED_VALUE"""),0)</f>
        <v>0</v>
      </c>
      <c r="Y655" s="44">
        <f ca="1">IFERROR(__xludf.DUMMYFUNCTION("""COMPUTED_VALUE"""),0)</f>
        <v>0</v>
      </c>
      <c r="Z655" s="44">
        <f ca="1">IFERROR(__xludf.DUMMYFUNCTION("""COMPUTED_VALUE"""),0)</f>
        <v>0</v>
      </c>
      <c r="AA655" s="44">
        <f ca="1">IFERROR(__xludf.DUMMYFUNCTION("""COMPUTED_VALUE"""),0)</f>
        <v>0</v>
      </c>
      <c r="AB655" s="44">
        <f ca="1">IFERROR(__xludf.DUMMYFUNCTION("""COMPUTED_VALUE"""),0)</f>
        <v>0</v>
      </c>
      <c r="AC655" s="47">
        <f ca="1">IFERROR(__xludf.DUMMYFUNCTION("""COMPUTED_VALUE"""),0)</f>
        <v>0</v>
      </c>
      <c r="AD655" s="49"/>
      <c r="AE655" s="27"/>
    </row>
    <row r="656" spans="1:31" ht="14.3">
      <c r="A656" s="42" t="str">
        <f ca="1">IFERROR(__xludf.DUMMYFUNCTION("""COMPUTED_VALUE"""),"22SDSCV01040")</f>
        <v>22SDSCV01040</v>
      </c>
      <c r="B656" s="43" t="str">
        <f ca="1">IFERROR(__xludf.DUMMYFUNCTION("""COMPUTED_VALUE"""),"MD SAIF")</f>
        <v>MD SAIF</v>
      </c>
      <c r="C656" s="42" t="str">
        <f ca="1">IFERROR(__xludf.DUMMYFUNCTION("""COMPUTED_VALUE"""),"SDS")</f>
        <v>SDS</v>
      </c>
      <c r="D656" s="42" t="str">
        <f ca="1">IFERROR(__xludf.DUMMYFUNCTION("""COMPUTED_VALUE"""),"DCV")</f>
        <v>DCV</v>
      </c>
      <c r="E656" s="44">
        <f ca="1">IFERROR(__xludf.DUMMYFUNCTION("""COMPUTED_VALUE"""),4)</f>
        <v>4</v>
      </c>
      <c r="F656" s="42" t="str">
        <f ca="1">IFERROR(__xludf.DUMMYFUNCTION("""COMPUTED_VALUE"""),"BIHAR STUDENT")</f>
        <v>BIHAR STUDENT</v>
      </c>
      <c r="G656" s="42" t="str">
        <f ca="1">IFERROR(__xludf.DUMMYFUNCTION("""COMPUTED_VALUE"""),"BIHAR STUDENT")</f>
        <v>BIHAR STUDENT</v>
      </c>
      <c r="H656" s="2" t="str">
        <f ca="1">IFERROR(__xludf.DUMMYFUNCTION("""COMPUTED_VALUE"""),"DCV_2022-25")</f>
        <v>DCV_2022-25</v>
      </c>
      <c r="I656" s="45"/>
      <c r="J656" s="46">
        <f ca="1">IFERROR(__xludf.DUMMYFUNCTION("""COMPUTED_VALUE"""),42500)</f>
        <v>42500</v>
      </c>
      <c r="K656" s="46">
        <f ca="1">IFERROR(__xludf.DUMMYFUNCTION("""COMPUTED_VALUE"""),0)</f>
        <v>0</v>
      </c>
      <c r="L656" s="46">
        <f ca="1">IFERROR(__xludf.DUMMYFUNCTION("""COMPUTED_VALUE"""),0)</f>
        <v>0</v>
      </c>
      <c r="M656" s="47">
        <f ca="1">IFERROR(__xludf.DUMMYFUNCTION("""COMPUTED_VALUE"""),0)</f>
        <v>0</v>
      </c>
      <c r="N656" s="46">
        <f ca="1">IFERROR(__xludf.DUMMYFUNCTION("""COMPUTED_VALUE"""),42500)</f>
        <v>42500</v>
      </c>
      <c r="O656" s="46">
        <f ca="1">IFERROR(__xludf.DUMMYFUNCTION("""COMPUTED_VALUE"""),0)</f>
        <v>0</v>
      </c>
      <c r="P656" s="46">
        <f ca="1">IFERROR(__xludf.DUMMYFUNCTION("""COMPUTED_VALUE"""),0)</f>
        <v>0</v>
      </c>
      <c r="Q656" s="47">
        <f ca="1">IFERROR(__xludf.DUMMYFUNCTION("""COMPUTED_VALUE"""),0)</f>
        <v>0</v>
      </c>
      <c r="R656" s="24">
        <f ca="1">IFERROR(__xludf.DUMMYFUNCTION("""COMPUTED_VALUE"""),0)</f>
        <v>0</v>
      </c>
      <c r="S656" s="23">
        <f ca="1">IFERROR(__xludf.DUMMYFUNCTION("""COMPUTED_VALUE"""),0)</f>
        <v>0</v>
      </c>
      <c r="T656" s="48">
        <f ca="1">IFERROR(__xludf.DUMMYFUNCTION("""COMPUTED_VALUE"""),0)</f>
        <v>0</v>
      </c>
      <c r="U656" s="47">
        <f ca="1">IFERROR(__xludf.DUMMYFUNCTION("""COMPUTED_VALUE"""),0)</f>
        <v>0</v>
      </c>
      <c r="V656" s="47">
        <f ca="1">IFERROR(__xludf.DUMMYFUNCTION("""COMPUTED_VALUE"""),0)</f>
        <v>0</v>
      </c>
      <c r="W656" s="47">
        <f ca="1">IFERROR(__xludf.DUMMYFUNCTION("""COMPUTED_VALUE"""),0)</f>
        <v>0</v>
      </c>
      <c r="X656" s="47">
        <f ca="1">IFERROR(__xludf.DUMMYFUNCTION("""COMPUTED_VALUE"""),0)</f>
        <v>0</v>
      </c>
      <c r="Y656" s="44">
        <f ca="1">IFERROR(__xludf.DUMMYFUNCTION("""COMPUTED_VALUE"""),0)</f>
        <v>0</v>
      </c>
      <c r="Z656" s="44">
        <f ca="1">IFERROR(__xludf.DUMMYFUNCTION("""COMPUTED_VALUE"""),0)</f>
        <v>0</v>
      </c>
      <c r="AA656" s="44">
        <f ca="1">IFERROR(__xludf.DUMMYFUNCTION("""COMPUTED_VALUE"""),0)</f>
        <v>0</v>
      </c>
      <c r="AB656" s="44">
        <f ca="1">IFERROR(__xludf.DUMMYFUNCTION("""COMPUTED_VALUE"""),0)</f>
        <v>0</v>
      </c>
      <c r="AC656" s="47">
        <f ca="1">IFERROR(__xludf.DUMMYFUNCTION("""COMPUTED_VALUE"""),0)</f>
        <v>0</v>
      </c>
      <c r="AD656" s="49"/>
      <c r="AE656" s="27"/>
    </row>
    <row r="657" spans="1:31" ht="14.3">
      <c r="A657" s="42" t="str">
        <f ca="1">IFERROR(__xludf.DUMMYFUNCTION("""COMPUTED_VALUE"""),"22SDSCV01601")</f>
        <v>22SDSCV01601</v>
      </c>
      <c r="B657" s="43" t="str">
        <f ca="1">IFERROR(__xludf.DUMMYFUNCTION("""COMPUTED_VALUE"""),"MAHA NARAYAN MANDAL")</f>
        <v>MAHA NARAYAN MANDAL</v>
      </c>
      <c r="C657" s="42" t="str">
        <f ca="1">IFERROR(__xludf.DUMMYFUNCTION("""COMPUTED_VALUE"""),"SDS")</f>
        <v>SDS</v>
      </c>
      <c r="D657" s="42" t="str">
        <f ca="1">IFERROR(__xludf.DUMMYFUNCTION("""COMPUTED_VALUE"""),"DCV")</f>
        <v>DCV</v>
      </c>
      <c r="E657" s="44">
        <f ca="1">IFERROR(__xludf.DUMMYFUNCTION("""COMPUTED_VALUE"""),4)</f>
        <v>4</v>
      </c>
      <c r="F657" s="42" t="str">
        <f ca="1">IFERROR(__xludf.DUMMYFUNCTION("""COMPUTED_VALUE"""),"INTERNATIONAL")</f>
        <v>INTERNATIONAL</v>
      </c>
      <c r="G657" s="42" t="str">
        <f ca="1">IFERROR(__xludf.DUMMYFUNCTION("""COMPUTED_VALUE"""),"INR FEE STUDENT")</f>
        <v>INR FEE STUDENT</v>
      </c>
      <c r="H657" s="2" t="str">
        <f ca="1">IFERROR(__xludf.DUMMYFUNCTION("""COMPUTED_VALUE"""),"DCV_2022-25")</f>
        <v>DCV_2022-25</v>
      </c>
      <c r="I657" s="45"/>
      <c r="J657" s="46">
        <f ca="1">IFERROR(__xludf.DUMMYFUNCTION("""COMPUTED_VALUE"""),37500)</f>
        <v>37500</v>
      </c>
      <c r="K657" s="46">
        <f ca="1">IFERROR(__xludf.DUMMYFUNCTION("""COMPUTED_VALUE"""),37500)</f>
        <v>37500</v>
      </c>
      <c r="L657" s="46">
        <f ca="1">IFERROR(__xludf.DUMMYFUNCTION("""COMPUTED_VALUE"""),0)</f>
        <v>0</v>
      </c>
      <c r="M657" s="47">
        <f ca="1">IFERROR(__xludf.DUMMYFUNCTION("""COMPUTED_VALUE"""),0)</f>
        <v>0</v>
      </c>
      <c r="N657" s="46">
        <f ca="1">IFERROR(__xludf.DUMMYFUNCTION("""COMPUTED_VALUE"""),0)</f>
        <v>0</v>
      </c>
      <c r="O657" s="46">
        <f ca="1">IFERROR(__xludf.DUMMYFUNCTION("""COMPUTED_VALUE"""),0)</f>
        <v>0</v>
      </c>
      <c r="P657" s="46">
        <f ca="1">IFERROR(__xludf.DUMMYFUNCTION("""COMPUTED_VALUE"""),0)</f>
        <v>0</v>
      </c>
      <c r="Q657" s="47">
        <f ca="1">IFERROR(__xludf.DUMMYFUNCTION("""COMPUTED_VALUE"""),0)</f>
        <v>0</v>
      </c>
      <c r="R657" s="24">
        <f ca="1">IFERROR(__xludf.DUMMYFUNCTION("""COMPUTED_VALUE"""),0)</f>
        <v>0</v>
      </c>
      <c r="S657" s="23">
        <f ca="1">IFERROR(__xludf.DUMMYFUNCTION("""COMPUTED_VALUE"""),0)</f>
        <v>0</v>
      </c>
      <c r="T657" s="48">
        <f ca="1">IFERROR(__xludf.DUMMYFUNCTION("""COMPUTED_VALUE"""),0)</f>
        <v>0</v>
      </c>
      <c r="U657" s="47">
        <f ca="1">IFERROR(__xludf.DUMMYFUNCTION("""COMPUTED_VALUE"""),0)</f>
        <v>0</v>
      </c>
      <c r="V657" s="47">
        <f ca="1">IFERROR(__xludf.DUMMYFUNCTION("""COMPUTED_VALUE"""),0)</f>
        <v>0</v>
      </c>
      <c r="W657" s="47">
        <f ca="1">IFERROR(__xludf.DUMMYFUNCTION("""COMPUTED_VALUE"""),0)</f>
        <v>0</v>
      </c>
      <c r="X657" s="47">
        <f ca="1">IFERROR(__xludf.DUMMYFUNCTION("""COMPUTED_VALUE"""),0)</f>
        <v>0</v>
      </c>
      <c r="Y657" s="44">
        <f ca="1">IFERROR(__xludf.DUMMYFUNCTION("""COMPUTED_VALUE"""),0)</f>
        <v>0</v>
      </c>
      <c r="Z657" s="44">
        <f ca="1">IFERROR(__xludf.DUMMYFUNCTION("""COMPUTED_VALUE"""),0)</f>
        <v>0</v>
      </c>
      <c r="AA657" s="44">
        <f ca="1">IFERROR(__xludf.DUMMYFUNCTION("""COMPUTED_VALUE"""),0)</f>
        <v>0</v>
      </c>
      <c r="AB657" s="44">
        <f ca="1">IFERROR(__xludf.DUMMYFUNCTION("""COMPUTED_VALUE"""),0)</f>
        <v>0</v>
      </c>
      <c r="AC657" s="47">
        <f ca="1">IFERROR(__xludf.DUMMYFUNCTION("""COMPUTED_VALUE"""),0)</f>
        <v>0</v>
      </c>
      <c r="AD657" s="49"/>
      <c r="AE657" s="27"/>
    </row>
    <row r="658" spans="1:31" ht="14.3">
      <c r="A658" s="42" t="str">
        <f ca="1">IFERROR(__xludf.DUMMYFUNCTION("""COMPUTED_VALUE"""),"22SDSCV01602")</f>
        <v>22SDSCV01602</v>
      </c>
      <c r="B658" s="43" t="str">
        <f ca="1">IFERROR(__xludf.DUMMYFUNCTION("""COMPUTED_VALUE"""),"MITHLESH KUMAR YADAV")</f>
        <v>MITHLESH KUMAR YADAV</v>
      </c>
      <c r="C658" s="42" t="str">
        <f ca="1">IFERROR(__xludf.DUMMYFUNCTION("""COMPUTED_VALUE"""),"SDS")</f>
        <v>SDS</v>
      </c>
      <c r="D658" s="42" t="str">
        <f ca="1">IFERROR(__xludf.DUMMYFUNCTION("""COMPUTED_VALUE"""),"DCV")</f>
        <v>DCV</v>
      </c>
      <c r="E658" s="44">
        <f ca="1">IFERROR(__xludf.DUMMYFUNCTION("""COMPUTED_VALUE"""),4)</f>
        <v>4</v>
      </c>
      <c r="F658" s="42" t="str">
        <f ca="1">IFERROR(__xludf.DUMMYFUNCTION("""COMPUTED_VALUE"""),"INTERNATIONAL")</f>
        <v>INTERNATIONAL</v>
      </c>
      <c r="G658" s="42" t="str">
        <f ca="1">IFERROR(__xludf.DUMMYFUNCTION("""COMPUTED_VALUE"""),"INR FEE STUDENT")</f>
        <v>INR FEE STUDENT</v>
      </c>
      <c r="H658" s="2" t="str">
        <f ca="1">IFERROR(__xludf.DUMMYFUNCTION("""COMPUTED_VALUE"""),"DCV_2022-25")</f>
        <v>DCV_2022-25</v>
      </c>
      <c r="I658" s="45"/>
      <c r="J658" s="46">
        <f ca="1">IFERROR(__xludf.DUMMYFUNCTION("""COMPUTED_VALUE"""),37500)</f>
        <v>37500</v>
      </c>
      <c r="K658" s="46">
        <f ca="1">IFERROR(__xludf.DUMMYFUNCTION("""COMPUTED_VALUE"""),37500)</f>
        <v>37500</v>
      </c>
      <c r="L658" s="46">
        <f ca="1">IFERROR(__xludf.DUMMYFUNCTION("""COMPUTED_VALUE"""),0)</f>
        <v>0</v>
      </c>
      <c r="M658" s="47">
        <f ca="1">IFERROR(__xludf.DUMMYFUNCTION("""COMPUTED_VALUE"""),0)</f>
        <v>0</v>
      </c>
      <c r="N658" s="46">
        <f ca="1">IFERROR(__xludf.DUMMYFUNCTION("""COMPUTED_VALUE"""),0)</f>
        <v>0</v>
      </c>
      <c r="O658" s="46">
        <f ca="1">IFERROR(__xludf.DUMMYFUNCTION("""COMPUTED_VALUE"""),0)</f>
        <v>0</v>
      </c>
      <c r="P658" s="46">
        <f ca="1">IFERROR(__xludf.DUMMYFUNCTION("""COMPUTED_VALUE"""),0)</f>
        <v>0</v>
      </c>
      <c r="Q658" s="47">
        <f ca="1">IFERROR(__xludf.DUMMYFUNCTION("""COMPUTED_VALUE"""),0)</f>
        <v>0</v>
      </c>
      <c r="R658" s="24">
        <f ca="1">IFERROR(__xludf.DUMMYFUNCTION("""COMPUTED_VALUE"""),0)</f>
        <v>0</v>
      </c>
      <c r="S658" s="23">
        <f ca="1">IFERROR(__xludf.DUMMYFUNCTION("""COMPUTED_VALUE"""),0)</f>
        <v>0</v>
      </c>
      <c r="T658" s="48">
        <f ca="1">IFERROR(__xludf.DUMMYFUNCTION("""COMPUTED_VALUE"""),0)</f>
        <v>0</v>
      </c>
      <c r="U658" s="47">
        <f ca="1">IFERROR(__xludf.DUMMYFUNCTION("""COMPUTED_VALUE"""),0)</f>
        <v>0</v>
      </c>
      <c r="V658" s="47">
        <f ca="1">IFERROR(__xludf.DUMMYFUNCTION("""COMPUTED_VALUE"""),0)</f>
        <v>0</v>
      </c>
      <c r="W658" s="47">
        <f ca="1">IFERROR(__xludf.DUMMYFUNCTION("""COMPUTED_VALUE"""),0)</f>
        <v>0</v>
      </c>
      <c r="X658" s="47">
        <f ca="1">IFERROR(__xludf.DUMMYFUNCTION("""COMPUTED_VALUE"""),0)</f>
        <v>0</v>
      </c>
      <c r="Y658" s="44">
        <f ca="1">IFERROR(__xludf.DUMMYFUNCTION("""COMPUTED_VALUE"""),0)</f>
        <v>0</v>
      </c>
      <c r="Z658" s="44">
        <f ca="1">IFERROR(__xludf.DUMMYFUNCTION("""COMPUTED_VALUE"""),0)</f>
        <v>0</v>
      </c>
      <c r="AA658" s="44">
        <f ca="1">IFERROR(__xludf.DUMMYFUNCTION("""COMPUTED_VALUE"""),0)</f>
        <v>0</v>
      </c>
      <c r="AB658" s="44">
        <f ca="1">IFERROR(__xludf.DUMMYFUNCTION("""COMPUTED_VALUE"""),0)</f>
        <v>0</v>
      </c>
      <c r="AC658" s="47">
        <f ca="1">IFERROR(__xludf.DUMMYFUNCTION("""COMPUTED_VALUE"""),0)</f>
        <v>0</v>
      </c>
      <c r="AD658" s="49"/>
      <c r="AE658" s="27"/>
    </row>
    <row r="659" spans="1:31" ht="14.3">
      <c r="A659" s="42" t="str">
        <f ca="1">IFERROR(__xludf.DUMMYFUNCTION("""COMPUTED_VALUE"""),"22SDSCV01603")</f>
        <v>22SDSCV01603</v>
      </c>
      <c r="B659" s="43" t="str">
        <f ca="1">IFERROR(__xludf.DUMMYFUNCTION("""COMPUTED_VALUE"""),"AKASH KUMAR CHAI")</f>
        <v>AKASH KUMAR CHAI</v>
      </c>
      <c r="C659" s="42" t="str">
        <f ca="1">IFERROR(__xludf.DUMMYFUNCTION("""COMPUTED_VALUE"""),"SDS")</f>
        <v>SDS</v>
      </c>
      <c r="D659" s="42" t="str">
        <f ca="1">IFERROR(__xludf.DUMMYFUNCTION("""COMPUTED_VALUE"""),"DCV")</f>
        <v>DCV</v>
      </c>
      <c r="E659" s="44">
        <f ca="1">IFERROR(__xludf.DUMMYFUNCTION("""COMPUTED_VALUE"""),4)</f>
        <v>4</v>
      </c>
      <c r="F659" s="42" t="str">
        <f ca="1">IFERROR(__xludf.DUMMYFUNCTION("""COMPUTED_VALUE"""),"INTERNATIONAL")</f>
        <v>INTERNATIONAL</v>
      </c>
      <c r="G659" s="42" t="str">
        <f ca="1">IFERROR(__xludf.DUMMYFUNCTION("""COMPUTED_VALUE"""),"INR FEE STUDENT")</f>
        <v>INR FEE STUDENT</v>
      </c>
      <c r="H659" s="2" t="str">
        <f ca="1">IFERROR(__xludf.DUMMYFUNCTION("""COMPUTED_VALUE"""),"DCV_2022-25")</f>
        <v>DCV_2022-25</v>
      </c>
      <c r="I659" s="45"/>
      <c r="J659" s="46">
        <f ca="1">IFERROR(__xludf.DUMMYFUNCTION("""COMPUTED_VALUE"""),37500)</f>
        <v>37500</v>
      </c>
      <c r="K659" s="46">
        <f ca="1">IFERROR(__xludf.DUMMYFUNCTION("""COMPUTED_VALUE"""),0)</f>
        <v>0</v>
      </c>
      <c r="L659" s="46">
        <f ca="1">IFERROR(__xludf.DUMMYFUNCTION("""COMPUTED_VALUE"""),0)</f>
        <v>0</v>
      </c>
      <c r="M659" s="47">
        <f ca="1">IFERROR(__xludf.DUMMYFUNCTION("""COMPUTED_VALUE"""),0)</f>
        <v>0</v>
      </c>
      <c r="N659" s="46">
        <f ca="1">IFERROR(__xludf.DUMMYFUNCTION("""COMPUTED_VALUE"""),37500)</f>
        <v>37500</v>
      </c>
      <c r="O659" s="46">
        <f ca="1">IFERROR(__xludf.DUMMYFUNCTION("""COMPUTED_VALUE"""),0)</f>
        <v>0</v>
      </c>
      <c r="P659" s="46">
        <f ca="1">IFERROR(__xludf.DUMMYFUNCTION("""COMPUTED_VALUE"""),0)</f>
        <v>0</v>
      </c>
      <c r="Q659" s="47">
        <f ca="1">IFERROR(__xludf.DUMMYFUNCTION("""COMPUTED_VALUE"""),0)</f>
        <v>0</v>
      </c>
      <c r="R659" s="24">
        <f ca="1">IFERROR(__xludf.DUMMYFUNCTION("""COMPUTED_VALUE"""),0)</f>
        <v>0</v>
      </c>
      <c r="S659" s="23">
        <f ca="1">IFERROR(__xludf.DUMMYFUNCTION("""COMPUTED_VALUE"""),0)</f>
        <v>0</v>
      </c>
      <c r="T659" s="48">
        <f ca="1">IFERROR(__xludf.DUMMYFUNCTION("""COMPUTED_VALUE"""),0)</f>
        <v>0</v>
      </c>
      <c r="U659" s="47">
        <f ca="1">IFERROR(__xludf.DUMMYFUNCTION("""COMPUTED_VALUE"""),0)</f>
        <v>0</v>
      </c>
      <c r="V659" s="47">
        <f ca="1">IFERROR(__xludf.DUMMYFUNCTION("""COMPUTED_VALUE"""),0)</f>
        <v>0</v>
      </c>
      <c r="W659" s="47">
        <f ca="1">IFERROR(__xludf.DUMMYFUNCTION("""COMPUTED_VALUE"""),0)</f>
        <v>0</v>
      </c>
      <c r="X659" s="47">
        <f ca="1">IFERROR(__xludf.DUMMYFUNCTION("""COMPUTED_VALUE"""),0)</f>
        <v>0</v>
      </c>
      <c r="Y659" s="44">
        <f ca="1">IFERROR(__xludf.DUMMYFUNCTION("""COMPUTED_VALUE"""),0)</f>
        <v>0</v>
      </c>
      <c r="Z659" s="44">
        <f ca="1">IFERROR(__xludf.DUMMYFUNCTION("""COMPUTED_VALUE"""),0)</f>
        <v>0</v>
      </c>
      <c r="AA659" s="44">
        <f ca="1">IFERROR(__xludf.DUMMYFUNCTION("""COMPUTED_VALUE"""),0)</f>
        <v>0</v>
      </c>
      <c r="AB659" s="44">
        <f ca="1">IFERROR(__xludf.DUMMYFUNCTION("""COMPUTED_VALUE"""),0)</f>
        <v>0</v>
      </c>
      <c r="AC659" s="47">
        <f ca="1">IFERROR(__xludf.DUMMYFUNCTION("""COMPUTED_VALUE"""),0)</f>
        <v>0</v>
      </c>
      <c r="AD659" s="49"/>
      <c r="AE659" s="27"/>
    </row>
    <row r="660" spans="1:31" ht="14.3">
      <c r="A660" s="42" t="str">
        <f ca="1">IFERROR(__xludf.DUMMYFUNCTION("""COMPUTED_VALUE"""),"22SDSCV01604")</f>
        <v>22SDSCV01604</v>
      </c>
      <c r="B660" s="43" t="str">
        <f ca="1">IFERROR(__xludf.DUMMYFUNCTION("""COMPUTED_VALUE"""),"SANJAY THAKUR")</f>
        <v>SANJAY THAKUR</v>
      </c>
      <c r="C660" s="42" t="str">
        <f ca="1">IFERROR(__xludf.DUMMYFUNCTION("""COMPUTED_VALUE"""),"SDS")</f>
        <v>SDS</v>
      </c>
      <c r="D660" s="42" t="str">
        <f ca="1">IFERROR(__xludf.DUMMYFUNCTION("""COMPUTED_VALUE"""),"DCV")</f>
        <v>DCV</v>
      </c>
      <c r="E660" s="44">
        <f ca="1">IFERROR(__xludf.DUMMYFUNCTION("""COMPUTED_VALUE"""),4)</f>
        <v>4</v>
      </c>
      <c r="F660" s="42" t="str">
        <f ca="1">IFERROR(__xludf.DUMMYFUNCTION("""COMPUTED_VALUE"""),"INTERNATIONAL")</f>
        <v>INTERNATIONAL</v>
      </c>
      <c r="G660" s="42" t="str">
        <f ca="1">IFERROR(__xludf.DUMMYFUNCTION("""COMPUTED_VALUE"""),"INR FEE STUDENT")</f>
        <v>INR FEE STUDENT</v>
      </c>
      <c r="H660" s="2" t="str">
        <f ca="1">IFERROR(__xludf.DUMMYFUNCTION("""COMPUTED_VALUE"""),"DCV_2022-25")</f>
        <v>DCV_2022-25</v>
      </c>
      <c r="I660" s="45"/>
      <c r="J660" s="46">
        <f ca="1">IFERROR(__xludf.DUMMYFUNCTION("""COMPUTED_VALUE"""),37500)</f>
        <v>37500</v>
      </c>
      <c r="K660" s="46">
        <f ca="1">IFERROR(__xludf.DUMMYFUNCTION("""COMPUTED_VALUE"""),37500)</f>
        <v>37500</v>
      </c>
      <c r="L660" s="46">
        <f ca="1">IFERROR(__xludf.DUMMYFUNCTION("""COMPUTED_VALUE"""),0)</f>
        <v>0</v>
      </c>
      <c r="M660" s="47">
        <f ca="1">IFERROR(__xludf.DUMMYFUNCTION("""COMPUTED_VALUE"""),0)</f>
        <v>0</v>
      </c>
      <c r="N660" s="46">
        <f ca="1">IFERROR(__xludf.DUMMYFUNCTION("""COMPUTED_VALUE"""),0)</f>
        <v>0</v>
      </c>
      <c r="O660" s="46">
        <f ca="1">IFERROR(__xludf.DUMMYFUNCTION("""COMPUTED_VALUE"""),0)</f>
        <v>0</v>
      </c>
      <c r="P660" s="46">
        <f ca="1">IFERROR(__xludf.DUMMYFUNCTION("""COMPUTED_VALUE"""),0)</f>
        <v>0</v>
      </c>
      <c r="Q660" s="47">
        <f ca="1">IFERROR(__xludf.DUMMYFUNCTION("""COMPUTED_VALUE"""),0)</f>
        <v>0</v>
      </c>
      <c r="R660" s="24">
        <f ca="1">IFERROR(__xludf.DUMMYFUNCTION("""COMPUTED_VALUE"""),0)</f>
        <v>0</v>
      </c>
      <c r="S660" s="23">
        <f ca="1">IFERROR(__xludf.DUMMYFUNCTION("""COMPUTED_VALUE"""),0)</f>
        <v>0</v>
      </c>
      <c r="T660" s="48">
        <f ca="1">IFERROR(__xludf.DUMMYFUNCTION("""COMPUTED_VALUE"""),0)</f>
        <v>0</v>
      </c>
      <c r="U660" s="47">
        <f ca="1">IFERROR(__xludf.DUMMYFUNCTION("""COMPUTED_VALUE"""),0)</f>
        <v>0</v>
      </c>
      <c r="V660" s="47">
        <f ca="1">IFERROR(__xludf.DUMMYFUNCTION("""COMPUTED_VALUE"""),0)</f>
        <v>0</v>
      </c>
      <c r="W660" s="47">
        <f ca="1">IFERROR(__xludf.DUMMYFUNCTION("""COMPUTED_VALUE"""),0)</f>
        <v>0</v>
      </c>
      <c r="X660" s="47">
        <f ca="1">IFERROR(__xludf.DUMMYFUNCTION("""COMPUTED_VALUE"""),0)</f>
        <v>0</v>
      </c>
      <c r="Y660" s="44">
        <f ca="1">IFERROR(__xludf.DUMMYFUNCTION("""COMPUTED_VALUE"""),0)</f>
        <v>0</v>
      </c>
      <c r="Z660" s="44">
        <f ca="1">IFERROR(__xludf.DUMMYFUNCTION("""COMPUTED_VALUE"""),0)</f>
        <v>0</v>
      </c>
      <c r="AA660" s="44">
        <f ca="1">IFERROR(__xludf.DUMMYFUNCTION("""COMPUTED_VALUE"""),0)</f>
        <v>0</v>
      </c>
      <c r="AB660" s="44">
        <f ca="1">IFERROR(__xludf.DUMMYFUNCTION("""COMPUTED_VALUE"""),0)</f>
        <v>0</v>
      </c>
      <c r="AC660" s="47">
        <f ca="1">IFERROR(__xludf.DUMMYFUNCTION("""COMPUTED_VALUE"""),0)</f>
        <v>0</v>
      </c>
      <c r="AD660" s="49"/>
      <c r="AE660" s="27"/>
    </row>
    <row r="661" spans="1:31" ht="14.3">
      <c r="A661" s="42" t="str">
        <f ca="1">IFERROR(__xludf.DUMMYFUNCTION("""COMPUTED_VALUE"""),"22SDSCV01605")</f>
        <v>22SDSCV01605</v>
      </c>
      <c r="B661" s="43" t="str">
        <f ca="1">IFERROR(__xludf.DUMMYFUNCTION("""COMPUTED_VALUE"""),"GAJENDRA PANDIT")</f>
        <v>GAJENDRA PANDIT</v>
      </c>
      <c r="C661" s="42" t="str">
        <f ca="1">IFERROR(__xludf.DUMMYFUNCTION("""COMPUTED_VALUE"""),"SDS")</f>
        <v>SDS</v>
      </c>
      <c r="D661" s="42" t="str">
        <f ca="1">IFERROR(__xludf.DUMMYFUNCTION("""COMPUTED_VALUE"""),"DCV")</f>
        <v>DCV</v>
      </c>
      <c r="E661" s="44">
        <f ca="1">IFERROR(__xludf.DUMMYFUNCTION("""COMPUTED_VALUE"""),4)</f>
        <v>4</v>
      </c>
      <c r="F661" s="42" t="str">
        <f ca="1">IFERROR(__xludf.DUMMYFUNCTION("""COMPUTED_VALUE"""),"INTERNATIONAL")</f>
        <v>INTERNATIONAL</v>
      </c>
      <c r="G661" s="42" t="str">
        <f ca="1">IFERROR(__xludf.DUMMYFUNCTION("""COMPUTED_VALUE"""),"INR FEE STUDENT")</f>
        <v>INR FEE STUDENT</v>
      </c>
      <c r="H661" s="2" t="str">
        <f ca="1">IFERROR(__xludf.DUMMYFUNCTION("""COMPUTED_VALUE"""),"DCV_2022-25")</f>
        <v>DCV_2022-25</v>
      </c>
      <c r="I661" s="45"/>
      <c r="J661" s="46">
        <f ca="1">IFERROR(__xludf.DUMMYFUNCTION("""COMPUTED_VALUE"""),37500)</f>
        <v>37500</v>
      </c>
      <c r="K661" s="46">
        <f ca="1">IFERROR(__xludf.DUMMYFUNCTION("""COMPUTED_VALUE"""),37500)</f>
        <v>37500</v>
      </c>
      <c r="L661" s="46">
        <f ca="1">IFERROR(__xludf.DUMMYFUNCTION("""COMPUTED_VALUE"""),0)</f>
        <v>0</v>
      </c>
      <c r="M661" s="47">
        <f ca="1">IFERROR(__xludf.DUMMYFUNCTION("""COMPUTED_VALUE"""),0)</f>
        <v>0</v>
      </c>
      <c r="N661" s="46">
        <f ca="1">IFERROR(__xludf.DUMMYFUNCTION("""COMPUTED_VALUE"""),0)</f>
        <v>0</v>
      </c>
      <c r="O661" s="46">
        <f ca="1">IFERROR(__xludf.DUMMYFUNCTION("""COMPUTED_VALUE"""),0)</f>
        <v>0</v>
      </c>
      <c r="P661" s="46">
        <f ca="1">IFERROR(__xludf.DUMMYFUNCTION("""COMPUTED_VALUE"""),0)</f>
        <v>0</v>
      </c>
      <c r="Q661" s="47">
        <f ca="1">IFERROR(__xludf.DUMMYFUNCTION("""COMPUTED_VALUE"""),0)</f>
        <v>0</v>
      </c>
      <c r="R661" s="24">
        <f ca="1">IFERROR(__xludf.DUMMYFUNCTION("""COMPUTED_VALUE"""),0)</f>
        <v>0</v>
      </c>
      <c r="S661" s="23">
        <f ca="1">IFERROR(__xludf.DUMMYFUNCTION("""COMPUTED_VALUE"""),0)</f>
        <v>0</v>
      </c>
      <c r="T661" s="48">
        <f ca="1">IFERROR(__xludf.DUMMYFUNCTION("""COMPUTED_VALUE"""),0)</f>
        <v>0</v>
      </c>
      <c r="U661" s="47">
        <f ca="1">IFERROR(__xludf.DUMMYFUNCTION("""COMPUTED_VALUE"""),0)</f>
        <v>0</v>
      </c>
      <c r="V661" s="47">
        <f ca="1">IFERROR(__xludf.DUMMYFUNCTION("""COMPUTED_VALUE"""),0)</f>
        <v>0</v>
      </c>
      <c r="W661" s="47">
        <f ca="1">IFERROR(__xludf.DUMMYFUNCTION("""COMPUTED_VALUE"""),0)</f>
        <v>0</v>
      </c>
      <c r="X661" s="47">
        <f ca="1">IFERROR(__xludf.DUMMYFUNCTION("""COMPUTED_VALUE"""),0)</f>
        <v>0</v>
      </c>
      <c r="Y661" s="44">
        <f ca="1">IFERROR(__xludf.DUMMYFUNCTION("""COMPUTED_VALUE"""),0)</f>
        <v>0</v>
      </c>
      <c r="Z661" s="44">
        <f ca="1">IFERROR(__xludf.DUMMYFUNCTION("""COMPUTED_VALUE"""),0)</f>
        <v>0</v>
      </c>
      <c r="AA661" s="44">
        <f ca="1">IFERROR(__xludf.DUMMYFUNCTION("""COMPUTED_VALUE"""),0)</f>
        <v>0</v>
      </c>
      <c r="AB661" s="44">
        <f ca="1">IFERROR(__xludf.DUMMYFUNCTION("""COMPUTED_VALUE"""),0)</f>
        <v>0</v>
      </c>
      <c r="AC661" s="47">
        <f ca="1">IFERROR(__xludf.DUMMYFUNCTION("""COMPUTED_VALUE"""),0)</f>
        <v>0</v>
      </c>
      <c r="AD661" s="49"/>
      <c r="AE661" s="27"/>
    </row>
    <row r="662" spans="1:31" ht="14.3">
      <c r="A662" s="42" t="str">
        <f ca="1">IFERROR(__xludf.DUMMYFUNCTION("""COMPUTED_VALUE"""),"22SDSCV01606")</f>
        <v>22SDSCV01606</v>
      </c>
      <c r="B662" s="43" t="str">
        <f ca="1">IFERROR(__xludf.DUMMYFUNCTION("""COMPUTED_VALUE"""),"RAJESH KUMAR MANDAL")</f>
        <v>RAJESH KUMAR MANDAL</v>
      </c>
      <c r="C662" s="42" t="str">
        <f ca="1">IFERROR(__xludf.DUMMYFUNCTION("""COMPUTED_VALUE"""),"SDS")</f>
        <v>SDS</v>
      </c>
      <c r="D662" s="42" t="str">
        <f ca="1">IFERROR(__xludf.DUMMYFUNCTION("""COMPUTED_VALUE"""),"DCV")</f>
        <v>DCV</v>
      </c>
      <c r="E662" s="44">
        <f ca="1">IFERROR(__xludf.DUMMYFUNCTION("""COMPUTED_VALUE"""),4)</f>
        <v>4</v>
      </c>
      <c r="F662" s="42" t="str">
        <f ca="1">IFERROR(__xludf.DUMMYFUNCTION("""COMPUTED_VALUE"""),"INTERNATIONAL")</f>
        <v>INTERNATIONAL</v>
      </c>
      <c r="G662" s="42" t="str">
        <f ca="1">IFERROR(__xludf.DUMMYFUNCTION("""COMPUTED_VALUE"""),"INR FEE STUDENT")</f>
        <v>INR FEE STUDENT</v>
      </c>
      <c r="H662" s="2" t="str">
        <f ca="1">IFERROR(__xludf.DUMMYFUNCTION("""COMPUTED_VALUE"""),"DCV_2022-25")</f>
        <v>DCV_2022-25</v>
      </c>
      <c r="I662" s="45"/>
      <c r="J662" s="46">
        <f ca="1">IFERROR(__xludf.DUMMYFUNCTION("""COMPUTED_VALUE"""),37500)</f>
        <v>37500</v>
      </c>
      <c r="K662" s="46">
        <f ca="1">IFERROR(__xludf.DUMMYFUNCTION("""COMPUTED_VALUE"""),37500)</f>
        <v>37500</v>
      </c>
      <c r="L662" s="46">
        <f ca="1">IFERROR(__xludf.DUMMYFUNCTION("""COMPUTED_VALUE"""),0)</f>
        <v>0</v>
      </c>
      <c r="M662" s="47">
        <f ca="1">IFERROR(__xludf.DUMMYFUNCTION("""COMPUTED_VALUE"""),0)</f>
        <v>0</v>
      </c>
      <c r="N662" s="46">
        <f ca="1">IFERROR(__xludf.DUMMYFUNCTION("""COMPUTED_VALUE"""),0)</f>
        <v>0</v>
      </c>
      <c r="O662" s="46">
        <f ca="1">IFERROR(__xludf.DUMMYFUNCTION("""COMPUTED_VALUE"""),0)</f>
        <v>0</v>
      </c>
      <c r="P662" s="46">
        <f ca="1">IFERROR(__xludf.DUMMYFUNCTION("""COMPUTED_VALUE"""),0)</f>
        <v>0</v>
      </c>
      <c r="Q662" s="47">
        <f ca="1">IFERROR(__xludf.DUMMYFUNCTION("""COMPUTED_VALUE"""),0)</f>
        <v>0</v>
      </c>
      <c r="R662" s="24">
        <f ca="1">IFERROR(__xludf.DUMMYFUNCTION("""COMPUTED_VALUE"""),0)</f>
        <v>0</v>
      </c>
      <c r="S662" s="23">
        <f ca="1">IFERROR(__xludf.DUMMYFUNCTION("""COMPUTED_VALUE"""),0)</f>
        <v>0</v>
      </c>
      <c r="T662" s="48">
        <f ca="1">IFERROR(__xludf.DUMMYFUNCTION("""COMPUTED_VALUE"""),0)</f>
        <v>0</v>
      </c>
      <c r="U662" s="47">
        <f ca="1">IFERROR(__xludf.DUMMYFUNCTION("""COMPUTED_VALUE"""),0)</f>
        <v>0</v>
      </c>
      <c r="V662" s="47">
        <f ca="1">IFERROR(__xludf.DUMMYFUNCTION("""COMPUTED_VALUE"""),0)</f>
        <v>0</v>
      </c>
      <c r="W662" s="47">
        <f ca="1">IFERROR(__xludf.DUMMYFUNCTION("""COMPUTED_VALUE"""),0)</f>
        <v>0</v>
      </c>
      <c r="X662" s="47">
        <f ca="1">IFERROR(__xludf.DUMMYFUNCTION("""COMPUTED_VALUE"""),0)</f>
        <v>0</v>
      </c>
      <c r="Y662" s="44">
        <f ca="1">IFERROR(__xludf.DUMMYFUNCTION("""COMPUTED_VALUE"""),0)</f>
        <v>0</v>
      </c>
      <c r="Z662" s="44">
        <f ca="1">IFERROR(__xludf.DUMMYFUNCTION("""COMPUTED_VALUE"""),0)</f>
        <v>0</v>
      </c>
      <c r="AA662" s="44">
        <f ca="1">IFERROR(__xludf.DUMMYFUNCTION("""COMPUTED_VALUE"""),0)</f>
        <v>0</v>
      </c>
      <c r="AB662" s="44">
        <f ca="1">IFERROR(__xludf.DUMMYFUNCTION("""COMPUTED_VALUE"""),0)</f>
        <v>0</v>
      </c>
      <c r="AC662" s="47">
        <f ca="1">IFERROR(__xludf.DUMMYFUNCTION("""COMPUTED_VALUE"""),0)</f>
        <v>0</v>
      </c>
      <c r="AD662" s="49"/>
      <c r="AE662" s="27"/>
    </row>
    <row r="663" spans="1:31" ht="14.3">
      <c r="A663" s="42" t="str">
        <f ca="1">IFERROR(__xludf.DUMMYFUNCTION("""COMPUTED_VALUE"""),"22SDSCV01607")</f>
        <v>22SDSCV01607</v>
      </c>
      <c r="B663" s="43" t="str">
        <f ca="1">IFERROR(__xludf.DUMMYFUNCTION("""COMPUTED_VALUE"""),"DIPESH PRASAD PATEL")</f>
        <v>DIPESH PRASAD PATEL</v>
      </c>
      <c r="C663" s="42" t="str">
        <f ca="1">IFERROR(__xludf.DUMMYFUNCTION("""COMPUTED_VALUE"""),"SDS")</f>
        <v>SDS</v>
      </c>
      <c r="D663" s="42" t="str">
        <f ca="1">IFERROR(__xludf.DUMMYFUNCTION("""COMPUTED_VALUE"""),"DCV")</f>
        <v>DCV</v>
      </c>
      <c r="E663" s="44">
        <f ca="1">IFERROR(__xludf.DUMMYFUNCTION("""COMPUTED_VALUE"""),4)</f>
        <v>4</v>
      </c>
      <c r="F663" s="42" t="str">
        <f ca="1">IFERROR(__xludf.DUMMYFUNCTION("""COMPUTED_VALUE"""),"INTERNATIONAL")</f>
        <v>INTERNATIONAL</v>
      </c>
      <c r="G663" s="42" t="str">
        <f ca="1">IFERROR(__xludf.DUMMYFUNCTION("""COMPUTED_VALUE"""),"INR FEE STUDENT")</f>
        <v>INR FEE STUDENT</v>
      </c>
      <c r="H663" s="2" t="str">
        <f ca="1">IFERROR(__xludf.DUMMYFUNCTION("""COMPUTED_VALUE"""),"DCV_2022-25")</f>
        <v>DCV_2022-25</v>
      </c>
      <c r="I663" s="45"/>
      <c r="J663" s="46">
        <f ca="1">IFERROR(__xludf.DUMMYFUNCTION("""COMPUTED_VALUE"""),37500)</f>
        <v>37500</v>
      </c>
      <c r="K663" s="46">
        <f ca="1">IFERROR(__xludf.DUMMYFUNCTION("""COMPUTED_VALUE"""),0)</f>
        <v>0</v>
      </c>
      <c r="L663" s="46">
        <f ca="1">IFERROR(__xludf.DUMMYFUNCTION("""COMPUTED_VALUE"""),0)</f>
        <v>0</v>
      </c>
      <c r="M663" s="47">
        <f ca="1">IFERROR(__xludf.DUMMYFUNCTION("""COMPUTED_VALUE"""),0)</f>
        <v>0</v>
      </c>
      <c r="N663" s="46">
        <f ca="1">IFERROR(__xludf.DUMMYFUNCTION("""COMPUTED_VALUE"""),37500)</f>
        <v>37500</v>
      </c>
      <c r="O663" s="46">
        <f ca="1">IFERROR(__xludf.DUMMYFUNCTION("""COMPUTED_VALUE"""),0)</f>
        <v>0</v>
      </c>
      <c r="P663" s="46">
        <f ca="1">IFERROR(__xludf.DUMMYFUNCTION("""COMPUTED_VALUE"""),0)</f>
        <v>0</v>
      </c>
      <c r="Q663" s="47">
        <f ca="1">IFERROR(__xludf.DUMMYFUNCTION("""COMPUTED_VALUE"""),0)</f>
        <v>0</v>
      </c>
      <c r="R663" s="24">
        <f ca="1">IFERROR(__xludf.DUMMYFUNCTION("""COMPUTED_VALUE"""),0)</f>
        <v>0</v>
      </c>
      <c r="S663" s="23">
        <f ca="1">IFERROR(__xludf.DUMMYFUNCTION("""COMPUTED_VALUE"""),0)</f>
        <v>0</v>
      </c>
      <c r="T663" s="48">
        <f ca="1">IFERROR(__xludf.DUMMYFUNCTION("""COMPUTED_VALUE"""),0)</f>
        <v>0</v>
      </c>
      <c r="U663" s="47">
        <f ca="1">IFERROR(__xludf.DUMMYFUNCTION("""COMPUTED_VALUE"""),0)</f>
        <v>0</v>
      </c>
      <c r="V663" s="47">
        <f ca="1">IFERROR(__xludf.DUMMYFUNCTION("""COMPUTED_VALUE"""),0)</f>
        <v>0</v>
      </c>
      <c r="W663" s="47">
        <f ca="1">IFERROR(__xludf.DUMMYFUNCTION("""COMPUTED_VALUE"""),0)</f>
        <v>0</v>
      </c>
      <c r="X663" s="47">
        <f ca="1">IFERROR(__xludf.DUMMYFUNCTION("""COMPUTED_VALUE"""),0)</f>
        <v>0</v>
      </c>
      <c r="Y663" s="44">
        <f ca="1">IFERROR(__xludf.DUMMYFUNCTION("""COMPUTED_VALUE"""),0)</f>
        <v>0</v>
      </c>
      <c r="Z663" s="44">
        <f ca="1">IFERROR(__xludf.DUMMYFUNCTION("""COMPUTED_VALUE"""),0)</f>
        <v>0</v>
      </c>
      <c r="AA663" s="44">
        <f ca="1">IFERROR(__xludf.DUMMYFUNCTION("""COMPUTED_VALUE"""),0)</f>
        <v>0</v>
      </c>
      <c r="AB663" s="44">
        <f ca="1">IFERROR(__xludf.DUMMYFUNCTION("""COMPUTED_VALUE"""),0)</f>
        <v>0</v>
      </c>
      <c r="AC663" s="47">
        <f ca="1">IFERROR(__xludf.DUMMYFUNCTION("""COMPUTED_VALUE"""),0)</f>
        <v>0</v>
      </c>
      <c r="AD663" s="49"/>
      <c r="AE663" s="27"/>
    </row>
    <row r="664" spans="1:31" ht="14.3">
      <c r="A664" s="42" t="str">
        <f ca="1">IFERROR(__xludf.DUMMYFUNCTION("""COMPUTED_VALUE"""),"22SDSCV01608")</f>
        <v>22SDSCV01608</v>
      </c>
      <c r="B664" s="43" t="str">
        <f ca="1">IFERROR(__xludf.DUMMYFUNCTION("""COMPUTED_VALUE"""),"AJAY SAHANI")</f>
        <v>AJAY SAHANI</v>
      </c>
      <c r="C664" s="42" t="str">
        <f ca="1">IFERROR(__xludf.DUMMYFUNCTION("""COMPUTED_VALUE"""),"SDS")</f>
        <v>SDS</v>
      </c>
      <c r="D664" s="42" t="str">
        <f ca="1">IFERROR(__xludf.DUMMYFUNCTION("""COMPUTED_VALUE"""),"DCV")</f>
        <v>DCV</v>
      </c>
      <c r="E664" s="44">
        <f ca="1">IFERROR(__xludf.DUMMYFUNCTION("""COMPUTED_VALUE"""),4)</f>
        <v>4</v>
      </c>
      <c r="F664" s="42" t="str">
        <f ca="1">IFERROR(__xludf.DUMMYFUNCTION("""COMPUTED_VALUE"""),"INTERNATIONAL")</f>
        <v>INTERNATIONAL</v>
      </c>
      <c r="G664" s="42" t="str">
        <f ca="1">IFERROR(__xludf.DUMMYFUNCTION("""COMPUTED_VALUE"""),"INR FEE STUDENT")</f>
        <v>INR FEE STUDENT</v>
      </c>
      <c r="H664" s="2" t="str">
        <f ca="1">IFERROR(__xludf.DUMMYFUNCTION("""COMPUTED_VALUE"""),"DCV_2022-25")</f>
        <v>DCV_2022-25</v>
      </c>
      <c r="I664" s="45"/>
      <c r="J664" s="46">
        <f ca="1">IFERROR(__xludf.DUMMYFUNCTION("""COMPUTED_VALUE"""),37500)</f>
        <v>37500</v>
      </c>
      <c r="K664" s="46">
        <f ca="1">IFERROR(__xludf.DUMMYFUNCTION("""COMPUTED_VALUE"""),0)</f>
        <v>0</v>
      </c>
      <c r="L664" s="46">
        <f ca="1">IFERROR(__xludf.DUMMYFUNCTION("""COMPUTED_VALUE"""),0)</f>
        <v>0</v>
      </c>
      <c r="M664" s="47">
        <f ca="1">IFERROR(__xludf.DUMMYFUNCTION("""COMPUTED_VALUE"""),0)</f>
        <v>0</v>
      </c>
      <c r="N664" s="46">
        <f ca="1">IFERROR(__xludf.DUMMYFUNCTION("""COMPUTED_VALUE"""),37500)</f>
        <v>37500</v>
      </c>
      <c r="O664" s="46">
        <f ca="1">IFERROR(__xludf.DUMMYFUNCTION("""COMPUTED_VALUE"""),0)</f>
        <v>0</v>
      </c>
      <c r="P664" s="46">
        <f ca="1">IFERROR(__xludf.DUMMYFUNCTION("""COMPUTED_VALUE"""),0)</f>
        <v>0</v>
      </c>
      <c r="Q664" s="47">
        <f ca="1">IFERROR(__xludf.DUMMYFUNCTION("""COMPUTED_VALUE"""),0)</f>
        <v>0</v>
      </c>
      <c r="R664" s="24">
        <f ca="1">IFERROR(__xludf.DUMMYFUNCTION("""COMPUTED_VALUE"""),0)</f>
        <v>0</v>
      </c>
      <c r="S664" s="23">
        <f ca="1">IFERROR(__xludf.DUMMYFUNCTION("""COMPUTED_VALUE"""),0)</f>
        <v>0</v>
      </c>
      <c r="T664" s="48">
        <f ca="1">IFERROR(__xludf.DUMMYFUNCTION("""COMPUTED_VALUE"""),0)</f>
        <v>0</v>
      </c>
      <c r="U664" s="47">
        <f ca="1">IFERROR(__xludf.DUMMYFUNCTION("""COMPUTED_VALUE"""),0)</f>
        <v>0</v>
      </c>
      <c r="V664" s="47">
        <f ca="1">IFERROR(__xludf.DUMMYFUNCTION("""COMPUTED_VALUE"""),0)</f>
        <v>0</v>
      </c>
      <c r="W664" s="47">
        <f ca="1">IFERROR(__xludf.DUMMYFUNCTION("""COMPUTED_VALUE"""),0)</f>
        <v>0</v>
      </c>
      <c r="X664" s="47">
        <f ca="1">IFERROR(__xludf.DUMMYFUNCTION("""COMPUTED_VALUE"""),0)</f>
        <v>0</v>
      </c>
      <c r="Y664" s="44">
        <f ca="1">IFERROR(__xludf.DUMMYFUNCTION("""COMPUTED_VALUE"""),0)</f>
        <v>0</v>
      </c>
      <c r="Z664" s="44">
        <f ca="1">IFERROR(__xludf.DUMMYFUNCTION("""COMPUTED_VALUE"""),0)</f>
        <v>0</v>
      </c>
      <c r="AA664" s="44">
        <f ca="1">IFERROR(__xludf.DUMMYFUNCTION("""COMPUTED_VALUE"""),0)</f>
        <v>0</v>
      </c>
      <c r="AB664" s="44">
        <f ca="1">IFERROR(__xludf.DUMMYFUNCTION("""COMPUTED_VALUE"""),0)</f>
        <v>0</v>
      </c>
      <c r="AC664" s="47">
        <f ca="1">IFERROR(__xludf.DUMMYFUNCTION("""COMPUTED_VALUE"""),0)</f>
        <v>0</v>
      </c>
      <c r="AD664" s="49"/>
      <c r="AE664" s="27"/>
    </row>
    <row r="665" spans="1:31" ht="14.3">
      <c r="A665" s="42" t="str">
        <f ca="1">IFERROR(__xludf.DUMMYFUNCTION("""COMPUTED_VALUE"""),"23SDSCV03801")</f>
        <v>23SDSCV03801</v>
      </c>
      <c r="B665" s="43" t="str">
        <f ca="1">IFERROR(__xludf.DUMMYFUNCTION("""COMPUTED_VALUE"""),"PRAKASH KUMAR")</f>
        <v>PRAKASH KUMAR</v>
      </c>
      <c r="C665" s="42" t="str">
        <f ca="1">IFERROR(__xludf.DUMMYFUNCTION("""COMPUTED_VALUE"""),"SDS")</f>
        <v>SDS</v>
      </c>
      <c r="D665" s="42" t="str">
        <f ca="1">IFERROR(__xludf.DUMMYFUNCTION("""COMPUTED_VALUE"""),"DCV")</f>
        <v>DCV</v>
      </c>
      <c r="E665" s="44">
        <f ca="1">IFERROR(__xludf.DUMMYFUNCTION("""COMPUTED_VALUE"""),4)</f>
        <v>4</v>
      </c>
      <c r="F665" s="42" t="str">
        <f ca="1">IFERROR(__xludf.DUMMYFUNCTION("""COMPUTED_VALUE"""),"BIHAR STUDENT")</f>
        <v>BIHAR STUDENT</v>
      </c>
      <c r="G665" s="42" t="str">
        <f ca="1">IFERROR(__xludf.DUMMYFUNCTION("""COMPUTED_VALUE"""),"BIHAR STUDENT")</f>
        <v>BIHAR STUDENT</v>
      </c>
      <c r="H665" s="2" t="str">
        <f ca="1">IFERROR(__xludf.DUMMYFUNCTION("""COMPUTED_VALUE"""),"DCV_2022-25")</f>
        <v>DCV_2022-25</v>
      </c>
      <c r="I665" s="45"/>
      <c r="J665" s="46">
        <f ca="1">IFERROR(__xludf.DUMMYFUNCTION("""COMPUTED_VALUE"""),42500)</f>
        <v>42500</v>
      </c>
      <c r="K665" s="46">
        <f ca="1">IFERROR(__xludf.DUMMYFUNCTION("""COMPUTED_VALUE"""),0)</f>
        <v>0</v>
      </c>
      <c r="L665" s="46">
        <f ca="1">IFERROR(__xludf.DUMMYFUNCTION("""COMPUTED_VALUE"""),0)</f>
        <v>0</v>
      </c>
      <c r="M665" s="47">
        <f ca="1">IFERROR(__xludf.DUMMYFUNCTION("""COMPUTED_VALUE"""),0)</f>
        <v>0</v>
      </c>
      <c r="N665" s="46">
        <f ca="1">IFERROR(__xludf.DUMMYFUNCTION("""COMPUTED_VALUE"""),42500)</f>
        <v>42500</v>
      </c>
      <c r="O665" s="46">
        <f ca="1">IFERROR(__xludf.DUMMYFUNCTION("""COMPUTED_VALUE"""),0)</f>
        <v>0</v>
      </c>
      <c r="P665" s="46">
        <f ca="1">IFERROR(__xludf.DUMMYFUNCTION("""COMPUTED_VALUE"""),0)</f>
        <v>0</v>
      </c>
      <c r="Q665" s="47">
        <f ca="1">IFERROR(__xludf.DUMMYFUNCTION("""COMPUTED_VALUE"""),0)</f>
        <v>0</v>
      </c>
      <c r="R665" s="24">
        <f ca="1">IFERROR(__xludf.DUMMYFUNCTION("""COMPUTED_VALUE"""),0)</f>
        <v>0</v>
      </c>
      <c r="S665" s="23">
        <f ca="1">IFERROR(__xludf.DUMMYFUNCTION("""COMPUTED_VALUE"""),0)</f>
        <v>0</v>
      </c>
      <c r="T665" s="48">
        <f ca="1">IFERROR(__xludf.DUMMYFUNCTION("""COMPUTED_VALUE"""),0)</f>
        <v>0</v>
      </c>
      <c r="U665" s="47">
        <f ca="1">IFERROR(__xludf.DUMMYFUNCTION("""COMPUTED_VALUE"""),0)</f>
        <v>0</v>
      </c>
      <c r="V665" s="47">
        <f ca="1">IFERROR(__xludf.DUMMYFUNCTION("""COMPUTED_VALUE"""),0)</f>
        <v>0</v>
      </c>
      <c r="W665" s="47">
        <f ca="1">IFERROR(__xludf.DUMMYFUNCTION("""COMPUTED_VALUE"""),0)</f>
        <v>0</v>
      </c>
      <c r="X665" s="47">
        <f ca="1">IFERROR(__xludf.DUMMYFUNCTION("""COMPUTED_VALUE"""),0)</f>
        <v>0</v>
      </c>
      <c r="Y665" s="44">
        <f ca="1">IFERROR(__xludf.DUMMYFUNCTION("""COMPUTED_VALUE"""),0)</f>
        <v>0</v>
      </c>
      <c r="Z665" s="44">
        <f ca="1">IFERROR(__xludf.DUMMYFUNCTION("""COMPUTED_VALUE"""),0)</f>
        <v>0</v>
      </c>
      <c r="AA665" s="44">
        <f ca="1">IFERROR(__xludf.DUMMYFUNCTION("""COMPUTED_VALUE"""),0)</f>
        <v>0</v>
      </c>
      <c r="AB665" s="44">
        <f ca="1">IFERROR(__xludf.DUMMYFUNCTION("""COMPUTED_VALUE"""),0)</f>
        <v>0</v>
      </c>
      <c r="AC665" s="47">
        <f ca="1">IFERROR(__xludf.DUMMYFUNCTION("""COMPUTED_VALUE"""),0)</f>
        <v>0</v>
      </c>
      <c r="AD665" s="49"/>
      <c r="AE665" s="27"/>
    </row>
    <row r="666" spans="1:31" ht="14.3">
      <c r="A666" s="42" t="str">
        <f ca="1">IFERROR(__xludf.DUMMYFUNCTION("""COMPUTED_VALUE"""),"21SDSCV01005")</f>
        <v>21SDSCV01005</v>
      </c>
      <c r="B666" s="43" t="str">
        <f ca="1">IFERROR(__xludf.DUMMYFUNCTION("""COMPUTED_VALUE"""),"BHUVA SUJAL RANCHODBHAI")</f>
        <v>BHUVA SUJAL RANCHODBHAI</v>
      </c>
      <c r="C666" s="42" t="str">
        <f ca="1">IFERROR(__xludf.DUMMYFUNCTION("""COMPUTED_VALUE"""),"SDS")</f>
        <v>SDS</v>
      </c>
      <c r="D666" s="42" t="str">
        <f ca="1">IFERROR(__xludf.DUMMYFUNCTION("""COMPUTED_VALUE"""),"DCV")</f>
        <v>DCV</v>
      </c>
      <c r="E666" s="44">
        <f ca="1">IFERROR(__xludf.DUMMYFUNCTION("""COMPUTED_VALUE"""),6)</f>
        <v>6</v>
      </c>
      <c r="F666" s="42" t="str">
        <f ca="1">IFERROR(__xludf.DUMMYFUNCTION("""COMPUTED_VALUE"""),"9687892109 8849315303")</f>
        <v>9687892109 8849315303</v>
      </c>
      <c r="G666" s="42" t="str">
        <f ca="1">IFERROR(__xludf.DUMMYFUNCTION("""COMPUTED_VALUE"""),"9687892109 8849315303")</f>
        <v>9687892109 8849315303</v>
      </c>
      <c r="H666" s="2" t="str">
        <f ca="1">IFERROR(__xludf.DUMMYFUNCTION("""COMPUTED_VALUE"""),"DCV_2021-24")</f>
        <v>DCV_2021-24</v>
      </c>
      <c r="I666" s="45"/>
      <c r="J666" s="46">
        <f ca="1">IFERROR(__xludf.DUMMYFUNCTION("""COMPUTED_VALUE"""),25000)</f>
        <v>25000</v>
      </c>
      <c r="K666" s="46">
        <f ca="1">IFERROR(__xludf.DUMMYFUNCTION("""COMPUTED_VALUE"""),25000)</f>
        <v>25000</v>
      </c>
      <c r="L666" s="46">
        <f ca="1">IFERROR(__xludf.DUMMYFUNCTION("""COMPUTED_VALUE"""),0)</f>
        <v>0</v>
      </c>
      <c r="M666" s="47">
        <f ca="1">IFERROR(__xludf.DUMMYFUNCTION("""COMPUTED_VALUE"""),0)</f>
        <v>0</v>
      </c>
      <c r="N666" s="46">
        <f ca="1">IFERROR(__xludf.DUMMYFUNCTION("""COMPUTED_VALUE"""),0)</f>
        <v>0</v>
      </c>
      <c r="O666" s="46">
        <f ca="1">IFERROR(__xludf.DUMMYFUNCTION("""COMPUTED_VALUE"""),3750)</f>
        <v>3750</v>
      </c>
      <c r="P666" s="46">
        <f ca="1">IFERROR(__xludf.DUMMYFUNCTION("""COMPUTED_VALUE"""),3750)</f>
        <v>3750</v>
      </c>
      <c r="Q666" s="47">
        <f ca="1">IFERROR(__xludf.DUMMYFUNCTION("""COMPUTED_VALUE"""),0)</f>
        <v>0</v>
      </c>
      <c r="R666" s="24">
        <f ca="1">IFERROR(__xludf.DUMMYFUNCTION("""COMPUTED_VALUE"""),0)</f>
        <v>0</v>
      </c>
      <c r="S666" s="23">
        <f ca="1">IFERROR(__xludf.DUMMYFUNCTION("""COMPUTED_VALUE"""),0)</f>
        <v>0</v>
      </c>
      <c r="T666" s="48">
        <f ca="1">IFERROR(__xludf.DUMMYFUNCTION("""COMPUTED_VALUE"""),0)</f>
        <v>0</v>
      </c>
      <c r="U666" s="47">
        <f ca="1">IFERROR(__xludf.DUMMYFUNCTION("""COMPUTED_VALUE"""),0)</f>
        <v>0</v>
      </c>
      <c r="V666" s="47">
        <f ca="1">IFERROR(__xludf.DUMMYFUNCTION("""COMPUTED_VALUE"""),0)</f>
        <v>0</v>
      </c>
      <c r="W666" s="47">
        <f ca="1">IFERROR(__xludf.DUMMYFUNCTION("""COMPUTED_VALUE"""),0)</f>
        <v>0</v>
      </c>
      <c r="X666" s="47">
        <f ca="1">IFERROR(__xludf.DUMMYFUNCTION("""COMPUTED_VALUE"""),0)</f>
        <v>0</v>
      </c>
      <c r="Y666" s="44">
        <f ca="1">IFERROR(__xludf.DUMMYFUNCTION("""COMPUTED_VALUE"""),0)</f>
        <v>0</v>
      </c>
      <c r="Z666" s="44">
        <f ca="1">IFERROR(__xludf.DUMMYFUNCTION("""COMPUTED_VALUE"""),0)</f>
        <v>0</v>
      </c>
      <c r="AA666" s="44">
        <f ca="1">IFERROR(__xludf.DUMMYFUNCTION("""COMPUTED_VALUE"""),0)</f>
        <v>0</v>
      </c>
      <c r="AB666" s="44">
        <f ca="1">IFERROR(__xludf.DUMMYFUNCTION("""COMPUTED_VALUE"""),0)</f>
        <v>0</v>
      </c>
      <c r="AC666" s="47">
        <f ca="1">IFERROR(__xludf.DUMMYFUNCTION("""COMPUTED_VALUE"""),0)</f>
        <v>0</v>
      </c>
      <c r="AD666" s="49"/>
      <c r="AE666" s="27"/>
    </row>
    <row r="667" spans="1:31" ht="14.3">
      <c r="A667" s="42" t="str">
        <f ca="1">IFERROR(__xludf.DUMMYFUNCTION("""COMPUTED_VALUE"""),"21SDSCV01006")</f>
        <v>21SDSCV01006</v>
      </c>
      <c r="B667" s="43" t="str">
        <f ca="1">IFERROR(__xludf.DUMMYFUNCTION("""COMPUTED_VALUE"""),"BHUVA YASHVI PARESHBHAI")</f>
        <v>BHUVA YASHVI PARESHBHAI</v>
      </c>
      <c r="C667" s="42" t="str">
        <f ca="1">IFERROR(__xludf.DUMMYFUNCTION("""COMPUTED_VALUE"""),"SDS")</f>
        <v>SDS</v>
      </c>
      <c r="D667" s="42" t="str">
        <f ca="1">IFERROR(__xludf.DUMMYFUNCTION("""COMPUTED_VALUE"""),"DCV")</f>
        <v>DCV</v>
      </c>
      <c r="E667" s="44">
        <f ca="1">IFERROR(__xludf.DUMMYFUNCTION("""COMPUTED_VALUE"""),6)</f>
        <v>6</v>
      </c>
      <c r="F667" s="42" t="str">
        <f ca="1">IFERROR(__xludf.DUMMYFUNCTION("""COMPUTED_VALUE"""),"9824019096
9925846964")</f>
        <v>9824019096
9925846964</v>
      </c>
      <c r="G667" s="42" t="str">
        <f ca="1">IFERROR(__xludf.DUMMYFUNCTION("""COMPUTED_VALUE"""),"9824019096
9925846964")</f>
        <v>9824019096
9925846964</v>
      </c>
      <c r="H667" s="2" t="str">
        <f ca="1">IFERROR(__xludf.DUMMYFUNCTION("""COMPUTED_VALUE"""),"DCV_2021-24")</f>
        <v>DCV_2021-24</v>
      </c>
      <c r="I667" s="45" t="str">
        <f ca="1">IFERROR(__xludf.DUMMYFUNCTION("""COMPUTED_VALUE"""),"MYSY")</f>
        <v>MYSY</v>
      </c>
      <c r="J667" s="46">
        <f ca="1">IFERROR(__xludf.DUMMYFUNCTION("""COMPUTED_VALUE"""),25000)</f>
        <v>25000</v>
      </c>
      <c r="K667" s="46">
        <f ca="1">IFERROR(__xludf.DUMMYFUNCTION("""COMPUTED_VALUE"""),0)</f>
        <v>0</v>
      </c>
      <c r="L667" s="46">
        <f ca="1">IFERROR(__xludf.DUMMYFUNCTION("""COMPUTED_VALUE"""),0)</f>
        <v>0</v>
      </c>
      <c r="M667" s="47">
        <f ca="1">IFERROR(__xludf.DUMMYFUNCTION("""COMPUTED_VALUE"""),0)</f>
        <v>0</v>
      </c>
      <c r="N667" s="46">
        <f ca="1">IFERROR(__xludf.DUMMYFUNCTION("""COMPUTED_VALUE"""),25000)</f>
        <v>25000</v>
      </c>
      <c r="O667" s="46">
        <f ca="1">IFERROR(__xludf.DUMMYFUNCTION("""COMPUTED_VALUE"""),3750)</f>
        <v>3750</v>
      </c>
      <c r="P667" s="46">
        <f ca="1">IFERROR(__xludf.DUMMYFUNCTION("""COMPUTED_VALUE"""),3750)</f>
        <v>3750</v>
      </c>
      <c r="Q667" s="47">
        <f ca="1">IFERROR(__xludf.DUMMYFUNCTION("""COMPUTED_VALUE"""),0)</f>
        <v>0</v>
      </c>
      <c r="R667" s="24">
        <f ca="1">IFERROR(__xludf.DUMMYFUNCTION("""COMPUTED_VALUE"""),0)</f>
        <v>0</v>
      </c>
      <c r="S667" s="23">
        <f ca="1">IFERROR(__xludf.DUMMYFUNCTION("""COMPUTED_VALUE"""),0)</f>
        <v>0</v>
      </c>
      <c r="T667" s="48">
        <f ca="1">IFERROR(__xludf.DUMMYFUNCTION("""COMPUTED_VALUE"""),0)</f>
        <v>0</v>
      </c>
      <c r="U667" s="47">
        <f ca="1">IFERROR(__xludf.DUMMYFUNCTION("""COMPUTED_VALUE"""),0)</f>
        <v>0</v>
      </c>
      <c r="V667" s="47">
        <f ca="1">IFERROR(__xludf.DUMMYFUNCTION("""COMPUTED_VALUE"""),0)</f>
        <v>0</v>
      </c>
      <c r="W667" s="47">
        <f ca="1">IFERROR(__xludf.DUMMYFUNCTION("""COMPUTED_VALUE"""),0)</f>
        <v>0</v>
      </c>
      <c r="X667" s="47">
        <f ca="1">IFERROR(__xludf.DUMMYFUNCTION("""COMPUTED_VALUE"""),0)</f>
        <v>0</v>
      </c>
      <c r="Y667" s="44">
        <f ca="1">IFERROR(__xludf.DUMMYFUNCTION("""COMPUTED_VALUE"""),0)</f>
        <v>0</v>
      </c>
      <c r="Z667" s="44">
        <f ca="1">IFERROR(__xludf.DUMMYFUNCTION("""COMPUTED_VALUE"""),0)</f>
        <v>0</v>
      </c>
      <c r="AA667" s="44">
        <f ca="1">IFERROR(__xludf.DUMMYFUNCTION("""COMPUTED_VALUE"""),0)</f>
        <v>0</v>
      </c>
      <c r="AB667" s="44">
        <f ca="1">IFERROR(__xludf.DUMMYFUNCTION("""COMPUTED_VALUE"""),0)</f>
        <v>0</v>
      </c>
      <c r="AC667" s="47">
        <f ca="1">IFERROR(__xludf.DUMMYFUNCTION("""COMPUTED_VALUE"""),0)</f>
        <v>0</v>
      </c>
      <c r="AD667" s="49" t="str">
        <f ca="1">IFERROR(__xludf.DUMMYFUNCTION("""COMPUTED_VALUE"""),"MYSY(50%) + KSPS(50%)")</f>
        <v>MYSY(50%) + KSPS(50%)</v>
      </c>
      <c r="AE667" s="27"/>
    </row>
    <row r="668" spans="1:31" ht="14.3">
      <c r="A668" s="42" t="str">
        <f ca="1">IFERROR(__xludf.DUMMYFUNCTION("""COMPUTED_VALUE"""),"21SDSCV01008")</f>
        <v>21SDSCV01008</v>
      </c>
      <c r="B668" s="43" t="str">
        <f ca="1">IFERROR(__xludf.DUMMYFUNCTION("""COMPUTED_VALUE"""),"HARSODA TUSHAR GHANSHYAMBHAI")</f>
        <v>HARSODA TUSHAR GHANSHYAMBHAI</v>
      </c>
      <c r="C668" s="42" t="str">
        <f ca="1">IFERROR(__xludf.DUMMYFUNCTION("""COMPUTED_VALUE"""),"SDS")</f>
        <v>SDS</v>
      </c>
      <c r="D668" s="42" t="str">
        <f ca="1">IFERROR(__xludf.DUMMYFUNCTION("""COMPUTED_VALUE"""),"DCV")</f>
        <v>DCV</v>
      </c>
      <c r="E668" s="44">
        <f ca="1">IFERROR(__xludf.DUMMYFUNCTION("""COMPUTED_VALUE"""),6)</f>
        <v>6</v>
      </c>
      <c r="F668" s="42" t="str">
        <f ca="1">IFERROR(__xludf.DUMMYFUNCTION("""COMPUTED_VALUE"""),"9510305431
9825630567")</f>
        <v>9510305431
9825630567</v>
      </c>
      <c r="G668" s="42" t="str">
        <f ca="1">IFERROR(__xludf.DUMMYFUNCTION("""COMPUTED_VALUE"""),"9510305431
9825630567")</f>
        <v>9510305431
9825630567</v>
      </c>
      <c r="H668" s="2" t="str">
        <f ca="1">IFERROR(__xludf.DUMMYFUNCTION("""COMPUTED_VALUE"""),"DCV_2021-24")</f>
        <v>DCV_2021-24</v>
      </c>
      <c r="I668" s="45"/>
      <c r="J668" s="46">
        <f ca="1">IFERROR(__xludf.DUMMYFUNCTION("""COMPUTED_VALUE"""),25000)</f>
        <v>25000</v>
      </c>
      <c r="K668" s="46">
        <f ca="1">IFERROR(__xludf.DUMMYFUNCTION("""COMPUTED_VALUE"""),0)</f>
        <v>0</v>
      </c>
      <c r="L668" s="46">
        <f ca="1">IFERROR(__xludf.DUMMYFUNCTION("""COMPUTED_VALUE"""),25000)</f>
        <v>25000</v>
      </c>
      <c r="M668" s="47">
        <f ca="1">IFERROR(__xludf.DUMMYFUNCTION("""COMPUTED_VALUE"""),0)</f>
        <v>0</v>
      </c>
      <c r="N668" s="46">
        <f ca="1">IFERROR(__xludf.DUMMYFUNCTION("""COMPUTED_VALUE"""),25000)</f>
        <v>25000</v>
      </c>
      <c r="O668" s="46">
        <f ca="1">IFERROR(__xludf.DUMMYFUNCTION("""COMPUTED_VALUE"""),3750)</f>
        <v>3750</v>
      </c>
      <c r="P668" s="46">
        <f ca="1">IFERROR(__xludf.DUMMYFUNCTION("""COMPUTED_VALUE"""),0)</f>
        <v>0</v>
      </c>
      <c r="Q668" s="47">
        <f ca="1">IFERROR(__xludf.DUMMYFUNCTION("""COMPUTED_VALUE"""),3750)</f>
        <v>3750</v>
      </c>
      <c r="R668" s="24">
        <f ca="1">IFERROR(__xludf.DUMMYFUNCTION("""COMPUTED_VALUE"""),0)</f>
        <v>0</v>
      </c>
      <c r="S668" s="23">
        <f ca="1">IFERROR(__xludf.DUMMYFUNCTION("""COMPUTED_VALUE"""),3750)</f>
        <v>3750</v>
      </c>
      <c r="T668" s="48">
        <f ca="1">IFERROR(__xludf.DUMMYFUNCTION("""COMPUTED_VALUE"""),0)</f>
        <v>0</v>
      </c>
      <c r="U668" s="47">
        <f ca="1">IFERROR(__xludf.DUMMYFUNCTION("""COMPUTED_VALUE"""),0)</f>
        <v>0</v>
      </c>
      <c r="V668" s="47">
        <f ca="1">IFERROR(__xludf.DUMMYFUNCTION("""COMPUTED_VALUE"""),0)</f>
        <v>0</v>
      </c>
      <c r="W668" s="47">
        <f ca="1">IFERROR(__xludf.DUMMYFUNCTION("""COMPUTED_VALUE"""),0)</f>
        <v>0</v>
      </c>
      <c r="X668" s="47">
        <f ca="1">IFERROR(__xludf.DUMMYFUNCTION("""COMPUTED_VALUE"""),0)</f>
        <v>0</v>
      </c>
      <c r="Y668" s="44">
        <f ca="1">IFERROR(__xludf.DUMMYFUNCTION("""COMPUTED_VALUE"""),0)</f>
        <v>0</v>
      </c>
      <c r="Z668" s="44">
        <f ca="1">IFERROR(__xludf.DUMMYFUNCTION("""COMPUTED_VALUE"""),0)</f>
        <v>0</v>
      </c>
      <c r="AA668" s="44">
        <f ca="1">IFERROR(__xludf.DUMMYFUNCTION("""COMPUTED_VALUE"""),0)</f>
        <v>0</v>
      </c>
      <c r="AB668" s="44">
        <f ca="1">IFERROR(__xludf.DUMMYFUNCTION("""COMPUTED_VALUE"""),0)</f>
        <v>0</v>
      </c>
      <c r="AC668" s="47">
        <f ca="1">IFERROR(__xludf.DUMMYFUNCTION("""COMPUTED_VALUE"""),0)</f>
        <v>0</v>
      </c>
      <c r="AD668" s="49"/>
      <c r="AE668" s="27"/>
    </row>
    <row r="669" spans="1:31" ht="14.3">
      <c r="A669" s="42" t="str">
        <f ca="1">IFERROR(__xludf.DUMMYFUNCTION("""COMPUTED_VALUE"""),"21SDSCV01009")</f>
        <v>21SDSCV01009</v>
      </c>
      <c r="B669" s="43" t="str">
        <f ca="1">IFERROR(__xludf.DUMMYFUNCTION("""COMPUTED_VALUE"""),"JANI DOLLYBEN KIRANBHAI")</f>
        <v>JANI DOLLYBEN KIRANBHAI</v>
      </c>
      <c r="C669" s="42" t="str">
        <f ca="1">IFERROR(__xludf.DUMMYFUNCTION("""COMPUTED_VALUE"""),"SDS")</f>
        <v>SDS</v>
      </c>
      <c r="D669" s="42" t="str">
        <f ca="1">IFERROR(__xludf.DUMMYFUNCTION("""COMPUTED_VALUE"""),"DCV")</f>
        <v>DCV</v>
      </c>
      <c r="E669" s="44">
        <f ca="1">IFERROR(__xludf.DUMMYFUNCTION("""COMPUTED_VALUE"""),6)</f>
        <v>6</v>
      </c>
      <c r="F669" s="42" t="str">
        <f ca="1">IFERROR(__xludf.DUMMYFUNCTION("""COMPUTED_VALUE"""),"6355966599 
6354999162")</f>
        <v>6355966599 
6354999162</v>
      </c>
      <c r="G669" s="42" t="str">
        <f ca="1">IFERROR(__xludf.DUMMYFUNCTION("""COMPUTED_VALUE"""),"6355966599 
6354999162")</f>
        <v>6355966599 
6354999162</v>
      </c>
      <c r="H669" s="2" t="str">
        <f ca="1">IFERROR(__xludf.DUMMYFUNCTION("""COMPUTED_VALUE"""),"DCV_2021-24")</f>
        <v>DCV_2021-24</v>
      </c>
      <c r="I669" s="45"/>
      <c r="J669" s="46">
        <f ca="1">IFERROR(__xludf.DUMMYFUNCTION("""COMPUTED_VALUE"""),25000)</f>
        <v>25000</v>
      </c>
      <c r="K669" s="46">
        <f ca="1">IFERROR(__xludf.DUMMYFUNCTION("""COMPUTED_VALUE"""),25000)</f>
        <v>25000</v>
      </c>
      <c r="L669" s="46">
        <f ca="1">IFERROR(__xludf.DUMMYFUNCTION("""COMPUTED_VALUE"""),0)</f>
        <v>0</v>
      </c>
      <c r="M669" s="47">
        <f ca="1">IFERROR(__xludf.DUMMYFUNCTION("""COMPUTED_VALUE"""),0)</f>
        <v>0</v>
      </c>
      <c r="N669" s="46">
        <f ca="1">IFERROR(__xludf.DUMMYFUNCTION("""COMPUTED_VALUE"""),0)</f>
        <v>0</v>
      </c>
      <c r="O669" s="46">
        <f ca="1">IFERROR(__xludf.DUMMYFUNCTION("""COMPUTED_VALUE"""),3750)</f>
        <v>3750</v>
      </c>
      <c r="P669" s="46">
        <f ca="1">IFERROR(__xludf.DUMMYFUNCTION("""COMPUTED_VALUE"""),3750)</f>
        <v>3750</v>
      </c>
      <c r="Q669" s="47">
        <f ca="1">IFERROR(__xludf.DUMMYFUNCTION("""COMPUTED_VALUE"""),0)</f>
        <v>0</v>
      </c>
      <c r="R669" s="24">
        <f ca="1">IFERROR(__xludf.DUMMYFUNCTION("""COMPUTED_VALUE"""),0)</f>
        <v>0</v>
      </c>
      <c r="S669" s="23">
        <f ca="1">IFERROR(__xludf.DUMMYFUNCTION("""COMPUTED_VALUE"""),0)</f>
        <v>0</v>
      </c>
      <c r="T669" s="48">
        <f ca="1">IFERROR(__xludf.DUMMYFUNCTION("""COMPUTED_VALUE"""),0)</f>
        <v>0</v>
      </c>
      <c r="U669" s="47">
        <f ca="1">IFERROR(__xludf.DUMMYFUNCTION("""COMPUTED_VALUE"""),0)</f>
        <v>0</v>
      </c>
      <c r="V669" s="47">
        <f ca="1">IFERROR(__xludf.DUMMYFUNCTION("""COMPUTED_VALUE"""),0)</f>
        <v>0</v>
      </c>
      <c r="W669" s="47">
        <f ca="1">IFERROR(__xludf.DUMMYFUNCTION("""COMPUTED_VALUE"""),0)</f>
        <v>0</v>
      </c>
      <c r="X669" s="47">
        <f ca="1">IFERROR(__xludf.DUMMYFUNCTION("""COMPUTED_VALUE"""),0)</f>
        <v>0</v>
      </c>
      <c r="Y669" s="44">
        <f ca="1">IFERROR(__xludf.DUMMYFUNCTION("""COMPUTED_VALUE"""),0)</f>
        <v>0</v>
      </c>
      <c r="Z669" s="44">
        <f ca="1">IFERROR(__xludf.DUMMYFUNCTION("""COMPUTED_VALUE"""),0)</f>
        <v>0</v>
      </c>
      <c r="AA669" s="44">
        <f ca="1">IFERROR(__xludf.DUMMYFUNCTION("""COMPUTED_VALUE"""),0)</f>
        <v>0</v>
      </c>
      <c r="AB669" s="44">
        <f ca="1">IFERROR(__xludf.DUMMYFUNCTION("""COMPUTED_VALUE"""),0)</f>
        <v>0</v>
      </c>
      <c r="AC669" s="47">
        <f ca="1">IFERROR(__xludf.DUMMYFUNCTION("""COMPUTED_VALUE"""),0)</f>
        <v>0</v>
      </c>
      <c r="AD669" s="49"/>
      <c r="AE669" s="27"/>
    </row>
    <row r="670" spans="1:31" ht="14.3">
      <c r="A670" s="42" t="str">
        <f ca="1">IFERROR(__xludf.DUMMYFUNCTION("""COMPUTED_VALUE"""),"21SDSCV01011")</f>
        <v>21SDSCV01011</v>
      </c>
      <c r="B670" s="43" t="str">
        <f ca="1">IFERROR(__xludf.DUMMYFUNCTION("""COMPUTED_VALUE"""),"KANABAR UDDHAV PRAFULBHAI")</f>
        <v>KANABAR UDDHAV PRAFULBHAI</v>
      </c>
      <c r="C670" s="42" t="str">
        <f ca="1">IFERROR(__xludf.DUMMYFUNCTION("""COMPUTED_VALUE"""),"SDS")</f>
        <v>SDS</v>
      </c>
      <c r="D670" s="42" t="str">
        <f ca="1">IFERROR(__xludf.DUMMYFUNCTION("""COMPUTED_VALUE"""),"DCV")</f>
        <v>DCV</v>
      </c>
      <c r="E670" s="44">
        <f ca="1">IFERROR(__xludf.DUMMYFUNCTION("""COMPUTED_VALUE"""),6)</f>
        <v>6</v>
      </c>
      <c r="F670" s="42" t="str">
        <f ca="1">IFERROR(__xludf.DUMMYFUNCTION("""COMPUTED_VALUE""")," 9428891800 
7700027000")</f>
        <v xml:space="preserve"> 9428891800 
7700027000</v>
      </c>
      <c r="G670" s="42" t="str">
        <f ca="1">IFERROR(__xludf.DUMMYFUNCTION("""COMPUTED_VALUE""")," 9428891800 
7700027000")</f>
        <v xml:space="preserve"> 9428891800 
7700027000</v>
      </c>
      <c r="H670" s="2" t="str">
        <f ca="1">IFERROR(__xludf.DUMMYFUNCTION("""COMPUTED_VALUE"""),"DCV_2021-24")</f>
        <v>DCV_2021-24</v>
      </c>
      <c r="I670" s="45"/>
      <c r="J670" s="46">
        <f ca="1">IFERROR(__xludf.DUMMYFUNCTION("""COMPUTED_VALUE"""),25000)</f>
        <v>25000</v>
      </c>
      <c r="K670" s="46">
        <f ca="1">IFERROR(__xludf.DUMMYFUNCTION("""COMPUTED_VALUE"""),25000)</f>
        <v>25000</v>
      </c>
      <c r="L670" s="46">
        <f ca="1">IFERROR(__xludf.DUMMYFUNCTION("""COMPUTED_VALUE"""),0)</f>
        <v>0</v>
      </c>
      <c r="M670" s="47">
        <f ca="1">IFERROR(__xludf.DUMMYFUNCTION("""COMPUTED_VALUE"""),0)</f>
        <v>0</v>
      </c>
      <c r="N670" s="46">
        <f ca="1">IFERROR(__xludf.DUMMYFUNCTION("""COMPUTED_VALUE"""),0)</f>
        <v>0</v>
      </c>
      <c r="O670" s="46">
        <f ca="1">IFERROR(__xludf.DUMMYFUNCTION("""COMPUTED_VALUE"""),3750)</f>
        <v>3750</v>
      </c>
      <c r="P670" s="46">
        <f ca="1">IFERROR(__xludf.DUMMYFUNCTION("""COMPUTED_VALUE"""),3750)</f>
        <v>3750</v>
      </c>
      <c r="Q670" s="47">
        <f ca="1">IFERROR(__xludf.DUMMYFUNCTION("""COMPUTED_VALUE"""),0)</f>
        <v>0</v>
      </c>
      <c r="R670" s="24">
        <f ca="1">IFERROR(__xludf.DUMMYFUNCTION("""COMPUTED_VALUE"""),0)</f>
        <v>0</v>
      </c>
      <c r="S670" s="23">
        <f ca="1">IFERROR(__xludf.DUMMYFUNCTION("""COMPUTED_VALUE"""),0)</f>
        <v>0</v>
      </c>
      <c r="T670" s="48">
        <f ca="1">IFERROR(__xludf.DUMMYFUNCTION("""COMPUTED_VALUE"""),0)</f>
        <v>0</v>
      </c>
      <c r="U670" s="47">
        <f ca="1">IFERROR(__xludf.DUMMYFUNCTION("""COMPUTED_VALUE"""),0)</f>
        <v>0</v>
      </c>
      <c r="V670" s="47">
        <f ca="1">IFERROR(__xludf.DUMMYFUNCTION("""COMPUTED_VALUE"""),0)</f>
        <v>0</v>
      </c>
      <c r="W670" s="47">
        <f ca="1">IFERROR(__xludf.DUMMYFUNCTION("""COMPUTED_VALUE"""),0)</f>
        <v>0</v>
      </c>
      <c r="X670" s="47">
        <f ca="1">IFERROR(__xludf.DUMMYFUNCTION("""COMPUTED_VALUE"""),0)</f>
        <v>0</v>
      </c>
      <c r="Y670" s="44">
        <f ca="1">IFERROR(__xludf.DUMMYFUNCTION("""COMPUTED_VALUE"""),0)</f>
        <v>0</v>
      </c>
      <c r="Z670" s="44">
        <f ca="1">IFERROR(__xludf.DUMMYFUNCTION("""COMPUTED_VALUE"""),0)</f>
        <v>0</v>
      </c>
      <c r="AA670" s="44">
        <f ca="1">IFERROR(__xludf.DUMMYFUNCTION("""COMPUTED_VALUE"""),0)</f>
        <v>0</v>
      </c>
      <c r="AB670" s="44">
        <f ca="1">IFERROR(__xludf.DUMMYFUNCTION("""COMPUTED_VALUE"""),0)</f>
        <v>0</v>
      </c>
      <c r="AC670" s="47">
        <f ca="1">IFERROR(__xludf.DUMMYFUNCTION("""COMPUTED_VALUE"""),0)</f>
        <v>0</v>
      </c>
      <c r="AD670" s="49" t="str">
        <f ca="1">IFERROR(__xludf.DUMMYFUNCTION("""COMPUTED_VALUE"""),"KSPS(50%)+MYSY(50%)")</f>
        <v>KSPS(50%)+MYSY(50%)</v>
      </c>
      <c r="AE670" s="27"/>
    </row>
    <row r="671" spans="1:31" ht="14.3">
      <c r="A671" s="42" t="str">
        <f ca="1">IFERROR(__xludf.DUMMYFUNCTION("""COMPUTED_VALUE"""),"21SDSCV01012")</f>
        <v>21SDSCV01012</v>
      </c>
      <c r="B671" s="43" t="str">
        <f ca="1">IFERROR(__xludf.DUMMYFUNCTION("""COMPUTED_VALUE"""),"MORJARIYA MEET VALLABHBHAI")</f>
        <v>MORJARIYA MEET VALLABHBHAI</v>
      </c>
      <c r="C671" s="42" t="str">
        <f ca="1">IFERROR(__xludf.DUMMYFUNCTION("""COMPUTED_VALUE"""),"SDS")</f>
        <v>SDS</v>
      </c>
      <c r="D671" s="42" t="str">
        <f ca="1">IFERROR(__xludf.DUMMYFUNCTION("""COMPUTED_VALUE"""),"DCV")</f>
        <v>DCV</v>
      </c>
      <c r="E671" s="44">
        <f ca="1">IFERROR(__xludf.DUMMYFUNCTION("""COMPUTED_VALUE"""),6)</f>
        <v>6</v>
      </c>
      <c r="F671" s="42" t="str">
        <f ca="1">IFERROR(__xludf.DUMMYFUNCTION("""COMPUTED_VALUE"""),"8469030201 9265241493")</f>
        <v>8469030201 9265241493</v>
      </c>
      <c r="G671" s="42" t="str">
        <f ca="1">IFERROR(__xludf.DUMMYFUNCTION("""COMPUTED_VALUE"""),"8469030201 9265241493")</f>
        <v>8469030201 9265241493</v>
      </c>
      <c r="H671" s="2" t="str">
        <f ca="1">IFERROR(__xludf.DUMMYFUNCTION("""COMPUTED_VALUE"""),"DCV_2021-24")</f>
        <v>DCV_2021-24</v>
      </c>
      <c r="I671" s="45" t="str">
        <f ca="1">IFERROR(__xludf.DUMMYFUNCTION("""COMPUTED_VALUE"""),"MYSY")</f>
        <v>MYSY</v>
      </c>
      <c r="J671" s="46">
        <f ca="1">IFERROR(__xludf.DUMMYFUNCTION("""COMPUTED_VALUE"""),25000)</f>
        <v>25000</v>
      </c>
      <c r="K671" s="46">
        <f ca="1">IFERROR(__xludf.DUMMYFUNCTION("""COMPUTED_VALUE"""),0)</f>
        <v>0</v>
      </c>
      <c r="L671" s="46">
        <f ca="1">IFERROR(__xludf.DUMMYFUNCTION("""COMPUTED_VALUE"""),0)</f>
        <v>0</v>
      </c>
      <c r="M671" s="47">
        <f ca="1">IFERROR(__xludf.DUMMYFUNCTION("""COMPUTED_VALUE"""),0)</f>
        <v>0</v>
      </c>
      <c r="N671" s="46">
        <f ca="1">IFERROR(__xludf.DUMMYFUNCTION("""COMPUTED_VALUE"""),25000)</f>
        <v>25000</v>
      </c>
      <c r="O671" s="46">
        <f ca="1">IFERROR(__xludf.DUMMYFUNCTION("""COMPUTED_VALUE"""),3750)</f>
        <v>3750</v>
      </c>
      <c r="P671" s="46">
        <f ca="1">IFERROR(__xludf.DUMMYFUNCTION("""COMPUTED_VALUE"""),3750)</f>
        <v>3750</v>
      </c>
      <c r="Q671" s="47">
        <f ca="1">IFERROR(__xludf.DUMMYFUNCTION("""COMPUTED_VALUE"""),0)</f>
        <v>0</v>
      </c>
      <c r="R671" s="24">
        <f ca="1">IFERROR(__xludf.DUMMYFUNCTION("""COMPUTED_VALUE"""),0)</f>
        <v>0</v>
      </c>
      <c r="S671" s="23">
        <f ca="1">IFERROR(__xludf.DUMMYFUNCTION("""COMPUTED_VALUE"""),0)</f>
        <v>0</v>
      </c>
      <c r="T671" s="48">
        <f ca="1">IFERROR(__xludf.DUMMYFUNCTION("""COMPUTED_VALUE"""),0)</f>
        <v>0</v>
      </c>
      <c r="U671" s="47">
        <f ca="1">IFERROR(__xludf.DUMMYFUNCTION("""COMPUTED_VALUE"""),0)</f>
        <v>0</v>
      </c>
      <c r="V671" s="47">
        <f ca="1">IFERROR(__xludf.DUMMYFUNCTION("""COMPUTED_VALUE"""),0)</f>
        <v>0</v>
      </c>
      <c r="W671" s="47">
        <f ca="1">IFERROR(__xludf.DUMMYFUNCTION("""COMPUTED_VALUE"""),0)</f>
        <v>0</v>
      </c>
      <c r="X671" s="47">
        <f ca="1">IFERROR(__xludf.DUMMYFUNCTION("""COMPUTED_VALUE"""),0)</f>
        <v>0</v>
      </c>
      <c r="Y671" s="44">
        <f ca="1">IFERROR(__xludf.DUMMYFUNCTION("""COMPUTED_VALUE"""),0)</f>
        <v>0</v>
      </c>
      <c r="Z671" s="44">
        <f ca="1">IFERROR(__xludf.DUMMYFUNCTION("""COMPUTED_VALUE"""),0)</f>
        <v>0</v>
      </c>
      <c r="AA671" s="44">
        <f ca="1">IFERROR(__xludf.DUMMYFUNCTION("""COMPUTED_VALUE"""),0)</f>
        <v>0</v>
      </c>
      <c r="AB671" s="44">
        <f ca="1">IFERROR(__xludf.DUMMYFUNCTION("""COMPUTED_VALUE"""),0)</f>
        <v>0</v>
      </c>
      <c r="AC671" s="47">
        <f ca="1">IFERROR(__xludf.DUMMYFUNCTION("""COMPUTED_VALUE"""),0)</f>
        <v>0</v>
      </c>
      <c r="AD671" s="49" t="str">
        <f ca="1">IFERROR(__xludf.DUMMYFUNCTION("""COMPUTED_VALUE"""),"KSPS(50%)+MYSY(50%)")</f>
        <v>KSPS(50%)+MYSY(50%)</v>
      </c>
      <c r="AE671" s="27"/>
    </row>
    <row r="672" spans="1:31" ht="14.3">
      <c r="A672" s="42" t="str">
        <f ca="1">IFERROR(__xludf.DUMMYFUNCTION("""COMPUTED_VALUE"""),"21SDSCV01014")</f>
        <v>21SDSCV01014</v>
      </c>
      <c r="B672" s="43" t="str">
        <f ca="1">IFERROR(__xludf.DUMMYFUNCTION("""COMPUTED_VALUE"""),"PATEL KRISHNABEN JAGUBHAI")</f>
        <v>PATEL KRISHNABEN JAGUBHAI</v>
      </c>
      <c r="C672" s="42" t="str">
        <f ca="1">IFERROR(__xludf.DUMMYFUNCTION("""COMPUTED_VALUE"""),"SDS")</f>
        <v>SDS</v>
      </c>
      <c r="D672" s="42" t="str">
        <f ca="1">IFERROR(__xludf.DUMMYFUNCTION("""COMPUTED_VALUE"""),"DCV")</f>
        <v>DCV</v>
      </c>
      <c r="E672" s="44">
        <f ca="1">IFERROR(__xludf.DUMMYFUNCTION("""COMPUTED_VALUE"""),6)</f>
        <v>6</v>
      </c>
      <c r="F672" s="42" t="str">
        <f ca="1">IFERROR(__xludf.DUMMYFUNCTION("""COMPUTED_VALUE"""),"9327175935
7433039073")</f>
        <v>9327175935
7433039073</v>
      </c>
      <c r="G672" s="42" t="str">
        <f ca="1">IFERROR(__xludf.DUMMYFUNCTION("""COMPUTED_VALUE"""),"9327175935
7433039073")</f>
        <v>9327175935
7433039073</v>
      </c>
      <c r="H672" s="2" t="str">
        <f ca="1">IFERROR(__xludf.DUMMYFUNCTION("""COMPUTED_VALUE"""),"DCV_2021-24")</f>
        <v>DCV_2021-24</v>
      </c>
      <c r="I672" s="45"/>
      <c r="J672" s="46">
        <f ca="1">IFERROR(__xludf.DUMMYFUNCTION("""COMPUTED_VALUE"""),25000)</f>
        <v>25000</v>
      </c>
      <c r="K672" s="46">
        <f ca="1">IFERROR(__xludf.DUMMYFUNCTION("""COMPUTED_VALUE"""),25000)</f>
        <v>25000</v>
      </c>
      <c r="L672" s="46">
        <f ca="1">IFERROR(__xludf.DUMMYFUNCTION("""COMPUTED_VALUE"""),0)</f>
        <v>0</v>
      </c>
      <c r="M672" s="47">
        <f ca="1">IFERROR(__xludf.DUMMYFUNCTION("""COMPUTED_VALUE"""),0)</f>
        <v>0</v>
      </c>
      <c r="N672" s="46">
        <f ca="1">IFERROR(__xludf.DUMMYFUNCTION("""COMPUTED_VALUE"""),0)</f>
        <v>0</v>
      </c>
      <c r="O672" s="46">
        <f ca="1">IFERROR(__xludf.DUMMYFUNCTION("""COMPUTED_VALUE"""),3750)</f>
        <v>3750</v>
      </c>
      <c r="P672" s="46">
        <f ca="1">IFERROR(__xludf.DUMMYFUNCTION("""COMPUTED_VALUE"""),3750)</f>
        <v>3750</v>
      </c>
      <c r="Q672" s="47">
        <f ca="1">IFERROR(__xludf.DUMMYFUNCTION("""COMPUTED_VALUE"""),0)</f>
        <v>0</v>
      </c>
      <c r="R672" s="24">
        <f ca="1">IFERROR(__xludf.DUMMYFUNCTION("""COMPUTED_VALUE"""),0)</f>
        <v>0</v>
      </c>
      <c r="S672" s="23">
        <f ca="1">IFERROR(__xludf.DUMMYFUNCTION("""COMPUTED_VALUE"""),0)</f>
        <v>0</v>
      </c>
      <c r="T672" s="48">
        <f ca="1">IFERROR(__xludf.DUMMYFUNCTION("""COMPUTED_VALUE"""),0)</f>
        <v>0</v>
      </c>
      <c r="U672" s="47">
        <f ca="1">IFERROR(__xludf.DUMMYFUNCTION("""COMPUTED_VALUE"""),0)</f>
        <v>0</v>
      </c>
      <c r="V672" s="47">
        <f ca="1">IFERROR(__xludf.DUMMYFUNCTION("""COMPUTED_VALUE"""),0)</f>
        <v>0</v>
      </c>
      <c r="W672" s="47">
        <f ca="1">IFERROR(__xludf.DUMMYFUNCTION("""COMPUTED_VALUE"""),0)</f>
        <v>0</v>
      </c>
      <c r="X672" s="47">
        <f ca="1">IFERROR(__xludf.DUMMYFUNCTION("""COMPUTED_VALUE"""),0)</f>
        <v>0</v>
      </c>
      <c r="Y672" s="44">
        <f ca="1">IFERROR(__xludf.DUMMYFUNCTION("""COMPUTED_VALUE"""),0)</f>
        <v>0</v>
      </c>
      <c r="Z672" s="44">
        <f ca="1">IFERROR(__xludf.DUMMYFUNCTION("""COMPUTED_VALUE"""),0)</f>
        <v>0</v>
      </c>
      <c r="AA672" s="44">
        <f ca="1">IFERROR(__xludf.DUMMYFUNCTION("""COMPUTED_VALUE"""),0)</f>
        <v>0</v>
      </c>
      <c r="AB672" s="44">
        <f ca="1">IFERROR(__xludf.DUMMYFUNCTION("""COMPUTED_VALUE"""),0)</f>
        <v>0</v>
      </c>
      <c r="AC672" s="47">
        <f ca="1">IFERROR(__xludf.DUMMYFUNCTION("""COMPUTED_VALUE"""),0)</f>
        <v>0</v>
      </c>
      <c r="AD672" s="49"/>
      <c r="AE672" s="27"/>
    </row>
    <row r="673" spans="1:31" ht="14.3">
      <c r="A673" s="42" t="str">
        <f ca="1">IFERROR(__xludf.DUMMYFUNCTION("""COMPUTED_VALUE"""),"21SDSCV01020")</f>
        <v>21SDSCV01020</v>
      </c>
      <c r="B673" s="43" t="str">
        <f ca="1">IFERROR(__xludf.DUMMYFUNCTION("""COMPUTED_VALUE"""),"TALA PREET KETANBHAI")</f>
        <v>TALA PREET KETANBHAI</v>
      </c>
      <c r="C673" s="42" t="str">
        <f ca="1">IFERROR(__xludf.DUMMYFUNCTION("""COMPUTED_VALUE"""),"SDS")</f>
        <v>SDS</v>
      </c>
      <c r="D673" s="42" t="str">
        <f ca="1">IFERROR(__xludf.DUMMYFUNCTION("""COMPUTED_VALUE"""),"DCV")</f>
        <v>DCV</v>
      </c>
      <c r="E673" s="44">
        <f ca="1">IFERROR(__xludf.DUMMYFUNCTION("""COMPUTED_VALUE"""),6)</f>
        <v>6</v>
      </c>
      <c r="F673" s="42" t="str">
        <f ca="1">IFERROR(__xludf.DUMMYFUNCTION("""COMPUTED_VALUE"""),"7284045918 
9724651910")</f>
        <v>7284045918 
9724651910</v>
      </c>
      <c r="G673" s="42" t="str">
        <f ca="1">IFERROR(__xludf.DUMMYFUNCTION("""COMPUTED_VALUE"""),"7284045918 
9724651910")</f>
        <v>7284045918 
9724651910</v>
      </c>
      <c r="H673" s="2" t="str">
        <f ca="1">IFERROR(__xludf.DUMMYFUNCTION("""COMPUTED_VALUE"""),"DCV_2021-24")</f>
        <v>DCV_2021-24</v>
      </c>
      <c r="I673" s="45" t="str">
        <f ca="1">IFERROR(__xludf.DUMMYFUNCTION("""COMPUTED_VALUE"""),"MYSY")</f>
        <v>MYSY</v>
      </c>
      <c r="J673" s="46">
        <f ca="1">IFERROR(__xludf.DUMMYFUNCTION("""COMPUTED_VALUE"""),25000)</f>
        <v>25000</v>
      </c>
      <c r="K673" s="46">
        <f ca="1">IFERROR(__xludf.DUMMYFUNCTION("""COMPUTED_VALUE"""),25000)</f>
        <v>25000</v>
      </c>
      <c r="L673" s="46">
        <f ca="1">IFERROR(__xludf.DUMMYFUNCTION("""COMPUTED_VALUE"""),0)</f>
        <v>0</v>
      </c>
      <c r="M673" s="47">
        <f ca="1">IFERROR(__xludf.DUMMYFUNCTION("""COMPUTED_VALUE"""),0)</f>
        <v>0</v>
      </c>
      <c r="N673" s="46">
        <f ca="1">IFERROR(__xludf.DUMMYFUNCTION("""COMPUTED_VALUE"""),0)</f>
        <v>0</v>
      </c>
      <c r="O673" s="46">
        <f ca="1">IFERROR(__xludf.DUMMYFUNCTION("""COMPUTED_VALUE"""),3750)</f>
        <v>3750</v>
      </c>
      <c r="P673" s="46">
        <f ca="1">IFERROR(__xludf.DUMMYFUNCTION("""COMPUTED_VALUE"""),3750)</f>
        <v>3750</v>
      </c>
      <c r="Q673" s="47">
        <f ca="1">IFERROR(__xludf.DUMMYFUNCTION("""COMPUTED_VALUE"""),0)</f>
        <v>0</v>
      </c>
      <c r="R673" s="24">
        <f ca="1">IFERROR(__xludf.DUMMYFUNCTION("""COMPUTED_VALUE"""),0)</f>
        <v>0</v>
      </c>
      <c r="S673" s="23">
        <f ca="1">IFERROR(__xludf.DUMMYFUNCTION("""COMPUTED_VALUE"""),0)</f>
        <v>0</v>
      </c>
      <c r="T673" s="48">
        <f ca="1">IFERROR(__xludf.DUMMYFUNCTION("""COMPUTED_VALUE"""),0)</f>
        <v>0</v>
      </c>
      <c r="U673" s="47">
        <f ca="1">IFERROR(__xludf.DUMMYFUNCTION("""COMPUTED_VALUE"""),0)</f>
        <v>0</v>
      </c>
      <c r="V673" s="47">
        <f ca="1">IFERROR(__xludf.DUMMYFUNCTION("""COMPUTED_VALUE"""),0)</f>
        <v>0</v>
      </c>
      <c r="W673" s="47">
        <f ca="1">IFERROR(__xludf.DUMMYFUNCTION("""COMPUTED_VALUE"""),0)</f>
        <v>0</v>
      </c>
      <c r="X673" s="47">
        <f ca="1">IFERROR(__xludf.DUMMYFUNCTION("""COMPUTED_VALUE"""),0)</f>
        <v>0</v>
      </c>
      <c r="Y673" s="44">
        <f ca="1">IFERROR(__xludf.DUMMYFUNCTION("""COMPUTED_VALUE"""),0)</f>
        <v>0</v>
      </c>
      <c r="Z673" s="44">
        <f ca="1">IFERROR(__xludf.DUMMYFUNCTION("""COMPUTED_VALUE"""),0)</f>
        <v>0</v>
      </c>
      <c r="AA673" s="44">
        <f ca="1">IFERROR(__xludf.DUMMYFUNCTION("""COMPUTED_VALUE"""),0)</f>
        <v>0</v>
      </c>
      <c r="AB673" s="44">
        <f ca="1">IFERROR(__xludf.DUMMYFUNCTION("""COMPUTED_VALUE"""),0)</f>
        <v>0</v>
      </c>
      <c r="AC673" s="47">
        <f ca="1">IFERROR(__xludf.DUMMYFUNCTION("""COMPUTED_VALUE"""),0)</f>
        <v>0</v>
      </c>
      <c r="AD673" s="49" t="str">
        <f ca="1">IFERROR(__xludf.DUMMYFUNCTION("""COMPUTED_VALUE"""),"KSPS(50%)+MYSY(50%)")</f>
        <v>KSPS(50%)+MYSY(50%)</v>
      </c>
      <c r="AE673" s="27"/>
    </row>
    <row r="674" spans="1:31" ht="14.3">
      <c r="A674" s="42" t="str">
        <f ca="1">IFERROR(__xludf.DUMMYFUNCTION("""COMPUTED_VALUE"""),"21SDSCV01023")</f>
        <v>21SDSCV01023</v>
      </c>
      <c r="B674" s="43" t="str">
        <f ca="1">IFERROR(__xludf.DUMMYFUNCTION("""COMPUTED_VALUE"""),"VASANI DHRUVIK YOGESHBHAI")</f>
        <v>VASANI DHRUVIK YOGESHBHAI</v>
      </c>
      <c r="C674" s="42" t="str">
        <f ca="1">IFERROR(__xludf.DUMMYFUNCTION("""COMPUTED_VALUE"""),"SDS")</f>
        <v>SDS</v>
      </c>
      <c r="D674" s="42" t="str">
        <f ca="1">IFERROR(__xludf.DUMMYFUNCTION("""COMPUTED_VALUE"""),"DCV")</f>
        <v>DCV</v>
      </c>
      <c r="E674" s="44">
        <f ca="1">IFERROR(__xludf.DUMMYFUNCTION("""COMPUTED_VALUE"""),6)</f>
        <v>6</v>
      </c>
      <c r="F674" s="42" t="str">
        <f ca="1">IFERROR(__xludf.DUMMYFUNCTION("""COMPUTED_VALUE"""),"9824295359
9824295359")</f>
        <v>9824295359
9824295359</v>
      </c>
      <c r="G674" s="42" t="str">
        <f ca="1">IFERROR(__xludf.DUMMYFUNCTION("""COMPUTED_VALUE"""),"9824295359
9824295359")</f>
        <v>9824295359
9824295359</v>
      </c>
      <c r="H674" s="2" t="str">
        <f ca="1">IFERROR(__xludf.DUMMYFUNCTION("""COMPUTED_VALUE"""),"DCV_2021-24")</f>
        <v>DCV_2021-24</v>
      </c>
      <c r="I674" s="45" t="str">
        <f ca="1">IFERROR(__xludf.DUMMYFUNCTION("""COMPUTED_VALUE"""),"MYSY")</f>
        <v>MYSY</v>
      </c>
      <c r="J674" s="46">
        <f ca="1">IFERROR(__xludf.DUMMYFUNCTION("""COMPUTED_VALUE"""),25000)</f>
        <v>25000</v>
      </c>
      <c r="K674" s="46">
        <f ca="1">IFERROR(__xludf.DUMMYFUNCTION("""COMPUTED_VALUE"""),0)</f>
        <v>0</v>
      </c>
      <c r="L674" s="46">
        <f ca="1">IFERROR(__xludf.DUMMYFUNCTION("""COMPUTED_VALUE"""),0)</f>
        <v>0</v>
      </c>
      <c r="M674" s="47">
        <f ca="1">IFERROR(__xludf.DUMMYFUNCTION("""COMPUTED_VALUE"""),0)</f>
        <v>0</v>
      </c>
      <c r="N674" s="46">
        <f ca="1">IFERROR(__xludf.DUMMYFUNCTION("""COMPUTED_VALUE"""),25000)</f>
        <v>25000</v>
      </c>
      <c r="O674" s="46">
        <f ca="1">IFERROR(__xludf.DUMMYFUNCTION("""COMPUTED_VALUE"""),3750)</f>
        <v>3750</v>
      </c>
      <c r="P674" s="46">
        <f ca="1">IFERROR(__xludf.DUMMYFUNCTION("""COMPUTED_VALUE"""),3750)</f>
        <v>3750</v>
      </c>
      <c r="Q674" s="47">
        <f ca="1">IFERROR(__xludf.DUMMYFUNCTION("""COMPUTED_VALUE"""),0)</f>
        <v>0</v>
      </c>
      <c r="R674" s="24">
        <f ca="1">IFERROR(__xludf.DUMMYFUNCTION("""COMPUTED_VALUE"""),0)</f>
        <v>0</v>
      </c>
      <c r="S674" s="23">
        <f ca="1">IFERROR(__xludf.DUMMYFUNCTION("""COMPUTED_VALUE"""),0)</f>
        <v>0</v>
      </c>
      <c r="T674" s="48">
        <f ca="1">IFERROR(__xludf.DUMMYFUNCTION("""COMPUTED_VALUE"""),0)</f>
        <v>0</v>
      </c>
      <c r="U674" s="47">
        <f ca="1">IFERROR(__xludf.DUMMYFUNCTION("""COMPUTED_VALUE"""),0)</f>
        <v>0</v>
      </c>
      <c r="V674" s="47">
        <f ca="1">IFERROR(__xludf.DUMMYFUNCTION("""COMPUTED_VALUE"""),0)</f>
        <v>0</v>
      </c>
      <c r="W674" s="47">
        <f ca="1">IFERROR(__xludf.DUMMYFUNCTION("""COMPUTED_VALUE"""),0)</f>
        <v>0</v>
      </c>
      <c r="X674" s="47">
        <f ca="1">IFERROR(__xludf.DUMMYFUNCTION("""COMPUTED_VALUE"""),0)</f>
        <v>0</v>
      </c>
      <c r="Y674" s="44">
        <f ca="1">IFERROR(__xludf.DUMMYFUNCTION("""COMPUTED_VALUE"""),0)</f>
        <v>0</v>
      </c>
      <c r="Z674" s="44">
        <f ca="1">IFERROR(__xludf.DUMMYFUNCTION("""COMPUTED_VALUE"""),0)</f>
        <v>0</v>
      </c>
      <c r="AA674" s="44">
        <f ca="1">IFERROR(__xludf.DUMMYFUNCTION("""COMPUTED_VALUE"""),0)</f>
        <v>0</v>
      </c>
      <c r="AB674" s="44">
        <f ca="1">IFERROR(__xludf.DUMMYFUNCTION("""COMPUTED_VALUE"""),0)</f>
        <v>0</v>
      </c>
      <c r="AC674" s="47">
        <f ca="1">IFERROR(__xludf.DUMMYFUNCTION("""COMPUTED_VALUE"""),0)</f>
        <v>0</v>
      </c>
      <c r="AD674" s="49" t="str">
        <f ca="1">IFERROR(__xludf.DUMMYFUNCTION("""COMPUTED_VALUE"""),"KSPS(50%)+MYSY(50%)")</f>
        <v>KSPS(50%)+MYSY(50%)</v>
      </c>
      <c r="AE674" s="27"/>
    </row>
    <row r="675" spans="1:31" ht="14.3">
      <c r="A675" s="42" t="str">
        <f ca="1">IFERROR(__xludf.DUMMYFUNCTION("""COMPUTED_VALUE"""),"21SDSCV01601")</f>
        <v>21SDSCV01601</v>
      </c>
      <c r="B675" s="43" t="str">
        <f ca="1">IFERROR(__xludf.DUMMYFUNCTION("""COMPUTED_VALUE"""),"AMIT KUMAR PANDAY")</f>
        <v>AMIT KUMAR PANDAY</v>
      </c>
      <c r="C675" s="42" t="str">
        <f ca="1">IFERROR(__xludf.DUMMYFUNCTION("""COMPUTED_VALUE"""),"SDS")</f>
        <v>SDS</v>
      </c>
      <c r="D675" s="42" t="str">
        <f ca="1">IFERROR(__xludf.DUMMYFUNCTION("""COMPUTED_VALUE"""),"DCV")</f>
        <v>DCV</v>
      </c>
      <c r="E675" s="44">
        <f ca="1">IFERROR(__xludf.DUMMYFUNCTION("""COMPUTED_VALUE"""),6)</f>
        <v>6</v>
      </c>
      <c r="F675" s="42" t="str">
        <f ca="1">IFERROR(__xludf.DUMMYFUNCTION("""COMPUTED_VALUE"""),"INTERNATIONAL")</f>
        <v>INTERNATIONAL</v>
      </c>
      <c r="G675" s="42" t="str">
        <f ca="1">IFERROR(__xludf.DUMMYFUNCTION("""COMPUTED_VALUE"""),"INR FEE STUDENT")</f>
        <v>INR FEE STUDENT</v>
      </c>
      <c r="H675" s="2" t="str">
        <f ca="1">IFERROR(__xludf.DUMMYFUNCTION("""COMPUTED_VALUE"""),"DCV_2021-24")</f>
        <v>DCV_2021-24</v>
      </c>
      <c r="I675" s="45"/>
      <c r="J675" s="46">
        <f ca="1">IFERROR(__xludf.DUMMYFUNCTION("""COMPUTED_VALUE"""),35000)</f>
        <v>35000</v>
      </c>
      <c r="K675" s="46">
        <f ca="1">IFERROR(__xludf.DUMMYFUNCTION("""COMPUTED_VALUE"""),35000)</f>
        <v>35000</v>
      </c>
      <c r="L675" s="46">
        <f ca="1">IFERROR(__xludf.DUMMYFUNCTION("""COMPUTED_VALUE"""),0)</f>
        <v>0</v>
      </c>
      <c r="M675" s="47">
        <f ca="1">IFERROR(__xludf.DUMMYFUNCTION("""COMPUTED_VALUE"""),0)</f>
        <v>0</v>
      </c>
      <c r="N675" s="46">
        <f ca="1">IFERROR(__xludf.DUMMYFUNCTION("""COMPUTED_VALUE"""),0)</f>
        <v>0</v>
      </c>
      <c r="O675" s="46">
        <f ca="1">IFERROR(__xludf.DUMMYFUNCTION("""COMPUTED_VALUE"""),1250)</f>
        <v>1250</v>
      </c>
      <c r="P675" s="46">
        <f ca="1">IFERROR(__xludf.DUMMYFUNCTION("""COMPUTED_VALUE"""),1250)</f>
        <v>1250</v>
      </c>
      <c r="Q675" s="47">
        <f ca="1">IFERROR(__xludf.DUMMYFUNCTION("""COMPUTED_VALUE"""),0)</f>
        <v>0</v>
      </c>
      <c r="R675" s="24">
        <f ca="1">IFERROR(__xludf.DUMMYFUNCTION("""COMPUTED_VALUE"""),0)</f>
        <v>0</v>
      </c>
      <c r="S675" s="23">
        <f ca="1">IFERROR(__xludf.DUMMYFUNCTION("""COMPUTED_VALUE"""),0)</f>
        <v>0</v>
      </c>
      <c r="T675" s="48">
        <f ca="1">IFERROR(__xludf.DUMMYFUNCTION("""COMPUTED_VALUE"""),0)</f>
        <v>0</v>
      </c>
      <c r="U675" s="47">
        <f ca="1">IFERROR(__xludf.DUMMYFUNCTION("""COMPUTED_VALUE"""),0)</f>
        <v>0</v>
      </c>
      <c r="V675" s="47">
        <f ca="1">IFERROR(__xludf.DUMMYFUNCTION("""COMPUTED_VALUE"""),0)</f>
        <v>0</v>
      </c>
      <c r="W675" s="47">
        <f ca="1">IFERROR(__xludf.DUMMYFUNCTION("""COMPUTED_VALUE"""),0)</f>
        <v>0</v>
      </c>
      <c r="X675" s="47">
        <f ca="1">IFERROR(__xludf.DUMMYFUNCTION("""COMPUTED_VALUE"""),0)</f>
        <v>0</v>
      </c>
      <c r="Y675" s="44">
        <f ca="1">IFERROR(__xludf.DUMMYFUNCTION("""COMPUTED_VALUE"""),0)</f>
        <v>0</v>
      </c>
      <c r="Z675" s="44">
        <f ca="1">IFERROR(__xludf.DUMMYFUNCTION("""COMPUTED_VALUE"""),0)</f>
        <v>0</v>
      </c>
      <c r="AA675" s="44">
        <f ca="1">IFERROR(__xludf.DUMMYFUNCTION("""COMPUTED_VALUE"""),0)</f>
        <v>0</v>
      </c>
      <c r="AB675" s="44">
        <f ca="1">IFERROR(__xludf.DUMMYFUNCTION("""COMPUTED_VALUE"""),0)</f>
        <v>0</v>
      </c>
      <c r="AC675" s="47">
        <f ca="1">IFERROR(__xludf.DUMMYFUNCTION("""COMPUTED_VALUE"""),0)</f>
        <v>0</v>
      </c>
      <c r="AD675" s="49"/>
      <c r="AE675" s="27"/>
    </row>
    <row r="676" spans="1:31" ht="14.3">
      <c r="A676" s="42" t="str">
        <f ca="1">IFERROR(__xludf.DUMMYFUNCTION("""COMPUTED_VALUE"""),"21SDSCV01602")</f>
        <v>21SDSCV01602</v>
      </c>
      <c r="B676" s="43" t="str">
        <f ca="1">IFERROR(__xludf.DUMMYFUNCTION("""COMPUTED_VALUE"""),"ROSHAN PATEL")</f>
        <v>ROSHAN PATEL</v>
      </c>
      <c r="C676" s="42" t="str">
        <f ca="1">IFERROR(__xludf.DUMMYFUNCTION("""COMPUTED_VALUE"""),"SDS")</f>
        <v>SDS</v>
      </c>
      <c r="D676" s="42" t="str">
        <f ca="1">IFERROR(__xludf.DUMMYFUNCTION("""COMPUTED_VALUE"""),"DCV")</f>
        <v>DCV</v>
      </c>
      <c r="E676" s="44">
        <f ca="1">IFERROR(__xludf.DUMMYFUNCTION("""COMPUTED_VALUE"""),6)</f>
        <v>6</v>
      </c>
      <c r="F676" s="42" t="str">
        <f ca="1">IFERROR(__xludf.DUMMYFUNCTION("""COMPUTED_VALUE"""),"INTERNATIONAL")</f>
        <v>INTERNATIONAL</v>
      </c>
      <c r="G676" s="42" t="str">
        <f ca="1">IFERROR(__xludf.DUMMYFUNCTION("""COMPUTED_VALUE"""),"INR FEE STUDENT")</f>
        <v>INR FEE STUDENT</v>
      </c>
      <c r="H676" s="2" t="str">
        <f ca="1">IFERROR(__xludf.DUMMYFUNCTION("""COMPUTED_VALUE"""),"DCV_2021-24")</f>
        <v>DCV_2021-24</v>
      </c>
      <c r="I676" s="45"/>
      <c r="J676" s="46">
        <f ca="1">IFERROR(__xludf.DUMMYFUNCTION("""COMPUTED_VALUE"""),35000)</f>
        <v>35000</v>
      </c>
      <c r="K676" s="46">
        <f ca="1">IFERROR(__xludf.DUMMYFUNCTION("""COMPUTED_VALUE"""),0)</f>
        <v>0</v>
      </c>
      <c r="L676" s="46">
        <f ca="1">IFERROR(__xludf.DUMMYFUNCTION("""COMPUTED_VALUE"""),0)</f>
        <v>0</v>
      </c>
      <c r="M676" s="47">
        <f ca="1">IFERROR(__xludf.DUMMYFUNCTION("""COMPUTED_VALUE"""),0)</f>
        <v>0</v>
      </c>
      <c r="N676" s="46">
        <f ca="1">IFERROR(__xludf.DUMMYFUNCTION("""COMPUTED_VALUE"""),35000)</f>
        <v>35000</v>
      </c>
      <c r="O676" s="46">
        <f ca="1">IFERROR(__xludf.DUMMYFUNCTION("""COMPUTED_VALUE"""),1250)</f>
        <v>1250</v>
      </c>
      <c r="P676" s="46">
        <f ca="1">IFERROR(__xludf.DUMMYFUNCTION("""COMPUTED_VALUE"""),0)</f>
        <v>0</v>
      </c>
      <c r="Q676" s="47">
        <f ca="1">IFERROR(__xludf.DUMMYFUNCTION("""COMPUTED_VALUE"""),0)</f>
        <v>0</v>
      </c>
      <c r="R676" s="24">
        <f ca="1">IFERROR(__xludf.DUMMYFUNCTION("""COMPUTED_VALUE"""),0)</f>
        <v>0</v>
      </c>
      <c r="S676" s="23">
        <f ca="1">IFERROR(__xludf.DUMMYFUNCTION("""COMPUTED_VALUE"""),1250)</f>
        <v>1250</v>
      </c>
      <c r="T676" s="48">
        <f ca="1">IFERROR(__xludf.DUMMYFUNCTION("""COMPUTED_VALUE"""),0)</f>
        <v>0</v>
      </c>
      <c r="U676" s="47">
        <f ca="1">IFERROR(__xludf.DUMMYFUNCTION("""COMPUTED_VALUE"""),0)</f>
        <v>0</v>
      </c>
      <c r="V676" s="47">
        <f ca="1">IFERROR(__xludf.DUMMYFUNCTION("""COMPUTED_VALUE"""),0)</f>
        <v>0</v>
      </c>
      <c r="W676" s="47">
        <f ca="1">IFERROR(__xludf.DUMMYFUNCTION("""COMPUTED_VALUE"""),0)</f>
        <v>0</v>
      </c>
      <c r="X676" s="47">
        <f ca="1">IFERROR(__xludf.DUMMYFUNCTION("""COMPUTED_VALUE"""),0)</f>
        <v>0</v>
      </c>
      <c r="Y676" s="44">
        <f ca="1">IFERROR(__xludf.DUMMYFUNCTION("""COMPUTED_VALUE"""),0)</f>
        <v>0</v>
      </c>
      <c r="Z676" s="44">
        <f ca="1">IFERROR(__xludf.DUMMYFUNCTION("""COMPUTED_VALUE"""),0)</f>
        <v>0</v>
      </c>
      <c r="AA676" s="44">
        <f ca="1">IFERROR(__xludf.DUMMYFUNCTION("""COMPUTED_VALUE"""),0)</f>
        <v>0</v>
      </c>
      <c r="AB676" s="44">
        <f ca="1">IFERROR(__xludf.DUMMYFUNCTION("""COMPUTED_VALUE"""),0)</f>
        <v>0</v>
      </c>
      <c r="AC676" s="47">
        <f ca="1">IFERROR(__xludf.DUMMYFUNCTION("""COMPUTED_VALUE"""),0)</f>
        <v>0</v>
      </c>
      <c r="AD676" s="49"/>
      <c r="AE676" s="27"/>
    </row>
    <row r="677" spans="1:31" ht="14.3">
      <c r="A677" s="42" t="str">
        <f ca="1">IFERROR(__xludf.DUMMYFUNCTION("""COMPUTED_VALUE"""),"21SDSCV01603")</f>
        <v>21SDSCV01603</v>
      </c>
      <c r="B677" s="43" t="str">
        <f ca="1">IFERROR(__xludf.DUMMYFUNCTION("""COMPUTED_VALUE"""),"TILAKRAM RAJAK DHOBI")</f>
        <v>TILAKRAM RAJAK DHOBI</v>
      </c>
      <c r="C677" s="42" t="str">
        <f ca="1">IFERROR(__xludf.DUMMYFUNCTION("""COMPUTED_VALUE"""),"SDS")</f>
        <v>SDS</v>
      </c>
      <c r="D677" s="42" t="str">
        <f ca="1">IFERROR(__xludf.DUMMYFUNCTION("""COMPUTED_VALUE"""),"DCV")</f>
        <v>DCV</v>
      </c>
      <c r="E677" s="44">
        <f ca="1">IFERROR(__xludf.DUMMYFUNCTION("""COMPUTED_VALUE"""),6)</f>
        <v>6</v>
      </c>
      <c r="F677" s="42" t="str">
        <f ca="1">IFERROR(__xludf.DUMMYFUNCTION("""COMPUTED_VALUE"""),"INTERNATIONAL")</f>
        <v>INTERNATIONAL</v>
      </c>
      <c r="G677" s="42" t="str">
        <f ca="1">IFERROR(__xludf.DUMMYFUNCTION("""COMPUTED_VALUE"""),"INR FEE STUDENT")</f>
        <v>INR FEE STUDENT</v>
      </c>
      <c r="H677" s="2" t="str">
        <f ca="1">IFERROR(__xludf.DUMMYFUNCTION("""COMPUTED_VALUE"""),"DCV_2021-24")</f>
        <v>DCV_2021-24</v>
      </c>
      <c r="I677" s="45"/>
      <c r="J677" s="46">
        <f ca="1">IFERROR(__xludf.DUMMYFUNCTION("""COMPUTED_VALUE"""),35000)</f>
        <v>35000</v>
      </c>
      <c r="K677" s="46">
        <f ca="1">IFERROR(__xludf.DUMMYFUNCTION("""COMPUTED_VALUE"""),0)</f>
        <v>0</v>
      </c>
      <c r="L677" s="46">
        <f ca="1">IFERROR(__xludf.DUMMYFUNCTION("""COMPUTED_VALUE"""),0)</f>
        <v>0</v>
      </c>
      <c r="M677" s="47">
        <f ca="1">IFERROR(__xludf.DUMMYFUNCTION("""COMPUTED_VALUE"""),0)</f>
        <v>0</v>
      </c>
      <c r="N677" s="46">
        <f ca="1">IFERROR(__xludf.DUMMYFUNCTION("""COMPUTED_VALUE"""),35000)</f>
        <v>35000</v>
      </c>
      <c r="O677" s="46">
        <f ca="1">IFERROR(__xludf.DUMMYFUNCTION("""COMPUTED_VALUE"""),1250)</f>
        <v>1250</v>
      </c>
      <c r="P677" s="46">
        <f ca="1">IFERROR(__xludf.DUMMYFUNCTION("""COMPUTED_VALUE"""),0)</f>
        <v>0</v>
      </c>
      <c r="Q677" s="47">
        <f ca="1">IFERROR(__xludf.DUMMYFUNCTION("""COMPUTED_VALUE"""),0)</f>
        <v>0</v>
      </c>
      <c r="R677" s="24">
        <f ca="1">IFERROR(__xludf.DUMMYFUNCTION("""COMPUTED_VALUE"""),0)</f>
        <v>0</v>
      </c>
      <c r="S677" s="23">
        <f ca="1">IFERROR(__xludf.DUMMYFUNCTION("""COMPUTED_VALUE"""),1250)</f>
        <v>1250</v>
      </c>
      <c r="T677" s="48">
        <f ca="1">IFERROR(__xludf.DUMMYFUNCTION("""COMPUTED_VALUE"""),0)</f>
        <v>0</v>
      </c>
      <c r="U677" s="47">
        <f ca="1">IFERROR(__xludf.DUMMYFUNCTION("""COMPUTED_VALUE"""),0)</f>
        <v>0</v>
      </c>
      <c r="V677" s="47">
        <f ca="1">IFERROR(__xludf.DUMMYFUNCTION("""COMPUTED_VALUE"""),0)</f>
        <v>0</v>
      </c>
      <c r="W677" s="47">
        <f ca="1">IFERROR(__xludf.DUMMYFUNCTION("""COMPUTED_VALUE"""),0)</f>
        <v>0</v>
      </c>
      <c r="X677" s="47">
        <f ca="1">IFERROR(__xludf.DUMMYFUNCTION("""COMPUTED_VALUE"""),0)</f>
        <v>0</v>
      </c>
      <c r="Y677" s="44">
        <f ca="1">IFERROR(__xludf.DUMMYFUNCTION("""COMPUTED_VALUE"""),0)</f>
        <v>0</v>
      </c>
      <c r="Z677" s="44">
        <f ca="1">IFERROR(__xludf.DUMMYFUNCTION("""COMPUTED_VALUE"""),0)</f>
        <v>0</v>
      </c>
      <c r="AA677" s="44">
        <f ca="1">IFERROR(__xludf.DUMMYFUNCTION("""COMPUTED_VALUE"""),0)</f>
        <v>0</v>
      </c>
      <c r="AB677" s="44">
        <f ca="1">IFERROR(__xludf.DUMMYFUNCTION("""COMPUTED_VALUE"""),0)</f>
        <v>0</v>
      </c>
      <c r="AC677" s="47">
        <f ca="1">IFERROR(__xludf.DUMMYFUNCTION("""COMPUTED_VALUE"""),0)</f>
        <v>0</v>
      </c>
      <c r="AD677" s="49"/>
      <c r="AE677" s="27"/>
    </row>
    <row r="678" spans="1:31" ht="14.3">
      <c r="A678" s="42" t="str">
        <f ca="1">IFERROR(__xludf.DUMMYFUNCTION("""COMPUTED_VALUE"""),"21SDSCV01604")</f>
        <v>21SDSCV01604</v>
      </c>
      <c r="B678" s="43" t="str">
        <f ca="1">IFERROR(__xludf.DUMMYFUNCTION("""COMPUTED_VALUE"""),"PRADEEP KUMAR URANW")</f>
        <v>PRADEEP KUMAR URANW</v>
      </c>
      <c r="C678" s="42" t="str">
        <f ca="1">IFERROR(__xludf.DUMMYFUNCTION("""COMPUTED_VALUE"""),"SDS")</f>
        <v>SDS</v>
      </c>
      <c r="D678" s="42" t="str">
        <f ca="1">IFERROR(__xludf.DUMMYFUNCTION("""COMPUTED_VALUE"""),"DCV")</f>
        <v>DCV</v>
      </c>
      <c r="E678" s="44">
        <f ca="1">IFERROR(__xludf.DUMMYFUNCTION("""COMPUTED_VALUE"""),6)</f>
        <v>6</v>
      </c>
      <c r="F678" s="42" t="str">
        <f ca="1">IFERROR(__xludf.DUMMYFUNCTION("""COMPUTED_VALUE"""),"INTERNATIONAL")</f>
        <v>INTERNATIONAL</v>
      </c>
      <c r="G678" s="42" t="str">
        <f ca="1">IFERROR(__xludf.DUMMYFUNCTION("""COMPUTED_VALUE"""),"INR FEE STUDENT")</f>
        <v>INR FEE STUDENT</v>
      </c>
      <c r="H678" s="2" t="str">
        <f ca="1">IFERROR(__xludf.DUMMYFUNCTION("""COMPUTED_VALUE"""),"DCV_2021-24")</f>
        <v>DCV_2021-24</v>
      </c>
      <c r="I678" s="45"/>
      <c r="J678" s="46">
        <f ca="1">IFERROR(__xludf.DUMMYFUNCTION("""COMPUTED_VALUE"""),35000)</f>
        <v>35000</v>
      </c>
      <c r="K678" s="46">
        <f ca="1">IFERROR(__xludf.DUMMYFUNCTION("""COMPUTED_VALUE"""),0)</f>
        <v>0</v>
      </c>
      <c r="L678" s="46">
        <f ca="1">IFERROR(__xludf.DUMMYFUNCTION("""COMPUTED_VALUE"""),0)</f>
        <v>0</v>
      </c>
      <c r="M678" s="47">
        <f ca="1">IFERROR(__xludf.DUMMYFUNCTION("""COMPUTED_VALUE"""),0)</f>
        <v>0</v>
      </c>
      <c r="N678" s="46">
        <f ca="1">IFERROR(__xludf.DUMMYFUNCTION("""COMPUTED_VALUE"""),35000)</f>
        <v>35000</v>
      </c>
      <c r="O678" s="46">
        <f ca="1">IFERROR(__xludf.DUMMYFUNCTION("""COMPUTED_VALUE"""),1250)</f>
        <v>1250</v>
      </c>
      <c r="P678" s="46">
        <f ca="1">IFERROR(__xludf.DUMMYFUNCTION("""COMPUTED_VALUE"""),0)</f>
        <v>0</v>
      </c>
      <c r="Q678" s="47">
        <f ca="1">IFERROR(__xludf.DUMMYFUNCTION("""COMPUTED_VALUE"""),0)</f>
        <v>0</v>
      </c>
      <c r="R678" s="24">
        <f ca="1">IFERROR(__xludf.DUMMYFUNCTION("""COMPUTED_VALUE"""),0)</f>
        <v>0</v>
      </c>
      <c r="S678" s="23">
        <f ca="1">IFERROR(__xludf.DUMMYFUNCTION("""COMPUTED_VALUE"""),1250)</f>
        <v>1250</v>
      </c>
      <c r="T678" s="48">
        <f ca="1">IFERROR(__xludf.DUMMYFUNCTION("""COMPUTED_VALUE"""),0)</f>
        <v>0</v>
      </c>
      <c r="U678" s="47">
        <f ca="1">IFERROR(__xludf.DUMMYFUNCTION("""COMPUTED_VALUE"""),0)</f>
        <v>0</v>
      </c>
      <c r="V678" s="47">
        <f ca="1">IFERROR(__xludf.DUMMYFUNCTION("""COMPUTED_VALUE"""),0)</f>
        <v>0</v>
      </c>
      <c r="W678" s="47">
        <f ca="1">IFERROR(__xludf.DUMMYFUNCTION("""COMPUTED_VALUE"""),0)</f>
        <v>0</v>
      </c>
      <c r="X678" s="47">
        <f ca="1">IFERROR(__xludf.DUMMYFUNCTION("""COMPUTED_VALUE"""),0)</f>
        <v>0</v>
      </c>
      <c r="Y678" s="44">
        <f ca="1">IFERROR(__xludf.DUMMYFUNCTION("""COMPUTED_VALUE"""),0)</f>
        <v>0</v>
      </c>
      <c r="Z678" s="44">
        <f ca="1">IFERROR(__xludf.DUMMYFUNCTION("""COMPUTED_VALUE"""),0)</f>
        <v>0</v>
      </c>
      <c r="AA678" s="44">
        <f ca="1">IFERROR(__xludf.DUMMYFUNCTION("""COMPUTED_VALUE"""),0)</f>
        <v>0</v>
      </c>
      <c r="AB678" s="44">
        <f ca="1">IFERROR(__xludf.DUMMYFUNCTION("""COMPUTED_VALUE"""),0)</f>
        <v>0</v>
      </c>
      <c r="AC678" s="47">
        <f ca="1">IFERROR(__xludf.DUMMYFUNCTION("""COMPUTED_VALUE"""),0)</f>
        <v>0</v>
      </c>
      <c r="AD678" s="49"/>
      <c r="AE678" s="27"/>
    </row>
    <row r="679" spans="1:31" ht="14.3">
      <c r="A679" s="42" t="str">
        <f ca="1">IFERROR(__xludf.DUMMYFUNCTION("""COMPUTED_VALUE"""),"21SDSCV01605")</f>
        <v>21SDSCV01605</v>
      </c>
      <c r="B679" s="43" t="str">
        <f ca="1">IFERROR(__xludf.DUMMYFUNCTION("""COMPUTED_VALUE"""),"CHANDAN YADAV")</f>
        <v>CHANDAN YADAV</v>
      </c>
      <c r="C679" s="42" t="str">
        <f ca="1">IFERROR(__xludf.DUMMYFUNCTION("""COMPUTED_VALUE"""),"SDS")</f>
        <v>SDS</v>
      </c>
      <c r="D679" s="42" t="str">
        <f ca="1">IFERROR(__xludf.DUMMYFUNCTION("""COMPUTED_VALUE"""),"DCV")</f>
        <v>DCV</v>
      </c>
      <c r="E679" s="44">
        <f ca="1">IFERROR(__xludf.DUMMYFUNCTION("""COMPUTED_VALUE"""),6)</f>
        <v>6</v>
      </c>
      <c r="F679" s="42" t="str">
        <f ca="1">IFERROR(__xludf.DUMMYFUNCTION("""COMPUTED_VALUE"""),"INTERNATIONAL")</f>
        <v>INTERNATIONAL</v>
      </c>
      <c r="G679" s="42" t="str">
        <f ca="1">IFERROR(__xludf.DUMMYFUNCTION("""COMPUTED_VALUE"""),"INR FEE STUDENT")</f>
        <v>INR FEE STUDENT</v>
      </c>
      <c r="H679" s="2" t="str">
        <f ca="1">IFERROR(__xludf.DUMMYFUNCTION("""COMPUTED_VALUE"""),"DCV_2021-24")</f>
        <v>DCV_2021-24</v>
      </c>
      <c r="I679" s="45"/>
      <c r="J679" s="46">
        <f ca="1">IFERROR(__xludf.DUMMYFUNCTION("""COMPUTED_VALUE"""),35000)</f>
        <v>35000</v>
      </c>
      <c r="K679" s="46">
        <f ca="1">IFERROR(__xludf.DUMMYFUNCTION("""COMPUTED_VALUE"""),35000)</f>
        <v>35000</v>
      </c>
      <c r="L679" s="46">
        <f ca="1">IFERROR(__xludf.DUMMYFUNCTION("""COMPUTED_VALUE"""),0)</f>
        <v>0</v>
      </c>
      <c r="M679" s="47">
        <f ca="1">IFERROR(__xludf.DUMMYFUNCTION("""COMPUTED_VALUE"""),0)</f>
        <v>0</v>
      </c>
      <c r="N679" s="46">
        <f ca="1">IFERROR(__xludf.DUMMYFUNCTION("""COMPUTED_VALUE"""),0)</f>
        <v>0</v>
      </c>
      <c r="O679" s="46">
        <f ca="1">IFERROR(__xludf.DUMMYFUNCTION("""COMPUTED_VALUE"""),1250)</f>
        <v>1250</v>
      </c>
      <c r="P679" s="46">
        <f ca="1">IFERROR(__xludf.DUMMYFUNCTION("""COMPUTED_VALUE"""),1250)</f>
        <v>1250</v>
      </c>
      <c r="Q679" s="47">
        <f ca="1">IFERROR(__xludf.DUMMYFUNCTION("""COMPUTED_VALUE"""),0)</f>
        <v>0</v>
      </c>
      <c r="R679" s="24">
        <f ca="1">IFERROR(__xludf.DUMMYFUNCTION("""COMPUTED_VALUE"""),0)</f>
        <v>0</v>
      </c>
      <c r="S679" s="23">
        <f ca="1">IFERROR(__xludf.DUMMYFUNCTION("""COMPUTED_VALUE"""),0)</f>
        <v>0</v>
      </c>
      <c r="T679" s="48">
        <f ca="1">IFERROR(__xludf.DUMMYFUNCTION("""COMPUTED_VALUE"""),0)</f>
        <v>0</v>
      </c>
      <c r="U679" s="47">
        <f ca="1">IFERROR(__xludf.DUMMYFUNCTION("""COMPUTED_VALUE"""),0)</f>
        <v>0</v>
      </c>
      <c r="V679" s="47">
        <f ca="1">IFERROR(__xludf.DUMMYFUNCTION("""COMPUTED_VALUE"""),0)</f>
        <v>0</v>
      </c>
      <c r="W679" s="47">
        <f ca="1">IFERROR(__xludf.DUMMYFUNCTION("""COMPUTED_VALUE"""),0)</f>
        <v>0</v>
      </c>
      <c r="X679" s="47">
        <f ca="1">IFERROR(__xludf.DUMMYFUNCTION("""COMPUTED_VALUE"""),0)</f>
        <v>0</v>
      </c>
      <c r="Y679" s="44">
        <f ca="1">IFERROR(__xludf.DUMMYFUNCTION("""COMPUTED_VALUE"""),0)</f>
        <v>0</v>
      </c>
      <c r="Z679" s="44">
        <f ca="1">IFERROR(__xludf.DUMMYFUNCTION("""COMPUTED_VALUE"""),0)</f>
        <v>0</v>
      </c>
      <c r="AA679" s="44">
        <f ca="1">IFERROR(__xludf.DUMMYFUNCTION("""COMPUTED_VALUE"""),0)</f>
        <v>0</v>
      </c>
      <c r="AB679" s="44">
        <f ca="1">IFERROR(__xludf.DUMMYFUNCTION("""COMPUTED_VALUE"""),0)</f>
        <v>0</v>
      </c>
      <c r="AC679" s="47">
        <f ca="1">IFERROR(__xludf.DUMMYFUNCTION("""COMPUTED_VALUE"""),0)</f>
        <v>0</v>
      </c>
      <c r="AD679" s="49"/>
      <c r="AE679" s="27"/>
    </row>
    <row r="680" spans="1:31" ht="14.3">
      <c r="A680" s="42" t="str">
        <f ca="1">IFERROR(__xludf.DUMMYFUNCTION("""COMPUTED_VALUE"""),"20SDSCV01012")</f>
        <v>20SDSCV01012</v>
      </c>
      <c r="B680" s="43" t="str">
        <f ca="1">IFERROR(__xludf.DUMMYFUNCTION("""COMPUTED_VALUE"""),"VADALIYA BRIJ PRAKASHBHAI")</f>
        <v>VADALIYA BRIJ PRAKASHBHAI</v>
      </c>
      <c r="C680" s="42" t="str">
        <f ca="1">IFERROR(__xludf.DUMMYFUNCTION("""COMPUTED_VALUE"""),"SDS")</f>
        <v>SDS</v>
      </c>
      <c r="D680" s="42" t="str">
        <f ca="1">IFERROR(__xludf.DUMMYFUNCTION("""COMPUTED_VALUE"""),"DCV")</f>
        <v>DCV</v>
      </c>
      <c r="E680" s="44">
        <f ca="1">IFERROR(__xludf.DUMMYFUNCTION("""COMPUTED_VALUE"""),6)</f>
        <v>6</v>
      </c>
      <c r="F680" s="42" t="str">
        <f ca="1">IFERROR(__xludf.DUMMYFUNCTION("""COMPUTED_VALUE"""),"7203089400
 9898600656")</f>
        <v>7203089400
 9898600656</v>
      </c>
      <c r="G680" s="42" t="str">
        <f ca="1">IFERROR(__xludf.DUMMYFUNCTION("""COMPUTED_VALUE"""),"7203089400
 9898600656")</f>
        <v>7203089400
 9898600656</v>
      </c>
      <c r="H680" s="2" t="str">
        <f ca="1">IFERROR(__xludf.DUMMYFUNCTION("""COMPUTED_VALUE"""),"DCV_2020-23")</f>
        <v>DCV_2020-23</v>
      </c>
      <c r="I680" s="45"/>
      <c r="J680" s="46">
        <f ca="1">IFERROR(__xludf.DUMMYFUNCTION("""COMPUTED_VALUE"""),25000)</f>
        <v>25000</v>
      </c>
      <c r="K680" s="46">
        <f ca="1">IFERROR(__xludf.DUMMYFUNCTION("""COMPUTED_VALUE"""),0)</f>
        <v>0</v>
      </c>
      <c r="L680" s="46">
        <f ca="1">IFERROR(__xludf.DUMMYFUNCTION("""COMPUTED_VALUE"""),0)</f>
        <v>0</v>
      </c>
      <c r="M680" s="47">
        <f ca="1">IFERROR(__xludf.DUMMYFUNCTION("""COMPUTED_VALUE"""),0)</f>
        <v>0</v>
      </c>
      <c r="N680" s="46">
        <f ca="1">IFERROR(__xludf.DUMMYFUNCTION("""COMPUTED_VALUE"""),25000)</f>
        <v>25000</v>
      </c>
      <c r="O680" s="46">
        <f ca="1">IFERROR(__xludf.DUMMYFUNCTION("""COMPUTED_VALUE"""),3750)</f>
        <v>3750</v>
      </c>
      <c r="P680" s="46">
        <f ca="1">IFERROR(__xludf.DUMMYFUNCTION("""COMPUTED_VALUE"""),0)</f>
        <v>0</v>
      </c>
      <c r="Q680" s="47">
        <f ca="1">IFERROR(__xludf.DUMMYFUNCTION("""COMPUTED_VALUE"""),0)</f>
        <v>0</v>
      </c>
      <c r="R680" s="24">
        <f ca="1">IFERROR(__xludf.DUMMYFUNCTION("""COMPUTED_VALUE"""),0)</f>
        <v>0</v>
      </c>
      <c r="S680" s="23">
        <f ca="1">IFERROR(__xludf.DUMMYFUNCTION("""COMPUTED_VALUE"""),3750)</f>
        <v>3750</v>
      </c>
      <c r="T680" s="50"/>
      <c r="U680" s="44"/>
      <c r="V680" s="44"/>
      <c r="W680" s="44"/>
      <c r="X680" s="44"/>
      <c r="Y680" s="44"/>
      <c r="Z680" s="44"/>
      <c r="AA680" s="44"/>
      <c r="AB680" s="44"/>
      <c r="AC680" s="44"/>
      <c r="AD680" s="49"/>
      <c r="AE680" s="27"/>
    </row>
    <row r="681" spans="1:31" ht="14.3">
      <c r="A681" s="42" t="str">
        <f ca="1">IFERROR(__xludf.DUMMYFUNCTION("""COMPUTED_VALUE"""),"23SDSEE01001")</f>
        <v>23SDSEE01001</v>
      </c>
      <c r="B681" s="43" t="str">
        <f ca="1">IFERROR(__xludf.DUMMYFUNCTION("""COMPUTED_VALUE"""),"ASHODARIYA AKSHAY SANJAYBHAI")</f>
        <v>ASHODARIYA AKSHAY SANJAYBHAI</v>
      </c>
      <c r="C681" s="42" t="str">
        <f ca="1">IFERROR(__xludf.DUMMYFUNCTION("""COMPUTED_VALUE"""),"SDS")</f>
        <v>SDS</v>
      </c>
      <c r="D681" s="42" t="str">
        <f ca="1">IFERROR(__xludf.DUMMYFUNCTION("""COMPUTED_VALUE"""),"DEE")</f>
        <v>DEE</v>
      </c>
      <c r="E681" s="44">
        <f ca="1">IFERROR(__xludf.DUMMYFUNCTION("""COMPUTED_VALUE"""),2)</f>
        <v>2</v>
      </c>
      <c r="F681" s="42" t="str">
        <f ca="1">IFERROR(__xludf.DUMMYFUNCTION("""COMPUTED_VALUE"""),"9712533715 9978383898")</f>
        <v>9712533715 9978383898</v>
      </c>
      <c r="G681" s="42" t="str">
        <f ca="1">IFERROR(__xludf.DUMMYFUNCTION("""COMPUTED_VALUE"""),"9712533715 9978383898")</f>
        <v>9712533715 9978383898</v>
      </c>
      <c r="H681" s="2" t="str">
        <f ca="1">IFERROR(__xludf.DUMMYFUNCTION("""COMPUTED_VALUE"""),"DEE_2023-26")</f>
        <v>DEE_2023-26</v>
      </c>
      <c r="I681" s="45" t="str">
        <f ca="1">IFERROR(__xludf.DUMMYFUNCTION("""COMPUTED_VALUE"""),"KSP")</f>
        <v>KSP</v>
      </c>
      <c r="J681" s="46">
        <f ca="1">IFERROR(__xludf.DUMMYFUNCTION("""COMPUTED_VALUE"""),27500)</f>
        <v>27500</v>
      </c>
      <c r="K681" s="46">
        <f ca="1">IFERROR(__xludf.DUMMYFUNCTION("""COMPUTED_VALUE"""),0)</f>
        <v>0</v>
      </c>
      <c r="L681" s="46">
        <f ca="1">IFERROR(__xludf.DUMMYFUNCTION("""COMPUTED_VALUE"""),0)</f>
        <v>0</v>
      </c>
      <c r="M681" s="47">
        <f ca="1">IFERROR(__xludf.DUMMYFUNCTION("""COMPUTED_VALUE"""),6250)</f>
        <v>6250</v>
      </c>
      <c r="N681" s="46">
        <f ca="1">IFERROR(__xludf.DUMMYFUNCTION("""COMPUTED_VALUE"""),21250)</f>
        <v>21250</v>
      </c>
      <c r="O681" s="46">
        <f ca="1">IFERROR(__xludf.DUMMYFUNCTION("""COMPUTED_VALUE"""),3000)</f>
        <v>3000</v>
      </c>
      <c r="P681" s="46">
        <f ca="1">IFERROR(__xludf.DUMMYFUNCTION("""COMPUTED_VALUE"""),0)</f>
        <v>0</v>
      </c>
      <c r="Q681" s="47">
        <f ca="1">IFERROR(__xludf.DUMMYFUNCTION("""COMPUTED_VALUE"""),0)</f>
        <v>0</v>
      </c>
      <c r="R681" s="24">
        <f ca="1">IFERROR(__xludf.DUMMYFUNCTION("""COMPUTED_VALUE"""),0)</f>
        <v>0</v>
      </c>
      <c r="S681" s="23">
        <f ca="1">IFERROR(__xludf.DUMMYFUNCTION("""COMPUTED_VALUE"""),3000)</f>
        <v>3000</v>
      </c>
      <c r="T681" s="48">
        <f ca="1">IFERROR(__xludf.DUMMYFUNCTION("""COMPUTED_VALUE"""),0)</f>
        <v>0</v>
      </c>
      <c r="U681" s="47">
        <f ca="1">IFERROR(__xludf.DUMMYFUNCTION("""COMPUTED_VALUE"""),0)</f>
        <v>0</v>
      </c>
      <c r="V681" s="47">
        <f ca="1">IFERROR(__xludf.DUMMYFUNCTION("""COMPUTED_VALUE"""),0)</f>
        <v>0</v>
      </c>
      <c r="W681" s="47">
        <f ca="1">IFERROR(__xludf.DUMMYFUNCTION("""COMPUTED_VALUE"""),0)</f>
        <v>0</v>
      </c>
      <c r="X681" s="47">
        <f ca="1">IFERROR(__xludf.DUMMYFUNCTION("""COMPUTED_VALUE"""),0)</f>
        <v>0</v>
      </c>
      <c r="Y681" s="44">
        <f ca="1">IFERROR(__xludf.DUMMYFUNCTION("""COMPUTED_VALUE"""),0)</f>
        <v>0</v>
      </c>
      <c r="Z681" s="44">
        <f ca="1">IFERROR(__xludf.DUMMYFUNCTION("""COMPUTED_VALUE"""),0)</f>
        <v>0</v>
      </c>
      <c r="AA681" s="44">
        <f ca="1">IFERROR(__xludf.DUMMYFUNCTION("""COMPUTED_VALUE"""),0)</f>
        <v>0</v>
      </c>
      <c r="AB681" s="44">
        <f ca="1">IFERROR(__xludf.DUMMYFUNCTION("""COMPUTED_VALUE"""),0)</f>
        <v>0</v>
      </c>
      <c r="AC681" s="47">
        <f ca="1">IFERROR(__xludf.DUMMYFUNCTION("""COMPUTED_VALUE"""),0)</f>
        <v>0</v>
      </c>
      <c r="AD681" s="49" t="str">
        <f ca="1">IFERROR(__xludf.DUMMYFUNCTION("""COMPUTED_VALUE"""),"KSPS ( 6250/- )")</f>
        <v>KSPS ( 6250/- )</v>
      </c>
      <c r="AE681" s="27"/>
    </row>
    <row r="682" spans="1:31" ht="14.3">
      <c r="A682" s="42" t="str">
        <f ca="1">IFERROR(__xludf.DUMMYFUNCTION("""COMPUTED_VALUE"""),"23SDSEE01003")</f>
        <v>23SDSEE01003</v>
      </c>
      <c r="B682" s="43" t="str">
        <f ca="1">IFERROR(__xludf.DUMMYFUNCTION("""COMPUTED_VALUE"""),"DOBARIYA HEMANSHU JAYSUKHBHAI")</f>
        <v>DOBARIYA HEMANSHU JAYSUKHBHAI</v>
      </c>
      <c r="C682" s="42" t="str">
        <f ca="1">IFERROR(__xludf.DUMMYFUNCTION("""COMPUTED_VALUE"""),"SDS")</f>
        <v>SDS</v>
      </c>
      <c r="D682" s="42" t="str">
        <f ca="1">IFERROR(__xludf.DUMMYFUNCTION("""COMPUTED_VALUE"""),"DEE")</f>
        <v>DEE</v>
      </c>
      <c r="E682" s="44">
        <f ca="1">IFERROR(__xludf.DUMMYFUNCTION("""COMPUTED_VALUE"""),2)</f>
        <v>2</v>
      </c>
      <c r="F682" s="42" t="str">
        <f ca="1">IFERROR(__xludf.DUMMYFUNCTION("""COMPUTED_VALUE"""),"9313680656 9978766401")</f>
        <v>9313680656 9978766401</v>
      </c>
      <c r="G682" s="42" t="str">
        <f ca="1">IFERROR(__xludf.DUMMYFUNCTION("""COMPUTED_VALUE"""),"9313680656 9978766401")</f>
        <v>9313680656 9978766401</v>
      </c>
      <c r="H682" s="2" t="str">
        <f ca="1">IFERROR(__xludf.DUMMYFUNCTION("""COMPUTED_VALUE"""),"DEE_2023-26")</f>
        <v>DEE_2023-26</v>
      </c>
      <c r="I682" s="45"/>
      <c r="J682" s="46">
        <f ca="1">IFERROR(__xludf.DUMMYFUNCTION("""COMPUTED_VALUE"""),27500)</f>
        <v>27500</v>
      </c>
      <c r="K682" s="46">
        <f ca="1">IFERROR(__xludf.DUMMYFUNCTION("""COMPUTED_VALUE"""),27500)</f>
        <v>27500</v>
      </c>
      <c r="L682" s="46">
        <f ca="1">IFERROR(__xludf.DUMMYFUNCTION("""COMPUTED_VALUE"""),0)</f>
        <v>0</v>
      </c>
      <c r="M682" s="47">
        <f ca="1">IFERROR(__xludf.DUMMYFUNCTION("""COMPUTED_VALUE"""),0)</f>
        <v>0</v>
      </c>
      <c r="N682" s="46">
        <f ca="1">IFERROR(__xludf.DUMMYFUNCTION("""COMPUTED_VALUE"""),0)</f>
        <v>0</v>
      </c>
      <c r="O682" s="46">
        <f ca="1">IFERROR(__xludf.DUMMYFUNCTION("""COMPUTED_VALUE"""),3000)</f>
        <v>3000</v>
      </c>
      <c r="P682" s="46">
        <f ca="1">IFERROR(__xludf.DUMMYFUNCTION("""COMPUTED_VALUE"""),3000)</f>
        <v>3000</v>
      </c>
      <c r="Q682" s="47">
        <f ca="1">IFERROR(__xludf.DUMMYFUNCTION("""COMPUTED_VALUE"""),0)</f>
        <v>0</v>
      </c>
      <c r="R682" s="24">
        <f ca="1">IFERROR(__xludf.DUMMYFUNCTION("""COMPUTED_VALUE"""),0)</f>
        <v>0</v>
      </c>
      <c r="S682" s="23">
        <f ca="1">IFERROR(__xludf.DUMMYFUNCTION("""COMPUTED_VALUE"""),0)</f>
        <v>0</v>
      </c>
      <c r="T682" s="48">
        <f ca="1">IFERROR(__xludf.DUMMYFUNCTION("""COMPUTED_VALUE"""),0)</f>
        <v>0</v>
      </c>
      <c r="U682" s="47">
        <f ca="1">IFERROR(__xludf.DUMMYFUNCTION("""COMPUTED_VALUE"""),0)</f>
        <v>0</v>
      </c>
      <c r="V682" s="47">
        <f ca="1">IFERROR(__xludf.DUMMYFUNCTION("""COMPUTED_VALUE"""),0)</f>
        <v>0</v>
      </c>
      <c r="W682" s="47">
        <f ca="1">IFERROR(__xludf.DUMMYFUNCTION("""COMPUTED_VALUE"""),0)</f>
        <v>0</v>
      </c>
      <c r="X682" s="47">
        <f ca="1">IFERROR(__xludf.DUMMYFUNCTION("""COMPUTED_VALUE"""),0)</f>
        <v>0</v>
      </c>
      <c r="Y682" s="44">
        <f ca="1">IFERROR(__xludf.DUMMYFUNCTION("""COMPUTED_VALUE"""),0)</f>
        <v>0</v>
      </c>
      <c r="Z682" s="44">
        <f ca="1">IFERROR(__xludf.DUMMYFUNCTION("""COMPUTED_VALUE"""),0)</f>
        <v>0</v>
      </c>
      <c r="AA682" s="44">
        <f ca="1">IFERROR(__xludf.DUMMYFUNCTION("""COMPUTED_VALUE"""),0)</f>
        <v>0</v>
      </c>
      <c r="AB682" s="44">
        <f ca="1">IFERROR(__xludf.DUMMYFUNCTION("""COMPUTED_VALUE"""),0)</f>
        <v>0</v>
      </c>
      <c r="AC682" s="47">
        <f ca="1">IFERROR(__xludf.DUMMYFUNCTION("""COMPUTED_VALUE"""),0)</f>
        <v>0</v>
      </c>
      <c r="AD682" s="49"/>
      <c r="AE682" s="27"/>
    </row>
    <row r="683" spans="1:31" ht="14.3">
      <c r="A683" s="42" t="str">
        <f ca="1">IFERROR(__xludf.DUMMYFUNCTION("""COMPUTED_VALUE"""),"23SDSEE01004")</f>
        <v>23SDSEE01004</v>
      </c>
      <c r="B683" s="43" t="str">
        <f ca="1">IFERROR(__xludf.DUMMYFUNCTION("""COMPUTED_VALUE"""),"GHAGHRETIYA HIREN ASHOKBHAI")</f>
        <v>GHAGHRETIYA HIREN ASHOKBHAI</v>
      </c>
      <c r="C683" s="42" t="str">
        <f ca="1">IFERROR(__xludf.DUMMYFUNCTION("""COMPUTED_VALUE"""),"SDS")</f>
        <v>SDS</v>
      </c>
      <c r="D683" s="42" t="str">
        <f ca="1">IFERROR(__xludf.DUMMYFUNCTION("""COMPUTED_VALUE"""),"DEE")</f>
        <v>DEE</v>
      </c>
      <c r="E683" s="44">
        <f ca="1">IFERROR(__xludf.DUMMYFUNCTION("""COMPUTED_VALUE"""),2)</f>
        <v>2</v>
      </c>
      <c r="F683" s="42" t="str">
        <f ca="1">IFERROR(__xludf.DUMMYFUNCTION("""COMPUTED_VALUE"""),"8758785123 9724079929")</f>
        <v>8758785123 9724079929</v>
      </c>
      <c r="G683" s="42" t="str">
        <f ca="1">IFERROR(__xludf.DUMMYFUNCTION("""COMPUTED_VALUE"""),"8758785123 9724079929")</f>
        <v>8758785123 9724079929</v>
      </c>
      <c r="H683" s="2" t="str">
        <f ca="1">IFERROR(__xludf.DUMMYFUNCTION("""COMPUTED_VALUE"""),"DEE_2023-26")</f>
        <v>DEE_2023-26</v>
      </c>
      <c r="I683" s="45"/>
      <c r="J683" s="46">
        <f ca="1">IFERROR(__xludf.DUMMYFUNCTION("""COMPUTED_VALUE"""),25000)</f>
        <v>25000</v>
      </c>
      <c r="K683" s="46">
        <f ca="1">IFERROR(__xludf.DUMMYFUNCTION("""COMPUTED_VALUE"""),25000)</f>
        <v>25000</v>
      </c>
      <c r="L683" s="46">
        <f ca="1">IFERROR(__xludf.DUMMYFUNCTION("""COMPUTED_VALUE"""),0)</f>
        <v>0</v>
      </c>
      <c r="M683" s="47">
        <f ca="1">IFERROR(__xludf.DUMMYFUNCTION("""COMPUTED_VALUE"""),0)</f>
        <v>0</v>
      </c>
      <c r="N683" s="46">
        <f ca="1">IFERROR(__xludf.DUMMYFUNCTION("""COMPUTED_VALUE"""),0)</f>
        <v>0</v>
      </c>
      <c r="O683" s="46">
        <f ca="1">IFERROR(__xludf.DUMMYFUNCTION("""COMPUTED_VALUE"""),3000)</f>
        <v>3000</v>
      </c>
      <c r="P683" s="46">
        <f ca="1">IFERROR(__xludf.DUMMYFUNCTION("""COMPUTED_VALUE"""),3000)</f>
        <v>3000</v>
      </c>
      <c r="Q683" s="47">
        <f ca="1">IFERROR(__xludf.DUMMYFUNCTION("""COMPUTED_VALUE"""),0)</f>
        <v>0</v>
      </c>
      <c r="R683" s="24">
        <f ca="1">IFERROR(__xludf.DUMMYFUNCTION("""COMPUTED_VALUE"""),0)</f>
        <v>0</v>
      </c>
      <c r="S683" s="23">
        <f ca="1">IFERROR(__xludf.DUMMYFUNCTION("""COMPUTED_VALUE"""),0)</f>
        <v>0</v>
      </c>
      <c r="T683" s="48">
        <f ca="1">IFERROR(__xludf.DUMMYFUNCTION("""COMPUTED_VALUE"""),0)</f>
        <v>0</v>
      </c>
      <c r="U683" s="47">
        <f ca="1">IFERROR(__xludf.DUMMYFUNCTION("""COMPUTED_VALUE"""),0)</f>
        <v>0</v>
      </c>
      <c r="V683" s="47">
        <f ca="1">IFERROR(__xludf.DUMMYFUNCTION("""COMPUTED_VALUE"""),0)</f>
        <v>0</v>
      </c>
      <c r="W683" s="47">
        <f ca="1">IFERROR(__xludf.DUMMYFUNCTION("""COMPUTED_VALUE"""),0)</f>
        <v>0</v>
      </c>
      <c r="X683" s="47">
        <f ca="1">IFERROR(__xludf.DUMMYFUNCTION("""COMPUTED_VALUE"""),0)</f>
        <v>0</v>
      </c>
      <c r="Y683" s="44">
        <f ca="1">IFERROR(__xludf.DUMMYFUNCTION("""COMPUTED_VALUE"""),0)</f>
        <v>0</v>
      </c>
      <c r="Z683" s="44">
        <f ca="1">IFERROR(__xludf.DUMMYFUNCTION("""COMPUTED_VALUE"""),0)</f>
        <v>0</v>
      </c>
      <c r="AA683" s="44">
        <f ca="1">IFERROR(__xludf.DUMMYFUNCTION("""COMPUTED_VALUE"""),0)</f>
        <v>0</v>
      </c>
      <c r="AB683" s="44">
        <f ca="1">IFERROR(__xludf.DUMMYFUNCTION("""COMPUTED_VALUE"""),0)</f>
        <v>0</v>
      </c>
      <c r="AC683" s="47">
        <f ca="1">IFERROR(__xludf.DUMMYFUNCTION("""COMPUTED_VALUE"""),0)</f>
        <v>0</v>
      </c>
      <c r="AD683" s="49"/>
      <c r="AE683" s="27"/>
    </row>
    <row r="684" spans="1:31" ht="14.3">
      <c r="A684" s="42" t="str">
        <f ca="1">IFERROR(__xludf.DUMMYFUNCTION("""COMPUTED_VALUE"""),"23SDSEE01005")</f>
        <v>23SDSEE01005</v>
      </c>
      <c r="B684" s="43" t="str">
        <f ca="1">IFERROR(__xludf.DUMMYFUNCTION("""COMPUTED_VALUE"""),"JADAV NAYAN MANSUKHBHAI")</f>
        <v>JADAV NAYAN MANSUKHBHAI</v>
      </c>
      <c r="C684" s="42" t="str">
        <f ca="1">IFERROR(__xludf.DUMMYFUNCTION("""COMPUTED_VALUE"""),"SDS")</f>
        <v>SDS</v>
      </c>
      <c r="D684" s="42" t="str">
        <f ca="1">IFERROR(__xludf.DUMMYFUNCTION("""COMPUTED_VALUE"""),"DEE")</f>
        <v>DEE</v>
      </c>
      <c r="E684" s="44">
        <f ca="1">IFERROR(__xludf.DUMMYFUNCTION("""COMPUTED_VALUE"""),2)</f>
        <v>2</v>
      </c>
      <c r="F684" s="42" t="str">
        <f ca="1">IFERROR(__xludf.DUMMYFUNCTION("""COMPUTED_VALUE"""),"9316610896 9924329770")</f>
        <v>9316610896 9924329770</v>
      </c>
      <c r="G684" s="42" t="str">
        <f ca="1">IFERROR(__xludf.DUMMYFUNCTION("""COMPUTED_VALUE"""),"9316610896 9924329770")</f>
        <v>9316610896 9924329770</v>
      </c>
      <c r="H684" s="2" t="str">
        <f ca="1">IFERROR(__xludf.DUMMYFUNCTION("""COMPUTED_VALUE"""),"DEE_2023-26")</f>
        <v>DEE_2023-26</v>
      </c>
      <c r="I684" s="45" t="str">
        <f ca="1">IFERROR(__xludf.DUMMYFUNCTION("""COMPUTED_VALUE"""),"KSP")</f>
        <v>KSP</v>
      </c>
      <c r="J684" s="46">
        <f ca="1">IFERROR(__xludf.DUMMYFUNCTION("""COMPUTED_VALUE"""),27500)</f>
        <v>27500</v>
      </c>
      <c r="K684" s="46">
        <f ca="1">IFERROR(__xludf.DUMMYFUNCTION("""COMPUTED_VALUE"""),21250)</f>
        <v>21250</v>
      </c>
      <c r="L684" s="46">
        <f ca="1">IFERROR(__xludf.DUMMYFUNCTION("""COMPUTED_VALUE"""),0)</f>
        <v>0</v>
      </c>
      <c r="M684" s="47">
        <f ca="1">IFERROR(__xludf.DUMMYFUNCTION("""COMPUTED_VALUE"""),6250)</f>
        <v>6250</v>
      </c>
      <c r="N684" s="46">
        <f ca="1">IFERROR(__xludf.DUMMYFUNCTION("""COMPUTED_VALUE"""),0)</f>
        <v>0</v>
      </c>
      <c r="O684" s="46">
        <f ca="1">IFERROR(__xludf.DUMMYFUNCTION("""COMPUTED_VALUE"""),3000)</f>
        <v>3000</v>
      </c>
      <c r="P684" s="46">
        <f ca="1">IFERROR(__xludf.DUMMYFUNCTION("""COMPUTED_VALUE"""),3000)</f>
        <v>3000</v>
      </c>
      <c r="Q684" s="47">
        <f ca="1">IFERROR(__xludf.DUMMYFUNCTION("""COMPUTED_VALUE"""),0)</f>
        <v>0</v>
      </c>
      <c r="R684" s="24">
        <f ca="1">IFERROR(__xludf.DUMMYFUNCTION("""COMPUTED_VALUE"""),0)</f>
        <v>0</v>
      </c>
      <c r="S684" s="23">
        <f ca="1">IFERROR(__xludf.DUMMYFUNCTION("""COMPUTED_VALUE"""),0)</f>
        <v>0</v>
      </c>
      <c r="T684" s="48">
        <f ca="1">IFERROR(__xludf.DUMMYFUNCTION("""COMPUTED_VALUE"""),0)</f>
        <v>0</v>
      </c>
      <c r="U684" s="47">
        <f ca="1">IFERROR(__xludf.DUMMYFUNCTION("""COMPUTED_VALUE"""),0)</f>
        <v>0</v>
      </c>
      <c r="V684" s="47">
        <f ca="1">IFERROR(__xludf.DUMMYFUNCTION("""COMPUTED_VALUE"""),0)</f>
        <v>0</v>
      </c>
      <c r="W684" s="47">
        <f ca="1">IFERROR(__xludf.DUMMYFUNCTION("""COMPUTED_VALUE"""),0)</f>
        <v>0</v>
      </c>
      <c r="X684" s="47">
        <f ca="1">IFERROR(__xludf.DUMMYFUNCTION("""COMPUTED_VALUE"""),0)</f>
        <v>0</v>
      </c>
      <c r="Y684" s="44">
        <f ca="1">IFERROR(__xludf.DUMMYFUNCTION("""COMPUTED_VALUE"""),0)</f>
        <v>0</v>
      </c>
      <c r="Z684" s="44">
        <f ca="1">IFERROR(__xludf.DUMMYFUNCTION("""COMPUTED_VALUE"""),0)</f>
        <v>0</v>
      </c>
      <c r="AA684" s="44">
        <f ca="1">IFERROR(__xludf.DUMMYFUNCTION("""COMPUTED_VALUE"""),0)</f>
        <v>0</v>
      </c>
      <c r="AB684" s="44">
        <f ca="1">IFERROR(__xludf.DUMMYFUNCTION("""COMPUTED_VALUE"""),0)</f>
        <v>0</v>
      </c>
      <c r="AC684" s="47">
        <f ca="1">IFERROR(__xludf.DUMMYFUNCTION("""COMPUTED_VALUE"""),0)</f>
        <v>0</v>
      </c>
      <c r="AD684" s="49" t="str">
        <f ca="1">IFERROR(__xludf.DUMMYFUNCTION("""COMPUTED_VALUE"""),"KSPS ( 6250/- )")</f>
        <v>KSPS ( 6250/- )</v>
      </c>
      <c r="AE684" s="27"/>
    </row>
    <row r="685" spans="1:31" ht="14.3">
      <c r="A685" s="42" t="str">
        <f ca="1">IFERROR(__xludf.DUMMYFUNCTION("""COMPUTED_VALUE"""),"23SDSEE01006")</f>
        <v>23SDSEE01006</v>
      </c>
      <c r="B685" s="43" t="str">
        <f ca="1">IFERROR(__xludf.DUMMYFUNCTION("""COMPUTED_VALUE"""),"KANSAGARA RONAK RASIKBHAI")</f>
        <v>KANSAGARA RONAK RASIKBHAI</v>
      </c>
      <c r="C685" s="42" t="str">
        <f ca="1">IFERROR(__xludf.DUMMYFUNCTION("""COMPUTED_VALUE"""),"SDS")</f>
        <v>SDS</v>
      </c>
      <c r="D685" s="42" t="str">
        <f ca="1">IFERROR(__xludf.DUMMYFUNCTION("""COMPUTED_VALUE"""),"DEE")</f>
        <v>DEE</v>
      </c>
      <c r="E685" s="44">
        <f ca="1">IFERROR(__xludf.DUMMYFUNCTION("""COMPUTED_VALUE"""),2)</f>
        <v>2</v>
      </c>
      <c r="F685" s="42" t="str">
        <f ca="1">IFERROR(__xludf.DUMMYFUNCTION("""COMPUTED_VALUE"""),"8320477061 9978200172")</f>
        <v>8320477061 9978200172</v>
      </c>
      <c r="G685" s="42" t="str">
        <f ca="1">IFERROR(__xludf.DUMMYFUNCTION("""COMPUTED_VALUE"""),"8320477061 9978200172")</f>
        <v>8320477061 9978200172</v>
      </c>
      <c r="H685" s="2" t="str">
        <f ca="1">IFERROR(__xludf.DUMMYFUNCTION("""COMPUTED_VALUE"""),"DEE_2023-26")</f>
        <v>DEE_2023-26</v>
      </c>
      <c r="I685" s="45"/>
      <c r="J685" s="46">
        <f ca="1">IFERROR(__xludf.DUMMYFUNCTION("""COMPUTED_VALUE"""),27500)</f>
        <v>27500</v>
      </c>
      <c r="K685" s="46">
        <f ca="1">IFERROR(__xludf.DUMMYFUNCTION("""COMPUTED_VALUE"""),27500)</f>
        <v>27500</v>
      </c>
      <c r="L685" s="46">
        <f ca="1">IFERROR(__xludf.DUMMYFUNCTION("""COMPUTED_VALUE"""),0)</f>
        <v>0</v>
      </c>
      <c r="M685" s="47">
        <f ca="1">IFERROR(__xludf.DUMMYFUNCTION("""COMPUTED_VALUE"""),0)</f>
        <v>0</v>
      </c>
      <c r="N685" s="46">
        <f ca="1">IFERROR(__xludf.DUMMYFUNCTION("""COMPUTED_VALUE"""),0)</f>
        <v>0</v>
      </c>
      <c r="O685" s="46">
        <f ca="1">IFERROR(__xludf.DUMMYFUNCTION("""COMPUTED_VALUE"""),3000)</f>
        <v>3000</v>
      </c>
      <c r="P685" s="46">
        <f ca="1">IFERROR(__xludf.DUMMYFUNCTION("""COMPUTED_VALUE"""),3000)</f>
        <v>3000</v>
      </c>
      <c r="Q685" s="47">
        <f ca="1">IFERROR(__xludf.DUMMYFUNCTION("""COMPUTED_VALUE"""),0)</f>
        <v>0</v>
      </c>
      <c r="R685" s="24">
        <f ca="1">IFERROR(__xludf.DUMMYFUNCTION("""COMPUTED_VALUE"""),0)</f>
        <v>0</v>
      </c>
      <c r="S685" s="23">
        <f ca="1">IFERROR(__xludf.DUMMYFUNCTION("""COMPUTED_VALUE"""),0)</f>
        <v>0</v>
      </c>
      <c r="T685" s="48">
        <f ca="1">IFERROR(__xludf.DUMMYFUNCTION("""COMPUTED_VALUE"""),0)</f>
        <v>0</v>
      </c>
      <c r="U685" s="47">
        <f ca="1">IFERROR(__xludf.DUMMYFUNCTION("""COMPUTED_VALUE"""),0)</f>
        <v>0</v>
      </c>
      <c r="V685" s="47">
        <f ca="1">IFERROR(__xludf.DUMMYFUNCTION("""COMPUTED_VALUE"""),0)</f>
        <v>0</v>
      </c>
      <c r="W685" s="47">
        <f ca="1">IFERROR(__xludf.DUMMYFUNCTION("""COMPUTED_VALUE"""),0)</f>
        <v>0</v>
      </c>
      <c r="X685" s="47">
        <f ca="1">IFERROR(__xludf.DUMMYFUNCTION("""COMPUTED_VALUE"""),0)</f>
        <v>0</v>
      </c>
      <c r="Y685" s="44">
        <f ca="1">IFERROR(__xludf.DUMMYFUNCTION("""COMPUTED_VALUE"""),0)</f>
        <v>0</v>
      </c>
      <c r="Z685" s="44">
        <f ca="1">IFERROR(__xludf.DUMMYFUNCTION("""COMPUTED_VALUE"""),0)</f>
        <v>0</v>
      </c>
      <c r="AA685" s="44">
        <f ca="1">IFERROR(__xludf.DUMMYFUNCTION("""COMPUTED_VALUE"""),0)</f>
        <v>0</v>
      </c>
      <c r="AB685" s="44">
        <f ca="1">IFERROR(__xludf.DUMMYFUNCTION("""COMPUTED_VALUE"""),0)</f>
        <v>0</v>
      </c>
      <c r="AC685" s="47">
        <f ca="1">IFERROR(__xludf.DUMMYFUNCTION("""COMPUTED_VALUE"""),0)</f>
        <v>0</v>
      </c>
      <c r="AD685" s="49"/>
      <c r="AE685" s="27"/>
    </row>
    <row r="686" spans="1:31" ht="14.3">
      <c r="A686" s="42" t="str">
        <f ca="1">IFERROR(__xludf.DUMMYFUNCTION("""COMPUTED_VALUE"""),"23SDSEE01007")</f>
        <v>23SDSEE01007</v>
      </c>
      <c r="B686" s="43" t="str">
        <f ca="1">IFERROR(__xludf.DUMMYFUNCTION("""COMPUTED_VALUE"""),"KERALIYA VIRAJ SHAILESHBHAI")</f>
        <v>KERALIYA VIRAJ SHAILESHBHAI</v>
      </c>
      <c r="C686" s="42" t="str">
        <f ca="1">IFERROR(__xludf.DUMMYFUNCTION("""COMPUTED_VALUE"""),"SDS")</f>
        <v>SDS</v>
      </c>
      <c r="D686" s="42" t="str">
        <f ca="1">IFERROR(__xludf.DUMMYFUNCTION("""COMPUTED_VALUE"""),"DEE")</f>
        <v>DEE</v>
      </c>
      <c r="E686" s="44">
        <f ca="1">IFERROR(__xludf.DUMMYFUNCTION("""COMPUTED_VALUE"""),2)</f>
        <v>2</v>
      </c>
      <c r="F686" s="42" t="str">
        <f ca="1">IFERROR(__xludf.DUMMYFUNCTION("""COMPUTED_VALUE"""),"8511881027
9925907557")</f>
        <v>8511881027
9925907557</v>
      </c>
      <c r="G686" s="42" t="str">
        <f ca="1">IFERROR(__xludf.DUMMYFUNCTION("""COMPUTED_VALUE"""),"8511881027
9925907557")</f>
        <v>8511881027
9925907557</v>
      </c>
      <c r="H686" s="2" t="str">
        <f ca="1">IFERROR(__xludf.DUMMYFUNCTION("""COMPUTED_VALUE"""),"DEE_2023-26")</f>
        <v>DEE_2023-26</v>
      </c>
      <c r="I686" s="45"/>
      <c r="J686" s="46">
        <f ca="1">IFERROR(__xludf.DUMMYFUNCTION("""COMPUTED_VALUE"""),27500)</f>
        <v>27500</v>
      </c>
      <c r="K686" s="46">
        <f ca="1">IFERROR(__xludf.DUMMYFUNCTION("""COMPUTED_VALUE"""),27500)</f>
        <v>27500</v>
      </c>
      <c r="L686" s="46">
        <f ca="1">IFERROR(__xludf.DUMMYFUNCTION("""COMPUTED_VALUE"""),0)</f>
        <v>0</v>
      </c>
      <c r="M686" s="47">
        <f ca="1">IFERROR(__xludf.DUMMYFUNCTION("""COMPUTED_VALUE"""),0)</f>
        <v>0</v>
      </c>
      <c r="N686" s="46">
        <f ca="1">IFERROR(__xludf.DUMMYFUNCTION("""COMPUTED_VALUE"""),0)</f>
        <v>0</v>
      </c>
      <c r="O686" s="46">
        <f ca="1">IFERROR(__xludf.DUMMYFUNCTION("""COMPUTED_VALUE"""),3000)</f>
        <v>3000</v>
      </c>
      <c r="P686" s="46">
        <f ca="1">IFERROR(__xludf.DUMMYFUNCTION("""COMPUTED_VALUE"""),3000)</f>
        <v>3000</v>
      </c>
      <c r="Q686" s="47">
        <f ca="1">IFERROR(__xludf.DUMMYFUNCTION("""COMPUTED_VALUE"""),0)</f>
        <v>0</v>
      </c>
      <c r="R686" s="24">
        <f ca="1">IFERROR(__xludf.DUMMYFUNCTION("""COMPUTED_VALUE"""),0)</f>
        <v>0</v>
      </c>
      <c r="S686" s="23">
        <f ca="1">IFERROR(__xludf.DUMMYFUNCTION("""COMPUTED_VALUE"""),0)</f>
        <v>0</v>
      </c>
      <c r="T686" s="48">
        <f ca="1">IFERROR(__xludf.DUMMYFUNCTION("""COMPUTED_VALUE"""),0)</f>
        <v>0</v>
      </c>
      <c r="U686" s="47">
        <f ca="1">IFERROR(__xludf.DUMMYFUNCTION("""COMPUTED_VALUE"""),0)</f>
        <v>0</v>
      </c>
      <c r="V686" s="47">
        <f ca="1">IFERROR(__xludf.DUMMYFUNCTION("""COMPUTED_VALUE"""),0)</f>
        <v>0</v>
      </c>
      <c r="W686" s="47">
        <f ca="1">IFERROR(__xludf.DUMMYFUNCTION("""COMPUTED_VALUE"""),0)</f>
        <v>0</v>
      </c>
      <c r="X686" s="47">
        <f ca="1">IFERROR(__xludf.DUMMYFUNCTION("""COMPUTED_VALUE"""),0)</f>
        <v>0</v>
      </c>
      <c r="Y686" s="44">
        <f ca="1">IFERROR(__xludf.DUMMYFUNCTION("""COMPUTED_VALUE"""),0)</f>
        <v>0</v>
      </c>
      <c r="Z686" s="44">
        <f ca="1">IFERROR(__xludf.DUMMYFUNCTION("""COMPUTED_VALUE"""),0)</f>
        <v>0</v>
      </c>
      <c r="AA686" s="44">
        <f ca="1">IFERROR(__xludf.DUMMYFUNCTION("""COMPUTED_VALUE"""),0)</f>
        <v>0</v>
      </c>
      <c r="AB686" s="44">
        <f ca="1">IFERROR(__xludf.DUMMYFUNCTION("""COMPUTED_VALUE"""),0)</f>
        <v>0</v>
      </c>
      <c r="AC686" s="47">
        <f ca="1">IFERROR(__xludf.DUMMYFUNCTION("""COMPUTED_VALUE"""),0)</f>
        <v>0</v>
      </c>
      <c r="AD686" s="49"/>
      <c r="AE686" s="27"/>
    </row>
    <row r="687" spans="1:31" ht="14.3">
      <c r="A687" s="42" t="str">
        <f ca="1">IFERROR(__xludf.DUMMYFUNCTION("""COMPUTED_VALUE"""),"23SDSEE01008")</f>
        <v>23SDSEE01008</v>
      </c>
      <c r="B687" s="43" t="str">
        <f ca="1">IFERROR(__xludf.DUMMYFUNCTION("""COMPUTED_VALUE"""),"LIMBASIYA HENIL KIRITBHAI")</f>
        <v>LIMBASIYA HENIL KIRITBHAI</v>
      </c>
      <c r="C687" s="42" t="str">
        <f ca="1">IFERROR(__xludf.DUMMYFUNCTION("""COMPUTED_VALUE"""),"SDS")</f>
        <v>SDS</v>
      </c>
      <c r="D687" s="42" t="str">
        <f ca="1">IFERROR(__xludf.DUMMYFUNCTION("""COMPUTED_VALUE"""),"DEE")</f>
        <v>DEE</v>
      </c>
      <c r="E687" s="44">
        <f ca="1">IFERROR(__xludf.DUMMYFUNCTION("""COMPUTED_VALUE"""),2)</f>
        <v>2</v>
      </c>
      <c r="F687" s="42" t="str">
        <f ca="1">IFERROR(__xludf.DUMMYFUNCTION("""COMPUTED_VALUE"""),"9265671948 9913324352")</f>
        <v>9265671948 9913324352</v>
      </c>
      <c r="G687" s="42" t="str">
        <f ca="1">IFERROR(__xludf.DUMMYFUNCTION("""COMPUTED_VALUE"""),"9265671948 9913324352")</f>
        <v>9265671948 9913324352</v>
      </c>
      <c r="H687" s="2" t="str">
        <f ca="1">IFERROR(__xludf.DUMMYFUNCTION("""COMPUTED_VALUE"""),"DEE_2023-26")</f>
        <v>DEE_2023-26</v>
      </c>
      <c r="I687" s="45" t="str">
        <f ca="1">IFERROR(__xludf.DUMMYFUNCTION("""COMPUTED_VALUE"""),"KSP")</f>
        <v>KSP</v>
      </c>
      <c r="J687" s="46">
        <f ca="1">IFERROR(__xludf.DUMMYFUNCTION("""COMPUTED_VALUE"""),27500)</f>
        <v>27500</v>
      </c>
      <c r="K687" s="46">
        <f ca="1">IFERROR(__xludf.DUMMYFUNCTION("""COMPUTED_VALUE"""),15000)</f>
        <v>15000</v>
      </c>
      <c r="L687" s="46">
        <f ca="1">IFERROR(__xludf.DUMMYFUNCTION("""COMPUTED_VALUE"""),0)</f>
        <v>0</v>
      </c>
      <c r="M687" s="47">
        <f ca="1">IFERROR(__xludf.DUMMYFUNCTION("""COMPUTED_VALUE"""),12500)</f>
        <v>12500</v>
      </c>
      <c r="N687" s="46">
        <f ca="1">IFERROR(__xludf.DUMMYFUNCTION("""COMPUTED_VALUE"""),0)</f>
        <v>0</v>
      </c>
      <c r="O687" s="46">
        <f ca="1">IFERROR(__xludf.DUMMYFUNCTION("""COMPUTED_VALUE"""),3000)</f>
        <v>3000</v>
      </c>
      <c r="P687" s="46">
        <f ca="1">IFERROR(__xludf.DUMMYFUNCTION("""COMPUTED_VALUE"""),3000)</f>
        <v>3000</v>
      </c>
      <c r="Q687" s="47">
        <f ca="1">IFERROR(__xludf.DUMMYFUNCTION("""COMPUTED_VALUE"""),0)</f>
        <v>0</v>
      </c>
      <c r="R687" s="24">
        <f ca="1">IFERROR(__xludf.DUMMYFUNCTION("""COMPUTED_VALUE"""),0)</f>
        <v>0</v>
      </c>
      <c r="S687" s="23">
        <f ca="1">IFERROR(__xludf.DUMMYFUNCTION("""COMPUTED_VALUE"""),0)</f>
        <v>0</v>
      </c>
      <c r="T687" s="48">
        <f ca="1">IFERROR(__xludf.DUMMYFUNCTION("""COMPUTED_VALUE"""),0)</f>
        <v>0</v>
      </c>
      <c r="U687" s="47">
        <f ca="1">IFERROR(__xludf.DUMMYFUNCTION("""COMPUTED_VALUE"""),0)</f>
        <v>0</v>
      </c>
      <c r="V687" s="47">
        <f ca="1">IFERROR(__xludf.DUMMYFUNCTION("""COMPUTED_VALUE"""),0)</f>
        <v>0</v>
      </c>
      <c r="W687" s="47">
        <f ca="1">IFERROR(__xludf.DUMMYFUNCTION("""COMPUTED_VALUE"""),0)</f>
        <v>0</v>
      </c>
      <c r="X687" s="47">
        <f ca="1">IFERROR(__xludf.DUMMYFUNCTION("""COMPUTED_VALUE"""),0)</f>
        <v>0</v>
      </c>
      <c r="Y687" s="44">
        <f ca="1">IFERROR(__xludf.DUMMYFUNCTION("""COMPUTED_VALUE"""),0)</f>
        <v>0</v>
      </c>
      <c r="Z687" s="44">
        <f ca="1">IFERROR(__xludf.DUMMYFUNCTION("""COMPUTED_VALUE"""),0)</f>
        <v>0</v>
      </c>
      <c r="AA687" s="44">
        <f ca="1">IFERROR(__xludf.DUMMYFUNCTION("""COMPUTED_VALUE"""),0)</f>
        <v>0</v>
      </c>
      <c r="AB687" s="44">
        <f ca="1">IFERROR(__xludf.DUMMYFUNCTION("""COMPUTED_VALUE"""),0)</f>
        <v>0</v>
      </c>
      <c r="AC687" s="47">
        <f ca="1">IFERROR(__xludf.DUMMYFUNCTION("""COMPUTED_VALUE"""),0)</f>
        <v>0</v>
      </c>
      <c r="AD687" s="49" t="str">
        <f ca="1">IFERROR(__xludf.DUMMYFUNCTION("""COMPUTED_VALUE"""),"KSPS ( 12500/- )")</f>
        <v>KSPS ( 12500/- )</v>
      </c>
      <c r="AE687" s="27"/>
    </row>
    <row r="688" spans="1:31" ht="14.3">
      <c r="A688" s="42" t="str">
        <f ca="1">IFERROR(__xludf.DUMMYFUNCTION("""COMPUTED_VALUE"""),"23SDSEE01009")</f>
        <v>23SDSEE01009</v>
      </c>
      <c r="B688" s="43" t="str">
        <f ca="1">IFERROR(__xludf.DUMMYFUNCTION("""COMPUTED_VALUE"""),"LIMBASIYA PRINCE SHAILESHBHAI")</f>
        <v>LIMBASIYA PRINCE SHAILESHBHAI</v>
      </c>
      <c r="C688" s="42" t="str">
        <f ca="1">IFERROR(__xludf.DUMMYFUNCTION("""COMPUTED_VALUE"""),"SDS")</f>
        <v>SDS</v>
      </c>
      <c r="D688" s="42" t="str">
        <f ca="1">IFERROR(__xludf.DUMMYFUNCTION("""COMPUTED_VALUE"""),"DEE")</f>
        <v>DEE</v>
      </c>
      <c r="E688" s="44">
        <f ca="1">IFERROR(__xludf.DUMMYFUNCTION("""COMPUTED_VALUE"""),2)</f>
        <v>2</v>
      </c>
      <c r="F688" s="42" t="str">
        <f ca="1">IFERROR(__xludf.DUMMYFUNCTION("""COMPUTED_VALUE"""),"9316141091
8469996577")</f>
        <v>9316141091
8469996577</v>
      </c>
      <c r="G688" s="42" t="str">
        <f ca="1">IFERROR(__xludf.DUMMYFUNCTION("""COMPUTED_VALUE"""),"9316141091
8469996577")</f>
        <v>9316141091
8469996577</v>
      </c>
      <c r="H688" s="2" t="str">
        <f ca="1">IFERROR(__xludf.DUMMYFUNCTION("""COMPUTED_VALUE"""),"DEE_2023-26")</f>
        <v>DEE_2023-26</v>
      </c>
      <c r="I688" s="45"/>
      <c r="J688" s="46">
        <f ca="1">IFERROR(__xludf.DUMMYFUNCTION("""COMPUTED_VALUE"""),27500)</f>
        <v>27500</v>
      </c>
      <c r="K688" s="46">
        <f ca="1">IFERROR(__xludf.DUMMYFUNCTION("""COMPUTED_VALUE"""),0)</f>
        <v>0</v>
      </c>
      <c r="L688" s="46">
        <f ca="1">IFERROR(__xludf.DUMMYFUNCTION("""COMPUTED_VALUE"""),0)</f>
        <v>0</v>
      </c>
      <c r="M688" s="47">
        <f ca="1">IFERROR(__xludf.DUMMYFUNCTION("""COMPUTED_VALUE"""),0)</f>
        <v>0</v>
      </c>
      <c r="N688" s="46">
        <f ca="1">IFERROR(__xludf.DUMMYFUNCTION("""COMPUTED_VALUE"""),27500)</f>
        <v>27500</v>
      </c>
      <c r="O688" s="46">
        <f ca="1">IFERROR(__xludf.DUMMYFUNCTION("""COMPUTED_VALUE"""),3000)</f>
        <v>3000</v>
      </c>
      <c r="P688" s="46">
        <f ca="1">IFERROR(__xludf.DUMMYFUNCTION("""COMPUTED_VALUE"""),0)</f>
        <v>0</v>
      </c>
      <c r="Q688" s="47">
        <f ca="1">IFERROR(__xludf.DUMMYFUNCTION("""COMPUTED_VALUE"""),0)</f>
        <v>0</v>
      </c>
      <c r="R688" s="24">
        <f ca="1">IFERROR(__xludf.DUMMYFUNCTION("""COMPUTED_VALUE"""),0)</f>
        <v>0</v>
      </c>
      <c r="S688" s="23">
        <f ca="1">IFERROR(__xludf.DUMMYFUNCTION("""COMPUTED_VALUE"""),3000)</f>
        <v>3000</v>
      </c>
      <c r="T688" s="48">
        <f ca="1">IFERROR(__xludf.DUMMYFUNCTION("""COMPUTED_VALUE"""),0)</f>
        <v>0</v>
      </c>
      <c r="U688" s="47">
        <f ca="1">IFERROR(__xludf.DUMMYFUNCTION("""COMPUTED_VALUE"""),0)</f>
        <v>0</v>
      </c>
      <c r="V688" s="47">
        <f ca="1">IFERROR(__xludf.DUMMYFUNCTION("""COMPUTED_VALUE"""),0)</f>
        <v>0</v>
      </c>
      <c r="W688" s="47">
        <f ca="1">IFERROR(__xludf.DUMMYFUNCTION("""COMPUTED_VALUE"""),0)</f>
        <v>0</v>
      </c>
      <c r="X688" s="47">
        <f ca="1">IFERROR(__xludf.DUMMYFUNCTION("""COMPUTED_VALUE"""),0)</f>
        <v>0</v>
      </c>
      <c r="Y688" s="44">
        <f ca="1">IFERROR(__xludf.DUMMYFUNCTION("""COMPUTED_VALUE"""),0)</f>
        <v>0</v>
      </c>
      <c r="Z688" s="44">
        <f ca="1">IFERROR(__xludf.DUMMYFUNCTION("""COMPUTED_VALUE"""),0)</f>
        <v>0</v>
      </c>
      <c r="AA688" s="44">
        <f ca="1">IFERROR(__xludf.DUMMYFUNCTION("""COMPUTED_VALUE"""),0)</f>
        <v>0</v>
      </c>
      <c r="AB688" s="44">
        <f ca="1">IFERROR(__xludf.DUMMYFUNCTION("""COMPUTED_VALUE"""),0)</f>
        <v>0</v>
      </c>
      <c r="AC688" s="47">
        <f ca="1">IFERROR(__xludf.DUMMYFUNCTION("""COMPUTED_VALUE"""),0)</f>
        <v>0</v>
      </c>
      <c r="AD688" s="49"/>
      <c r="AE688" s="27"/>
    </row>
    <row r="689" spans="1:31" ht="14.3">
      <c r="A689" s="42" t="str">
        <f ca="1">IFERROR(__xludf.DUMMYFUNCTION("""COMPUTED_VALUE"""),"23SDSEE01010")</f>
        <v>23SDSEE01010</v>
      </c>
      <c r="B689" s="43" t="str">
        <f ca="1">IFERROR(__xludf.DUMMYFUNCTION("""COMPUTED_VALUE"""),"LIMBASIYA AARAV DILIPBHAI")</f>
        <v>LIMBASIYA AARAV DILIPBHAI</v>
      </c>
      <c r="C689" s="42" t="str">
        <f ca="1">IFERROR(__xludf.DUMMYFUNCTION("""COMPUTED_VALUE"""),"SDS")</f>
        <v>SDS</v>
      </c>
      <c r="D689" s="42" t="str">
        <f ca="1">IFERROR(__xludf.DUMMYFUNCTION("""COMPUTED_VALUE"""),"DEE")</f>
        <v>DEE</v>
      </c>
      <c r="E689" s="44">
        <f ca="1">IFERROR(__xludf.DUMMYFUNCTION("""COMPUTED_VALUE"""),2)</f>
        <v>2</v>
      </c>
      <c r="F689" s="42" t="str">
        <f ca="1">IFERROR(__xludf.DUMMYFUNCTION("""COMPUTED_VALUE"""),"9909440348
8866242643")</f>
        <v>9909440348
8866242643</v>
      </c>
      <c r="G689" s="42" t="str">
        <f ca="1">IFERROR(__xludf.DUMMYFUNCTION("""COMPUTED_VALUE"""),"9909440348
8866242643")</f>
        <v>9909440348
8866242643</v>
      </c>
      <c r="H689" s="2" t="str">
        <f ca="1">IFERROR(__xludf.DUMMYFUNCTION("""COMPUTED_VALUE"""),"DEE_2023-26")</f>
        <v>DEE_2023-26</v>
      </c>
      <c r="I689" s="45"/>
      <c r="J689" s="46">
        <f ca="1">IFERROR(__xludf.DUMMYFUNCTION("""COMPUTED_VALUE"""),27500)</f>
        <v>27500</v>
      </c>
      <c r="K689" s="46">
        <f ca="1">IFERROR(__xludf.DUMMYFUNCTION("""COMPUTED_VALUE"""),27500)</f>
        <v>27500</v>
      </c>
      <c r="L689" s="46">
        <f ca="1">IFERROR(__xludf.DUMMYFUNCTION("""COMPUTED_VALUE"""),0)</f>
        <v>0</v>
      </c>
      <c r="M689" s="47">
        <f ca="1">IFERROR(__xludf.DUMMYFUNCTION("""COMPUTED_VALUE"""),0)</f>
        <v>0</v>
      </c>
      <c r="N689" s="46">
        <f ca="1">IFERROR(__xludf.DUMMYFUNCTION("""COMPUTED_VALUE"""),0)</f>
        <v>0</v>
      </c>
      <c r="O689" s="46">
        <f ca="1">IFERROR(__xludf.DUMMYFUNCTION("""COMPUTED_VALUE"""),3000)</f>
        <v>3000</v>
      </c>
      <c r="P689" s="46">
        <f ca="1">IFERROR(__xludf.DUMMYFUNCTION("""COMPUTED_VALUE"""),3000)</f>
        <v>3000</v>
      </c>
      <c r="Q689" s="47">
        <f ca="1">IFERROR(__xludf.DUMMYFUNCTION("""COMPUTED_VALUE"""),0)</f>
        <v>0</v>
      </c>
      <c r="R689" s="24">
        <f ca="1">IFERROR(__xludf.DUMMYFUNCTION("""COMPUTED_VALUE"""),0)</f>
        <v>0</v>
      </c>
      <c r="S689" s="23">
        <f ca="1">IFERROR(__xludf.DUMMYFUNCTION("""COMPUTED_VALUE"""),0)</f>
        <v>0</v>
      </c>
      <c r="T689" s="48">
        <f ca="1">IFERROR(__xludf.DUMMYFUNCTION("""COMPUTED_VALUE"""),0)</f>
        <v>0</v>
      </c>
      <c r="U689" s="47">
        <f ca="1">IFERROR(__xludf.DUMMYFUNCTION("""COMPUTED_VALUE"""),0)</f>
        <v>0</v>
      </c>
      <c r="V689" s="47">
        <f ca="1">IFERROR(__xludf.DUMMYFUNCTION("""COMPUTED_VALUE"""),0)</f>
        <v>0</v>
      </c>
      <c r="W689" s="47">
        <f ca="1">IFERROR(__xludf.DUMMYFUNCTION("""COMPUTED_VALUE"""),0)</f>
        <v>0</v>
      </c>
      <c r="X689" s="47">
        <f ca="1">IFERROR(__xludf.DUMMYFUNCTION("""COMPUTED_VALUE"""),0)</f>
        <v>0</v>
      </c>
      <c r="Y689" s="44">
        <f ca="1">IFERROR(__xludf.DUMMYFUNCTION("""COMPUTED_VALUE"""),0)</f>
        <v>0</v>
      </c>
      <c r="Z689" s="44">
        <f ca="1">IFERROR(__xludf.DUMMYFUNCTION("""COMPUTED_VALUE"""),0)</f>
        <v>0</v>
      </c>
      <c r="AA689" s="44">
        <f ca="1">IFERROR(__xludf.DUMMYFUNCTION("""COMPUTED_VALUE"""),0)</f>
        <v>0</v>
      </c>
      <c r="AB689" s="44">
        <f ca="1">IFERROR(__xludf.DUMMYFUNCTION("""COMPUTED_VALUE"""),0)</f>
        <v>0</v>
      </c>
      <c r="AC689" s="47">
        <f ca="1">IFERROR(__xludf.DUMMYFUNCTION("""COMPUTED_VALUE"""),0)</f>
        <v>0</v>
      </c>
      <c r="AD689" s="49"/>
      <c r="AE689" s="27"/>
    </row>
    <row r="690" spans="1:31" ht="14.3">
      <c r="A690" s="42" t="str">
        <f ca="1">IFERROR(__xludf.DUMMYFUNCTION("""COMPUTED_VALUE"""),"23SDSEE01011")</f>
        <v>23SDSEE01011</v>
      </c>
      <c r="B690" s="43" t="str">
        <f ca="1">IFERROR(__xludf.DUMMYFUNCTION("""COMPUTED_VALUE"""),"RADADIYA RAJKUMAR TIKAMBHAI")</f>
        <v>RADADIYA RAJKUMAR TIKAMBHAI</v>
      </c>
      <c r="C690" s="42" t="str">
        <f ca="1">IFERROR(__xludf.DUMMYFUNCTION("""COMPUTED_VALUE"""),"SDS")</f>
        <v>SDS</v>
      </c>
      <c r="D690" s="42" t="str">
        <f ca="1">IFERROR(__xludf.DUMMYFUNCTION("""COMPUTED_VALUE"""),"DEE")</f>
        <v>DEE</v>
      </c>
      <c r="E690" s="44">
        <f ca="1">IFERROR(__xludf.DUMMYFUNCTION("""COMPUTED_VALUE"""),2)</f>
        <v>2</v>
      </c>
      <c r="F690" s="42" t="str">
        <f ca="1">IFERROR(__xludf.DUMMYFUNCTION("""COMPUTED_VALUE"""),"9773277311 6352968039")</f>
        <v>9773277311 6352968039</v>
      </c>
      <c r="G690" s="42" t="str">
        <f ca="1">IFERROR(__xludf.DUMMYFUNCTION("""COMPUTED_VALUE"""),"9773277311 6352968039")</f>
        <v>9773277311 6352968039</v>
      </c>
      <c r="H690" s="2" t="str">
        <f ca="1">IFERROR(__xludf.DUMMYFUNCTION("""COMPUTED_VALUE"""),"DEE_2023-26")</f>
        <v>DEE_2023-26</v>
      </c>
      <c r="I690" s="45" t="str">
        <f ca="1">IFERROR(__xludf.DUMMYFUNCTION("""COMPUTED_VALUE"""),"KSP")</f>
        <v>KSP</v>
      </c>
      <c r="J690" s="46">
        <f ca="1">IFERROR(__xludf.DUMMYFUNCTION("""COMPUTED_VALUE"""),27500)</f>
        <v>27500</v>
      </c>
      <c r="K690" s="46">
        <f ca="1">IFERROR(__xludf.DUMMYFUNCTION("""COMPUTED_VALUE"""),15000)</f>
        <v>15000</v>
      </c>
      <c r="L690" s="46">
        <f ca="1">IFERROR(__xludf.DUMMYFUNCTION("""COMPUTED_VALUE"""),0)</f>
        <v>0</v>
      </c>
      <c r="M690" s="47">
        <f ca="1">IFERROR(__xludf.DUMMYFUNCTION("""COMPUTED_VALUE"""),12500)</f>
        <v>12500</v>
      </c>
      <c r="N690" s="46">
        <f ca="1">IFERROR(__xludf.DUMMYFUNCTION("""COMPUTED_VALUE"""),0)</f>
        <v>0</v>
      </c>
      <c r="O690" s="46">
        <f ca="1">IFERROR(__xludf.DUMMYFUNCTION("""COMPUTED_VALUE"""),3000)</f>
        <v>3000</v>
      </c>
      <c r="P690" s="46">
        <f ca="1">IFERROR(__xludf.DUMMYFUNCTION("""COMPUTED_VALUE"""),3000)</f>
        <v>3000</v>
      </c>
      <c r="Q690" s="47">
        <f ca="1">IFERROR(__xludf.DUMMYFUNCTION("""COMPUTED_VALUE"""),0)</f>
        <v>0</v>
      </c>
      <c r="R690" s="24">
        <f ca="1">IFERROR(__xludf.DUMMYFUNCTION("""COMPUTED_VALUE"""),0)</f>
        <v>0</v>
      </c>
      <c r="S690" s="23">
        <f ca="1">IFERROR(__xludf.DUMMYFUNCTION("""COMPUTED_VALUE"""),0)</f>
        <v>0</v>
      </c>
      <c r="T690" s="48">
        <f ca="1">IFERROR(__xludf.DUMMYFUNCTION("""COMPUTED_VALUE"""),0)</f>
        <v>0</v>
      </c>
      <c r="U690" s="47">
        <f ca="1">IFERROR(__xludf.DUMMYFUNCTION("""COMPUTED_VALUE"""),0)</f>
        <v>0</v>
      </c>
      <c r="V690" s="47">
        <f ca="1">IFERROR(__xludf.DUMMYFUNCTION("""COMPUTED_VALUE"""),0)</f>
        <v>0</v>
      </c>
      <c r="W690" s="47">
        <f ca="1">IFERROR(__xludf.DUMMYFUNCTION("""COMPUTED_VALUE"""),0)</f>
        <v>0</v>
      </c>
      <c r="X690" s="47">
        <f ca="1">IFERROR(__xludf.DUMMYFUNCTION("""COMPUTED_VALUE"""),0)</f>
        <v>0</v>
      </c>
      <c r="Y690" s="44">
        <f ca="1">IFERROR(__xludf.DUMMYFUNCTION("""COMPUTED_VALUE"""),0)</f>
        <v>0</v>
      </c>
      <c r="Z690" s="44">
        <f ca="1">IFERROR(__xludf.DUMMYFUNCTION("""COMPUTED_VALUE"""),0)</f>
        <v>0</v>
      </c>
      <c r="AA690" s="44">
        <f ca="1">IFERROR(__xludf.DUMMYFUNCTION("""COMPUTED_VALUE"""),0)</f>
        <v>0</v>
      </c>
      <c r="AB690" s="44">
        <f ca="1">IFERROR(__xludf.DUMMYFUNCTION("""COMPUTED_VALUE"""),0)</f>
        <v>0</v>
      </c>
      <c r="AC690" s="47">
        <f ca="1">IFERROR(__xludf.DUMMYFUNCTION("""COMPUTED_VALUE"""),0)</f>
        <v>0</v>
      </c>
      <c r="AD690" s="49" t="str">
        <f ca="1">IFERROR(__xludf.DUMMYFUNCTION("""COMPUTED_VALUE"""),"KSPS ( 12500/- )")</f>
        <v>KSPS ( 12500/- )</v>
      </c>
      <c r="AE690" s="27"/>
    </row>
    <row r="691" spans="1:31" ht="14.3">
      <c r="A691" s="42" t="str">
        <f ca="1">IFERROR(__xludf.DUMMYFUNCTION("""COMPUTED_VALUE"""),"23SDSEE01012")</f>
        <v>23SDSEE01012</v>
      </c>
      <c r="B691" s="43" t="str">
        <f ca="1">IFERROR(__xludf.DUMMYFUNCTION("""COMPUTED_VALUE"""),"SHUBHAM BARASIYA")</f>
        <v>SHUBHAM BARASIYA</v>
      </c>
      <c r="C691" s="42" t="str">
        <f ca="1">IFERROR(__xludf.DUMMYFUNCTION("""COMPUTED_VALUE"""),"SDS")</f>
        <v>SDS</v>
      </c>
      <c r="D691" s="42" t="str">
        <f ca="1">IFERROR(__xludf.DUMMYFUNCTION("""COMPUTED_VALUE"""),"DEE")</f>
        <v>DEE</v>
      </c>
      <c r="E691" s="44">
        <f ca="1">IFERROR(__xludf.DUMMYFUNCTION("""COMPUTED_VALUE"""),2)</f>
        <v>2</v>
      </c>
      <c r="F691" s="42" t="str">
        <f ca="1">IFERROR(__xludf.DUMMYFUNCTION("""COMPUTED_VALUE"""),"9624887468 9925442852")</f>
        <v>9624887468 9925442852</v>
      </c>
      <c r="G691" s="42" t="str">
        <f ca="1">IFERROR(__xludf.DUMMYFUNCTION("""COMPUTED_VALUE"""),"9624887468 9925442852")</f>
        <v>9624887468 9925442852</v>
      </c>
      <c r="H691" s="2" t="str">
        <f ca="1">IFERROR(__xludf.DUMMYFUNCTION("""COMPUTED_VALUE"""),"DEE_2023-26")</f>
        <v>DEE_2023-26</v>
      </c>
      <c r="I691" s="45" t="str">
        <f ca="1">IFERROR(__xludf.DUMMYFUNCTION("""COMPUTED_VALUE"""),"KSP")</f>
        <v>KSP</v>
      </c>
      <c r="J691" s="46">
        <f ca="1">IFERROR(__xludf.DUMMYFUNCTION("""COMPUTED_VALUE"""),27500)</f>
        <v>27500</v>
      </c>
      <c r="K691" s="46">
        <f ca="1">IFERROR(__xludf.DUMMYFUNCTION("""COMPUTED_VALUE"""),21250)</f>
        <v>21250</v>
      </c>
      <c r="L691" s="46">
        <f ca="1">IFERROR(__xludf.DUMMYFUNCTION("""COMPUTED_VALUE"""),0)</f>
        <v>0</v>
      </c>
      <c r="M691" s="47">
        <f ca="1">IFERROR(__xludf.DUMMYFUNCTION("""COMPUTED_VALUE"""),6250)</f>
        <v>6250</v>
      </c>
      <c r="N691" s="46">
        <f ca="1">IFERROR(__xludf.DUMMYFUNCTION("""COMPUTED_VALUE"""),0)</f>
        <v>0</v>
      </c>
      <c r="O691" s="46">
        <f ca="1">IFERROR(__xludf.DUMMYFUNCTION("""COMPUTED_VALUE"""),3000)</f>
        <v>3000</v>
      </c>
      <c r="P691" s="46">
        <f ca="1">IFERROR(__xludf.DUMMYFUNCTION("""COMPUTED_VALUE"""),3000)</f>
        <v>3000</v>
      </c>
      <c r="Q691" s="47">
        <f ca="1">IFERROR(__xludf.DUMMYFUNCTION("""COMPUTED_VALUE"""),0)</f>
        <v>0</v>
      </c>
      <c r="R691" s="24">
        <f ca="1">IFERROR(__xludf.DUMMYFUNCTION("""COMPUTED_VALUE"""),0)</f>
        <v>0</v>
      </c>
      <c r="S691" s="23">
        <f ca="1">IFERROR(__xludf.DUMMYFUNCTION("""COMPUTED_VALUE"""),0)</f>
        <v>0</v>
      </c>
      <c r="T691" s="48">
        <f ca="1">IFERROR(__xludf.DUMMYFUNCTION("""COMPUTED_VALUE"""),0)</f>
        <v>0</v>
      </c>
      <c r="U691" s="47">
        <f ca="1">IFERROR(__xludf.DUMMYFUNCTION("""COMPUTED_VALUE"""),0)</f>
        <v>0</v>
      </c>
      <c r="V691" s="47">
        <f ca="1">IFERROR(__xludf.DUMMYFUNCTION("""COMPUTED_VALUE"""),0)</f>
        <v>0</v>
      </c>
      <c r="W691" s="47">
        <f ca="1">IFERROR(__xludf.DUMMYFUNCTION("""COMPUTED_VALUE"""),0)</f>
        <v>0</v>
      </c>
      <c r="X691" s="47">
        <f ca="1">IFERROR(__xludf.DUMMYFUNCTION("""COMPUTED_VALUE"""),0)</f>
        <v>0</v>
      </c>
      <c r="Y691" s="44">
        <f ca="1">IFERROR(__xludf.DUMMYFUNCTION("""COMPUTED_VALUE"""),0)</f>
        <v>0</v>
      </c>
      <c r="Z691" s="44">
        <f ca="1">IFERROR(__xludf.DUMMYFUNCTION("""COMPUTED_VALUE"""),0)</f>
        <v>0</v>
      </c>
      <c r="AA691" s="44">
        <f ca="1">IFERROR(__xludf.DUMMYFUNCTION("""COMPUTED_VALUE"""),0)</f>
        <v>0</v>
      </c>
      <c r="AB691" s="44">
        <f ca="1">IFERROR(__xludf.DUMMYFUNCTION("""COMPUTED_VALUE"""),0)</f>
        <v>0</v>
      </c>
      <c r="AC691" s="47">
        <f ca="1">IFERROR(__xludf.DUMMYFUNCTION("""COMPUTED_VALUE"""),0)</f>
        <v>0</v>
      </c>
      <c r="AD691" s="49" t="str">
        <f ca="1">IFERROR(__xludf.DUMMYFUNCTION("""COMPUTED_VALUE"""),"KSPS ( 6250/- )")</f>
        <v>KSPS ( 6250/- )</v>
      </c>
      <c r="AE691" s="27"/>
    </row>
    <row r="692" spans="1:31" ht="14.3">
      <c r="A692" s="42" t="str">
        <f ca="1">IFERROR(__xludf.DUMMYFUNCTION("""COMPUTED_VALUE"""),"23SDSEE01013")</f>
        <v>23SDSEE01013</v>
      </c>
      <c r="B692" s="43" t="str">
        <f ca="1">IFERROR(__xludf.DUMMYFUNCTION("""COMPUTED_VALUE"""),"VADODARIYA DEEP LALAJIBHAI")</f>
        <v>VADODARIYA DEEP LALAJIBHAI</v>
      </c>
      <c r="C692" s="42" t="str">
        <f ca="1">IFERROR(__xludf.DUMMYFUNCTION("""COMPUTED_VALUE"""),"SDS")</f>
        <v>SDS</v>
      </c>
      <c r="D692" s="42" t="str">
        <f ca="1">IFERROR(__xludf.DUMMYFUNCTION("""COMPUTED_VALUE"""),"DEE")</f>
        <v>DEE</v>
      </c>
      <c r="E692" s="44">
        <f ca="1">IFERROR(__xludf.DUMMYFUNCTION("""COMPUTED_VALUE"""),2)</f>
        <v>2</v>
      </c>
      <c r="F692" s="42" t="str">
        <f ca="1">IFERROR(__xludf.DUMMYFUNCTION("""COMPUTED_VALUE"""),"9510417006 9879304154")</f>
        <v>9510417006 9879304154</v>
      </c>
      <c r="G692" s="42" t="str">
        <f ca="1">IFERROR(__xludf.DUMMYFUNCTION("""COMPUTED_VALUE"""),"9510417006 9879304154")</f>
        <v>9510417006 9879304154</v>
      </c>
      <c r="H692" s="2" t="str">
        <f ca="1">IFERROR(__xludf.DUMMYFUNCTION("""COMPUTED_VALUE"""),"DCE_2023-26")</f>
        <v>DCE_2023-26</v>
      </c>
      <c r="I692" s="45" t="str">
        <f ca="1">IFERROR(__xludf.DUMMYFUNCTION("""COMPUTED_VALUE"""),"KSP")</f>
        <v>KSP</v>
      </c>
      <c r="J692" s="46">
        <f ca="1">IFERROR(__xludf.DUMMYFUNCTION("""COMPUTED_VALUE"""),27500)</f>
        <v>27500</v>
      </c>
      <c r="K692" s="46">
        <f ca="1">IFERROR(__xludf.DUMMYFUNCTION("""COMPUTED_VALUE"""),15000)</f>
        <v>15000</v>
      </c>
      <c r="L692" s="46">
        <f ca="1">IFERROR(__xludf.DUMMYFUNCTION("""COMPUTED_VALUE"""),0)</f>
        <v>0</v>
      </c>
      <c r="M692" s="47">
        <f ca="1">IFERROR(__xludf.DUMMYFUNCTION("""COMPUTED_VALUE"""),12500)</f>
        <v>12500</v>
      </c>
      <c r="N692" s="46">
        <f ca="1">IFERROR(__xludf.DUMMYFUNCTION("""COMPUTED_VALUE"""),0)</f>
        <v>0</v>
      </c>
      <c r="O692" s="46">
        <f ca="1">IFERROR(__xludf.DUMMYFUNCTION("""COMPUTED_VALUE"""),3000)</f>
        <v>3000</v>
      </c>
      <c r="P692" s="46">
        <f ca="1">IFERROR(__xludf.DUMMYFUNCTION("""COMPUTED_VALUE"""),3000)</f>
        <v>3000</v>
      </c>
      <c r="Q692" s="47">
        <f ca="1">IFERROR(__xludf.DUMMYFUNCTION("""COMPUTED_VALUE"""),0)</f>
        <v>0</v>
      </c>
      <c r="R692" s="24">
        <f ca="1">IFERROR(__xludf.DUMMYFUNCTION("""COMPUTED_VALUE"""),0)</f>
        <v>0</v>
      </c>
      <c r="S692" s="23">
        <f ca="1">IFERROR(__xludf.DUMMYFUNCTION("""COMPUTED_VALUE"""),0)</f>
        <v>0</v>
      </c>
      <c r="T692" s="48">
        <f ca="1">IFERROR(__xludf.DUMMYFUNCTION("""COMPUTED_VALUE"""),0)</f>
        <v>0</v>
      </c>
      <c r="U692" s="47">
        <f ca="1">IFERROR(__xludf.DUMMYFUNCTION("""COMPUTED_VALUE"""),0)</f>
        <v>0</v>
      </c>
      <c r="V692" s="47">
        <f ca="1">IFERROR(__xludf.DUMMYFUNCTION("""COMPUTED_VALUE"""),0)</f>
        <v>0</v>
      </c>
      <c r="W692" s="47">
        <f ca="1">IFERROR(__xludf.DUMMYFUNCTION("""COMPUTED_VALUE"""),0)</f>
        <v>0</v>
      </c>
      <c r="X692" s="47">
        <f ca="1">IFERROR(__xludf.DUMMYFUNCTION("""COMPUTED_VALUE"""),0)</f>
        <v>0</v>
      </c>
      <c r="Y692" s="44">
        <f ca="1">IFERROR(__xludf.DUMMYFUNCTION("""COMPUTED_VALUE"""),0)</f>
        <v>0</v>
      </c>
      <c r="Z692" s="44">
        <f ca="1">IFERROR(__xludf.DUMMYFUNCTION("""COMPUTED_VALUE"""),0)</f>
        <v>0</v>
      </c>
      <c r="AA692" s="44">
        <f ca="1">IFERROR(__xludf.DUMMYFUNCTION("""COMPUTED_VALUE"""),0)</f>
        <v>0</v>
      </c>
      <c r="AB692" s="44">
        <f ca="1">IFERROR(__xludf.DUMMYFUNCTION("""COMPUTED_VALUE"""),0)</f>
        <v>0</v>
      </c>
      <c r="AC692" s="47">
        <f ca="1">IFERROR(__xludf.DUMMYFUNCTION("""COMPUTED_VALUE"""),0)</f>
        <v>0</v>
      </c>
      <c r="AD692" s="49" t="str">
        <f ca="1">IFERROR(__xludf.DUMMYFUNCTION("""COMPUTED_VALUE"""),"KSPS ( 12500/- )")</f>
        <v>KSPS ( 12500/- )</v>
      </c>
      <c r="AE692" s="27"/>
    </row>
    <row r="693" spans="1:31" ht="14.3">
      <c r="A693" s="42" t="str">
        <f ca="1">IFERROR(__xludf.DUMMYFUNCTION("""COMPUTED_VALUE"""),"23SDSEE01014")</f>
        <v>23SDSEE01014</v>
      </c>
      <c r="B693" s="43" t="str">
        <f ca="1">IFERROR(__xludf.DUMMYFUNCTION("""COMPUTED_VALUE"""),"PRASHANT KUMAR")</f>
        <v>PRASHANT KUMAR</v>
      </c>
      <c r="C693" s="42" t="str">
        <f ca="1">IFERROR(__xludf.DUMMYFUNCTION("""COMPUTED_VALUE"""),"SDS")</f>
        <v>SDS</v>
      </c>
      <c r="D693" s="42" t="str">
        <f ca="1">IFERROR(__xludf.DUMMYFUNCTION("""COMPUTED_VALUE"""),"DEE")</f>
        <v>DEE</v>
      </c>
      <c r="E693" s="44">
        <f ca="1">IFERROR(__xludf.DUMMYFUNCTION("""COMPUTED_VALUE"""),2)</f>
        <v>2</v>
      </c>
      <c r="F693" s="42" t="str">
        <f ca="1">IFERROR(__xludf.DUMMYFUNCTION("""COMPUTED_VALUE"""),"BIHAR STUDENT")</f>
        <v>BIHAR STUDENT</v>
      </c>
      <c r="G693" s="42" t="str">
        <f ca="1">IFERROR(__xludf.DUMMYFUNCTION("""COMPUTED_VALUE"""),"BIHAR STUDENT")</f>
        <v>BIHAR STUDENT</v>
      </c>
      <c r="H693" s="2" t="str">
        <f ca="1">IFERROR(__xludf.DUMMYFUNCTION("""COMPUTED_VALUE"""),"DCE_2023-26")</f>
        <v>DCE_2023-26</v>
      </c>
      <c r="I693" s="45"/>
      <c r="J693" s="46">
        <f ca="1">IFERROR(__xludf.DUMMYFUNCTION("""COMPUTED_VALUE"""),0)</f>
        <v>0</v>
      </c>
      <c r="K693" s="46">
        <f ca="1">IFERROR(__xludf.DUMMYFUNCTION("""COMPUTED_VALUE"""),0)</f>
        <v>0</v>
      </c>
      <c r="L693" s="46">
        <f ca="1">IFERROR(__xludf.DUMMYFUNCTION("""COMPUTED_VALUE"""),0)</f>
        <v>0</v>
      </c>
      <c r="M693" s="47">
        <f ca="1">IFERROR(__xludf.DUMMYFUNCTION("""COMPUTED_VALUE"""),0)</f>
        <v>0</v>
      </c>
      <c r="N693" s="46">
        <f ca="1">IFERROR(__xludf.DUMMYFUNCTION("""COMPUTED_VALUE"""),0)</f>
        <v>0</v>
      </c>
      <c r="O693" s="46">
        <f ca="1">IFERROR(__xludf.DUMMYFUNCTION("""COMPUTED_VALUE"""),0)</f>
        <v>0</v>
      </c>
      <c r="P693" s="46">
        <f ca="1">IFERROR(__xludf.DUMMYFUNCTION("""COMPUTED_VALUE"""),0)</f>
        <v>0</v>
      </c>
      <c r="Q693" s="47">
        <f ca="1">IFERROR(__xludf.DUMMYFUNCTION("""COMPUTED_VALUE"""),0)</f>
        <v>0</v>
      </c>
      <c r="R693" s="24">
        <f ca="1">IFERROR(__xludf.DUMMYFUNCTION("""COMPUTED_VALUE"""),0)</f>
        <v>0</v>
      </c>
      <c r="S693" s="23">
        <f ca="1">IFERROR(__xludf.DUMMYFUNCTION("""COMPUTED_VALUE"""),0)</f>
        <v>0</v>
      </c>
      <c r="T693" s="48">
        <f ca="1">IFERROR(__xludf.DUMMYFUNCTION("""COMPUTED_VALUE"""),0)</f>
        <v>0</v>
      </c>
      <c r="U693" s="47">
        <f ca="1">IFERROR(__xludf.DUMMYFUNCTION("""COMPUTED_VALUE"""),0)</f>
        <v>0</v>
      </c>
      <c r="V693" s="47">
        <f ca="1">IFERROR(__xludf.DUMMYFUNCTION("""COMPUTED_VALUE"""),0)</f>
        <v>0</v>
      </c>
      <c r="W693" s="47">
        <f ca="1">IFERROR(__xludf.DUMMYFUNCTION("""COMPUTED_VALUE"""),0)</f>
        <v>0</v>
      </c>
      <c r="X693" s="47">
        <f ca="1">IFERROR(__xludf.DUMMYFUNCTION("""COMPUTED_VALUE"""),0)</f>
        <v>0</v>
      </c>
      <c r="Y693" s="44">
        <f ca="1">IFERROR(__xludf.DUMMYFUNCTION("""COMPUTED_VALUE"""),0)</f>
        <v>0</v>
      </c>
      <c r="Z693" s="44">
        <f ca="1">IFERROR(__xludf.DUMMYFUNCTION("""COMPUTED_VALUE"""),0)</f>
        <v>0</v>
      </c>
      <c r="AA693" s="44">
        <f ca="1">IFERROR(__xludf.DUMMYFUNCTION("""COMPUTED_VALUE"""),0)</f>
        <v>0</v>
      </c>
      <c r="AB693" s="44">
        <f ca="1">IFERROR(__xludf.DUMMYFUNCTION("""COMPUTED_VALUE"""),0)</f>
        <v>0</v>
      </c>
      <c r="AC693" s="47">
        <f ca="1">IFERROR(__xludf.DUMMYFUNCTION("""COMPUTED_VALUE"""),0)</f>
        <v>0</v>
      </c>
      <c r="AD693" s="49"/>
      <c r="AE693" s="27"/>
    </row>
    <row r="694" spans="1:31" ht="14.3">
      <c r="A694" s="42" t="str">
        <f ca="1">IFERROR(__xludf.DUMMYFUNCTION("""COMPUTED_VALUE"""),"23SDSEE01015")</f>
        <v>23SDSEE01015</v>
      </c>
      <c r="B694" s="43" t="str">
        <f ca="1">IFERROR(__xludf.DUMMYFUNCTION("""COMPUTED_VALUE"""),"VALA RUDRADEEP")</f>
        <v>VALA RUDRADEEP</v>
      </c>
      <c r="C694" s="42" t="str">
        <f ca="1">IFERROR(__xludf.DUMMYFUNCTION("""COMPUTED_VALUE"""),"SDS")</f>
        <v>SDS</v>
      </c>
      <c r="D694" s="42" t="str">
        <f ca="1">IFERROR(__xludf.DUMMYFUNCTION("""COMPUTED_VALUE"""),"DEE")</f>
        <v>DEE</v>
      </c>
      <c r="E694" s="44">
        <f ca="1">IFERROR(__xludf.DUMMYFUNCTION("""COMPUTED_VALUE"""),2)</f>
        <v>2</v>
      </c>
      <c r="F694" s="42" t="str">
        <f ca="1">IFERROR(__xludf.DUMMYFUNCTION("""COMPUTED_VALUE"""),"9998154199 9106906808")</f>
        <v>9998154199 9106906808</v>
      </c>
      <c r="G694" s="42" t="str">
        <f ca="1">IFERROR(__xludf.DUMMYFUNCTION("""COMPUTED_VALUE"""),"9998154199 9106906808")</f>
        <v>9998154199 9106906808</v>
      </c>
      <c r="H694" s="2" t="str">
        <f ca="1">IFERROR(__xludf.DUMMYFUNCTION("""COMPUTED_VALUE"""),"DEE_2023-26")</f>
        <v>DEE_2023-26</v>
      </c>
      <c r="I694" s="45"/>
      <c r="J694" s="46">
        <f ca="1">IFERROR(__xludf.DUMMYFUNCTION("""COMPUTED_VALUE"""),27500)</f>
        <v>27500</v>
      </c>
      <c r="K694" s="46">
        <f ca="1">IFERROR(__xludf.DUMMYFUNCTION("""COMPUTED_VALUE"""),0)</f>
        <v>0</v>
      </c>
      <c r="L694" s="46">
        <f ca="1">IFERROR(__xludf.DUMMYFUNCTION("""COMPUTED_VALUE"""),0)</f>
        <v>0</v>
      </c>
      <c r="M694" s="47">
        <f ca="1">IFERROR(__xludf.DUMMYFUNCTION("""COMPUTED_VALUE"""),0)</f>
        <v>0</v>
      </c>
      <c r="N694" s="46">
        <f ca="1">IFERROR(__xludf.DUMMYFUNCTION("""COMPUTED_VALUE"""),27500)</f>
        <v>27500</v>
      </c>
      <c r="O694" s="46">
        <f ca="1">IFERROR(__xludf.DUMMYFUNCTION("""COMPUTED_VALUE"""),3000)</f>
        <v>3000</v>
      </c>
      <c r="P694" s="46">
        <f ca="1">IFERROR(__xludf.DUMMYFUNCTION("""COMPUTED_VALUE"""),0)</f>
        <v>0</v>
      </c>
      <c r="Q694" s="47">
        <f ca="1">IFERROR(__xludf.DUMMYFUNCTION("""COMPUTED_VALUE"""),0)</f>
        <v>0</v>
      </c>
      <c r="R694" s="24">
        <f ca="1">IFERROR(__xludf.DUMMYFUNCTION("""COMPUTED_VALUE"""),0)</f>
        <v>0</v>
      </c>
      <c r="S694" s="23">
        <f ca="1">IFERROR(__xludf.DUMMYFUNCTION("""COMPUTED_VALUE"""),3000)</f>
        <v>3000</v>
      </c>
      <c r="T694" s="48">
        <f ca="1">IFERROR(__xludf.DUMMYFUNCTION("""COMPUTED_VALUE"""),0)</f>
        <v>0</v>
      </c>
      <c r="U694" s="47">
        <f ca="1">IFERROR(__xludf.DUMMYFUNCTION("""COMPUTED_VALUE"""),0)</f>
        <v>0</v>
      </c>
      <c r="V694" s="47">
        <f ca="1">IFERROR(__xludf.DUMMYFUNCTION("""COMPUTED_VALUE"""),0)</f>
        <v>0</v>
      </c>
      <c r="W694" s="47">
        <f ca="1">IFERROR(__xludf.DUMMYFUNCTION("""COMPUTED_VALUE"""),0)</f>
        <v>0</v>
      </c>
      <c r="X694" s="47">
        <f ca="1">IFERROR(__xludf.DUMMYFUNCTION("""COMPUTED_VALUE"""),0)</f>
        <v>0</v>
      </c>
      <c r="Y694" s="44">
        <f ca="1">IFERROR(__xludf.DUMMYFUNCTION("""COMPUTED_VALUE"""),0)</f>
        <v>0</v>
      </c>
      <c r="Z694" s="44">
        <f ca="1">IFERROR(__xludf.DUMMYFUNCTION("""COMPUTED_VALUE"""),0)</f>
        <v>0</v>
      </c>
      <c r="AA694" s="44">
        <f ca="1">IFERROR(__xludf.DUMMYFUNCTION("""COMPUTED_VALUE"""),0)</f>
        <v>0</v>
      </c>
      <c r="AB694" s="44">
        <f ca="1">IFERROR(__xludf.DUMMYFUNCTION("""COMPUTED_VALUE"""),0)</f>
        <v>0</v>
      </c>
      <c r="AC694" s="47">
        <f ca="1">IFERROR(__xludf.DUMMYFUNCTION("""COMPUTED_VALUE"""),0)</f>
        <v>0</v>
      </c>
      <c r="AD694" s="49"/>
      <c r="AE694" s="27"/>
    </row>
    <row r="695" spans="1:31" ht="14.3">
      <c r="A695" s="42" t="str">
        <f ca="1">IFERROR(__xludf.DUMMYFUNCTION("""COMPUTED_VALUE"""),"23SDSEE01601")</f>
        <v>23SDSEE01601</v>
      </c>
      <c r="B695" s="43" t="str">
        <f ca="1">IFERROR(__xludf.DUMMYFUNCTION("""COMPUTED_VALUE"""),"KATSANDE TADIWANASHE")</f>
        <v>KATSANDE TADIWANASHE</v>
      </c>
      <c r="C695" s="42" t="str">
        <f ca="1">IFERROR(__xludf.DUMMYFUNCTION("""COMPUTED_VALUE"""),"SDS")</f>
        <v>SDS</v>
      </c>
      <c r="D695" s="42" t="str">
        <f ca="1">IFERROR(__xludf.DUMMYFUNCTION("""COMPUTED_VALUE"""),"DEE")</f>
        <v>DEE</v>
      </c>
      <c r="E695" s="44">
        <f ca="1">IFERROR(__xludf.DUMMYFUNCTION("""COMPUTED_VALUE"""),2)</f>
        <v>2</v>
      </c>
      <c r="F695" s="42" t="str">
        <f ca="1">IFERROR(__xludf.DUMMYFUNCTION("""COMPUTED_VALUE"""),"INTERNATIONAL")</f>
        <v>INTERNATIONAL</v>
      </c>
      <c r="G695" s="42" t="str">
        <f ca="1">IFERROR(__xludf.DUMMYFUNCTION("""COMPUTED_VALUE"""),"USD FEE STUDENT")</f>
        <v>USD FEE STUDENT</v>
      </c>
      <c r="H695" s="2" t="str">
        <f ca="1">IFERROR(__xludf.DUMMYFUNCTION("""COMPUTED_VALUE"""),"DEE_2023-26")</f>
        <v>DEE_2023-26</v>
      </c>
      <c r="I695" s="45"/>
      <c r="J695" s="46">
        <f ca="1">IFERROR(__xludf.DUMMYFUNCTION("""COMPUTED_VALUE"""),0)</f>
        <v>0</v>
      </c>
      <c r="K695" s="46">
        <f ca="1">IFERROR(__xludf.DUMMYFUNCTION("""COMPUTED_VALUE"""),0)</f>
        <v>0</v>
      </c>
      <c r="L695" s="46">
        <f ca="1">IFERROR(__xludf.DUMMYFUNCTION("""COMPUTED_VALUE"""),0)</f>
        <v>0</v>
      </c>
      <c r="M695" s="47">
        <f ca="1">IFERROR(__xludf.DUMMYFUNCTION("""COMPUTED_VALUE"""),0)</f>
        <v>0</v>
      </c>
      <c r="N695" s="46">
        <f ca="1">IFERROR(__xludf.DUMMYFUNCTION("""COMPUTED_VALUE"""),0)</f>
        <v>0</v>
      </c>
      <c r="O695" s="46">
        <f ca="1">IFERROR(__xludf.DUMMYFUNCTION("""COMPUTED_VALUE"""),0)</f>
        <v>0</v>
      </c>
      <c r="P695" s="46">
        <f ca="1">IFERROR(__xludf.DUMMYFUNCTION("""COMPUTED_VALUE"""),0)</f>
        <v>0</v>
      </c>
      <c r="Q695" s="47">
        <f ca="1">IFERROR(__xludf.DUMMYFUNCTION("""COMPUTED_VALUE"""),0)</f>
        <v>0</v>
      </c>
      <c r="R695" s="24">
        <f ca="1">IFERROR(__xludf.DUMMYFUNCTION("""COMPUTED_VALUE"""),0)</f>
        <v>0</v>
      </c>
      <c r="S695" s="23">
        <f ca="1">IFERROR(__xludf.DUMMYFUNCTION("""COMPUTED_VALUE"""),0)</f>
        <v>0</v>
      </c>
      <c r="T695" s="48">
        <f ca="1">IFERROR(__xludf.DUMMYFUNCTION("""COMPUTED_VALUE"""),0)</f>
        <v>0</v>
      </c>
      <c r="U695" s="47">
        <f ca="1">IFERROR(__xludf.DUMMYFUNCTION("""COMPUTED_VALUE"""),0)</f>
        <v>0</v>
      </c>
      <c r="V695" s="47">
        <f ca="1">IFERROR(__xludf.DUMMYFUNCTION("""COMPUTED_VALUE"""),0)</f>
        <v>0</v>
      </c>
      <c r="W695" s="47">
        <f ca="1">IFERROR(__xludf.DUMMYFUNCTION("""COMPUTED_VALUE"""),0)</f>
        <v>0</v>
      </c>
      <c r="X695" s="47">
        <f ca="1">IFERROR(__xludf.DUMMYFUNCTION("""COMPUTED_VALUE"""),0)</f>
        <v>0</v>
      </c>
      <c r="Y695" s="44">
        <f ca="1">IFERROR(__xludf.DUMMYFUNCTION("""COMPUTED_VALUE"""),0)</f>
        <v>0</v>
      </c>
      <c r="Z695" s="44">
        <f ca="1">IFERROR(__xludf.DUMMYFUNCTION("""COMPUTED_VALUE"""),0)</f>
        <v>0</v>
      </c>
      <c r="AA695" s="44">
        <f ca="1">IFERROR(__xludf.DUMMYFUNCTION("""COMPUTED_VALUE"""),0)</f>
        <v>0</v>
      </c>
      <c r="AB695" s="44">
        <f ca="1">IFERROR(__xludf.DUMMYFUNCTION("""COMPUTED_VALUE"""),0)</f>
        <v>0</v>
      </c>
      <c r="AC695" s="47">
        <f ca="1">IFERROR(__xludf.DUMMYFUNCTION("""COMPUTED_VALUE"""),0)</f>
        <v>0</v>
      </c>
      <c r="AD695" s="49"/>
      <c r="AE695" s="27"/>
    </row>
    <row r="696" spans="1:31" ht="14.3">
      <c r="A696" s="42" t="str">
        <f ca="1">IFERROR(__xludf.DUMMYFUNCTION("""COMPUTED_VALUE"""),"22SDSEE01001")</f>
        <v>22SDSEE01001</v>
      </c>
      <c r="B696" s="43" t="str">
        <f ca="1">IFERROR(__xludf.DUMMYFUNCTION("""COMPUTED_VALUE"""),"ANJALI ANAND")</f>
        <v>ANJALI ANAND</v>
      </c>
      <c r="C696" s="42" t="str">
        <f ca="1">IFERROR(__xludf.DUMMYFUNCTION("""COMPUTED_VALUE"""),"SDS")</f>
        <v>SDS</v>
      </c>
      <c r="D696" s="42" t="str">
        <f ca="1">IFERROR(__xludf.DUMMYFUNCTION("""COMPUTED_VALUE"""),"DEE")</f>
        <v>DEE</v>
      </c>
      <c r="E696" s="44">
        <f ca="1">IFERROR(__xludf.DUMMYFUNCTION("""COMPUTED_VALUE"""),4)</f>
        <v>4</v>
      </c>
      <c r="F696" s="42" t="str">
        <f ca="1">IFERROR(__xludf.DUMMYFUNCTION("""COMPUTED_VALUE"""),"BIHAR STUDENT")</f>
        <v>BIHAR STUDENT</v>
      </c>
      <c r="G696" s="42" t="str">
        <f ca="1">IFERROR(__xludf.DUMMYFUNCTION("""COMPUTED_VALUE"""),"BIHAR STUDENT")</f>
        <v>BIHAR STUDENT</v>
      </c>
      <c r="H696" s="2" t="str">
        <f ca="1">IFERROR(__xludf.DUMMYFUNCTION("""COMPUTED_VALUE"""),"DEE_2022-25")</f>
        <v>DEE_2022-25</v>
      </c>
      <c r="I696" s="45"/>
      <c r="J696" s="46">
        <f ca="1">IFERROR(__xludf.DUMMYFUNCTION("""COMPUTED_VALUE"""),42500)</f>
        <v>42500</v>
      </c>
      <c r="K696" s="46">
        <f ca="1">IFERROR(__xludf.DUMMYFUNCTION("""COMPUTED_VALUE"""),0)</f>
        <v>0</v>
      </c>
      <c r="L696" s="46">
        <f ca="1">IFERROR(__xludf.DUMMYFUNCTION("""COMPUTED_VALUE"""),0)</f>
        <v>0</v>
      </c>
      <c r="M696" s="47">
        <f ca="1">IFERROR(__xludf.DUMMYFUNCTION("""COMPUTED_VALUE"""),0)</f>
        <v>0</v>
      </c>
      <c r="N696" s="46">
        <f ca="1">IFERROR(__xludf.DUMMYFUNCTION("""COMPUTED_VALUE"""),42500)</f>
        <v>42500</v>
      </c>
      <c r="O696" s="46">
        <f ca="1">IFERROR(__xludf.DUMMYFUNCTION("""COMPUTED_VALUE"""),0)</f>
        <v>0</v>
      </c>
      <c r="P696" s="46">
        <f ca="1">IFERROR(__xludf.DUMMYFUNCTION("""COMPUTED_VALUE"""),0)</f>
        <v>0</v>
      </c>
      <c r="Q696" s="47">
        <f ca="1">IFERROR(__xludf.DUMMYFUNCTION("""COMPUTED_VALUE"""),0)</f>
        <v>0</v>
      </c>
      <c r="R696" s="24">
        <f ca="1">IFERROR(__xludf.DUMMYFUNCTION("""COMPUTED_VALUE"""),0)</f>
        <v>0</v>
      </c>
      <c r="S696" s="23">
        <f ca="1">IFERROR(__xludf.DUMMYFUNCTION("""COMPUTED_VALUE"""),0)</f>
        <v>0</v>
      </c>
      <c r="T696" s="48">
        <f ca="1">IFERROR(__xludf.DUMMYFUNCTION("""COMPUTED_VALUE"""),0)</f>
        <v>0</v>
      </c>
      <c r="U696" s="47">
        <f ca="1">IFERROR(__xludf.DUMMYFUNCTION("""COMPUTED_VALUE"""),0)</f>
        <v>0</v>
      </c>
      <c r="V696" s="47">
        <f ca="1">IFERROR(__xludf.DUMMYFUNCTION("""COMPUTED_VALUE"""),0)</f>
        <v>0</v>
      </c>
      <c r="W696" s="47">
        <f ca="1">IFERROR(__xludf.DUMMYFUNCTION("""COMPUTED_VALUE"""),0)</f>
        <v>0</v>
      </c>
      <c r="X696" s="47">
        <f ca="1">IFERROR(__xludf.DUMMYFUNCTION("""COMPUTED_VALUE"""),0)</f>
        <v>0</v>
      </c>
      <c r="Y696" s="44">
        <f ca="1">IFERROR(__xludf.DUMMYFUNCTION("""COMPUTED_VALUE"""),0)</f>
        <v>0</v>
      </c>
      <c r="Z696" s="44">
        <f ca="1">IFERROR(__xludf.DUMMYFUNCTION("""COMPUTED_VALUE"""),0)</f>
        <v>0</v>
      </c>
      <c r="AA696" s="44">
        <f ca="1">IFERROR(__xludf.DUMMYFUNCTION("""COMPUTED_VALUE"""),0)</f>
        <v>0</v>
      </c>
      <c r="AB696" s="44">
        <f ca="1">IFERROR(__xludf.DUMMYFUNCTION("""COMPUTED_VALUE"""),0)</f>
        <v>0</v>
      </c>
      <c r="AC696" s="47">
        <f ca="1">IFERROR(__xludf.DUMMYFUNCTION("""COMPUTED_VALUE"""),0)</f>
        <v>0</v>
      </c>
      <c r="AD696" s="49"/>
      <c r="AE696" s="27"/>
    </row>
    <row r="697" spans="1:31" ht="28.55">
      <c r="A697" s="42" t="str">
        <f ca="1">IFERROR(__xludf.DUMMYFUNCTION("""COMPUTED_VALUE"""),"22SDSEE01003")</f>
        <v>22SDSEE01003</v>
      </c>
      <c r="B697" s="43" t="str">
        <f ca="1">IFERROR(__xludf.DUMMYFUNCTION("""COMPUTED_VALUE"""),"CHAVDA JAYSUKH PRAVINBHAI")</f>
        <v>CHAVDA JAYSUKH PRAVINBHAI</v>
      </c>
      <c r="C697" s="42" t="str">
        <f ca="1">IFERROR(__xludf.DUMMYFUNCTION("""COMPUTED_VALUE"""),"SDS")</f>
        <v>SDS</v>
      </c>
      <c r="D697" s="42" t="str">
        <f ca="1">IFERROR(__xludf.DUMMYFUNCTION("""COMPUTED_VALUE"""),"DEE")</f>
        <v>DEE</v>
      </c>
      <c r="E697" s="44">
        <f ca="1">IFERROR(__xludf.DUMMYFUNCTION("""COMPUTED_VALUE"""),4)</f>
        <v>4</v>
      </c>
      <c r="F697" s="42" t="str">
        <f ca="1">IFERROR(__xludf.DUMMYFUNCTION("""COMPUTED_VALUE"""),"9662693845 8511934929")</f>
        <v>9662693845 8511934929</v>
      </c>
      <c r="G697" s="42" t="str">
        <f ca="1">IFERROR(__xludf.DUMMYFUNCTION("""COMPUTED_VALUE"""),"9662693845 8511934929")</f>
        <v>9662693845 8511934929</v>
      </c>
      <c r="H697" s="2" t="str">
        <f ca="1">IFERROR(__xludf.DUMMYFUNCTION("""COMPUTED_VALUE"""),"DEE_2022-25")</f>
        <v>DEE_2022-25</v>
      </c>
      <c r="I697" s="45" t="str">
        <f ca="1">IFERROR(__xludf.DUMMYFUNCTION("""COMPUTED_VALUE"""),"FREESHIP CARD")</f>
        <v>FREESHIP CARD</v>
      </c>
      <c r="J697" s="46">
        <f ca="1">IFERROR(__xludf.DUMMYFUNCTION("""COMPUTED_VALUE"""),25000)</f>
        <v>25000</v>
      </c>
      <c r="K697" s="46">
        <f ca="1">IFERROR(__xludf.DUMMYFUNCTION("""COMPUTED_VALUE"""),0)</f>
        <v>0</v>
      </c>
      <c r="L697" s="46">
        <f ca="1">IFERROR(__xludf.DUMMYFUNCTION("""COMPUTED_VALUE"""),0)</f>
        <v>0</v>
      </c>
      <c r="M697" s="47">
        <f ca="1">IFERROR(__xludf.DUMMYFUNCTION("""COMPUTED_VALUE"""),0)</f>
        <v>0</v>
      </c>
      <c r="N697" s="46">
        <f ca="1">IFERROR(__xludf.DUMMYFUNCTION("""COMPUTED_VALUE"""),25000)</f>
        <v>25000</v>
      </c>
      <c r="O697" s="46">
        <f ca="1">IFERROR(__xludf.DUMMYFUNCTION("""COMPUTED_VALUE"""),3000)</f>
        <v>3000</v>
      </c>
      <c r="P697" s="46">
        <f ca="1">IFERROR(__xludf.DUMMYFUNCTION("""COMPUTED_VALUE"""),0)</f>
        <v>0</v>
      </c>
      <c r="Q697" s="47">
        <f ca="1">IFERROR(__xludf.DUMMYFUNCTION("""COMPUTED_VALUE"""),0)</f>
        <v>0</v>
      </c>
      <c r="R697" s="24">
        <f ca="1">IFERROR(__xludf.DUMMYFUNCTION("""COMPUTED_VALUE"""),0)</f>
        <v>0</v>
      </c>
      <c r="S697" s="23">
        <f ca="1">IFERROR(__xludf.DUMMYFUNCTION("""COMPUTED_VALUE"""),3000)</f>
        <v>3000</v>
      </c>
      <c r="T697" s="48">
        <f ca="1">IFERROR(__xludf.DUMMYFUNCTION("""COMPUTED_VALUE"""),0)</f>
        <v>0</v>
      </c>
      <c r="U697" s="47">
        <f ca="1">IFERROR(__xludf.DUMMYFUNCTION("""COMPUTED_VALUE"""),0)</f>
        <v>0</v>
      </c>
      <c r="V697" s="47">
        <f ca="1">IFERROR(__xludf.DUMMYFUNCTION("""COMPUTED_VALUE"""),0)</f>
        <v>0</v>
      </c>
      <c r="W697" s="47">
        <f ca="1">IFERROR(__xludf.DUMMYFUNCTION("""COMPUTED_VALUE"""),0)</f>
        <v>0</v>
      </c>
      <c r="X697" s="47">
        <f ca="1">IFERROR(__xludf.DUMMYFUNCTION("""COMPUTED_VALUE"""),0)</f>
        <v>0</v>
      </c>
      <c r="Y697" s="44">
        <f ca="1">IFERROR(__xludf.DUMMYFUNCTION("""COMPUTED_VALUE"""),0)</f>
        <v>0</v>
      </c>
      <c r="Z697" s="44">
        <f ca="1">IFERROR(__xludf.DUMMYFUNCTION("""COMPUTED_VALUE"""),0)</f>
        <v>0</v>
      </c>
      <c r="AA697" s="44">
        <f ca="1">IFERROR(__xludf.DUMMYFUNCTION("""COMPUTED_VALUE"""),0)</f>
        <v>0</v>
      </c>
      <c r="AB697" s="44">
        <f ca="1">IFERROR(__xludf.DUMMYFUNCTION("""COMPUTED_VALUE"""),0)</f>
        <v>0</v>
      </c>
      <c r="AC697" s="47">
        <f ca="1">IFERROR(__xludf.DUMMYFUNCTION("""COMPUTED_VALUE"""),0)</f>
        <v>0</v>
      </c>
      <c r="AD697" s="49" t="str">
        <f ca="1">IFERROR(__xludf.DUMMYFUNCTION("""COMPUTED_VALUE"""),"FREESHIPCARD STUDENT")</f>
        <v>FREESHIPCARD STUDENT</v>
      </c>
      <c r="AE697" s="27"/>
    </row>
    <row r="698" spans="1:31" ht="28.55">
      <c r="A698" s="42" t="str">
        <f ca="1">IFERROR(__xludf.DUMMYFUNCTION("""COMPUTED_VALUE"""),"22SDSEE01004")</f>
        <v>22SDSEE01004</v>
      </c>
      <c r="B698" s="43" t="str">
        <f ca="1">IFERROR(__xludf.DUMMYFUNCTION("""COMPUTED_VALUE"""),"CHAVDA MAHENDRA PRAVINBHAI")</f>
        <v>CHAVDA MAHENDRA PRAVINBHAI</v>
      </c>
      <c r="C698" s="42" t="str">
        <f ca="1">IFERROR(__xludf.DUMMYFUNCTION("""COMPUTED_VALUE"""),"SDS")</f>
        <v>SDS</v>
      </c>
      <c r="D698" s="42" t="str">
        <f ca="1">IFERROR(__xludf.DUMMYFUNCTION("""COMPUTED_VALUE"""),"DEE")</f>
        <v>DEE</v>
      </c>
      <c r="E698" s="44">
        <f ca="1">IFERROR(__xludf.DUMMYFUNCTION("""COMPUTED_VALUE"""),4)</f>
        <v>4</v>
      </c>
      <c r="F698" s="42" t="str">
        <f ca="1">IFERROR(__xludf.DUMMYFUNCTION("""COMPUTED_VALUE"""),"9662693845 8511934925")</f>
        <v>9662693845 8511934925</v>
      </c>
      <c r="G698" s="42" t="str">
        <f ca="1">IFERROR(__xludf.DUMMYFUNCTION("""COMPUTED_VALUE"""),"9662693845 8511934925")</f>
        <v>9662693845 8511934925</v>
      </c>
      <c r="H698" s="2" t="str">
        <f ca="1">IFERROR(__xludf.DUMMYFUNCTION("""COMPUTED_VALUE"""),"DEE_2022-25")</f>
        <v>DEE_2022-25</v>
      </c>
      <c r="I698" s="45" t="str">
        <f ca="1">IFERROR(__xludf.DUMMYFUNCTION("""COMPUTED_VALUE"""),"FREESHIP CARD")</f>
        <v>FREESHIP CARD</v>
      </c>
      <c r="J698" s="46">
        <f ca="1">IFERROR(__xludf.DUMMYFUNCTION("""COMPUTED_VALUE"""),25000)</f>
        <v>25000</v>
      </c>
      <c r="K698" s="46">
        <f ca="1">IFERROR(__xludf.DUMMYFUNCTION("""COMPUTED_VALUE"""),0)</f>
        <v>0</v>
      </c>
      <c r="L698" s="46">
        <f ca="1">IFERROR(__xludf.DUMMYFUNCTION("""COMPUTED_VALUE"""),0)</f>
        <v>0</v>
      </c>
      <c r="M698" s="47">
        <f ca="1">IFERROR(__xludf.DUMMYFUNCTION("""COMPUTED_VALUE"""),0)</f>
        <v>0</v>
      </c>
      <c r="N698" s="46">
        <f ca="1">IFERROR(__xludf.DUMMYFUNCTION("""COMPUTED_VALUE"""),25000)</f>
        <v>25000</v>
      </c>
      <c r="O698" s="46">
        <f ca="1">IFERROR(__xludf.DUMMYFUNCTION("""COMPUTED_VALUE"""),3000)</f>
        <v>3000</v>
      </c>
      <c r="P698" s="46">
        <f ca="1">IFERROR(__xludf.DUMMYFUNCTION("""COMPUTED_VALUE"""),3000)</f>
        <v>3000</v>
      </c>
      <c r="Q698" s="47">
        <f ca="1">IFERROR(__xludf.DUMMYFUNCTION("""COMPUTED_VALUE"""),0)</f>
        <v>0</v>
      </c>
      <c r="R698" s="24">
        <f ca="1">IFERROR(__xludf.DUMMYFUNCTION("""COMPUTED_VALUE"""),0)</f>
        <v>0</v>
      </c>
      <c r="S698" s="23">
        <f ca="1">IFERROR(__xludf.DUMMYFUNCTION("""COMPUTED_VALUE"""),0)</f>
        <v>0</v>
      </c>
      <c r="T698" s="48">
        <f ca="1">IFERROR(__xludf.DUMMYFUNCTION("""COMPUTED_VALUE"""),0)</f>
        <v>0</v>
      </c>
      <c r="U698" s="47">
        <f ca="1">IFERROR(__xludf.DUMMYFUNCTION("""COMPUTED_VALUE"""),0)</f>
        <v>0</v>
      </c>
      <c r="V698" s="47">
        <f ca="1">IFERROR(__xludf.DUMMYFUNCTION("""COMPUTED_VALUE"""),0)</f>
        <v>0</v>
      </c>
      <c r="W698" s="47">
        <f ca="1">IFERROR(__xludf.DUMMYFUNCTION("""COMPUTED_VALUE"""),0)</f>
        <v>0</v>
      </c>
      <c r="X698" s="47">
        <f ca="1">IFERROR(__xludf.DUMMYFUNCTION("""COMPUTED_VALUE"""),0)</f>
        <v>0</v>
      </c>
      <c r="Y698" s="44">
        <f ca="1">IFERROR(__xludf.DUMMYFUNCTION("""COMPUTED_VALUE"""),0)</f>
        <v>0</v>
      </c>
      <c r="Z698" s="44">
        <f ca="1">IFERROR(__xludf.DUMMYFUNCTION("""COMPUTED_VALUE"""),0)</f>
        <v>0</v>
      </c>
      <c r="AA698" s="44">
        <f ca="1">IFERROR(__xludf.DUMMYFUNCTION("""COMPUTED_VALUE"""),0)</f>
        <v>0</v>
      </c>
      <c r="AB698" s="44">
        <f ca="1">IFERROR(__xludf.DUMMYFUNCTION("""COMPUTED_VALUE"""),0)</f>
        <v>0</v>
      </c>
      <c r="AC698" s="47">
        <f ca="1">IFERROR(__xludf.DUMMYFUNCTION("""COMPUTED_VALUE"""),0)</f>
        <v>0</v>
      </c>
      <c r="AD698" s="49" t="str">
        <f ca="1">IFERROR(__xludf.DUMMYFUNCTION("""COMPUTED_VALUE"""),"FREESHIPCARD STUDENT")</f>
        <v>FREESHIPCARD STUDENT</v>
      </c>
      <c r="AE698" s="27"/>
    </row>
    <row r="699" spans="1:31" ht="28.55">
      <c r="A699" s="42" t="str">
        <f ca="1">IFERROR(__xludf.DUMMYFUNCTION("""COMPUTED_VALUE"""),"22SDSEE01005")</f>
        <v>22SDSEE01005</v>
      </c>
      <c r="B699" s="43" t="str">
        <f ca="1">IFERROR(__xludf.DUMMYFUNCTION("""COMPUTED_VALUE"""),"CHAVDA SAHIL VINODBHAI")</f>
        <v>CHAVDA SAHIL VINODBHAI</v>
      </c>
      <c r="C699" s="42" t="str">
        <f ca="1">IFERROR(__xludf.DUMMYFUNCTION("""COMPUTED_VALUE"""),"SDS")</f>
        <v>SDS</v>
      </c>
      <c r="D699" s="42" t="str">
        <f ca="1">IFERROR(__xludf.DUMMYFUNCTION("""COMPUTED_VALUE"""),"DEE")</f>
        <v>DEE</v>
      </c>
      <c r="E699" s="44">
        <f ca="1">IFERROR(__xludf.DUMMYFUNCTION("""COMPUTED_VALUE"""),4)</f>
        <v>4</v>
      </c>
      <c r="F699" s="42" t="str">
        <f ca="1">IFERROR(__xludf.DUMMYFUNCTION("""COMPUTED_VALUE"""),"8511570391 9724197562")</f>
        <v>8511570391 9724197562</v>
      </c>
      <c r="G699" s="42" t="str">
        <f ca="1">IFERROR(__xludf.DUMMYFUNCTION("""COMPUTED_VALUE"""),"8511570391 9724197562")</f>
        <v>8511570391 9724197562</v>
      </c>
      <c r="H699" s="2" t="str">
        <f ca="1">IFERROR(__xludf.DUMMYFUNCTION("""COMPUTED_VALUE"""),"DEE_2022-25")</f>
        <v>DEE_2022-25</v>
      </c>
      <c r="I699" s="45" t="str">
        <f ca="1">IFERROR(__xludf.DUMMYFUNCTION("""COMPUTED_VALUE"""),"FREESHIP CARD")</f>
        <v>FREESHIP CARD</v>
      </c>
      <c r="J699" s="46">
        <f ca="1">IFERROR(__xludf.DUMMYFUNCTION("""COMPUTED_VALUE"""),25000)</f>
        <v>25000</v>
      </c>
      <c r="K699" s="46">
        <f ca="1">IFERROR(__xludf.DUMMYFUNCTION("""COMPUTED_VALUE"""),0)</f>
        <v>0</v>
      </c>
      <c r="L699" s="46">
        <f ca="1">IFERROR(__xludf.DUMMYFUNCTION("""COMPUTED_VALUE"""),0)</f>
        <v>0</v>
      </c>
      <c r="M699" s="47">
        <f ca="1">IFERROR(__xludf.DUMMYFUNCTION("""COMPUTED_VALUE"""),0)</f>
        <v>0</v>
      </c>
      <c r="N699" s="46">
        <f ca="1">IFERROR(__xludf.DUMMYFUNCTION("""COMPUTED_VALUE"""),25000)</f>
        <v>25000</v>
      </c>
      <c r="O699" s="46">
        <f ca="1">IFERROR(__xludf.DUMMYFUNCTION("""COMPUTED_VALUE"""),3000)</f>
        <v>3000</v>
      </c>
      <c r="P699" s="46">
        <f ca="1">IFERROR(__xludf.DUMMYFUNCTION("""COMPUTED_VALUE"""),0)</f>
        <v>0</v>
      </c>
      <c r="Q699" s="47">
        <f ca="1">IFERROR(__xludf.DUMMYFUNCTION("""COMPUTED_VALUE"""),0)</f>
        <v>0</v>
      </c>
      <c r="R699" s="24">
        <f ca="1">IFERROR(__xludf.DUMMYFUNCTION("""COMPUTED_VALUE"""),0)</f>
        <v>0</v>
      </c>
      <c r="S699" s="23">
        <f ca="1">IFERROR(__xludf.DUMMYFUNCTION("""COMPUTED_VALUE"""),3000)</f>
        <v>3000</v>
      </c>
      <c r="T699" s="48">
        <f ca="1">IFERROR(__xludf.DUMMYFUNCTION("""COMPUTED_VALUE"""),0)</f>
        <v>0</v>
      </c>
      <c r="U699" s="47">
        <f ca="1">IFERROR(__xludf.DUMMYFUNCTION("""COMPUTED_VALUE"""),0)</f>
        <v>0</v>
      </c>
      <c r="V699" s="47">
        <f ca="1">IFERROR(__xludf.DUMMYFUNCTION("""COMPUTED_VALUE"""),0)</f>
        <v>0</v>
      </c>
      <c r="W699" s="47">
        <f ca="1">IFERROR(__xludf.DUMMYFUNCTION("""COMPUTED_VALUE"""),0)</f>
        <v>0</v>
      </c>
      <c r="X699" s="47">
        <f ca="1">IFERROR(__xludf.DUMMYFUNCTION("""COMPUTED_VALUE"""),0)</f>
        <v>0</v>
      </c>
      <c r="Y699" s="44">
        <f ca="1">IFERROR(__xludf.DUMMYFUNCTION("""COMPUTED_VALUE"""),0)</f>
        <v>0</v>
      </c>
      <c r="Z699" s="44">
        <f ca="1">IFERROR(__xludf.DUMMYFUNCTION("""COMPUTED_VALUE"""),0)</f>
        <v>0</v>
      </c>
      <c r="AA699" s="44">
        <f ca="1">IFERROR(__xludf.DUMMYFUNCTION("""COMPUTED_VALUE"""),0)</f>
        <v>0</v>
      </c>
      <c r="AB699" s="44">
        <f ca="1">IFERROR(__xludf.DUMMYFUNCTION("""COMPUTED_VALUE"""),0)</f>
        <v>0</v>
      </c>
      <c r="AC699" s="47">
        <f ca="1">IFERROR(__xludf.DUMMYFUNCTION("""COMPUTED_VALUE"""),0)</f>
        <v>0</v>
      </c>
      <c r="AD699" s="49" t="str">
        <f ca="1">IFERROR(__xludf.DUMMYFUNCTION("""COMPUTED_VALUE"""),"FREESHIPCARD STUDENT")</f>
        <v>FREESHIPCARD STUDENT</v>
      </c>
      <c r="AE699" s="27"/>
    </row>
    <row r="700" spans="1:31" ht="14.3">
      <c r="A700" s="42" t="str">
        <f ca="1">IFERROR(__xludf.DUMMYFUNCTION("""COMPUTED_VALUE"""),"22SDSEE01007")</f>
        <v>22SDSEE01007</v>
      </c>
      <c r="B700" s="43" t="str">
        <f ca="1">IFERROR(__xludf.DUMMYFUNCTION("""COMPUTED_VALUE"""),"GOHEL AMIT KISHORBHAI")</f>
        <v>GOHEL AMIT KISHORBHAI</v>
      </c>
      <c r="C700" s="42" t="str">
        <f ca="1">IFERROR(__xludf.DUMMYFUNCTION("""COMPUTED_VALUE"""),"SDS")</f>
        <v>SDS</v>
      </c>
      <c r="D700" s="42" t="str">
        <f ca="1">IFERROR(__xludf.DUMMYFUNCTION("""COMPUTED_VALUE"""),"DEE")</f>
        <v>DEE</v>
      </c>
      <c r="E700" s="44">
        <f ca="1">IFERROR(__xludf.DUMMYFUNCTION("""COMPUTED_VALUE"""),4)</f>
        <v>4</v>
      </c>
      <c r="F700" s="42" t="str">
        <f ca="1">IFERROR(__xludf.DUMMYFUNCTION("""COMPUTED_VALUE"""),"9054406844 9274333844")</f>
        <v>9054406844 9274333844</v>
      </c>
      <c r="G700" s="42" t="str">
        <f ca="1">IFERROR(__xludf.DUMMYFUNCTION("""COMPUTED_VALUE"""),"9054406844 9274333844")</f>
        <v>9054406844 9274333844</v>
      </c>
      <c r="H700" s="2" t="str">
        <f ca="1">IFERROR(__xludf.DUMMYFUNCTION("""COMPUTED_VALUE"""),"DEE_2022-25")</f>
        <v>DEE_2022-25</v>
      </c>
      <c r="I700" s="45"/>
      <c r="J700" s="46">
        <f ca="1">IFERROR(__xludf.DUMMYFUNCTION("""COMPUTED_VALUE"""),25000)</f>
        <v>25000</v>
      </c>
      <c r="K700" s="46">
        <f ca="1">IFERROR(__xludf.DUMMYFUNCTION("""COMPUTED_VALUE"""),25000)</f>
        <v>25000</v>
      </c>
      <c r="L700" s="46">
        <f ca="1">IFERROR(__xludf.DUMMYFUNCTION("""COMPUTED_VALUE"""),0)</f>
        <v>0</v>
      </c>
      <c r="M700" s="47">
        <f ca="1">IFERROR(__xludf.DUMMYFUNCTION("""COMPUTED_VALUE"""),0)</f>
        <v>0</v>
      </c>
      <c r="N700" s="46">
        <f ca="1">IFERROR(__xludf.DUMMYFUNCTION("""COMPUTED_VALUE"""),0)</f>
        <v>0</v>
      </c>
      <c r="O700" s="46">
        <f ca="1">IFERROR(__xludf.DUMMYFUNCTION("""COMPUTED_VALUE"""),3000)</f>
        <v>3000</v>
      </c>
      <c r="P700" s="46">
        <f ca="1">IFERROR(__xludf.DUMMYFUNCTION("""COMPUTED_VALUE"""),3000)</f>
        <v>3000</v>
      </c>
      <c r="Q700" s="47">
        <f ca="1">IFERROR(__xludf.DUMMYFUNCTION("""COMPUTED_VALUE"""),0)</f>
        <v>0</v>
      </c>
      <c r="R700" s="24">
        <f ca="1">IFERROR(__xludf.DUMMYFUNCTION("""COMPUTED_VALUE"""),0)</f>
        <v>0</v>
      </c>
      <c r="S700" s="23">
        <f ca="1">IFERROR(__xludf.DUMMYFUNCTION("""COMPUTED_VALUE"""),0)</f>
        <v>0</v>
      </c>
      <c r="T700" s="48">
        <f ca="1">IFERROR(__xludf.DUMMYFUNCTION("""COMPUTED_VALUE"""),0)</f>
        <v>0</v>
      </c>
      <c r="U700" s="47">
        <f ca="1">IFERROR(__xludf.DUMMYFUNCTION("""COMPUTED_VALUE"""),0)</f>
        <v>0</v>
      </c>
      <c r="V700" s="47">
        <f ca="1">IFERROR(__xludf.DUMMYFUNCTION("""COMPUTED_VALUE"""),0)</f>
        <v>0</v>
      </c>
      <c r="W700" s="47">
        <f ca="1">IFERROR(__xludf.DUMMYFUNCTION("""COMPUTED_VALUE"""),0)</f>
        <v>0</v>
      </c>
      <c r="X700" s="47">
        <f ca="1">IFERROR(__xludf.DUMMYFUNCTION("""COMPUTED_VALUE"""),0)</f>
        <v>0</v>
      </c>
      <c r="Y700" s="44">
        <f ca="1">IFERROR(__xludf.DUMMYFUNCTION("""COMPUTED_VALUE"""),0)</f>
        <v>0</v>
      </c>
      <c r="Z700" s="44">
        <f ca="1">IFERROR(__xludf.DUMMYFUNCTION("""COMPUTED_VALUE"""),0)</f>
        <v>0</v>
      </c>
      <c r="AA700" s="44">
        <f ca="1">IFERROR(__xludf.DUMMYFUNCTION("""COMPUTED_VALUE"""),0)</f>
        <v>0</v>
      </c>
      <c r="AB700" s="44">
        <f ca="1">IFERROR(__xludf.DUMMYFUNCTION("""COMPUTED_VALUE"""),0)</f>
        <v>0</v>
      </c>
      <c r="AC700" s="47">
        <f ca="1">IFERROR(__xludf.DUMMYFUNCTION("""COMPUTED_VALUE"""),0)</f>
        <v>0</v>
      </c>
      <c r="AD700" s="49"/>
      <c r="AE700" s="27"/>
    </row>
    <row r="701" spans="1:31" ht="14.3">
      <c r="A701" s="42" t="str">
        <f ca="1">IFERROR(__xludf.DUMMYFUNCTION("""COMPUTED_VALUE"""),"22SDSEE01008")</f>
        <v>22SDSEE01008</v>
      </c>
      <c r="B701" s="43" t="str">
        <f ca="1">IFERROR(__xludf.DUMMYFUNCTION("""COMPUTED_VALUE"""),"GONDALIYA DHRUV TULSIDAS")</f>
        <v>GONDALIYA DHRUV TULSIDAS</v>
      </c>
      <c r="C701" s="42" t="str">
        <f ca="1">IFERROR(__xludf.DUMMYFUNCTION("""COMPUTED_VALUE"""),"SDS")</f>
        <v>SDS</v>
      </c>
      <c r="D701" s="42" t="str">
        <f ca="1">IFERROR(__xludf.DUMMYFUNCTION("""COMPUTED_VALUE"""),"DEE")</f>
        <v>DEE</v>
      </c>
      <c r="E701" s="44">
        <f ca="1">IFERROR(__xludf.DUMMYFUNCTION("""COMPUTED_VALUE"""),4)</f>
        <v>4</v>
      </c>
      <c r="F701" s="42" t="str">
        <f ca="1">IFERROR(__xludf.DUMMYFUNCTION("""COMPUTED_VALUE"""),"9327985411 9724132962")</f>
        <v>9327985411 9724132962</v>
      </c>
      <c r="G701" s="42" t="str">
        <f ca="1">IFERROR(__xludf.DUMMYFUNCTION("""COMPUTED_VALUE"""),"9327985411 9724132962")</f>
        <v>9327985411 9724132962</v>
      </c>
      <c r="H701" s="2" t="str">
        <f ca="1">IFERROR(__xludf.DUMMYFUNCTION("""COMPUTED_VALUE"""),"DEE_2022-25")</f>
        <v>DEE_2022-25</v>
      </c>
      <c r="I701" s="45"/>
      <c r="J701" s="46">
        <f ca="1">IFERROR(__xludf.DUMMYFUNCTION("""COMPUTED_VALUE"""),25000)</f>
        <v>25000</v>
      </c>
      <c r="K701" s="46">
        <f ca="1">IFERROR(__xludf.DUMMYFUNCTION("""COMPUTED_VALUE"""),0)</f>
        <v>0</v>
      </c>
      <c r="L701" s="46">
        <f ca="1">IFERROR(__xludf.DUMMYFUNCTION("""COMPUTED_VALUE"""),0)</f>
        <v>0</v>
      </c>
      <c r="M701" s="47">
        <f ca="1">IFERROR(__xludf.DUMMYFUNCTION("""COMPUTED_VALUE"""),0)</f>
        <v>0</v>
      </c>
      <c r="N701" s="46">
        <f ca="1">IFERROR(__xludf.DUMMYFUNCTION("""COMPUTED_VALUE"""),25000)</f>
        <v>25000</v>
      </c>
      <c r="O701" s="46">
        <f ca="1">IFERROR(__xludf.DUMMYFUNCTION("""COMPUTED_VALUE"""),3000)</f>
        <v>3000</v>
      </c>
      <c r="P701" s="46">
        <f ca="1">IFERROR(__xludf.DUMMYFUNCTION("""COMPUTED_VALUE"""),3000)</f>
        <v>3000</v>
      </c>
      <c r="Q701" s="47">
        <f ca="1">IFERROR(__xludf.DUMMYFUNCTION("""COMPUTED_VALUE"""),0)</f>
        <v>0</v>
      </c>
      <c r="R701" s="24">
        <f ca="1">IFERROR(__xludf.DUMMYFUNCTION("""COMPUTED_VALUE"""),0)</f>
        <v>0</v>
      </c>
      <c r="S701" s="23">
        <f ca="1">IFERROR(__xludf.DUMMYFUNCTION("""COMPUTED_VALUE"""),0)</f>
        <v>0</v>
      </c>
      <c r="T701" s="48">
        <f ca="1">IFERROR(__xludf.DUMMYFUNCTION("""COMPUTED_VALUE"""),0)</f>
        <v>0</v>
      </c>
      <c r="U701" s="47">
        <f ca="1">IFERROR(__xludf.DUMMYFUNCTION("""COMPUTED_VALUE"""),0)</f>
        <v>0</v>
      </c>
      <c r="V701" s="47">
        <f ca="1">IFERROR(__xludf.DUMMYFUNCTION("""COMPUTED_VALUE"""),0)</f>
        <v>0</v>
      </c>
      <c r="W701" s="47">
        <f ca="1">IFERROR(__xludf.DUMMYFUNCTION("""COMPUTED_VALUE"""),0)</f>
        <v>0</v>
      </c>
      <c r="X701" s="47">
        <f ca="1">IFERROR(__xludf.DUMMYFUNCTION("""COMPUTED_VALUE"""),0)</f>
        <v>0</v>
      </c>
      <c r="Y701" s="44">
        <f ca="1">IFERROR(__xludf.DUMMYFUNCTION("""COMPUTED_VALUE"""),0)</f>
        <v>0</v>
      </c>
      <c r="Z701" s="44">
        <f ca="1">IFERROR(__xludf.DUMMYFUNCTION("""COMPUTED_VALUE"""),0)</f>
        <v>0</v>
      </c>
      <c r="AA701" s="44">
        <f ca="1">IFERROR(__xludf.DUMMYFUNCTION("""COMPUTED_VALUE"""),0)</f>
        <v>0</v>
      </c>
      <c r="AB701" s="44">
        <f ca="1">IFERROR(__xludf.DUMMYFUNCTION("""COMPUTED_VALUE"""),0)</f>
        <v>0</v>
      </c>
      <c r="AC701" s="47">
        <f ca="1">IFERROR(__xludf.DUMMYFUNCTION("""COMPUTED_VALUE"""),0)</f>
        <v>0</v>
      </c>
      <c r="AD701" s="49"/>
      <c r="AE701" s="27"/>
    </row>
    <row r="702" spans="1:31" ht="34.65">
      <c r="A702" s="42" t="str">
        <f ca="1">IFERROR(__xludf.DUMMYFUNCTION("""COMPUTED_VALUE"""),"22SDSEE01009")</f>
        <v>22SDSEE01009</v>
      </c>
      <c r="B702" s="43" t="str">
        <f ca="1">IFERROR(__xludf.DUMMYFUNCTION("""COMPUTED_VALUE"""),"KADRI AFTABMIYA YASINMIYA")</f>
        <v>KADRI AFTABMIYA YASINMIYA</v>
      </c>
      <c r="C702" s="42" t="str">
        <f ca="1">IFERROR(__xludf.DUMMYFUNCTION("""COMPUTED_VALUE"""),"SDS")</f>
        <v>SDS</v>
      </c>
      <c r="D702" s="42" t="str">
        <f ca="1">IFERROR(__xludf.DUMMYFUNCTION("""COMPUTED_VALUE"""),"DEE")</f>
        <v>DEE</v>
      </c>
      <c r="E702" s="44">
        <f ca="1">IFERROR(__xludf.DUMMYFUNCTION("""COMPUTED_VALUE"""),4)</f>
        <v>4</v>
      </c>
      <c r="F702" s="42" t="str">
        <f ca="1">IFERROR(__xludf.DUMMYFUNCTION("""COMPUTED_VALUE"""),"7863099645 9316243507")</f>
        <v>7863099645 9316243507</v>
      </c>
      <c r="G702" s="42" t="str">
        <f ca="1">IFERROR(__xludf.DUMMYFUNCTION("""COMPUTED_VALUE"""),"7863099645 9316243507")</f>
        <v>7863099645 9316243507</v>
      </c>
      <c r="H702" s="2" t="str">
        <f ca="1">IFERROR(__xludf.DUMMYFUNCTION("""COMPUTED_VALUE"""),"DEE_2022-25")</f>
        <v>DEE_2022-25</v>
      </c>
      <c r="I702" s="45" t="str">
        <f ca="1">IFERROR(__xludf.DUMMYFUNCTION("""COMPUTED_VALUE"""),"KSP")</f>
        <v>KSP</v>
      </c>
      <c r="J702" s="46">
        <f ca="1">IFERROR(__xludf.DUMMYFUNCTION("""COMPUTED_VALUE"""),25000)</f>
        <v>25000</v>
      </c>
      <c r="K702" s="46">
        <f ca="1">IFERROR(__xludf.DUMMYFUNCTION("""COMPUTED_VALUE"""),12500)</f>
        <v>12500</v>
      </c>
      <c r="L702" s="46">
        <f ca="1">IFERROR(__xludf.DUMMYFUNCTION("""COMPUTED_VALUE"""),0)</f>
        <v>0</v>
      </c>
      <c r="M702" s="47">
        <f ca="1">IFERROR(__xludf.DUMMYFUNCTION("""COMPUTED_VALUE"""),12500)</f>
        <v>12500</v>
      </c>
      <c r="N702" s="46">
        <f ca="1">IFERROR(__xludf.DUMMYFUNCTION("""COMPUTED_VALUE"""),0)</f>
        <v>0</v>
      </c>
      <c r="O702" s="46">
        <f ca="1">IFERROR(__xludf.DUMMYFUNCTION("""COMPUTED_VALUE"""),3000)</f>
        <v>3000</v>
      </c>
      <c r="P702" s="46">
        <f ca="1">IFERROR(__xludf.DUMMYFUNCTION("""COMPUTED_VALUE"""),3000)</f>
        <v>3000</v>
      </c>
      <c r="Q702" s="47">
        <f ca="1">IFERROR(__xludf.DUMMYFUNCTION("""COMPUTED_VALUE"""),0)</f>
        <v>0</v>
      </c>
      <c r="R702" s="24">
        <f ca="1">IFERROR(__xludf.DUMMYFUNCTION("""COMPUTED_VALUE"""),0)</f>
        <v>0</v>
      </c>
      <c r="S702" s="23">
        <f ca="1">IFERROR(__xludf.DUMMYFUNCTION("""COMPUTED_VALUE"""),0)</f>
        <v>0</v>
      </c>
      <c r="T702" s="48">
        <f ca="1">IFERROR(__xludf.DUMMYFUNCTION("""COMPUTED_VALUE"""),0)</f>
        <v>0</v>
      </c>
      <c r="U702" s="47">
        <f ca="1">IFERROR(__xludf.DUMMYFUNCTION("""COMPUTED_VALUE"""),0)</f>
        <v>0</v>
      </c>
      <c r="V702" s="47">
        <f ca="1">IFERROR(__xludf.DUMMYFUNCTION("""COMPUTED_VALUE"""),0)</f>
        <v>0</v>
      </c>
      <c r="W702" s="47">
        <f ca="1">IFERROR(__xludf.DUMMYFUNCTION("""COMPUTED_VALUE"""),0)</f>
        <v>0</v>
      </c>
      <c r="X702" s="47">
        <f ca="1">IFERROR(__xludf.DUMMYFUNCTION("""COMPUTED_VALUE"""),0)</f>
        <v>0</v>
      </c>
      <c r="Y702" s="44">
        <f ca="1">IFERROR(__xludf.DUMMYFUNCTION("""COMPUTED_VALUE"""),0)</f>
        <v>0</v>
      </c>
      <c r="Z702" s="44">
        <f ca="1">IFERROR(__xludf.DUMMYFUNCTION("""COMPUTED_VALUE"""),0)</f>
        <v>0</v>
      </c>
      <c r="AA702" s="44">
        <f ca="1">IFERROR(__xludf.DUMMYFUNCTION("""COMPUTED_VALUE"""),0)</f>
        <v>0</v>
      </c>
      <c r="AB702" s="44">
        <f ca="1">IFERROR(__xludf.DUMMYFUNCTION("""COMPUTED_VALUE"""),0)</f>
        <v>0</v>
      </c>
      <c r="AC702" s="47">
        <f ca="1">IFERROR(__xludf.DUMMYFUNCTION("""COMPUTED_VALUE"""),0)</f>
        <v>0</v>
      </c>
      <c r="AD702" s="49" t="str">
        <f ca="1">IFERROR(__xludf.DUMMYFUNCTION("""COMPUTED_VALUE"""),"RS 12500 PER SEM SCHOLARSHIP
KSPS(50%)")</f>
        <v>RS 12500 PER SEM SCHOLARSHIP
KSPS(50%)</v>
      </c>
      <c r="AE702" s="27"/>
    </row>
    <row r="703" spans="1:31" ht="14.3">
      <c r="A703" s="42" t="str">
        <f ca="1">IFERROR(__xludf.DUMMYFUNCTION("""COMPUTED_VALUE"""),"22SDSEE01010")</f>
        <v>22SDSEE01010</v>
      </c>
      <c r="B703" s="43" t="str">
        <f ca="1">IFERROR(__xludf.DUMMYFUNCTION("""COMPUTED_VALUE"""),"ABHIMANYU KUMAR")</f>
        <v>ABHIMANYU KUMAR</v>
      </c>
      <c r="C703" s="42" t="str">
        <f ca="1">IFERROR(__xludf.DUMMYFUNCTION("""COMPUTED_VALUE"""),"SDS")</f>
        <v>SDS</v>
      </c>
      <c r="D703" s="42" t="str">
        <f ca="1">IFERROR(__xludf.DUMMYFUNCTION("""COMPUTED_VALUE"""),"DEE")</f>
        <v>DEE</v>
      </c>
      <c r="E703" s="44">
        <f ca="1">IFERROR(__xludf.DUMMYFUNCTION("""COMPUTED_VALUE"""),4)</f>
        <v>4</v>
      </c>
      <c r="F703" s="42" t="str">
        <f ca="1">IFERROR(__xludf.DUMMYFUNCTION("""COMPUTED_VALUE"""),"BIHAR STUDENT")</f>
        <v>BIHAR STUDENT</v>
      </c>
      <c r="G703" s="42" t="str">
        <f ca="1">IFERROR(__xludf.DUMMYFUNCTION("""COMPUTED_VALUE"""),"BIHAR STUDENT")</f>
        <v>BIHAR STUDENT</v>
      </c>
      <c r="H703" s="2" t="str">
        <f ca="1">IFERROR(__xludf.DUMMYFUNCTION("""COMPUTED_VALUE"""),"DEE_2022-25")</f>
        <v>DEE_2022-25</v>
      </c>
      <c r="I703" s="45"/>
      <c r="J703" s="46">
        <f ca="1">IFERROR(__xludf.DUMMYFUNCTION("""COMPUTED_VALUE"""),42500)</f>
        <v>42500</v>
      </c>
      <c r="K703" s="46">
        <f ca="1">IFERROR(__xludf.DUMMYFUNCTION("""COMPUTED_VALUE"""),0)</f>
        <v>0</v>
      </c>
      <c r="L703" s="46">
        <f ca="1">IFERROR(__xludf.DUMMYFUNCTION("""COMPUTED_VALUE"""),0)</f>
        <v>0</v>
      </c>
      <c r="M703" s="47">
        <f ca="1">IFERROR(__xludf.DUMMYFUNCTION("""COMPUTED_VALUE"""),0)</f>
        <v>0</v>
      </c>
      <c r="N703" s="46">
        <f ca="1">IFERROR(__xludf.DUMMYFUNCTION("""COMPUTED_VALUE"""),42500)</f>
        <v>42500</v>
      </c>
      <c r="O703" s="46">
        <f ca="1">IFERROR(__xludf.DUMMYFUNCTION("""COMPUTED_VALUE"""),0)</f>
        <v>0</v>
      </c>
      <c r="P703" s="46">
        <f ca="1">IFERROR(__xludf.DUMMYFUNCTION("""COMPUTED_VALUE"""),0)</f>
        <v>0</v>
      </c>
      <c r="Q703" s="47">
        <f ca="1">IFERROR(__xludf.DUMMYFUNCTION("""COMPUTED_VALUE"""),0)</f>
        <v>0</v>
      </c>
      <c r="R703" s="24">
        <f ca="1">IFERROR(__xludf.DUMMYFUNCTION("""COMPUTED_VALUE"""),0)</f>
        <v>0</v>
      </c>
      <c r="S703" s="23">
        <f ca="1">IFERROR(__xludf.DUMMYFUNCTION("""COMPUTED_VALUE"""),0)</f>
        <v>0</v>
      </c>
      <c r="T703" s="48">
        <f ca="1">IFERROR(__xludf.DUMMYFUNCTION("""COMPUTED_VALUE"""),0)</f>
        <v>0</v>
      </c>
      <c r="U703" s="47">
        <f ca="1">IFERROR(__xludf.DUMMYFUNCTION("""COMPUTED_VALUE"""),0)</f>
        <v>0</v>
      </c>
      <c r="V703" s="47">
        <f ca="1">IFERROR(__xludf.DUMMYFUNCTION("""COMPUTED_VALUE"""),0)</f>
        <v>0</v>
      </c>
      <c r="W703" s="47">
        <f ca="1">IFERROR(__xludf.DUMMYFUNCTION("""COMPUTED_VALUE"""),0)</f>
        <v>0</v>
      </c>
      <c r="X703" s="47">
        <f ca="1">IFERROR(__xludf.DUMMYFUNCTION("""COMPUTED_VALUE"""),0)</f>
        <v>0</v>
      </c>
      <c r="Y703" s="44">
        <f ca="1">IFERROR(__xludf.DUMMYFUNCTION("""COMPUTED_VALUE"""),0)</f>
        <v>0</v>
      </c>
      <c r="Z703" s="44">
        <f ca="1">IFERROR(__xludf.DUMMYFUNCTION("""COMPUTED_VALUE"""),0)</f>
        <v>0</v>
      </c>
      <c r="AA703" s="44">
        <f ca="1">IFERROR(__xludf.DUMMYFUNCTION("""COMPUTED_VALUE"""),0)</f>
        <v>0</v>
      </c>
      <c r="AB703" s="44">
        <f ca="1">IFERROR(__xludf.DUMMYFUNCTION("""COMPUTED_VALUE"""),0)</f>
        <v>0</v>
      </c>
      <c r="AC703" s="47">
        <f ca="1">IFERROR(__xludf.DUMMYFUNCTION("""COMPUTED_VALUE"""),0)</f>
        <v>0</v>
      </c>
      <c r="AD703" s="49"/>
      <c r="AE703" s="27"/>
    </row>
    <row r="704" spans="1:31" ht="14.3">
      <c r="A704" s="42" t="str">
        <f ca="1">IFERROR(__xludf.DUMMYFUNCTION("""COMPUTED_VALUE"""),"22SDSEE01012")</f>
        <v>22SDSEE01012</v>
      </c>
      <c r="B704" s="43" t="str">
        <f ca="1">IFERROR(__xludf.DUMMYFUNCTION("""COMPUTED_VALUE"""),"VIKASH KUMAR")</f>
        <v>VIKASH KUMAR</v>
      </c>
      <c r="C704" s="42" t="str">
        <f ca="1">IFERROR(__xludf.DUMMYFUNCTION("""COMPUTED_VALUE"""),"SDS")</f>
        <v>SDS</v>
      </c>
      <c r="D704" s="42" t="str">
        <f ca="1">IFERROR(__xludf.DUMMYFUNCTION("""COMPUTED_VALUE"""),"DEE")</f>
        <v>DEE</v>
      </c>
      <c r="E704" s="44">
        <f ca="1">IFERROR(__xludf.DUMMYFUNCTION("""COMPUTED_VALUE"""),4)</f>
        <v>4</v>
      </c>
      <c r="F704" s="42" t="str">
        <f ca="1">IFERROR(__xludf.DUMMYFUNCTION("""COMPUTED_VALUE"""),"BIHAR STUDENT")</f>
        <v>BIHAR STUDENT</v>
      </c>
      <c r="G704" s="42" t="str">
        <f ca="1">IFERROR(__xludf.DUMMYFUNCTION("""COMPUTED_VALUE"""),"BIHAR STUDENT")</f>
        <v>BIHAR STUDENT</v>
      </c>
      <c r="H704" s="2" t="str">
        <f ca="1">IFERROR(__xludf.DUMMYFUNCTION("""COMPUTED_VALUE"""),"DEE_2022-25")</f>
        <v>DEE_2022-25</v>
      </c>
      <c r="I704" s="45"/>
      <c r="J704" s="46">
        <f ca="1">IFERROR(__xludf.DUMMYFUNCTION("""COMPUTED_VALUE"""),42500)</f>
        <v>42500</v>
      </c>
      <c r="K704" s="46">
        <f ca="1">IFERROR(__xludf.DUMMYFUNCTION("""COMPUTED_VALUE"""),42500)</f>
        <v>42500</v>
      </c>
      <c r="L704" s="46">
        <f ca="1">IFERROR(__xludf.DUMMYFUNCTION("""COMPUTED_VALUE"""),0)</f>
        <v>0</v>
      </c>
      <c r="M704" s="47">
        <f ca="1">IFERROR(__xludf.DUMMYFUNCTION("""COMPUTED_VALUE"""),0)</f>
        <v>0</v>
      </c>
      <c r="N704" s="46">
        <f ca="1">IFERROR(__xludf.DUMMYFUNCTION("""COMPUTED_VALUE"""),0)</f>
        <v>0</v>
      </c>
      <c r="O704" s="46">
        <f ca="1">IFERROR(__xludf.DUMMYFUNCTION("""COMPUTED_VALUE"""),0)</f>
        <v>0</v>
      </c>
      <c r="P704" s="46">
        <f ca="1">IFERROR(__xludf.DUMMYFUNCTION("""COMPUTED_VALUE"""),0)</f>
        <v>0</v>
      </c>
      <c r="Q704" s="47">
        <f ca="1">IFERROR(__xludf.DUMMYFUNCTION("""COMPUTED_VALUE"""),0)</f>
        <v>0</v>
      </c>
      <c r="R704" s="24">
        <f ca="1">IFERROR(__xludf.DUMMYFUNCTION("""COMPUTED_VALUE"""),0)</f>
        <v>0</v>
      </c>
      <c r="S704" s="23">
        <f ca="1">IFERROR(__xludf.DUMMYFUNCTION("""COMPUTED_VALUE"""),0)</f>
        <v>0</v>
      </c>
      <c r="T704" s="48">
        <f ca="1">IFERROR(__xludf.DUMMYFUNCTION("""COMPUTED_VALUE"""),0)</f>
        <v>0</v>
      </c>
      <c r="U704" s="47">
        <f ca="1">IFERROR(__xludf.DUMMYFUNCTION("""COMPUTED_VALUE"""),0)</f>
        <v>0</v>
      </c>
      <c r="V704" s="47">
        <f ca="1">IFERROR(__xludf.DUMMYFUNCTION("""COMPUTED_VALUE"""),0)</f>
        <v>0</v>
      </c>
      <c r="W704" s="47">
        <f ca="1">IFERROR(__xludf.DUMMYFUNCTION("""COMPUTED_VALUE"""),0)</f>
        <v>0</v>
      </c>
      <c r="X704" s="47">
        <f ca="1">IFERROR(__xludf.DUMMYFUNCTION("""COMPUTED_VALUE"""),0)</f>
        <v>0</v>
      </c>
      <c r="Y704" s="44">
        <f ca="1">IFERROR(__xludf.DUMMYFUNCTION("""COMPUTED_VALUE"""),0)</f>
        <v>0</v>
      </c>
      <c r="Z704" s="44">
        <f ca="1">IFERROR(__xludf.DUMMYFUNCTION("""COMPUTED_VALUE"""),0)</f>
        <v>0</v>
      </c>
      <c r="AA704" s="44">
        <f ca="1">IFERROR(__xludf.DUMMYFUNCTION("""COMPUTED_VALUE"""),0)</f>
        <v>0</v>
      </c>
      <c r="AB704" s="44">
        <f ca="1">IFERROR(__xludf.DUMMYFUNCTION("""COMPUTED_VALUE"""),0)</f>
        <v>0</v>
      </c>
      <c r="AC704" s="47">
        <f ca="1">IFERROR(__xludf.DUMMYFUNCTION("""COMPUTED_VALUE"""),0)</f>
        <v>0</v>
      </c>
      <c r="AD704" s="49"/>
      <c r="AE704" s="27"/>
    </row>
    <row r="705" spans="1:31" ht="14.3">
      <c r="A705" s="42" t="str">
        <f ca="1">IFERROR(__xludf.DUMMYFUNCTION("""COMPUTED_VALUE"""),"22SDSEE01013")</f>
        <v>22SDSEE01013</v>
      </c>
      <c r="B705" s="43" t="str">
        <f ca="1">IFERROR(__xludf.DUMMYFUNCTION("""COMPUTED_VALUE"""),"KOMAL KUMARI")</f>
        <v>KOMAL KUMARI</v>
      </c>
      <c r="C705" s="42" t="str">
        <f ca="1">IFERROR(__xludf.DUMMYFUNCTION("""COMPUTED_VALUE"""),"SDS")</f>
        <v>SDS</v>
      </c>
      <c r="D705" s="42" t="str">
        <f ca="1">IFERROR(__xludf.DUMMYFUNCTION("""COMPUTED_VALUE"""),"DEE")</f>
        <v>DEE</v>
      </c>
      <c r="E705" s="44">
        <f ca="1">IFERROR(__xludf.DUMMYFUNCTION("""COMPUTED_VALUE"""),4)</f>
        <v>4</v>
      </c>
      <c r="F705" s="42" t="str">
        <f ca="1">IFERROR(__xludf.DUMMYFUNCTION("""COMPUTED_VALUE"""),"BIHAR STUDENT")</f>
        <v>BIHAR STUDENT</v>
      </c>
      <c r="G705" s="42" t="str">
        <f ca="1">IFERROR(__xludf.DUMMYFUNCTION("""COMPUTED_VALUE"""),"BIHAR STUDENT")</f>
        <v>BIHAR STUDENT</v>
      </c>
      <c r="H705" s="2" t="str">
        <f ca="1">IFERROR(__xludf.DUMMYFUNCTION("""COMPUTED_VALUE"""),"DEE_2022-25")</f>
        <v>DEE_2022-25</v>
      </c>
      <c r="I705" s="45"/>
      <c r="J705" s="46">
        <f ca="1">IFERROR(__xludf.DUMMYFUNCTION("""COMPUTED_VALUE"""),42500)</f>
        <v>42500</v>
      </c>
      <c r="K705" s="46">
        <f ca="1">IFERROR(__xludf.DUMMYFUNCTION("""COMPUTED_VALUE"""),42500)</f>
        <v>42500</v>
      </c>
      <c r="L705" s="46">
        <f ca="1">IFERROR(__xludf.DUMMYFUNCTION("""COMPUTED_VALUE"""),0)</f>
        <v>0</v>
      </c>
      <c r="M705" s="47">
        <f ca="1">IFERROR(__xludf.DUMMYFUNCTION("""COMPUTED_VALUE"""),0)</f>
        <v>0</v>
      </c>
      <c r="N705" s="46">
        <f ca="1">IFERROR(__xludf.DUMMYFUNCTION("""COMPUTED_VALUE"""),0)</f>
        <v>0</v>
      </c>
      <c r="O705" s="46">
        <f ca="1">IFERROR(__xludf.DUMMYFUNCTION("""COMPUTED_VALUE"""),0)</f>
        <v>0</v>
      </c>
      <c r="P705" s="46">
        <f ca="1">IFERROR(__xludf.DUMMYFUNCTION("""COMPUTED_VALUE"""),0)</f>
        <v>0</v>
      </c>
      <c r="Q705" s="47">
        <f ca="1">IFERROR(__xludf.DUMMYFUNCTION("""COMPUTED_VALUE"""),0)</f>
        <v>0</v>
      </c>
      <c r="R705" s="24">
        <f ca="1">IFERROR(__xludf.DUMMYFUNCTION("""COMPUTED_VALUE"""),0)</f>
        <v>0</v>
      </c>
      <c r="S705" s="23">
        <f ca="1">IFERROR(__xludf.DUMMYFUNCTION("""COMPUTED_VALUE"""),0)</f>
        <v>0</v>
      </c>
      <c r="T705" s="48">
        <f ca="1">IFERROR(__xludf.DUMMYFUNCTION("""COMPUTED_VALUE"""),0)</f>
        <v>0</v>
      </c>
      <c r="U705" s="47">
        <f ca="1">IFERROR(__xludf.DUMMYFUNCTION("""COMPUTED_VALUE"""),0)</f>
        <v>0</v>
      </c>
      <c r="V705" s="47">
        <f ca="1">IFERROR(__xludf.DUMMYFUNCTION("""COMPUTED_VALUE"""),0)</f>
        <v>0</v>
      </c>
      <c r="W705" s="47">
        <f ca="1">IFERROR(__xludf.DUMMYFUNCTION("""COMPUTED_VALUE"""),0)</f>
        <v>0</v>
      </c>
      <c r="X705" s="47">
        <f ca="1">IFERROR(__xludf.DUMMYFUNCTION("""COMPUTED_VALUE"""),0)</f>
        <v>0</v>
      </c>
      <c r="Y705" s="44">
        <f ca="1">IFERROR(__xludf.DUMMYFUNCTION("""COMPUTED_VALUE"""),0)</f>
        <v>0</v>
      </c>
      <c r="Z705" s="44">
        <f ca="1">IFERROR(__xludf.DUMMYFUNCTION("""COMPUTED_VALUE"""),0)</f>
        <v>0</v>
      </c>
      <c r="AA705" s="44">
        <f ca="1">IFERROR(__xludf.DUMMYFUNCTION("""COMPUTED_VALUE"""),0)</f>
        <v>0</v>
      </c>
      <c r="AB705" s="44">
        <f ca="1">IFERROR(__xludf.DUMMYFUNCTION("""COMPUTED_VALUE"""),0)</f>
        <v>0</v>
      </c>
      <c r="AC705" s="47">
        <f ca="1">IFERROR(__xludf.DUMMYFUNCTION("""COMPUTED_VALUE"""),0)</f>
        <v>0</v>
      </c>
      <c r="AD705" s="49"/>
      <c r="AE705" s="27"/>
    </row>
    <row r="706" spans="1:31" ht="14.3">
      <c r="A706" s="42" t="str">
        <f ca="1">IFERROR(__xludf.DUMMYFUNCTION("""COMPUTED_VALUE"""),"22SDSEE01014")</f>
        <v>22SDSEE01014</v>
      </c>
      <c r="B706" s="43" t="str">
        <f ca="1">IFERROR(__xludf.DUMMYFUNCTION("""COMPUTED_VALUE"""),"LADANI ZEEL MUKESHBHAI")</f>
        <v>LADANI ZEEL MUKESHBHAI</v>
      </c>
      <c r="C706" s="42" t="str">
        <f ca="1">IFERROR(__xludf.DUMMYFUNCTION("""COMPUTED_VALUE"""),"SDS")</f>
        <v>SDS</v>
      </c>
      <c r="D706" s="42" t="str">
        <f ca="1">IFERROR(__xludf.DUMMYFUNCTION("""COMPUTED_VALUE"""),"DEE")</f>
        <v>DEE</v>
      </c>
      <c r="E706" s="44">
        <f ca="1">IFERROR(__xludf.DUMMYFUNCTION("""COMPUTED_VALUE"""),4)</f>
        <v>4</v>
      </c>
      <c r="F706" s="42" t="str">
        <f ca="1">IFERROR(__xludf.DUMMYFUNCTION("""COMPUTED_VALUE"""),"9824864965 
9879252878")</f>
        <v>9824864965 
9879252878</v>
      </c>
      <c r="G706" s="42" t="str">
        <f ca="1">IFERROR(__xludf.DUMMYFUNCTION("""COMPUTED_VALUE"""),"9824864965 
9879252878")</f>
        <v>9824864965 
9879252878</v>
      </c>
      <c r="H706" s="2" t="str">
        <f ca="1">IFERROR(__xludf.DUMMYFUNCTION("""COMPUTED_VALUE"""),"DEE_2022-25")</f>
        <v>DEE_2022-25</v>
      </c>
      <c r="I706" s="45" t="str">
        <f ca="1">IFERROR(__xludf.DUMMYFUNCTION("""COMPUTED_VALUE"""),"MYSY")</f>
        <v>MYSY</v>
      </c>
      <c r="J706" s="46">
        <f ca="1">IFERROR(__xludf.DUMMYFUNCTION("""COMPUTED_VALUE"""),25000)</f>
        <v>25000</v>
      </c>
      <c r="K706" s="46">
        <f ca="1">IFERROR(__xludf.DUMMYFUNCTION("""COMPUTED_VALUE"""),0)</f>
        <v>0</v>
      </c>
      <c r="L706" s="46">
        <f ca="1">IFERROR(__xludf.DUMMYFUNCTION("""COMPUTED_VALUE"""),25000)</f>
        <v>25000</v>
      </c>
      <c r="M706" s="47">
        <f ca="1">IFERROR(__xludf.DUMMYFUNCTION("""COMPUTED_VALUE"""),0)</f>
        <v>0</v>
      </c>
      <c r="N706" s="46">
        <f ca="1">IFERROR(__xludf.DUMMYFUNCTION("""COMPUTED_VALUE"""),25000)</f>
        <v>25000</v>
      </c>
      <c r="O706" s="46">
        <f ca="1">IFERROR(__xludf.DUMMYFUNCTION("""COMPUTED_VALUE"""),3000)</f>
        <v>3000</v>
      </c>
      <c r="P706" s="46">
        <f ca="1">IFERROR(__xludf.DUMMYFUNCTION("""COMPUTED_VALUE"""),0)</f>
        <v>0</v>
      </c>
      <c r="Q706" s="47">
        <f ca="1">IFERROR(__xludf.DUMMYFUNCTION("""COMPUTED_VALUE"""),3000)</f>
        <v>3000</v>
      </c>
      <c r="R706" s="24">
        <f ca="1">IFERROR(__xludf.DUMMYFUNCTION("""COMPUTED_VALUE"""),0)</f>
        <v>0</v>
      </c>
      <c r="S706" s="23">
        <f ca="1">IFERROR(__xludf.DUMMYFUNCTION("""COMPUTED_VALUE"""),3000)</f>
        <v>3000</v>
      </c>
      <c r="T706" s="48">
        <f ca="1">IFERROR(__xludf.DUMMYFUNCTION("""COMPUTED_VALUE"""),0)</f>
        <v>0</v>
      </c>
      <c r="U706" s="47">
        <f ca="1">IFERROR(__xludf.DUMMYFUNCTION("""COMPUTED_VALUE"""),0)</f>
        <v>0</v>
      </c>
      <c r="V706" s="47">
        <f ca="1">IFERROR(__xludf.DUMMYFUNCTION("""COMPUTED_VALUE"""),0)</f>
        <v>0</v>
      </c>
      <c r="W706" s="47">
        <f ca="1">IFERROR(__xludf.DUMMYFUNCTION("""COMPUTED_VALUE"""),0)</f>
        <v>0</v>
      </c>
      <c r="X706" s="47">
        <f ca="1">IFERROR(__xludf.DUMMYFUNCTION("""COMPUTED_VALUE"""),0)</f>
        <v>0</v>
      </c>
      <c r="Y706" s="44">
        <f ca="1">IFERROR(__xludf.DUMMYFUNCTION("""COMPUTED_VALUE"""),0)</f>
        <v>0</v>
      </c>
      <c r="Z706" s="44">
        <f ca="1">IFERROR(__xludf.DUMMYFUNCTION("""COMPUTED_VALUE"""),0)</f>
        <v>0</v>
      </c>
      <c r="AA706" s="44">
        <f ca="1">IFERROR(__xludf.DUMMYFUNCTION("""COMPUTED_VALUE"""),0)</f>
        <v>0</v>
      </c>
      <c r="AB706" s="44">
        <f ca="1">IFERROR(__xludf.DUMMYFUNCTION("""COMPUTED_VALUE"""),0)</f>
        <v>0</v>
      </c>
      <c r="AC706" s="47">
        <f ca="1">IFERROR(__xludf.DUMMYFUNCTION("""COMPUTED_VALUE"""),0)</f>
        <v>0</v>
      </c>
      <c r="AD706" s="49" t="str">
        <f ca="1">IFERROR(__xludf.DUMMYFUNCTION("""COMPUTED_VALUE"""),"KSPS(50%) + MYSY(50%)")</f>
        <v>KSPS(50%) + MYSY(50%)</v>
      </c>
      <c r="AE706" s="27"/>
    </row>
    <row r="707" spans="1:31" ht="14.3">
      <c r="A707" s="42" t="str">
        <f ca="1">IFERROR(__xludf.DUMMYFUNCTION("""COMPUTED_VALUE"""),"22SDSEE01015")</f>
        <v>22SDSEE01015</v>
      </c>
      <c r="B707" s="43" t="str">
        <f ca="1">IFERROR(__xludf.DUMMYFUNCTION("""COMPUTED_VALUE"""),"PANDAV RUTIKA VIRENDRABHAI")</f>
        <v>PANDAV RUTIKA VIRENDRABHAI</v>
      </c>
      <c r="C707" s="42" t="str">
        <f ca="1">IFERROR(__xludf.DUMMYFUNCTION("""COMPUTED_VALUE"""),"SDS")</f>
        <v>SDS</v>
      </c>
      <c r="D707" s="42" t="str">
        <f ca="1">IFERROR(__xludf.DUMMYFUNCTION("""COMPUTED_VALUE"""),"DEE")</f>
        <v>DEE</v>
      </c>
      <c r="E707" s="44">
        <f ca="1">IFERROR(__xludf.DUMMYFUNCTION("""COMPUTED_VALUE"""),4)</f>
        <v>4</v>
      </c>
      <c r="F707" s="42" t="str">
        <f ca="1">IFERROR(__xludf.DUMMYFUNCTION("""COMPUTED_VALUE"""),"9428201858 9824906752")</f>
        <v>9428201858 9824906752</v>
      </c>
      <c r="G707" s="42" t="str">
        <f ca="1">IFERROR(__xludf.DUMMYFUNCTION("""COMPUTED_VALUE"""),"9428201858 9824906752")</f>
        <v>9428201858 9824906752</v>
      </c>
      <c r="H707" s="2" t="str">
        <f ca="1">IFERROR(__xludf.DUMMYFUNCTION("""COMPUTED_VALUE"""),"DEE_2022-25")</f>
        <v>DEE_2022-25</v>
      </c>
      <c r="I707" s="45"/>
      <c r="J707" s="46">
        <f ca="1">IFERROR(__xludf.DUMMYFUNCTION("""COMPUTED_VALUE"""),25000)</f>
        <v>25000</v>
      </c>
      <c r="K707" s="46">
        <f ca="1">IFERROR(__xludf.DUMMYFUNCTION("""COMPUTED_VALUE"""),25000)</f>
        <v>25000</v>
      </c>
      <c r="L707" s="46">
        <f ca="1">IFERROR(__xludf.DUMMYFUNCTION("""COMPUTED_VALUE"""),0)</f>
        <v>0</v>
      </c>
      <c r="M707" s="47">
        <f ca="1">IFERROR(__xludf.DUMMYFUNCTION("""COMPUTED_VALUE"""),0)</f>
        <v>0</v>
      </c>
      <c r="N707" s="46">
        <f ca="1">IFERROR(__xludf.DUMMYFUNCTION("""COMPUTED_VALUE"""),0)</f>
        <v>0</v>
      </c>
      <c r="O707" s="46">
        <f ca="1">IFERROR(__xludf.DUMMYFUNCTION("""COMPUTED_VALUE"""),3000)</f>
        <v>3000</v>
      </c>
      <c r="P707" s="46">
        <f ca="1">IFERROR(__xludf.DUMMYFUNCTION("""COMPUTED_VALUE"""),3000)</f>
        <v>3000</v>
      </c>
      <c r="Q707" s="47">
        <f ca="1">IFERROR(__xludf.DUMMYFUNCTION("""COMPUTED_VALUE"""),0)</f>
        <v>0</v>
      </c>
      <c r="R707" s="24">
        <f ca="1">IFERROR(__xludf.DUMMYFUNCTION("""COMPUTED_VALUE"""),0)</f>
        <v>0</v>
      </c>
      <c r="S707" s="23">
        <f ca="1">IFERROR(__xludf.DUMMYFUNCTION("""COMPUTED_VALUE"""),0)</f>
        <v>0</v>
      </c>
      <c r="T707" s="48">
        <f ca="1">IFERROR(__xludf.DUMMYFUNCTION("""COMPUTED_VALUE"""),0)</f>
        <v>0</v>
      </c>
      <c r="U707" s="47">
        <f ca="1">IFERROR(__xludf.DUMMYFUNCTION("""COMPUTED_VALUE"""),0)</f>
        <v>0</v>
      </c>
      <c r="V707" s="47">
        <f ca="1">IFERROR(__xludf.DUMMYFUNCTION("""COMPUTED_VALUE"""),0)</f>
        <v>0</v>
      </c>
      <c r="W707" s="47">
        <f ca="1">IFERROR(__xludf.DUMMYFUNCTION("""COMPUTED_VALUE"""),0)</f>
        <v>0</v>
      </c>
      <c r="X707" s="47">
        <f ca="1">IFERROR(__xludf.DUMMYFUNCTION("""COMPUTED_VALUE"""),0)</f>
        <v>0</v>
      </c>
      <c r="Y707" s="44">
        <f ca="1">IFERROR(__xludf.DUMMYFUNCTION("""COMPUTED_VALUE"""),0)</f>
        <v>0</v>
      </c>
      <c r="Z707" s="44">
        <f ca="1">IFERROR(__xludf.DUMMYFUNCTION("""COMPUTED_VALUE"""),0)</f>
        <v>0</v>
      </c>
      <c r="AA707" s="44">
        <f ca="1">IFERROR(__xludf.DUMMYFUNCTION("""COMPUTED_VALUE"""),0)</f>
        <v>0</v>
      </c>
      <c r="AB707" s="44">
        <f ca="1">IFERROR(__xludf.DUMMYFUNCTION("""COMPUTED_VALUE"""),0)</f>
        <v>0</v>
      </c>
      <c r="AC707" s="47">
        <f ca="1">IFERROR(__xludf.DUMMYFUNCTION("""COMPUTED_VALUE"""),0)</f>
        <v>0</v>
      </c>
      <c r="AD707" s="49"/>
      <c r="AE707" s="27"/>
    </row>
    <row r="708" spans="1:31" ht="28.55">
      <c r="A708" s="42" t="str">
        <f ca="1">IFERROR(__xludf.DUMMYFUNCTION("""COMPUTED_VALUE"""),"22SDSEE01017")</f>
        <v>22SDSEE01017</v>
      </c>
      <c r="B708" s="43" t="str">
        <f ca="1">IFERROR(__xludf.DUMMYFUNCTION("""COMPUTED_VALUE"""),"PARMAR SAVAN PRAVINBHAI")</f>
        <v>PARMAR SAVAN PRAVINBHAI</v>
      </c>
      <c r="C708" s="42" t="str">
        <f ca="1">IFERROR(__xludf.DUMMYFUNCTION("""COMPUTED_VALUE"""),"SDS")</f>
        <v>SDS</v>
      </c>
      <c r="D708" s="42" t="str">
        <f ca="1">IFERROR(__xludf.DUMMYFUNCTION("""COMPUTED_VALUE"""),"DEE")</f>
        <v>DEE</v>
      </c>
      <c r="E708" s="44">
        <f ca="1">IFERROR(__xludf.DUMMYFUNCTION("""COMPUTED_VALUE"""),4)</f>
        <v>4</v>
      </c>
      <c r="F708" s="42" t="str">
        <f ca="1">IFERROR(__xludf.DUMMYFUNCTION("""COMPUTED_VALUE"""),"7226831626 9898693110")</f>
        <v>7226831626 9898693110</v>
      </c>
      <c r="G708" s="42" t="str">
        <f ca="1">IFERROR(__xludf.DUMMYFUNCTION("""COMPUTED_VALUE"""),"7226831626 9898693110")</f>
        <v>7226831626 9898693110</v>
      </c>
      <c r="H708" s="2" t="str">
        <f ca="1">IFERROR(__xludf.DUMMYFUNCTION("""COMPUTED_VALUE"""),"DEE_2022-25")</f>
        <v>DEE_2022-25</v>
      </c>
      <c r="I708" s="45" t="str">
        <f ca="1">IFERROR(__xludf.DUMMYFUNCTION("""COMPUTED_VALUE"""),"FREESHIP CARD")</f>
        <v>FREESHIP CARD</v>
      </c>
      <c r="J708" s="46">
        <f ca="1">IFERROR(__xludf.DUMMYFUNCTION("""COMPUTED_VALUE"""),25000)</f>
        <v>25000</v>
      </c>
      <c r="K708" s="46">
        <f ca="1">IFERROR(__xludf.DUMMYFUNCTION("""COMPUTED_VALUE"""),0)</f>
        <v>0</v>
      </c>
      <c r="L708" s="46">
        <f ca="1">IFERROR(__xludf.DUMMYFUNCTION("""COMPUTED_VALUE"""),0)</f>
        <v>0</v>
      </c>
      <c r="M708" s="47">
        <f ca="1">IFERROR(__xludf.DUMMYFUNCTION("""COMPUTED_VALUE"""),0)</f>
        <v>0</v>
      </c>
      <c r="N708" s="46">
        <f ca="1">IFERROR(__xludf.DUMMYFUNCTION("""COMPUTED_VALUE"""),25000)</f>
        <v>25000</v>
      </c>
      <c r="O708" s="46">
        <f ca="1">IFERROR(__xludf.DUMMYFUNCTION("""COMPUTED_VALUE"""),3000)</f>
        <v>3000</v>
      </c>
      <c r="P708" s="46">
        <f ca="1">IFERROR(__xludf.DUMMYFUNCTION("""COMPUTED_VALUE"""),0)</f>
        <v>0</v>
      </c>
      <c r="Q708" s="47">
        <f ca="1">IFERROR(__xludf.DUMMYFUNCTION("""COMPUTED_VALUE"""),0)</f>
        <v>0</v>
      </c>
      <c r="R708" s="24">
        <f ca="1">IFERROR(__xludf.DUMMYFUNCTION("""COMPUTED_VALUE"""),0)</f>
        <v>0</v>
      </c>
      <c r="S708" s="23">
        <f ca="1">IFERROR(__xludf.DUMMYFUNCTION("""COMPUTED_VALUE"""),3000)</f>
        <v>3000</v>
      </c>
      <c r="T708" s="48">
        <f ca="1">IFERROR(__xludf.DUMMYFUNCTION("""COMPUTED_VALUE"""),0)</f>
        <v>0</v>
      </c>
      <c r="U708" s="47">
        <f ca="1">IFERROR(__xludf.DUMMYFUNCTION("""COMPUTED_VALUE"""),0)</f>
        <v>0</v>
      </c>
      <c r="V708" s="47">
        <f ca="1">IFERROR(__xludf.DUMMYFUNCTION("""COMPUTED_VALUE"""),0)</f>
        <v>0</v>
      </c>
      <c r="W708" s="47">
        <f ca="1">IFERROR(__xludf.DUMMYFUNCTION("""COMPUTED_VALUE"""),0)</f>
        <v>0</v>
      </c>
      <c r="X708" s="47">
        <f ca="1">IFERROR(__xludf.DUMMYFUNCTION("""COMPUTED_VALUE"""),0)</f>
        <v>0</v>
      </c>
      <c r="Y708" s="44">
        <f ca="1">IFERROR(__xludf.DUMMYFUNCTION("""COMPUTED_VALUE"""),0)</f>
        <v>0</v>
      </c>
      <c r="Z708" s="44">
        <f ca="1">IFERROR(__xludf.DUMMYFUNCTION("""COMPUTED_VALUE"""),0)</f>
        <v>0</v>
      </c>
      <c r="AA708" s="44">
        <f ca="1">IFERROR(__xludf.DUMMYFUNCTION("""COMPUTED_VALUE"""),0)</f>
        <v>0</v>
      </c>
      <c r="AB708" s="44">
        <f ca="1">IFERROR(__xludf.DUMMYFUNCTION("""COMPUTED_VALUE"""),0)</f>
        <v>0</v>
      </c>
      <c r="AC708" s="47">
        <f ca="1">IFERROR(__xludf.DUMMYFUNCTION("""COMPUTED_VALUE"""),0)</f>
        <v>0</v>
      </c>
      <c r="AD708" s="49" t="str">
        <f ca="1">IFERROR(__xludf.DUMMYFUNCTION("""COMPUTED_VALUE"""),"FREESHIPCARD STUDENT")</f>
        <v>FREESHIPCARD STUDENT</v>
      </c>
      <c r="AE708" s="27"/>
    </row>
    <row r="709" spans="1:31" ht="14.3">
      <c r="A709" s="42" t="str">
        <f ca="1">IFERROR(__xludf.DUMMYFUNCTION("""COMPUTED_VALUE"""),"22SDSEE01019")</f>
        <v>22SDSEE01019</v>
      </c>
      <c r="B709" s="43" t="str">
        <f ca="1">IFERROR(__xludf.DUMMYFUNCTION("""COMPUTED_VALUE"""),"AMAN KUMAR")</f>
        <v>AMAN KUMAR</v>
      </c>
      <c r="C709" s="42" t="str">
        <f ca="1">IFERROR(__xludf.DUMMYFUNCTION("""COMPUTED_VALUE"""),"SDS")</f>
        <v>SDS</v>
      </c>
      <c r="D709" s="42" t="str">
        <f ca="1">IFERROR(__xludf.DUMMYFUNCTION("""COMPUTED_VALUE"""),"DEE")</f>
        <v>DEE</v>
      </c>
      <c r="E709" s="44">
        <f ca="1">IFERROR(__xludf.DUMMYFUNCTION("""COMPUTED_VALUE"""),4)</f>
        <v>4</v>
      </c>
      <c r="F709" s="42" t="str">
        <f ca="1">IFERROR(__xludf.DUMMYFUNCTION("""COMPUTED_VALUE"""),"BIHAR STUDENT")</f>
        <v>BIHAR STUDENT</v>
      </c>
      <c r="G709" s="42" t="str">
        <f ca="1">IFERROR(__xludf.DUMMYFUNCTION("""COMPUTED_VALUE"""),"BIHAR STUDENT")</f>
        <v>BIHAR STUDENT</v>
      </c>
      <c r="H709" s="2" t="str">
        <f ca="1">IFERROR(__xludf.DUMMYFUNCTION("""COMPUTED_VALUE"""),"DEE_2022-25")</f>
        <v>DEE_2022-25</v>
      </c>
      <c r="I709" s="45"/>
      <c r="J709" s="46">
        <f ca="1">IFERROR(__xludf.DUMMYFUNCTION("""COMPUTED_VALUE"""),42500)</f>
        <v>42500</v>
      </c>
      <c r="K709" s="46">
        <f ca="1">IFERROR(__xludf.DUMMYFUNCTION("""COMPUTED_VALUE"""),0)</f>
        <v>0</v>
      </c>
      <c r="L709" s="46">
        <f ca="1">IFERROR(__xludf.DUMMYFUNCTION("""COMPUTED_VALUE"""),0)</f>
        <v>0</v>
      </c>
      <c r="M709" s="47">
        <f ca="1">IFERROR(__xludf.DUMMYFUNCTION("""COMPUTED_VALUE"""),0)</f>
        <v>0</v>
      </c>
      <c r="N709" s="46">
        <f ca="1">IFERROR(__xludf.DUMMYFUNCTION("""COMPUTED_VALUE"""),42500)</f>
        <v>42500</v>
      </c>
      <c r="O709" s="46">
        <f ca="1">IFERROR(__xludf.DUMMYFUNCTION("""COMPUTED_VALUE"""),0)</f>
        <v>0</v>
      </c>
      <c r="P709" s="46">
        <f ca="1">IFERROR(__xludf.DUMMYFUNCTION("""COMPUTED_VALUE"""),0)</f>
        <v>0</v>
      </c>
      <c r="Q709" s="47">
        <f ca="1">IFERROR(__xludf.DUMMYFUNCTION("""COMPUTED_VALUE"""),0)</f>
        <v>0</v>
      </c>
      <c r="R709" s="24">
        <f ca="1">IFERROR(__xludf.DUMMYFUNCTION("""COMPUTED_VALUE"""),0)</f>
        <v>0</v>
      </c>
      <c r="S709" s="23">
        <f ca="1">IFERROR(__xludf.DUMMYFUNCTION("""COMPUTED_VALUE"""),0)</f>
        <v>0</v>
      </c>
      <c r="T709" s="48">
        <f ca="1">IFERROR(__xludf.DUMMYFUNCTION("""COMPUTED_VALUE"""),0)</f>
        <v>0</v>
      </c>
      <c r="U709" s="47">
        <f ca="1">IFERROR(__xludf.DUMMYFUNCTION("""COMPUTED_VALUE"""),0)</f>
        <v>0</v>
      </c>
      <c r="V709" s="47">
        <f ca="1">IFERROR(__xludf.DUMMYFUNCTION("""COMPUTED_VALUE"""),0)</f>
        <v>0</v>
      </c>
      <c r="W709" s="47">
        <f ca="1">IFERROR(__xludf.DUMMYFUNCTION("""COMPUTED_VALUE"""),0)</f>
        <v>0</v>
      </c>
      <c r="X709" s="47">
        <f ca="1">IFERROR(__xludf.DUMMYFUNCTION("""COMPUTED_VALUE"""),0)</f>
        <v>0</v>
      </c>
      <c r="Y709" s="44">
        <f ca="1">IFERROR(__xludf.DUMMYFUNCTION("""COMPUTED_VALUE"""),0)</f>
        <v>0</v>
      </c>
      <c r="Z709" s="44">
        <f ca="1">IFERROR(__xludf.DUMMYFUNCTION("""COMPUTED_VALUE"""),0)</f>
        <v>0</v>
      </c>
      <c r="AA709" s="44">
        <f ca="1">IFERROR(__xludf.DUMMYFUNCTION("""COMPUTED_VALUE"""),0)</f>
        <v>0</v>
      </c>
      <c r="AB709" s="44">
        <f ca="1">IFERROR(__xludf.DUMMYFUNCTION("""COMPUTED_VALUE"""),0)</f>
        <v>0</v>
      </c>
      <c r="AC709" s="47">
        <f ca="1">IFERROR(__xludf.DUMMYFUNCTION("""COMPUTED_VALUE"""),0)</f>
        <v>0</v>
      </c>
      <c r="AD709" s="49"/>
      <c r="AE709" s="27"/>
    </row>
    <row r="710" spans="1:31" ht="14.3">
      <c r="A710" s="42" t="str">
        <f ca="1">IFERROR(__xludf.DUMMYFUNCTION("""COMPUTED_VALUE"""),"22SDSEE01021")</f>
        <v>22SDSEE01021</v>
      </c>
      <c r="B710" s="43" t="str">
        <f ca="1">IFERROR(__xludf.DUMMYFUNCTION("""COMPUTED_VALUE"""),"SUNNY KUMAR")</f>
        <v>SUNNY KUMAR</v>
      </c>
      <c r="C710" s="42" t="str">
        <f ca="1">IFERROR(__xludf.DUMMYFUNCTION("""COMPUTED_VALUE"""),"SDS")</f>
        <v>SDS</v>
      </c>
      <c r="D710" s="42" t="str">
        <f ca="1">IFERROR(__xludf.DUMMYFUNCTION("""COMPUTED_VALUE"""),"DEE")</f>
        <v>DEE</v>
      </c>
      <c r="E710" s="44">
        <f ca="1">IFERROR(__xludf.DUMMYFUNCTION("""COMPUTED_VALUE"""),4)</f>
        <v>4</v>
      </c>
      <c r="F710" s="42" t="str">
        <f ca="1">IFERROR(__xludf.DUMMYFUNCTION("""COMPUTED_VALUE"""),"BIHAR STUDENT")</f>
        <v>BIHAR STUDENT</v>
      </c>
      <c r="G710" s="42" t="str">
        <f ca="1">IFERROR(__xludf.DUMMYFUNCTION("""COMPUTED_VALUE"""),"BIHAR STUDENT")</f>
        <v>BIHAR STUDENT</v>
      </c>
      <c r="H710" s="2" t="str">
        <f ca="1">IFERROR(__xludf.DUMMYFUNCTION("""COMPUTED_VALUE"""),"DEE_2022-25")</f>
        <v>DEE_2022-25</v>
      </c>
      <c r="I710" s="45"/>
      <c r="J710" s="46">
        <f ca="1">IFERROR(__xludf.DUMMYFUNCTION("""COMPUTED_VALUE"""),42500)</f>
        <v>42500</v>
      </c>
      <c r="K710" s="46">
        <f ca="1">IFERROR(__xludf.DUMMYFUNCTION("""COMPUTED_VALUE"""),42500)</f>
        <v>42500</v>
      </c>
      <c r="L710" s="46">
        <f ca="1">IFERROR(__xludf.DUMMYFUNCTION("""COMPUTED_VALUE"""),0)</f>
        <v>0</v>
      </c>
      <c r="M710" s="47">
        <f ca="1">IFERROR(__xludf.DUMMYFUNCTION("""COMPUTED_VALUE"""),0)</f>
        <v>0</v>
      </c>
      <c r="N710" s="46">
        <f ca="1">IFERROR(__xludf.DUMMYFUNCTION("""COMPUTED_VALUE"""),0)</f>
        <v>0</v>
      </c>
      <c r="O710" s="46">
        <f ca="1">IFERROR(__xludf.DUMMYFUNCTION("""COMPUTED_VALUE"""),0)</f>
        <v>0</v>
      </c>
      <c r="P710" s="46">
        <f ca="1">IFERROR(__xludf.DUMMYFUNCTION("""COMPUTED_VALUE"""),0)</f>
        <v>0</v>
      </c>
      <c r="Q710" s="47">
        <f ca="1">IFERROR(__xludf.DUMMYFUNCTION("""COMPUTED_VALUE"""),0)</f>
        <v>0</v>
      </c>
      <c r="R710" s="24">
        <f ca="1">IFERROR(__xludf.DUMMYFUNCTION("""COMPUTED_VALUE"""),0)</f>
        <v>0</v>
      </c>
      <c r="S710" s="23">
        <f ca="1">IFERROR(__xludf.DUMMYFUNCTION("""COMPUTED_VALUE"""),0)</f>
        <v>0</v>
      </c>
      <c r="T710" s="48">
        <f ca="1">IFERROR(__xludf.DUMMYFUNCTION("""COMPUTED_VALUE"""),0)</f>
        <v>0</v>
      </c>
      <c r="U710" s="47">
        <f ca="1">IFERROR(__xludf.DUMMYFUNCTION("""COMPUTED_VALUE"""),0)</f>
        <v>0</v>
      </c>
      <c r="V710" s="47">
        <f ca="1">IFERROR(__xludf.DUMMYFUNCTION("""COMPUTED_VALUE"""),0)</f>
        <v>0</v>
      </c>
      <c r="W710" s="47">
        <f ca="1">IFERROR(__xludf.DUMMYFUNCTION("""COMPUTED_VALUE"""),0)</f>
        <v>0</v>
      </c>
      <c r="X710" s="47">
        <f ca="1">IFERROR(__xludf.DUMMYFUNCTION("""COMPUTED_VALUE"""),0)</f>
        <v>0</v>
      </c>
      <c r="Y710" s="44">
        <f ca="1">IFERROR(__xludf.DUMMYFUNCTION("""COMPUTED_VALUE"""),0)</f>
        <v>0</v>
      </c>
      <c r="Z710" s="44">
        <f ca="1">IFERROR(__xludf.DUMMYFUNCTION("""COMPUTED_VALUE"""),0)</f>
        <v>0</v>
      </c>
      <c r="AA710" s="44">
        <f ca="1">IFERROR(__xludf.DUMMYFUNCTION("""COMPUTED_VALUE"""),0)</f>
        <v>0</v>
      </c>
      <c r="AB710" s="44">
        <f ca="1">IFERROR(__xludf.DUMMYFUNCTION("""COMPUTED_VALUE"""),0)</f>
        <v>0</v>
      </c>
      <c r="AC710" s="47">
        <f ca="1">IFERROR(__xludf.DUMMYFUNCTION("""COMPUTED_VALUE"""),0)</f>
        <v>0</v>
      </c>
      <c r="AD710" s="49"/>
      <c r="AE710" s="27"/>
    </row>
    <row r="711" spans="1:31" ht="14.3">
      <c r="A711" s="42" t="str">
        <f ca="1">IFERROR(__xludf.DUMMYFUNCTION("""COMPUTED_VALUE"""),"22SDSEE01022")</f>
        <v>22SDSEE01022</v>
      </c>
      <c r="B711" s="43" t="str">
        <f ca="1">IFERROR(__xludf.DUMMYFUNCTION("""COMPUTED_VALUE"""),"MAYANK PANDEY")</f>
        <v>MAYANK PANDEY</v>
      </c>
      <c r="C711" s="42" t="str">
        <f ca="1">IFERROR(__xludf.DUMMYFUNCTION("""COMPUTED_VALUE"""),"SDS")</f>
        <v>SDS</v>
      </c>
      <c r="D711" s="42" t="str">
        <f ca="1">IFERROR(__xludf.DUMMYFUNCTION("""COMPUTED_VALUE"""),"DEE")</f>
        <v>DEE</v>
      </c>
      <c r="E711" s="44">
        <f ca="1">IFERROR(__xludf.DUMMYFUNCTION("""COMPUTED_VALUE"""),4)</f>
        <v>4</v>
      </c>
      <c r="F711" s="42" t="str">
        <f ca="1">IFERROR(__xludf.DUMMYFUNCTION("""COMPUTED_VALUE"""),"BIHAR STUDENT")</f>
        <v>BIHAR STUDENT</v>
      </c>
      <c r="G711" s="42" t="str">
        <f ca="1">IFERROR(__xludf.DUMMYFUNCTION("""COMPUTED_VALUE"""),"BIHAR STUDENT")</f>
        <v>BIHAR STUDENT</v>
      </c>
      <c r="H711" s="2" t="str">
        <f ca="1">IFERROR(__xludf.DUMMYFUNCTION("""COMPUTED_VALUE"""),"DEE_2022-25")</f>
        <v>DEE_2022-25</v>
      </c>
      <c r="I711" s="45"/>
      <c r="J711" s="46">
        <f ca="1">IFERROR(__xludf.DUMMYFUNCTION("""COMPUTED_VALUE"""),42500)</f>
        <v>42500</v>
      </c>
      <c r="K711" s="46">
        <f ca="1">IFERROR(__xludf.DUMMYFUNCTION("""COMPUTED_VALUE"""),0)</f>
        <v>0</v>
      </c>
      <c r="L711" s="46">
        <f ca="1">IFERROR(__xludf.DUMMYFUNCTION("""COMPUTED_VALUE"""),0)</f>
        <v>0</v>
      </c>
      <c r="M711" s="47">
        <f ca="1">IFERROR(__xludf.DUMMYFUNCTION("""COMPUTED_VALUE"""),0)</f>
        <v>0</v>
      </c>
      <c r="N711" s="46">
        <f ca="1">IFERROR(__xludf.DUMMYFUNCTION("""COMPUTED_VALUE"""),42500)</f>
        <v>42500</v>
      </c>
      <c r="O711" s="46">
        <f ca="1">IFERROR(__xludf.DUMMYFUNCTION("""COMPUTED_VALUE"""),0)</f>
        <v>0</v>
      </c>
      <c r="P711" s="46">
        <f ca="1">IFERROR(__xludf.DUMMYFUNCTION("""COMPUTED_VALUE"""),0)</f>
        <v>0</v>
      </c>
      <c r="Q711" s="47">
        <f ca="1">IFERROR(__xludf.DUMMYFUNCTION("""COMPUTED_VALUE"""),0)</f>
        <v>0</v>
      </c>
      <c r="R711" s="24">
        <f ca="1">IFERROR(__xludf.DUMMYFUNCTION("""COMPUTED_VALUE"""),0)</f>
        <v>0</v>
      </c>
      <c r="S711" s="23">
        <f ca="1">IFERROR(__xludf.DUMMYFUNCTION("""COMPUTED_VALUE"""),0)</f>
        <v>0</v>
      </c>
      <c r="T711" s="48">
        <f ca="1">IFERROR(__xludf.DUMMYFUNCTION("""COMPUTED_VALUE"""),0)</f>
        <v>0</v>
      </c>
      <c r="U711" s="47">
        <f ca="1">IFERROR(__xludf.DUMMYFUNCTION("""COMPUTED_VALUE"""),0)</f>
        <v>0</v>
      </c>
      <c r="V711" s="47">
        <f ca="1">IFERROR(__xludf.DUMMYFUNCTION("""COMPUTED_VALUE"""),0)</f>
        <v>0</v>
      </c>
      <c r="W711" s="47">
        <f ca="1">IFERROR(__xludf.DUMMYFUNCTION("""COMPUTED_VALUE"""),0)</f>
        <v>0</v>
      </c>
      <c r="X711" s="47">
        <f ca="1">IFERROR(__xludf.DUMMYFUNCTION("""COMPUTED_VALUE"""),0)</f>
        <v>0</v>
      </c>
      <c r="Y711" s="44">
        <f ca="1">IFERROR(__xludf.DUMMYFUNCTION("""COMPUTED_VALUE"""),0)</f>
        <v>0</v>
      </c>
      <c r="Z711" s="44">
        <f ca="1">IFERROR(__xludf.DUMMYFUNCTION("""COMPUTED_VALUE"""),0)</f>
        <v>0</v>
      </c>
      <c r="AA711" s="44">
        <f ca="1">IFERROR(__xludf.DUMMYFUNCTION("""COMPUTED_VALUE"""),0)</f>
        <v>0</v>
      </c>
      <c r="AB711" s="44">
        <f ca="1">IFERROR(__xludf.DUMMYFUNCTION("""COMPUTED_VALUE"""),0)</f>
        <v>0</v>
      </c>
      <c r="AC711" s="47">
        <f ca="1">IFERROR(__xludf.DUMMYFUNCTION("""COMPUTED_VALUE"""),0)</f>
        <v>0</v>
      </c>
      <c r="AD711" s="49"/>
      <c r="AE711" s="27"/>
    </row>
    <row r="712" spans="1:31" ht="14.3">
      <c r="A712" s="42" t="str">
        <f ca="1">IFERROR(__xludf.DUMMYFUNCTION("""COMPUTED_VALUE"""),"22SDSEE01023")</f>
        <v>22SDSEE01023</v>
      </c>
      <c r="B712" s="43" t="str">
        <f ca="1">IFERROR(__xludf.DUMMYFUNCTION("""COMPUTED_VALUE"""),"ANIKET KUMAR")</f>
        <v>ANIKET KUMAR</v>
      </c>
      <c r="C712" s="42" t="str">
        <f ca="1">IFERROR(__xludf.DUMMYFUNCTION("""COMPUTED_VALUE"""),"SDS")</f>
        <v>SDS</v>
      </c>
      <c r="D712" s="42" t="str">
        <f ca="1">IFERROR(__xludf.DUMMYFUNCTION("""COMPUTED_VALUE"""),"DEE")</f>
        <v>DEE</v>
      </c>
      <c r="E712" s="44">
        <f ca="1">IFERROR(__xludf.DUMMYFUNCTION("""COMPUTED_VALUE"""),4)</f>
        <v>4</v>
      </c>
      <c r="F712" s="42" t="str">
        <f ca="1">IFERROR(__xludf.DUMMYFUNCTION("""COMPUTED_VALUE"""),"BIHAR STUDENT")</f>
        <v>BIHAR STUDENT</v>
      </c>
      <c r="G712" s="42" t="str">
        <f ca="1">IFERROR(__xludf.DUMMYFUNCTION("""COMPUTED_VALUE"""),"BIHAR STUDENT")</f>
        <v>BIHAR STUDENT</v>
      </c>
      <c r="H712" s="2" t="str">
        <f ca="1">IFERROR(__xludf.DUMMYFUNCTION("""COMPUTED_VALUE"""),"DEE_2022-25")</f>
        <v>DEE_2022-25</v>
      </c>
      <c r="I712" s="45"/>
      <c r="J712" s="46">
        <f ca="1">IFERROR(__xludf.DUMMYFUNCTION("""COMPUTED_VALUE"""),42500)</f>
        <v>42500</v>
      </c>
      <c r="K712" s="46">
        <f ca="1">IFERROR(__xludf.DUMMYFUNCTION("""COMPUTED_VALUE"""),0)</f>
        <v>0</v>
      </c>
      <c r="L712" s="46">
        <f ca="1">IFERROR(__xludf.DUMMYFUNCTION("""COMPUTED_VALUE"""),0)</f>
        <v>0</v>
      </c>
      <c r="M712" s="47">
        <f ca="1">IFERROR(__xludf.DUMMYFUNCTION("""COMPUTED_VALUE"""),0)</f>
        <v>0</v>
      </c>
      <c r="N712" s="46">
        <f ca="1">IFERROR(__xludf.DUMMYFUNCTION("""COMPUTED_VALUE"""),42500)</f>
        <v>42500</v>
      </c>
      <c r="O712" s="46">
        <f ca="1">IFERROR(__xludf.DUMMYFUNCTION("""COMPUTED_VALUE"""),0)</f>
        <v>0</v>
      </c>
      <c r="P712" s="46">
        <f ca="1">IFERROR(__xludf.DUMMYFUNCTION("""COMPUTED_VALUE"""),0)</f>
        <v>0</v>
      </c>
      <c r="Q712" s="47">
        <f ca="1">IFERROR(__xludf.DUMMYFUNCTION("""COMPUTED_VALUE"""),0)</f>
        <v>0</v>
      </c>
      <c r="R712" s="24">
        <f ca="1">IFERROR(__xludf.DUMMYFUNCTION("""COMPUTED_VALUE"""),0)</f>
        <v>0</v>
      </c>
      <c r="S712" s="23">
        <f ca="1">IFERROR(__xludf.DUMMYFUNCTION("""COMPUTED_VALUE"""),0)</f>
        <v>0</v>
      </c>
      <c r="T712" s="48">
        <f ca="1">IFERROR(__xludf.DUMMYFUNCTION("""COMPUTED_VALUE"""),0)</f>
        <v>0</v>
      </c>
      <c r="U712" s="47">
        <f ca="1">IFERROR(__xludf.DUMMYFUNCTION("""COMPUTED_VALUE"""),0)</f>
        <v>0</v>
      </c>
      <c r="V712" s="47">
        <f ca="1">IFERROR(__xludf.DUMMYFUNCTION("""COMPUTED_VALUE"""),0)</f>
        <v>0</v>
      </c>
      <c r="W712" s="47">
        <f ca="1">IFERROR(__xludf.DUMMYFUNCTION("""COMPUTED_VALUE"""),0)</f>
        <v>0</v>
      </c>
      <c r="X712" s="47">
        <f ca="1">IFERROR(__xludf.DUMMYFUNCTION("""COMPUTED_VALUE"""),0)</f>
        <v>0</v>
      </c>
      <c r="Y712" s="44">
        <f ca="1">IFERROR(__xludf.DUMMYFUNCTION("""COMPUTED_VALUE"""),0)</f>
        <v>0</v>
      </c>
      <c r="Z712" s="44">
        <f ca="1">IFERROR(__xludf.DUMMYFUNCTION("""COMPUTED_VALUE"""),0)</f>
        <v>0</v>
      </c>
      <c r="AA712" s="44">
        <f ca="1">IFERROR(__xludf.DUMMYFUNCTION("""COMPUTED_VALUE"""),0)</f>
        <v>0</v>
      </c>
      <c r="AB712" s="44">
        <f ca="1">IFERROR(__xludf.DUMMYFUNCTION("""COMPUTED_VALUE"""),0)</f>
        <v>0</v>
      </c>
      <c r="AC712" s="47">
        <f ca="1">IFERROR(__xludf.DUMMYFUNCTION("""COMPUTED_VALUE"""),0)</f>
        <v>0</v>
      </c>
      <c r="AD712" s="49"/>
      <c r="AE712" s="27"/>
    </row>
    <row r="713" spans="1:31" ht="14.3">
      <c r="A713" s="42" t="str">
        <f ca="1">IFERROR(__xludf.DUMMYFUNCTION("""COMPUTED_VALUE"""),"22SDSEE01024")</f>
        <v>22SDSEE01024</v>
      </c>
      <c r="B713" s="43" t="str">
        <f ca="1">IFERROR(__xludf.DUMMYFUNCTION("""COMPUTED_VALUE"""),"MD KAISH")</f>
        <v>MD KAISH</v>
      </c>
      <c r="C713" s="42" t="str">
        <f ca="1">IFERROR(__xludf.DUMMYFUNCTION("""COMPUTED_VALUE"""),"SDS")</f>
        <v>SDS</v>
      </c>
      <c r="D713" s="42" t="str">
        <f ca="1">IFERROR(__xludf.DUMMYFUNCTION("""COMPUTED_VALUE"""),"DEE")</f>
        <v>DEE</v>
      </c>
      <c r="E713" s="44">
        <f ca="1">IFERROR(__xludf.DUMMYFUNCTION("""COMPUTED_VALUE"""),4)</f>
        <v>4</v>
      </c>
      <c r="F713" s="42" t="str">
        <f ca="1">IFERROR(__xludf.DUMMYFUNCTION("""COMPUTED_VALUE"""),"BIHAR STUDENT")</f>
        <v>BIHAR STUDENT</v>
      </c>
      <c r="G713" s="42" t="str">
        <f ca="1">IFERROR(__xludf.DUMMYFUNCTION("""COMPUTED_VALUE"""),"BIHAR STUDENT")</f>
        <v>BIHAR STUDENT</v>
      </c>
      <c r="H713" s="2" t="str">
        <f ca="1">IFERROR(__xludf.DUMMYFUNCTION("""COMPUTED_VALUE"""),"DEE_2022-25")</f>
        <v>DEE_2022-25</v>
      </c>
      <c r="I713" s="45"/>
      <c r="J713" s="46">
        <f ca="1">IFERROR(__xludf.DUMMYFUNCTION("""COMPUTED_VALUE"""),42500)</f>
        <v>42500</v>
      </c>
      <c r="K713" s="46">
        <f ca="1">IFERROR(__xludf.DUMMYFUNCTION("""COMPUTED_VALUE"""),0)</f>
        <v>0</v>
      </c>
      <c r="L713" s="46">
        <f ca="1">IFERROR(__xludf.DUMMYFUNCTION("""COMPUTED_VALUE"""),0)</f>
        <v>0</v>
      </c>
      <c r="M713" s="47">
        <f ca="1">IFERROR(__xludf.DUMMYFUNCTION("""COMPUTED_VALUE"""),0)</f>
        <v>0</v>
      </c>
      <c r="N713" s="46">
        <f ca="1">IFERROR(__xludf.DUMMYFUNCTION("""COMPUTED_VALUE"""),42500)</f>
        <v>42500</v>
      </c>
      <c r="O713" s="46">
        <f ca="1">IFERROR(__xludf.DUMMYFUNCTION("""COMPUTED_VALUE"""),0)</f>
        <v>0</v>
      </c>
      <c r="P713" s="46">
        <f ca="1">IFERROR(__xludf.DUMMYFUNCTION("""COMPUTED_VALUE"""),0)</f>
        <v>0</v>
      </c>
      <c r="Q713" s="47">
        <f ca="1">IFERROR(__xludf.DUMMYFUNCTION("""COMPUTED_VALUE"""),0)</f>
        <v>0</v>
      </c>
      <c r="R713" s="24">
        <f ca="1">IFERROR(__xludf.DUMMYFUNCTION("""COMPUTED_VALUE"""),0)</f>
        <v>0</v>
      </c>
      <c r="S713" s="23">
        <f ca="1">IFERROR(__xludf.DUMMYFUNCTION("""COMPUTED_VALUE"""),0)</f>
        <v>0</v>
      </c>
      <c r="T713" s="48">
        <f ca="1">IFERROR(__xludf.DUMMYFUNCTION("""COMPUTED_VALUE"""),0)</f>
        <v>0</v>
      </c>
      <c r="U713" s="47">
        <f ca="1">IFERROR(__xludf.DUMMYFUNCTION("""COMPUTED_VALUE"""),0)</f>
        <v>0</v>
      </c>
      <c r="V713" s="47">
        <f ca="1">IFERROR(__xludf.DUMMYFUNCTION("""COMPUTED_VALUE"""),0)</f>
        <v>0</v>
      </c>
      <c r="W713" s="47">
        <f ca="1">IFERROR(__xludf.DUMMYFUNCTION("""COMPUTED_VALUE"""),0)</f>
        <v>0</v>
      </c>
      <c r="X713" s="47">
        <f ca="1">IFERROR(__xludf.DUMMYFUNCTION("""COMPUTED_VALUE"""),0)</f>
        <v>0</v>
      </c>
      <c r="Y713" s="44">
        <f ca="1">IFERROR(__xludf.DUMMYFUNCTION("""COMPUTED_VALUE"""),0)</f>
        <v>0</v>
      </c>
      <c r="Z713" s="44">
        <f ca="1">IFERROR(__xludf.DUMMYFUNCTION("""COMPUTED_VALUE"""),0)</f>
        <v>0</v>
      </c>
      <c r="AA713" s="44">
        <f ca="1">IFERROR(__xludf.DUMMYFUNCTION("""COMPUTED_VALUE"""),0)</f>
        <v>0</v>
      </c>
      <c r="AB713" s="44">
        <f ca="1">IFERROR(__xludf.DUMMYFUNCTION("""COMPUTED_VALUE"""),0)</f>
        <v>0</v>
      </c>
      <c r="AC713" s="47">
        <f ca="1">IFERROR(__xludf.DUMMYFUNCTION("""COMPUTED_VALUE"""),0)</f>
        <v>0</v>
      </c>
      <c r="AD713" s="49"/>
      <c r="AE713" s="27"/>
    </row>
    <row r="714" spans="1:31" ht="14.3">
      <c r="A714" s="42" t="str">
        <f ca="1">IFERROR(__xludf.DUMMYFUNCTION("""COMPUTED_VALUE"""),"22SDSEE01025")</f>
        <v>22SDSEE01025</v>
      </c>
      <c r="B714" s="43" t="str">
        <f ca="1">IFERROR(__xludf.DUMMYFUNCTION("""COMPUTED_VALUE"""),"SOLANKI KISHOR VINUBHAI")</f>
        <v>SOLANKI KISHOR VINUBHAI</v>
      </c>
      <c r="C714" s="42" t="str">
        <f ca="1">IFERROR(__xludf.DUMMYFUNCTION("""COMPUTED_VALUE"""),"SDS")</f>
        <v>SDS</v>
      </c>
      <c r="D714" s="42" t="str">
        <f ca="1">IFERROR(__xludf.DUMMYFUNCTION("""COMPUTED_VALUE"""),"DEE")</f>
        <v>DEE</v>
      </c>
      <c r="E714" s="44">
        <f ca="1">IFERROR(__xludf.DUMMYFUNCTION("""COMPUTED_VALUE"""),4)</f>
        <v>4</v>
      </c>
      <c r="F714" s="42" t="str">
        <f ca="1">IFERROR(__xludf.DUMMYFUNCTION("""COMPUTED_VALUE"""),"BIHAR STUDENT")</f>
        <v>BIHAR STUDENT</v>
      </c>
      <c r="G714" s="42" t="str">
        <f ca="1">IFERROR(__xludf.DUMMYFUNCTION("""COMPUTED_VALUE"""),"BIHAR STUDENT")</f>
        <v>BIHAR STUDENT</v>
      </c>
      <c r="H714" s="2" t="str">
        <f ca="1">IFERROR(__xludf.DUMMYFUNCTION("""COMPUTED_VALUE"""),"DEE_2022-25")</f>
        <v>DEE_2022-25</v>
      </c>
      <c r="I714" s="45"/>
      <c r="J714" s="46">
        <f ca="1">IFERROR(__xludf.DUMMYFUNCTION("""COMPUTED_VALUE"""),42500)</f>
        <v>42500</v>
      </c>
      <c r="K714" s="46">
        <f ca="1">IFERROR(__xludf.DUMMYFUNCTION("""COMPUTED_VALUE"""),0)</f>
        <v>0</v>
      </c>
      <c r="L714" s="46">
        <f ca="1">IFERROR(__xludf.DUMMYFUNCTION("""COMPUTED_VALUE"""),0)</f>
        <v>0</v>
      </c>
      <c r="M714" s="47">
        <f ca="1">IFERROR(__xludf.DUMMYFUNCTION("""COMPUTED_VALUE"""),0)</f>
        <v>0</v>
      </c>
      <c r="N714" s="46">
        <f ca="1">IFERROR(__xludf.DUMMYFUNCTION("""COMPUTED_VALUE"""),42500)</f>
        <v>42500</v>
      </c>
      <c r="O714" s="46">
        <f ca="1">IFERROR(__xludf.DUMMYFUNCTION("""COMPUTED_VALUE"""),0)</f>
        <v>0</v>
      </c>
      <c r="P714" s="46">
        <f ca="1">IFERROR(__xludf.DUMMYFUNCTION("""COMPUTED_VALUE"""),0)</f>
        <v>0</v>
      </c>
      <c r="Q714" s="47">
        <f ca="1">IFERROR(__xludf.DUMMYFUNCTION("""COMPUTED_VALUE"""),0)</f>
        <v>0</v>
      </c>
      <c r="R714" s="24">
        <f ca="1">IFERROR(__xludf.DUMMYFUNCTION("""COMPUTED_VALUE"""),0)</f>
        <v>0</v>
      </c>
      <c r="S714" s="23">
        <f ca="1">IFERROR(__xludf.DUMMYFUNCTION("""COMPUTED_VALUE"""),0)</f>
        <v>0</v>
      </c>
      <c r="T714" s="48">
        <f ca="1">IFERROR(__xludf.DUMMYFUNCTION("""COMPUTED_VALUE"""),0)</f>
        <v>0</v>
      </c>
      <c r="U714" s="47">
        <f ca="1">IFERROR(__xludf.DUMMYFUNCTION("""COMPUTED_VALUE"""),0)</f>
        <v>0</v>
      </c>
      <c r="V714" s="47">
        <f ca="1">IFERROR(__xludf.DUMMYFUNCTION("""COMPUTED_VALUE"""),0)</f>
        <v>0</v>
      </c>
      <c r="W714" s="47">
        <f ca="1">IFERROR(__xludf.DUMMYFUNCTION("""COMPUTED_VALUE"""),0)</f>
        <v>0</v>
      </c>
      <c r="X714" s="47">
        <f ca="1">IFERROR(__xludf.DUMMYFUNCTION("""COMPUTED_VALUE"""),0)</f>
        <v>0</v>
      </c>
      <c r="Y714" s="44">
        <f ca="1">IFERROR(__xludf.DUMMYFUNCTION("""COMPUTED_VALUE"""),0)</f>
        <v>0</v>
      </c>
      <c r="Z714" s="44">
        <f ca="1">IFERROR(__xludf.DUMMYFUNCTION("""COMPUTED_VALUE"""),0)</f>
        <v>0</v>
      </c>
      <c r="AA714" s="44">
        <f ca="1">IFERROR(__xludf.DUMMYFUNCTION("""COMPUTED_VALUE"""),0)</f>
        <v>0</v>
      </c>
      <c r="AB714" s="44">
        <f ca="1">IFERROR(__xludf.DUMMYFUNCTION("""COMPUTED_VALUE"""),0)</f>
        <v>0</v>
      </c>
      <c r="AC714" s="47">
        <f ca="1">IFERROR(__xludf.DUMMYFUNCTION("""COMPUTED_VALUE"""),0)</f>
        <v>0</v>
      </c>
      <c r="AD714" s="49"/>
      <c r="AE714" s="27"/>
    </row>
    <row r="715" spans="1:31" ht="14.3">
      <c r="A715" s="42" t="str">
        <f ca="1">IFERROR(__xludf.DUMMYFUNCTION("""COMPUTED_VALUE"""),"22SDSEE01026")</f>
        <v>22SDSEE01026</v>
      </c>
      <c r="B715" s="43" t="str">
        <f ca="1">IFERROR(__xludf.DUMMYFUNCTION("""COMPUTED_VALUE"""),"MAHTAB ALAM")</f>
        <v>MAHTAB ALAM</v>
      </c>
      <c r="C715" s="42" t="str">
        <f ca="1">IFERROR(__xludf.DUMMYFUNCTION("""COMPUTED_VALUE"""),"SDS")</f>
        <v>SDS</v>
      </c>
      <c r="D715" s="42" t="str">
        <f ca="1">IFERROR(__xludf.DUMMYFUNCTION("""COMPUTED_VALUE"""),"DEE")</f>
        <v>DEE</v>
      </c>
      <c r="E715" s="44">
        <f ca="1">IFERROR(__xludf.DUMMYFUNCTION("""COMPUTED_VALUE"""),4)</f>
        <v>4</v>
      </c>
      <c r="F715" s="42" t="str">
        <f ca="1">IFERROR(__xludf.DUMMYFUNCTION("""COMPUTED_VALUE"""),"BIHAR STUDENT")</f>
        <v>BIHAR STUDENT</v>
      </c>
      <c r="G715" s="42" t="str">
        <f ca="1">IFERROR(__xludf.DUMMYFUNCTION("""COMPUTED_VALUE"""),"BIHAR STUDENT")</f>
        <v>BIHAR STUDENT</v>
      </c>
      <c r="H715" s="2" t="str">
        <f ca="1">IFERROR(__xludf.DUMMYFUNCTION("""COMPUTED_VALUE"""),"DEE_2022-25")</f>
        <v>DEE_2022-25</v>
      </c>
      <c r="I715" s="45"/>
      <c r="J715" s="46">
        <f ca="1">IFERROR(__xludf.DUMMYFUNCTION("""COMPUTED_VALUE"""),42500)</f>
        <v>42500</v>
      </c>
      <c r="K715" s="46">
        <f ca="1">IFERROR(__xludf.DUMMYFUNCTION("""COMPUTED_VALUE"""),0)</f>
        <v>0</v>
      </c>
      <c r="L715" s="46">
        <f ca="1">IFERROR(__xludf.DUMMYFUNCTION("""COMPUTED_VALUE"""),0)</f>
        <v>0</v>
      </c>
      <c r="M715" s="47">
        <f ca="1">IFERROR(__xludf.DUMMYFUNCTION("""COMPUTED_VALUE"""),0)</f>
        <v>0</v>
      </c>
      <c r="N715" s="46">
        <f ca="1">IFERROR(__xludf.DUMMYFUNCTION("""COMPUTED_VALUE"""),42500)</f>
        <v>42500</v>
      </c>
      <c r="O715" s="46">
        <f ca="1">IFERROR(__xludf.DUMMYFUNCTION("""COMPUTED_VALUE"""),0)</f>
        <v>0</v>
      </c>
      <c r="P715" s="46">
        <f ca="1">IFERROR(__xludf.DUMMYFUNCTION("""COMPUTED_VALUE"""),0)</f>
        <v>0</v>
      </c>
      <c r="Q715" s="47">
        <f ca="1">IFERROR(__xludf.DUMMYFUNCTION("""COMPUTED_VALUE"""),0)</f>
        <v>0</v>
      </c>
      <c r="R715" s="24">
        <f ca="1">IFERROR(__xludf.DUMMYFUNCTION("""COMPUTED_VALUE"""),0)</f>
        <v>0</v>
      </c>
      <c r="S715" s="23">
        <f ca="1">IFERROR(__xludf.DUMMYFUNCTION("""COMPUTED_VALUE"""),0)</f>
        <v>0</v>
      </c>
      <c r="T715" s="48">
        <f ca="1">IFERROR(__xludf.DUMMYFUNCTION("""COMPUTED_VALUE"""),0)</f>
        <v>0</v>
      </c>
      <c r="U715" s="47">
        <f ca="1">IFERROR(__xludf.DUMMYFUNCTION("""COMPUTED_VALUE"""),0)</f>
        <v>0</v>
      </c>
      <c r="V715" s="47">
        <f ca="1">IFERROR(__xludf.DUMMYFUNCTION("""COMPUTED_VALUE"""),0)</f>
        <v>0</v>
      </c>
      <c r="W715" s="47">
        <f ca="1">IFERROR(__xludf.DUMMYFUNCTION("""COMPUTED_VALUE"""),0)</f>
        <v>0</v>
      </c>
      <c r="X715" s="47">
        <f ca="1">IFERROR(__xludf.DUMMYFUNCTION("""COMPUTED_VALUE"""),0)</f>
        <v>0</v>
      </c>
      <c r="Y715" s="44">
        <f ca="1">IFERROR(__xludf.DUMMYFUNCTION("""COMPUTED_VALUE"""),0)</f>
        <v>0</v>
      </c>
      <c r="Z715" s="44">
        <f ca="1">IFERROR(__xludf.DUMMYFUNCTION("""COMPUTED_VALUE"""),0)</f>
        <v>0</v>
      </c>
      <c r="AA715" s="44">
        <f ca="1">IFERROR(__xludf.DUMMYFUNCTION("""COMPUTED_VALUE"""),0)</f>
        <v>0</v>
      </c>
      <c r="AB715" s="44">
        <f ca="1">IFERROR(__xludf.DUMMYFUNCTION("""COMPUTED_VALUE"""),0)</f>
        <v>0</v>
      </c>
      <c r="AC715" s="47">
        <f ca="1">IFERROR(__xludf.DUMMYFUNCTION("""COMPUTED_VALUE"""),0)</f>
        <v>0</v>
      </c>
      <c r="AD715" s="49"/>
      <c r="AE715" s="27"/>
    </row>
    <row r="716" spans="1:31" ht="14.3">
      <c r="A716" s="42" t="str">
        <f ca="1">IFERROR(__xludf.DUMMYFUNCTION("""COMPUTED_VALUE"""),"22SDSEE01027")</f>
        <v>22SDSEE01027</v>
      </c>
      <c r="B716" s="43" t="str">
        <f ca="1">IFERROR(__xludf.DUMMYFUNCTION("""COMPUTED_VALUE"""),"ISTIYAK ALI")</f>
        <v>ISTIYAK ALI</v>
      </c>
      <c r="C716" s="42" t="str">
        <f ca="1">IFERROR(__xludf.DUMMYFUNCTION("""COMPUTED_VALUE"""),"SDS")</f>
        <v>SDS</v>
      </c>
      <c r="D716" s="42" t="str">
        <f ca="1">IFERROR(__xludf.DUMMYFUNCTION("""COMPUTED_VALUE"""),"DEE")</f>
        <v>DEE</v>
      </c>
      <c r="E716" s="44">
        <f ca="1">IFERROR(__xludf.DUMMYFUNCTION("""COMPUTED_VALUE"""),4)</f>
        <v>4</v>
      </c>
      <c r="F716" s="42" t="str">
        <f ca="1">IFERROR(__xludf.DUMMYFUNCTION("""COMPUTED_VALUE"""),"BIHAR STUDENT")</f>
        <v>BIHAR STUDENT</v>
      </c>
      <c r="G716" s="42" t="str">
        <f ca="1">IFERROR(__xludf.DUMMYFUNCTION("""COMPUTED_VALUE"""),"BIHAR STUDENT")</f>
        <v>BIHAR STUDENT</v>
      </c>
      <c r="H716" s="2" t="str">
        <f ca="1">IFERROR(__xludf.DUMMYFUNCTION("""COMPUTED_VALUE"""),"DEE_2022-25")</f>
        <v>DEE_2022-25</v>
      </c>
      <c r="I716" s="45"/>
      <c r="J716" s="46">
        <f ca="1">IFERROR(__xludf.DUMMYFUNCTION("""COMPUTED_VALUE"""),42500)</f>
        <v>42500</v>
      </c>
      <c r="K716" s="46">
        <f ca="1">IFERROR(__xludf.DUMMYFUNCTION("""COMPUTED_VALUE"""),42500)</f>
        <v>42500</v>
      </c>
      <c r="L716" s="46">
        <f ca="1">IFERROR(__xludf.DUMMYFUNCTION("""COMPUTED_VALUE"""),0)</f>
        <v>0</v>
      </c>
      <c r="M716" s="47">
        <f ca="1">IFERROR(__xludf.DUMMYFUNCTION("""COMPUTED_VALUE"""),0)</f>
        <v>0</v>
      </c>
      <c r="N716" s="46">
        <f ca="1">IFERROR(__xludf.DUMMYFUNCTION("""COMPUTED_VALUE"""),0)</f>
        <v>0</v>
      </c>
      <c r="O716" s="46">
        <f ca="1">IFERROR(__xludf.DUMMYFUNCTION("""COMPUTED_VALUE"""),0)</f>
        <v>0</v>
      </c>
      <c r="P716" s="46">
        <f ca="1">IFERROR(__xludf.DUMMYFUNCTION("""COMPUTED_VALUE"""),0)</f>
        <v>0</v>
      </c>
      <c r="Q716" s="47">
        <f ca="1">IFERROR(__xludf.DUMMYFUNCTION("""COMPUTED_VALUE"""),0)</f>
        <v>0</v>
      </c>
      <c r="R716" s="24">
        <f ca="1">IFERROR(__xludf.DUMMYFUNCTION("""COMPUTED_VALUE"""),0)</f>
        <v>0</v>
      </c>
      <c r="S716" s="23">
        <f ca="1">IFERROR(__xludf.DUMMYFUNCTION("""COMPUTED_VALUE"""),0)</f>
        <v>0</v>
      </c>
      <c r="T716" s="48">
        <f ca="1">IFERROR(__xludf.DUMMYFUNCTION("""COMPUTED_VALUE"""),0)</f>
        <v>0</v>
      </c>
      <c r="U716" s="47">
        <f ca="1">IFERROR(__xludf.DUMMYFUNCTION("""COMPUTED_VALUE"""),0)</f>
        <v>0</v>
      </c>
      <c r="V716" s="47">
        <f ca="1">IFERROR(__xludf.DUMMYFUNCTION("""COMPUTED_VALUE"""),0)</f>
        <v>0</v>
      </c>
      <c r="W716" s="47">
        <f ca="1">IFERROR(__xludf.DUMMYFUNCTION("""COMPUTED_VALUE"""),0)</f>
        <v>0</v>
      </c>
      <c r="X716" s="47">
        <f ca="1">IFERROR(__xludf.DUMMYFUNCTION("""COMPUTED_VALUE"""),0)</f>
        <v>0</v>
      </c>
      <c r="Y716" s="44">
        <f ca="1">IFERROR(__xludf.DUMMYFUNCTION("""COMPUTED_VALUE"""),0)</f>
        <v>0</v>
      </c>
      <c r="Z716" s="44">
        <f ca="1">IFERROR(__xludf.DUMMYFUNCTION("""COMPUTED_VALUE"""),0)</f>
        <v>0</v>
      </c>
      <c r="AA716" s="44">
        <f ca="1">IFERROR(__xludf.DUMMYFUNCTION("""COMPUTED_VALUE"""),0)</f>
        <v>0</v>
      </c>
      <c r="AB716" s="44">
        <f ca="1">IFERROR(__xludf.DUMMYFUNCTION("""COMPUTED_VALUE"""),0)</f>
        <v>0</v>
      </c>
      <c r="AC716" s="47">
        <f ca="1">IFERROR(__xludf.DUMMYFUNCTION("""COMPUTED_VALUE"""),0)</f>
        <v>0</v>
      </c>
      <c r="AD716" s="49"/>
      <c r="AE716" s="27"/>
    </row>
    <row r="717" spans="1:31" ht="14.3">
      <c r="A717" s="42" t="str">
        <f ca="1">IFERROR(__xludf.DUMMYFUNCTION("""COMPUTED_VALUE"""),"22SDSEE01028")</f>
        <v>22SDSEE01028</v>
      </c>
      <c r="B717" s="43" t="str">
        <f ca="1">IFERROR(__xludf.DUMMYFUNCTION("""COMPUTED_VALUE"""),"VISHAL KUMAR DUBEY")</f>
        <v>VISHAL KUMAR DUBEY</v>
      </c>
      <c r="C717" s="42" t="str">
        <f ca="1">IFERROR(__xludf.DUMMYFUNCTION("""COMPUTED_VALUE"""),"SDS")</f>
        <v>SDS</v>
      </c>
      <c r="D717" s="42" t="str">
        <f ca="1">IFERROR(__xludf.DUMMYFUNCTION("""COMPUTED_VALUE"""),"DEE")</f>
        <v>DEE</v>
      </c>
      <c r="E717" s="44">
        <f ca="1">IFERROR(__xludf.DUMMYFUNCTION("""COMPUTED_VALUE"""),4)</f>
        <v>4</v>
      </c>
      <c r="F717" s="42" t="str">
        <f ca="1">IFERROR(__xludf.DUMMYFUNCTION("""COMPUTED_VALUE"""),"BIHAR STUDENT")</f>
        <v>BIHAR STUDENT</v>
      </c>
      <c r="G717" s="42" t="str">
        <f ca="1">IFERROR(__xludf.DUMMYFUNCTION("""COMPUTED_VALUE"""),"BIHAR STUDENT")</f>
        <v>BIHAR STUDENT</v>
      </c>
      <c r="H717" s="2" t="str">
        <f ca="1">IFERROR(__xludf.DUMMYFUNCTION("""COMPUTED_VALUE"""),"DEE_2022-25")</f>
        <v>DEE_2022-25</v>
      </c>
      <c r="I717" s="45"/>
      <c r="J717" s="46">
        <f ca="1">IFERROR(__xludf.DUMMYFUNCTION("""COMPUTED_VALUE"""),42500)</f>
        <v>42500</v>
      </c>
      <c r="K717" s="46">
        <f ca="1">IFERROR(__xludf.DUMMYFUNCTION("""COMPUTED_VALUE"""),42500)</f>
        <v>42500</v>
      </c>
      <c r="L717" s="46">
        <f ca="1">IFERROR(__xludf.DUMMYFUNCTION("""COMPUTED_VALUE"""),0)</f>
        <v>0</v>
      </c>
      <c r="M717" s="47">
        <f ca="1">IFERROR(__xludf.DUMMYFUNCTION("""COMPUTED_VALUE"""),0)</f>
        <v>0</v>
      </c>
      <c r="N717" s="46">
        <f ca="1">IFERROR(__xludf.DUMMYFUNCTION("""COMPUTED_VALUE"""),0)</f>
        <v>0</v>
      </c>
      <c r="O717" s="46">
        <f ca="1">IFERROR(__xludf.DUMMYFUNCTION("""COMPUTED_VALUE"""),0)</f>
        <v>0</v>
      </c>
      <c r="P717" s="46">
        <f ca="1">IFERROR(__xludf.DUMMYFUNCTION("""COMPUTED_VALUE"""),0)</f>
        <v>0</v>
      </c>
      <c r="Q717" s="47">
        <f ca="1">IFERROR(__xludf.DUMMYFUNCTION("""COMPUTED_VALUE"""),0)</f>
        <v>0</v>
      </c>
      <c r="R717" s="24">
        <f ca="1">IFERROR(__xludf.DUMMYFUNCTION("""COMPUTED_VALUE"""),0)</f>
        <v>0</v>
      </c>
      <c r="S717" s="23">
        <f ca="1">IFERROR(__xludf.DUMMYFUNCTION("""COMPUTED_VALUE"""),0)</f>
        <v>0</v>
      </c>
      <c r="T717" s="48">
        <f ca="1">IFERROR(__xludf.DUMMYFUNCTION("""COMPUTED_VALUE"""),0)</f>
        <v>0</v>
      </c>
      <c r="U717" s="47">
        <f ca="1">IFERROR(__xludf.DUMMYFUNCTION("""COMPUTED_VALUE"""),0)</f>
        <v>0</v>
      </c>
      <c r="V717" s="47">
        <f ca="1">IFERROR(__xludf.DUMMYFUNCTION("""COMPUTED_VALUE"""),0)</f>
        <v>0</v>
      </c>
      <c r="W717" s="47">
        <f ca="1">IFERROR(__xludf.DUMMYFUNCTION("""COMPUTED_VALUE"""),0)</f>
        <v>0</v>
      </c>
      <c r="X717" s="47">
        <f ca="1">IFERROR(__xludf.DUMMYFUNCTION("""COMPUTED_VALUE"""),0)</f>
        <v>0</v>
      </c>
      <c r="Y717" s="44">
        <f ca="1">IFERROR(__xludf.DUMMYFUNCTION("""COMPUTED_VALUE"""),0)</f>
        <v>0</v>
      </c>
      <c r="Z717" s="44">
        <f ca="1">IFERROR(__xludf.DUMMYFUNCTION("""COMPUTED_VALUE"""),0)</f>
        <v>0</v>
      </c>
      <c r="AA717" s="44">
        <f ca="1">IFERROR(__xludf.DUMMYFUNCTION("""COMPUTED_VALUE"""),0)</f>
        <v>0</v>
      </c>
      <c r="AB717" s="44">
        <f ca="1">IFERROR(__xludf.DUMMYFUNCTION("""COMPUTED_VALUE"""),0)</f>
        <v>0</v>
      </c>
      <c r="AC717" s="47">
        <f ca="1">IFERROR(__xludf.DUMMYFUNCTION("""COMPUTED_VALUE"""),0)</f>
        <v>0</v>
      </c>
      <c r="AD717" s="49"/>
      <c r="AE717" s="27"/>
    </row>
    <row r="718" spans="1:31" ht="14.3">
      <c r="A718" s="42" t="str">
        <f ca="1">IFERROR(__xludf.DUMMYFUNCTION("""COMPUTED_VALUE"""),"22SDSEE01029")</f>
        <v>22SDSEE01029</v>
      </c>
      <c r="B718" s="43" t="str">
        <f ca="1">IFERROR(__xludf.DUMMYFUNCTION("""COMPUTED_VALUE"""),"NAVIN KUMAR GUPTA")</f>
        <v>NAVIN KUMAR GUPTA</v>
      </c>
      <c r="C718" s="42" t="str">
        <f ca="1">IFERROR(__xludf.DUMMYFUNCTION("""COMPUTED_VALUE"""),"SDS")</f>
        <v>SDS</v>
      </c>
      <c r="D718" s="42" t="str">
        <f ca="1">IFERROR(__xludf.DUMMYFUNCTION("""COMPUTED_VALUE"""),"DEE")</f>
        <v>DEE</v>
      </c>
      <c r="E718" s="44">
        <f ca="1">IFERROR(__xludf.DUMMYFUNCTION("""COMPUTED_VALUE"""),4)</f>
        <v>4</v>
      </c>
      <c r="F718" s="42" t="str">
        <f ca="1">IFERROR(__xludf.DUMMYFUNCTION("""COMPUTED_VALUE"""),"BIHAR STUDENT")</f>
        <v>BIHAR STUDENT</v>
      </c>
      <c r="G718" s="42" t="str">
        <f ca="1">IFERROR(__xludf.DUMMYFUNCTION("""COMPUTED_VALUE"""),"BIHAR STUDENT")</f>
        <v>BIHAR STUDENT</v>
      </c>
      <c r="H718" s="2" t="str">
        <f ca="1">IFERROR(__xludf.DUMMYFUNCTION("""COMPUTED_VALUE"""),"DEE_2022-25")</f>
        <v>DEE_2022-25</v>
      </c>
      <c r="I718" s="45"/>
      <c r="J718" s="46">
        <f ca="1">IFERROR(__xludf.DUMMYFUNCTION("""COMPUTED_VALUE"""),42500)</f>
        <v>42500</v>
      </c>
      <c r="K718" s="46">
        <f ca="1">IFERROR(__xludf.DUMMYFUNCTION("""COMPUTED_VALUE"""),42500)</f>
        <v>42500</v>
      </c>
      <c r="L718" s="46">
        <f ca="1">IFERROR(__xludf.DUMMYFUNCTION("""COMPUTED_VALUE"""),0)</f>
        <v>0</v>
      </c>
      <c r="M718" s="47">
        <f ca="1">IFERROR(__xludf.DUMMYFUNCTION("""COMPUTED_VALUE"""),0)</f>
        <v>0</v>
      </c>
      <c r="N718" s="46">
        <f ca="1">IFERROR(__xludf.DUMMYFUNCTION("""COMPUTED_VALUE"""),0)</f>
        <v>0</v>
      </c>
      <c r="O718" s="46">
        <f ca="1">IFERROR(__xludf.DUMMYFUNCTION("""COMPUTED_VALUE"""),0)</f>
        <v>0</v>
      </c>
      <c r="P718" s="46">
        <f ca="1">IFERROR(__xludf.DUMMYFUNCTION("""COMPUTED_VALUE"""),0)</f>
        <v>0</v>
      </c>
      <c r="Q718" s="47">
        <f ca="1">IFERROR(__xludf.DUMMYFUNCTION("""COMPUTED_VALUE"""),0)</f>
        <v>0</v>
      </c>
      <c r="R718" s="24">
        <f ca="1">IFERROR(__xludf.DUMMYFUNCTION("""COMPUTED_VALUE"""),0)</f>
        <v>0</v>
      </c>
      <c r="S718" s="23">
        <f ca="1">IFERROR(__xludf.DUMMYFUNCTION("""COMPUTED_VALUE"""),0)</f>
        <v>0</v>
      </c>
      <c r="T718" s="48">
        <f ca="1">IFERROR(__xludf.DUMMYFUNCTION("""COMPUTED_VALUE"""),0)</f>
        <v>0</v>
      </c>
      <c r="U718" s="47">
        <f ca="1">IFERROR(__xludf.DUMMYFUNCTION("""COMPUTED_VALUE"""),0)</f>
        <v>0</v>
      </c>
      <c r="V718" s="47">
        <f ca="1">IFERROR(__xludf.DUMMYFUNCTION("""COMPUTED_VALUE"""),0)</f>
        <v>0</v>
      </c>
      <c r="W718" s="47">
        <f ca="1">IFERROR(__xludf.DUMMYFUNCTION("""COMPUTED_VALUE"""),0)</f>
        <v>0</v>
      </c>
      <c r="X718" s="47">
        <f ca="1">IFERROR(__xludf.DUMMYFUNCTION("""COMPUTED_VALUE"""),0)</f>
        <v>0</v>
      </c>
      <c r="Y718" s="44">
        <f ca="1">IFERROR(__xludf.DUMMYFUNCTION("""COMPUTED_VALUE"""),0)</f>
        <v>0</v>
      </c>
      <c r="Z718" s="44">
        <f ca="1">IFERROR(__xludf.DUMMYFUNCTION("""COMPUTED_VALUE"""),0)</f>
        <v>0</v>
      </c>
      <c r="AA718" s="44">
        <f ca="1">IFERROR(__xludf.DUMMYFUNCTION("""COMPUTED_VALUE"""),0)</f>
        <v>0</v>
      </c>
      <c r="AB718" s="44">
        <f ca="1">IFERROR(__xludf.DUMMYFUNCTION("""COMPUTED_VALUE"""),0)</f>
        <v>0</v>
      </c>
      <c r="AC718" s="47">
        <f ca="1">IFERROR(__xludf.DUMMYFUNCTION("""COMPUTED_VALUE"""),0)</f>
        <v>0</v>
      </c>
      <c r="AD718" s="49"/>
      <c r="AE718" s="27"/>
    </row>
    <row r="719" spans="1:31" ht="14.3">
      <c r="A719" s="42" t="str">
        <f ca="1">IFERROR(__xludf.DUMMYFUNCTION("""COMPUTED_VALUE"""),"22SDSEE01030")</f>
        <v>22SDSEE01030</v>
      </c>
      <c r="B719" s="43" t="str">
        <f ca="1">IFERROR(__xludf.DUMMYFUNCTION("""COMPUTED_VALUE"""),"SHAHID IMAM")</f>
        <v>SHAHID IMAM</v>
      </c>
      <c r="C719" s="42" t="str">
        <f ca="1">IFERROR(__xludf.DUMMYFUNCTION("""COMPUTED_VALUE"""),"SDS")</f>
        <v>SDS</v>
      </c>
      <c r="D719" s="42" t="str">
        <f ca="1">IFERROR(__xludf.DUMMYFUNCTION("""COMPUTED_VALUE"""),"DEE")</f>
        <v>DEE</v>
      </c>
      <c r="E719" s="44">
        <f ca="1">IFERROR(__xludf.DUMMYFUNCTION("""COMPUTED_VALUE"""),4)</f>
        <v>4</v>
      </c>
      <c r="F719" s="42" t="str">
        <f ca="1">IFERROR(__xludf.DUMMYFUNCTION("""COMPUTED_VALUE"""),"BIHAR STUDENT")</f>
        <v>BIHAR STUDENT</v>
      </c>
      <c r="G719" s="42" t="str">
        <f ca="1">IFERROR(__xludf.DUMMYFUNCTION("""COMPUTED_VALUE"""),"BIHAR STUDENT")</f>
        <v>BIHAR STUDENT</v>
      </c>
      <c r="H719" s="2" t="str">
        <f ca="1">IFERROR(__xludf.DUMMYFUNCTION("""COMPUTED_VALUE"""),"DEE_2022-25")</f>
        <v>DEE_2022-25</v>
      </c>
      <c r="I719" s="45"/>
      <c r="J719" s="46">
        <f ca="1">IFERROR(__xludf.DUMMYFUNCTION("""COMPUTED_VALUE"""),42500)</f>
        <v>42500</v>
      </c>
      <c r="K719" s="46">
        <f ca="1">IFERROR(__xludf.DUMMYFUNCTION("""COMPUTED_VALUE"""),0)</f>
        <v>0</v>
      </c>
      <c r="L719" s="46">
        <f ca="1">IFERROR(__xludf.DUMMYFUNCTION("""COMPUTED_VALUE"""),0)</f>
        <v>0</v>
      </c>
      <c r="M719" s="47">
        <f ca="1">IFERROR(__xludf.DUMMYFUNCTION("""COMPUTED_VALUE"""),0)</f>
        <v>0</v>
      </c>
      <c r="N719" s="46">
        <f ca="1">IFERROR(__xludf.DUMMYFUNCTION("""COMPUTED_VALUE"""),42500)</f>
        <v>42500</v>
      </c>
      <c r="O719" s="46">
        <f ca="1">IFERROR(__xludf.DUMMYFUNCTION("""COMPUTED_VALUE"""),0)</f>
        <v>0</v>
      </c>
      <c r="P719" s="46">
        <f ca="1">IFERROR(__xludf.DUMMYFUNCTION("""COMPUTED_VALUE"""),0)</f>
        <v>0</v>
      </c>
      <c r="Q719" s="47">
        <f ca="1">IFERROR(__xludf.DUMMYFUNCTION("""COMPUTED_VALUE"""),0)</f>
        <v>0</v>
      </c>
      <c r="R719" s="24">
        <f ca="1">IFERROR(__xludf.DUMMYFUNCTION("""COMPUTED_VALUE"""),0)</f>
        <v>0</v>
      </c>
      <c r="S719" s="23">
        <f ca="1">IFERROR(__xludf.DUMMYFUNCTION("""COMPUTED_VALUE"""),0)</f>
        <v>0</v>
      </c>
      <c r="T719" s="48">
        <f ca="1">IFERROR(__xludf.DUMMYFUNCTION("""COMPUTED_VALUE"""),0)</f>
        <v>0</v>
      </c>
      <c r="U719" s="47">
        <f ca="1">IFERROR(__xludf.DUMMYFUNCTION("""COMPUTED_VALUE"""),0)</f>
        <v>0</v>
      </c>
      <c r="V719" s="47">
        <f ca="1">IFERROR(__xludf.DUMMYFUNCTION("""COMPUTED_VALUE"""),0)</f>
        <v>0</v>
      </c>
      <c r="W719" s="47">
        <f ca="1">IFERROR(__xludf.DUMMYFUNCTION("""COMPUTED_VALUE"""),0)</f>
        <v>0</v>
      </c>
      <c r="X719" s="47">
        <f ca="1">IFERROR(__xludf.DUMMYFUNCTION("""COMPUTED_VALUE"""),0)</f>
        <v>0</v>
      </c>
      <c r="Y719" s="44">
        <f ca="1">IFERROR(__xludf.DUMMYFUNCTION("""COMPUTED_VALUE"""),0)</f>
        <v>0</v>
      </c>
      <c r="Z719" s="44">
        <f ca="1">IFERROR(__xludf.DUMMYFUNCTION("""COMPUTED_VALUE"""),0)</f>
        <v>0</v>
      </c>
      <c r="AA719" s="44">
        <f ca="1">IFERROR(__xludf.DUMMYFUNCTION("""COMPUTED_VALUE"""),0)</f>
        <v>0</v>
      </c>
      <c r="AB719" s="44">
        <f ca="1">IFERROR(__xludf.DUMMYFUNCTION("""COMPUTED_VALUE"""),0)</f>
        <v>0</v>
      </c>
      <c r="AC719" s="47">
        <f ca="1">IFERROR(__xludf.DUMMYFUNCTION("""COMPUTED_VALUE"""),0)</f>
        <v>0</v>
      </c>
      <c r="AD719" s="49"/>
      <c r="AE719" s="27"/>
    </row>
    <row r="720" spans="1:31" ht="14.3">
      <c r="A720" s="42" t="str">
        <f ca="1">IFERROR(__xludf.DUMMYFUNCTION("""COMPUTED_VALUE"""),"22SDSEE01031")</f>
        <v>22SDSEE01031</v>
      </c>
      <c r="B720" s="43" t="str">
        <f ca="1">IFERROR(__xludf.DUMMYFUNCTION("""COMPUTED_VALUE"""),"AMAN KUMAR RAM")</f>
        <v>AMAN KUMAR RAM</v>
      </c>
      <c r="C720" s="42" t="str">
        <f ca="1">IFERROR(__xludf.DUMMYFUNCTION("""COMPUTED_VALUE"""),"SDS")</f>
        <v>SDS</v>
      </c>
      <c r="D720" s="42" t="str">
        <f ca="1">IFERROR(__xludf.DUMMYFUNCTION("""COMPUTED_VALUE"""),"DEE")</f>
        <v>DEE</v>
      </c>
      <c r="E720" s="44">
        <f ca="1">IFERROR(__xludf.DUMMYFUNCTION("""COMPUTED_VALUE"""),4)</f>
        <v>4</v>
      </c>
      <c r="F720" s="42" t="str">
        <f ca="1">IFERROR(__xludf.DUMMYFUNCTION("""COMPUTED_VALUE"""),"BIHAR STUDENT")</f>
        <v>BIHAR STUDENT</v>
      </c>
      <c r="G720" s="42" t="str">
        <f ca="1">IFERROR(__xludf.DUMMYFUNCTION("""COMPUTED_VALUE"""),"BIHAR STUDENT")</f>
        <v>BIHAR STUDENT</v>
      </c>
      <c r="H720" s="2" t="str">
        <f ca="1">IFERROR(__xludf.DUMMYFUNCTION("""COMPUTED_VALUE"""),"DEE_2022-25")</f>
        <v>DEE_2022-25</v>
      </c>
      <c r="I720" s="45"/>
      <c r="J720" s="46">
        <f ca="1">IFERROR(__xludf.DUMMYFUNCTION("""COMPUTED_VALUE"""),42500)</f>
        <v>42500</v>
      </c>
      <c r="K720" s="46">
        <f ca="1">IFERROR(__xludf.DUMMYFUNCTION("""COMPUTED_VALUE"""),42500)</f>
        <v>42500</v>
      </c>
      <c r="L720" s="46">
        <f ca="1">IFERROR(__xludf.DUMMYFUNCTION("""COMPUTED_VALUE"""),0)</f>
        <v>0</v>
      </c>
      <c r="M720" s="47">
        <f ca="1">IFERROR(__xludf.DUMMYFUNCTION("""COMPUTED_VALUE"""),0)</f>
        <v>0</v>
      </c>
      <c r="N720" s="46">
        <f ca="1">IFERROR(__xludf.DUMMYFUNCTION("""COMPUTED_VALUE"""),0)</f>
        <v>0</v>
      </c>
      <c r="O720" s="46">
        <f ca="1">IFERROR(__xludf.DUMMYFUNCTION("""COMPUTED_VALUE"""),0)</f>
        <v>0</v>
      </c>
      <c r="P720" s="46">
        <f ca="1">IFERROR(__xludf.DUMMYFUNCTION("""COMPUTED_VALUE"""),0)</f>
        <v>0</v>
      </c>
      <c r="Q720" s="47">
        <f ca="1">IFERROR(__xludf.DUMMYFUNCTION("""COMPUTED_VALUE"""),0)</f>
        <v>0</v>
      </c>
      <c r="R720" s="24">
        <f ca="1">IFERROR(__xludf.DUMMYFUNCTION("""COMPUTED_VALUE"""),0)</f>
        <v>0</v>
      </c>
      <c r="S720" s="23">
        <f ca="1">IFERROR(__xludf.DUMMYFUNCTION("""COMPUTED_VALUE"""),0)</f>
        <v>0</v>
      </c>
      <c r="T720" s="48">
        <f ca="1">IFERROR(__xludf.DUMMYFUNCTION("""COMPUTED_VALUE"""),0)</f>
        <v>0</v>
      </c>
      <c r="U720" s="47">
        <f ca="1">IFERROR(__xludf.DUMMYFUNCTION("""COMPUTED_VALUE"""),0)</f>
        <v>0</v>
      </c>
      <c r="V720" s="47">
        <f ca="1">IFERROR(__xludf.DUMMYFUNCTION("""COMPUTED_VALUE"""),0)</f>
        <v>0</v>
      </c>
      <c r="W720" s="47">
        <f ca="1">IFERROR(__xludf.DUMMYFUNCTION("""COMPUTED_VALUE"""),0)</f>
        <v>0</v>
      </c>
      <c r="X720" s="47">
        <f ca="1">IFERROR(__xludf.DUMMYFUNCTION("""COMPUTED_VALUE"""),0)</f>
        <v>0</v>
      </c>
      <c r="Y720" s="44">
        <f ca="1">IFERROR(__xludf.DUMMYFUNCTION("""COMPUTED_VALUE"""),0)</f>
        <v>0</v>
      </c>
      <c r="Z720" s="44">
        <f ca="1">IFERROR(__xludf.DUMMYFUNCTION("""COMPUTED_VALUE"""),0)</f>
        <v>0</v>
      </c>
      <c r="AA720" s="44">
        <f ca="1">IFERROR(__xludf.DUMMYFUNCTION("""COMPUTED_VALUE"""),0)</f>
        <v>0</v>
      </c>
      <c r="AB720" s="44">
        <f ca="1">IFERROR(__xludf.DUMMYFUNCTION("""COMPUTED_VALUE"""),0)</f>
        <v>0</v>
      </c>
      <c r="AC720" s="47">
        <f ca="1">IFERROR(__xludf.DUMMYFUNCTION("""COMPUTED_VALUE"""),0)</f>
        <v>0</v>
      </c>
      <c r="AD720" s="49"/>
      <c r="AE720" s="27"/>
    </row>
    <row r="721" spans="1:31" ht="14.3">
      <c r="A721" s="42" t="str">
        <f ca="1">IFERROR(__xludf.DUMMYFUNCTION("""COMPUTED_VALUE"""),"22SDSEE01032")</f>
        <v>22SDSEE01032</v>
      </c>
      <c r="B721" s="43" t="str">
        <f ca="1">IFERROR(__xludf.DUMMYFUNCTION("""COMPUTED_VALUE"""),"CHANCHAL KUMAR")</f>
        <v>CHANCHAL KUMAR</v>
      </c>
      <c r="C721" s="42" t="str">
        <f ca="1">IFERROR(__xludf.DUMMYFUNCTION("""COMPUTED_VALUE"""),"SDS")</f>
        <v>SDS</v>
      </c>
      <c r="D721" s="42" t="str">
        <f ca="1">IFERROR(__xludf.DUMMYFUNCTION("""COMPUTED_VALUE"""),"DEE")</f>
        <v>DEE</v>
      </c>
      <c r="E721" s="44">
        <f ca="1">IFERROR(__xludf.DUMMYFUNCTION("""COMPUTED_VALUE"""),4)</f>
        <v>4</v>
      </c>
      <c r="F721" s="42" t="str">
        <f ca="1">IFERROR(__xludf.DUMMYFUNCTION("""COMPUTED_VALUE"""),"BIHAR STUDENT")</f>
        <v>BIHAR STUDENT</v>
      </c>
      <c r="G721" s="42" t="str">
        <f ca="1">IFERROR(__xludf.DUMMYFUNCTION("""COMPUTED_VALUE"""),"BIHAR STUDENT")</f>
        <v>BIHAR STUDENT</v>
      </c>
      <c r="H721" s="2" t="str">
        <f ca="1">IFERROR(__xludf.DUMMYFUNCTION("""COMPUTED_VALUE"""),"DEE_2022-25")</f>
        <v>DEE_2022-25</v>
      </c>
      <c r="I721" s="45"/>
      <c r="J721" s="46">
        <f ca="1">IFERROR(__xludf.DUMMYFUNCTION("""COMPUTED_VALUE"""),42500)</f>
        <v>42500</v>
      </c>
      <c r="K721" s="46">
        <f ca="1">IFERROR(__xludf.DUMMYFUNCTION("""COMPUTED_VALUE"""),0)</f>
        <v>0</v>
      </c>
      <c r="L721" s="46">
        <f ca="1">IFERROR(__xludf.DUMMYFUNCTION("""COMPUTED_VALUE"""),0)</f>
        <v>0</v>
      </c>
      <c r="M721" s="47">
        <f ca="1">IFERROR(__xludf.DUMMYFUNCTION("""COMPUTED_VALUE"""),0)</f>
        <v>0</v>
      </c>
      <c r="N721" s="46">
        <f ca="1">IFERROR(__xludf.DUMMYFUNCTION("""COMPUTED_VALUE"""),42500)</f>
        <v>42500</v>
      </c>
      <c r="O721" s="46">
        <f ca="1">IFERROR(__xludf.DUMMYFUNCTION("""COMPUTED_VALUE"""),0)</f>
        <v>0</v>
      </c>
      <c r="P721" s="46">
        <f ca="1">IFERROR(__xludf.DUMMYFUNCTION("""COMPUTED_VALUE"""),0)</f>
        <v>0</v>
      </c>
      <c r="Q721" s="47">
        <f ca="1">IFERROR(__xludf.DUMMYFUNCTION("""COMPUTED_VALUE"""),0)</f>
        <v>0</v>
      </c>
      <c r="R721" s="24">
        <f ca="1">IFERROR(__xludf.DUMMYFUNCTION("""COMPUTED_VALUE"""),0)</f>
        <v>0</v>
      </c>
      <c r="S721" s="23">
        <f ca="1">IFERROR(__xludf.DUMMYFUNCTION("""COMPUTED_VALUE"""),0)</f>
        <v>0</v>
      </c>
      <c r="T721" s="48">
        <f ca="1">IFERROR(__xludf.DUMMYFUNCTION("""COMPUTED_VALUE"""),0)</f>
        <v>0</v>
      </c>
      <c r="U721" s="47">
        <f ca="1">IFERROR(__xludf.DUMMYFUNCTION("""COMPUTED_VALUE"""),0)</f>
        <v>0</v>
      </c>
      <c r="V721" s="47">
        <f ca="1">IFERROR(__xludf.DUMMYFUNCTION("""COMPUTED_VALUE"""),0)</f>
        <v>0</v>
      </c>
      <c r="W721" s="47">
        <f ca="1">IFERROR(__xludf.DUMMYFUNCTION("""COMPUTED_VALUE"""),0)</f>
        <v>0</v>
      </c>
      <c r="X721" s="47">
        <f ca="1">IFERROR(__xludf.DUMMYFUNCTION("""COMPUTED_VALUE"""),0)</f>
        <v>0</v>
      </c>
      <c r="Y721" s="44">
        <f ca="1">IFERROR(__xludf.DUMMYFUNCTION("""COMPUTED_VALUE"""),0)</f>
        <v>0</v>
      </c>
      <c r="Z721" s="44">
        <f ca="1">IFERROR(__xludf.DUMMYFUNCTION("""COMPUTED_VALUE"""),0)</f>
        <v>0</v>
      </c>
      <c r="AA721" s="44">
        <f ca="1">IFERROR(__xludf.DUMMYFUNCTION("""COMPUTED_VALUE"""),0)</f>
        <v>0</v>
      </c>
      <c r="AB721" s="44">
        <f ca="1">IFERROR(__xludf.DUMMYFUNCTION("""COMPUTED_VALUE"""),0)</f>
        <v>0</v>
      </c>
      <c r="AC721" s="47">
        <f ca="1">IFERROR(__xludf.DUMMYFUNCTION("""COMPUTED_VALUE"""),0)</f>
        <v>0</v>
      </c>
      <c r="AD721" s="49"/>
      <c r="AE721" s="27"/>
    </row>
    <row r="722" spans="1:31" ht="14.3">
      <c r="A722" s="42" t="str">
        <f ca="1">IFERROR(__xludf.DUMMYFUNCTION("""COMPUTED_VALUE"""),"22SDSEE01033")</f>
        <v>22SDSEE01033</v>
      </c>
      <c r="B722" s="43" t="str">
        <f ca="1">IFERROR(__xludf.DUMMYFUNCTION("""COMPUTED_VALUE"""),"CHETAN KUMAR")</f>
        <v>CHETAN KUMAR</v>
      </c>
      <c r="C722" s="42" t="str">
        <f ca="1">IFERROR(__xludf.DUMMYFUNCTION("""COMPUTED_VALUE"""),"SDS")</f>
        <v>SDS</v>
      </c>
      <c r="D722" s="42" t="str">
        <f ca="1">IFERROR(__xludf.DUMMYFUNCTION("""COMPUTED_VALUE"""),"DEE")</f>
        <v>DEE</v>
      </c>
      <c r="E722" s="44">
        <f ca="1">IFERROR(__xludf.DUMMYFUNCTION("""COMPUTED_VALUE"""),4)</f>
        <v>4</v>
      </c>
      <c r="F722" s="42" t="str">
        <f ca="1">IFERROR(__xludf.DUMMYFUNCTION("""COMPUTED_VALUE"""),"BIHAR STUDENT")</f>
        <v>BIHAR STUDENT</v>
      </c>
      <c r="G722" s="42" t="str">
        <f ca="1">IFERROR(__xludf.DUMMYFUNCTION("""COMPUTED_VALUE"""),"BIHAR STUDENT")</f>
        <v>BIHAR STUDENT</v>
      </c>
      <c r="H722" s="2" t="str">
        <f ca="1">IFERROR(__xludf.DUMMYFUNCTION("""COMPUTED_VALUE"""),"DEE_2022-25")</f>
        <v>DEE_2022-25</v>
      </c>
      <c r="I722" s="45"/>
      <c r="J722" s="46">
        <f ca="1">IFERROR(__xludf.DUMMYFUNCTION("""COMPUTED_VALUE"""),42500)</f>
        <v>42500</v>
      </c>
      <c r="K722" s="46">
        <f ca="1">IFERROR(__xludf.DUMMYFUNCTION("""COMPUTED_VALUE"""),0)</f>
        <v>0</v>
      </c>
      <c r="L722" s="46">
        <f ca="1">IFERROR(__xludf.DUMMYFUNCTION("""COMPUTED_VALUE"""),0)</f>
        <v>0</v>
      </c>
      <c r="M722" s="47">
        <f ca="1">IFERROR(__xludf.DUMMYFUNCTION("""COMPUTED_VALUE"""),0)</f>
        <v>0</v>
      </c>
      <c r="N722" s="46">
        <f ca="1">IFERROR(__xludf.DUMMYFUNCTION("""COMPUTED_VALUE"""),42500)</f>
        <v>42500</v>
      </c>
      <c r="O722" s="46">
        <f ca="1">IFERROR(__xludf.DUMMYFUNCTION("""COMPUTED_VALUE"""),0)</f>
        <v>0</v>
      </c>
      <c r="P722" s="46">
        <f ca="1">IFERROR(__xludf.DUMMYFUNCTION("""COMPUTED_VALUE"""),0)</f>
        <v>0</v>
      </c>
      <c r="Q722" s="47">
        <f ca="1">IFERROR(__xludf.DUMMYFUNCTION("""COMPUTED_VALUE"""),0)</f>
        <v>0</v>
      </c>
      <c r="R722" s="24">
        <f ca="1">IFERROR(__xludf.DUMMYFUNCTION("""COMPUTED_VALUE"""),0)</f>
        <v>0</v>
      </c>
      <c r="S722" s="23">
        <f ca="1">IFERROR(__xludf.DUMMYFUNCTION("""COMPUTED_VALUE"""),0)</f>
        <v>0</v>
      </c>
      <c r="T722" s="48">
        <f ca="1">IFERROR(__xludf.DUMMYFUNCTION("""COMPUTED_VALUE"""),0)</f>
        <v>0</v>
      </c>
      <c r="U722" s="47">
        <f ca="1">IFERROR(__xludf.DUMMYFUNCTION("""COMPUTED_VALUE"""),0)</f>
        <v>0</v>
      </c>
      <c r="V722" s="47">
        <f ca="1">IFERROR(__xludf.DUMMYFUNCTION("""COMPUTED_VALUE"""),0)</f>
        <v>0</v>
      </c>
      <c r="W722" s="47">
        <f ca="1">IFERROR(__xludf.DUMMYFUNCTION("""COMPUTED_VALUE"""),0)</f>
        <v>0</v>
      </c>
      <c r="X722" s="47">
        <f ca="1">IFERROR(__xludf.DUMMYFUNCTION("""COMPUTED_VALUE"""),0)</f>
        <v>0</v>
      </c>
      <c r="Y722" s="44">
        <f ca="1">IFERROR(__xludf.DUMMYFUNCTION("""COMPUTED_VALUE"""),0)</f>
        <v>0</v>
      </c>
      <c r="Z722" s="44">
        <f ca="1">IFERROR(__xludf.DUMMYFUNCTION("""COMPUTED_VALUE"""),0)</f>
        <v>0</v>
      </c>
      <c r="AA722" s="44">
        <f ca="1">IFERROR(__xludf.DUMMYFUNCTION("""COMPUTED_VALUE"""),0)</f>
        <v>0</v>
      </c>
      <c r="AB722" s="44">
        <f ca="1">IFERROR(__xludf.DUMMYFUNCTION("""COMPUTED_VALUE"""),0)</f>
        <v>0</v>
      </c>
      <c r="AC722" s="47">
        <f ca="1">IFERROR(__xludf.DUMMYFUNCTION("""COMPUTED_VALUE"""),0)</f>
        <v>0</v>
      </c>
      <c r="AD722" s="49"/>
      <c r="AE722" s="27"/>
    </row>
    <row r="723" spans="1:31" ht="14.3">
      <c r="A723" s="42" t="str">
        <f ca="1">IFERROR(__xludf.DUMMYFUNCTION("""COMPUTED_VALUE"""),"22SDSEE01034")</f>
        <v>22SDSEE01034</v>
      </c>
      <c r="B723" s="43" t="str">
        <f ca="1">IFERROR(__xludf.DUMMYFUNCTION("""COMPUTED_VALUE"""),"DINESH KUMAR")</f>
        <v>DINESH KUMAR</v>
      </c>
      <c r="C723" s="42" t="str">
        <f ca="1">IFERROR(__xludf.DUMMYFUNCTION("""COMPUTED_VALUE"""),"SDS")</f>
        <v>SDS</v>
      </c>
      <c r="D723" s="42" t="str">
        <f ca="1">IFERROR(__xludf.DUMMYFUNCTION("""COMPUTED_VALUE"""),"DEE")</f>
        <v>DEE</v>
      </c>
      <c r="E723" s="44">
        <f ca="1">IFERROR(__xludf.DUMMYFUNCTION("""COMPUTED_VALUE"""),4)</f>
        <v>4</v>
      </c>
      <c r="F723" s="42" t="str">
        <f ca="1">IFERROR(__xludf.DUMMYFUNCTION("""COMPUTED_VALUE"""),"BIHAR STUDENT")</f>
        <v>BIHAR STUDENT</v>
      </c>
      <c r="G723" s="42" t="str">
        <f ca="1">IFERROR(__xludf.DUMMYFUNCTION("""COMPUTED_VALUE"""),"BIHAR STUDENT")</f>
        <v>BIHAR STUDENT</v>
      </c>
      <c r="H723" s="2" t="str">
        <f ca="1">IFERROR(__xludf.DUMMYFUNCTION("""COMPUTED_VALUE"""),"DEE_2022-25")</f>
        <v>DEE_2022-25</v>
      </c>
      <c r="I723" s="45"/>
      <c r="J723" s="46">
        <f ca="1">IFERROR(__xludf.DUMMYFUNCTION("""COMPUTED_VALUE"""),42500)</f>
        <v>42500</v>
      </c>
      <c r="K723" s="46">
        <f ca="1">IFERROR(__xludf.DUMMYFUNCTION("""COMPUTED_VALUE"""),0)</f>
        <v>0</v>
      </c>
      <c r="L723" s="46">
        <f ca="1">IFERROR(__xludf.DUMMYFUNCTION("""COMPUTED_VALUE"""),0)</f>
        <v>0</v>
      </c>
      <c r="M723" s="47">
        <f ca="1">IFERROR(__xludf.DUMMYFUNCTION("""COMPUTED_VALUE"""),0)</f>
        <v>0</v>
      </c>
      <c r="N723" s="46">
        <f ca="1">IFERROR(__xludf.DUMMYFUNCTION("""COMPUTED_VALUE"""),42500)</f>
        <v>42500</v>
      </c>
      <c r="O723" s="46">
        <f ca="1">IFERROR(__xludf.DUMMYFUNCTION("""COMPUTED_VALUE"""),0)</f>
        <v>0</v>
      </c>
      <c r="P723" s="46">
        <f ca="1">IFERROR(__xludf.DUMMYFUNCTION("""COMPUTED_VALUE"""),0)</f>
        <v>0</v>
      </c>
      <c r="Q723" s="47">
        <f ca="1">IFERROR(__xludf.DUMMYFUNCTION("""COMPUTED_VALUE"""),0)</f>
        <v>0</v>
      </c>
      <c r="R723" s="24">
        <f ca="1">IFERROR(__xludf.DUMMYFUNCTION("""COMPUTED_VALUE"""),0)</f>
        <v>0</v>
      </c>
      <c r="S723" s="23">
        <f ca="1">IFERROR(__xludf.DUMMYFUNCTION("""COMPUTED_VALUE"""),0)</f>
        <v>0</v>
      </c>
      <c r="T723" s="48">
        <f ca="1">IFERROR(__xludf.DUMMYFUNCTION("""COMPUTED_VALUE"""),0)</f>
        <v>0</v>
      </c>
      <c r="U723" s="47">
        <f ca="1">IFERROR(__xludf.DUMMYFUNCTION("""COMPUTED_VALUE"""),0)</f>
        <v>0</v>
      </c>
      <c r="V723" s="47">
        <f ca="1">IFERROR(__xludf.DUMMYFUNCTION("""COMPUTED_VALUE"""),0)</f>
        <v>0</v>
      </c>
      <c r="W723" s="47">
        <f ca="1">IFERROR(__xludf.DUMMYFUNCTION("""COMPUTED_VALUE"""),0)</f>
        <v>0</v>
      </c>
      <c r="X723" s="47">
        <f ca="1">IFERROR(__xludf.DUMMYFUNCTION("""COMPUTED_VALUE"""),0)</f>
        <v>0</v>
      </c>
      <c r="Y723" s="44">
        <f ca="1">IFERROR(__xludf.DUMMYFUNCTION("""COMPUTED_VALUE"""),0)</f>
        <v>0</v>
      </c>
      <c r="Z723" s="44">
        <f ca="1">IFERROR(__xludf.DUMMYFUNCTION("""COMPUTED_VALUE"""),0)</f>
        <v>0</v>
      </c>
      <c r="AA723" s="44">
        <f ca="1">IFERROR(__xludf.DUMMYFUNCTION("""COMPUTED_VALUE"""),0)</f>
        <v>0</v>
      </c>
      <c r="AB723" s="44">
        <f ca="1">IFERROR(__xludf.DUMMYFUNCTION("""COMPUTED_VALUE"""),0)</f>
        <v>0</v>
      </c>
      <c r="AC723" s="47">
        <f ca="1">IFERROR(__xludf.DUMMYFUNCTION("""COMPUTED_VALUE"""),0)</f>
        <v>0</v>
      </c>
      <c r="AD723" s="49"/>
      <c r="AE723" s="27"/>
    </row>
    <row r="724" spans="1:31" ht="14.3">
      <c r="A724" s="42" t="str">
        <f ca="1">IFERROR(__xludf.DUMMYFUNCTION("""COMPUTED_VALUE"""),"22SDSEE01036")</f>
        <v>22SDSEE01036</v>
      </c>
      <c r="B724" s="43" t="str">
        <f ca="1">IFERROR(__xludf.DUMMYFUNCTION("""COMPUTED_VALUE"""),"KARAN KUMAR")</f>
        <v>KARAN KUMAR</v>
      </c>
      <c r="C724" s="42" t="str">
        <f ca="1">IFERROR(__xludf.DUMMYFUNCTION("""COMPUTED_VALUE"""),"SDS")</f>
        <v>SDS</v>
      </c>
      <c r="D724" s="42" t="str">
        <f ca="1">IFERROR(__xludf.DUMMYFUNCTION("""COMPUTED_VALUE"""),"DEE")</f>
        <v>DEE</v>
      </c>
      <c r="E724" s="44">
        <f ca="1">IFERROR(__xludf.DUMMYFUNCTION("""COMPUTED_VALUE"""),4)</f>
        <v>4</v>
      </c>
      <c r="F724" s="42" t="str">
        <f ca="1">IFERROR(__xludf.DUMMYFUNCTION("""COMPUTED_VALUE"""),"BIHAR STUDENT")</f>
        <v>BIHAR STUDENT</v>
      </c>
      <c r="G724" s="42" t="str">
        <f ca="1">IFERROR(__xludf.DUMMYFUNCTION("""COMPUTED_VALUE"""),"BIHAR STUDENT")</f>
        <v>BIHAR STUDENT</v>
      </c>
      <c r="H724" s="2" t="str">
        <f ca="1">IFERROR(__xludf.DUMMYFUNCTION("""COMPUTED_VALUE"""),"DEE_2022-25")</f>
        <v>DEE_2022-25</v>
      </c>
      <c r="I724" s="45"/>
      <c r="J724" s="46">
        <f ca="1">IFERROR(__xludf.DUMMYFUNCTION("""COMPUTED_VALUE"""),42500)</f>
        <v>42500</v>
      </c>
      <c r="K724" s="46">
        <f ca="1">IFERROR(__xludf.DUMMYFUNCTION("""COMPUTED_VALUE"""),0)</f>
        <v>0</v>
      </c>
      <c r="L724" s="46">
        <f ca="1">IFERROR(__xludf.DUMMYFUNCTION("""COMPUTED_VALUE"""),0)</f>
        <v>0</v>
      </c>
      <c r="M724" s="47">
        <f ca="1">IFERROR(__xludf.DUMMYFUNCTION("""COMPUTED_VALUE"""),0)</f>
        <v>0</v>
      </c>
      <c r="N724" s="46">
        <f ca="1">IFERROR(__xludf.DUMMYFUNCTION("""COMPUTED_VALUE"""),42500)</f>
        <v>42500</v>
      </c>
      <c r="O724" s="46">
        <f ca="1">IFERROR(__xludf.DUMMYFUNCTION("""COMPUTED_VALUE"""),0)</f>
        <v>0</v>
      </c>
      <c r="P724" s="46">
        <f ca="1">IFERROR(__xludf.DUMMYFUNCTION("""COMPUTED_VALUE"""),0)</f>
        <v>0</v>
      </c>
      <c r="Q724" s="47">
        <f ca="1">IFERROR(__xludf.DUMMYFUNCTION("""COMPUTED_VALUE"""),0)</f>
        <v>0</v>
      </c>
      <c r="R724" s="24">
        <f ca="1">IFERROR(__xludf.DUMMYFUNCTION("""COMPUTED_VALUE"""),0)</f>
        <v>0</v>
      </c>
      <c r="S724" s="23">
        <f ca="1">IFERROR(__xludf.DUMMYFUNCTION("""COMPUTED_VALUE"""),0)</f>
        <v>0</v>
      </c>
      <c r="T724" s="48">
        <f ca="1">IFERROR(__xludf.DUMMYFUNCTION("""COMPUTED_VALUE"""),0)</f>
        <v>0</v>
      </c>
      <c r="U724" s="47">
        <f ca="1">IFERROR(__xludf.DUMMYFUNCTION("""COMPUTED_VALUE"""),0)</f>
        <v>0</v>
      </c>
      <c r="V724" s="47">
        <f ca="1">IFERROR(__xludf.DUMMYFUNCTION("""COMPUTED_VALUE"""),0)</f>
        <v>0</v>
      </c>
      <c r="W724" s="47">
        <f ca="1">IFERROR(__xludf.DUMMYFUNCTION("""COMPUTED_VALUE"""),0)</f>
        <v>0</v>
      </c>
      <c r="X724" s="47">
        <f ca="1">IFERROR(__xludf.DUMMYFUNCTION("""COMPUTED_VALUE"""),0)</f>
        <v>0</v>
      </c>
      <c r="Y724" s="44">
        <f ca="1">IFERROR(__xludf.DUMMYFUNCTION("""COMPUTED_VALUE"""),0)</f>
        <v>0</v>
      </c>
      <c r="Z724" s="44">
        <f ca="1">IFERROR(__xludf.DUMMYFUNCTION("""COMPUTED_VALUE"""),0)</f>
        <v>0</v>
      </c>
      <c r="AA724" s="44">
        <f ca="1">IFERROR(__xludf.DUMMYFUNCTION("""COMPUTED_VALUE"""),0)</f>
        <v>0</v>
      </c>
      <c r="AB724" s="44">
        <f ca="1">IFERROR(__xludf.DUMMYFUNCTION("""COMPUTED_VALUE"""),0)</f>
        <v>0</v>
      </c>
      <c r="AC724" s="47">
        <f ca="1">IFERROR(__xludf.DUMMYFUNCTION("""COMPUTED_VALUE"""),0)</f>
        <v>0</v>
      </c>
      <c r="AD724" s="49"/>
      <c r="AE724" s="27"/>
    </row>
    <row r="725" spans="1:31" ht="14.3">
      <c r="A725" s="42" t="str">
        <f ca="1">IFERROR(__xludf.DUMMYFUNCTION("""COMPUTED_VALUE"""),"22SDSEE01038")</f>
        <v>22SDSEE01038</v>
      </c>
      <c r="B725" s="43" t="str">
        <f ca="1">IFERROR(__xludf.DUMMYFUNCTION("""COMPUTED_VALUE"""),"NITISH KUMAR")</f>
        <v>NITISH KUMAR</v>
      </c>
      <c r="C725" s="42" t="str">
        <f ca="1">IFERROR(__xludf.DUMMYFUNCTION("""COMPUTED_VALUE"""),"SDS")</f>
        <v>SDS</v>
      </c>
      <c r="D725" s="42" t="str">
        <f ca="1">IFERROR(__xludf.DUMMYFUNCTION("""COMPUTED_VALUE"""),"DEE")</f>
        <v>DEE</v>
      </c>
      <c r="E725" s="44">
        <f ca="1">IFERROR(__xludf.DUMMYFUNCTION("""COMPUTED_VALUE"""),4)</f>
        <v>4</v>
      </c>
      <c r="F725" s="42" t="str">
        <f ca="1">IFERROR(__xludf.DUMMYFUNCTION("""COMPUTED_VALUE"""),"BIHAR STUDENT")</f>
        <v>BIHAR STUDENT</v>
      </c>
      <c r="G725" s="42" t="str">
        <f ca="1">IFERROR(__xludf.DUMMYFUNCTION("""COMPUTED_VALUE"""),"BIHAR STUDENT")</f>
        <v>BIHAR STUDENT</v>
      </c>
      <c r="H725" s="2" t="str">
        <f ca="1">IFERROR(__xludf.DUMMYFUNCTION("""COMPUTED_VALUE"""),"DEE_2022-25")</f>
        <v>DEE_2022-25</v>
      </c>
      <c r="I725" s="45"/>
      <c r="J725" s="46">
        <f ca="1">IFERROR(__xludf.DUMMYFUNCTION("""COMPUTED_VALUE"""),42500)</f>
        <v>42500</v>
      </c>
      <c r="K725" s="46">
        <f ca="1">IFERROR(__xludf.DUMMYFUNCTION("""COMPUTED_VALUE"""),42500)</f>
        <v>42500</v>
      </c>
      <c r="L725" s="46">
        <f ca="1">IFERROR(__xludf.DUMMYFUNCTION("""COMPUTED_VALUE"""),0)</f>
        <v>0</v>
      </c>
      <c r="M725" s="47">
        <f ca="1">IFERROR(__xludf.DUMMYFUNCTION("""COMPUTED_VALUE"""),0)</f>
        <v>0</v>
      </c>
      <c r="N725" s="46">
        <f ca="1">IFERROR(__xludf.DUMMYFUNCTION("""COMPUTED_VALUE"""),0)</f>
        <v>0</v>
      </c>
      <c r="O725" s="46">
        <f ca="1">IFERROR(__xludf.DUMMYFUNCTION("""COMPUTED_VALUE"""),0)</f>
        <v>0</v>
      </c>
      <c r="P725" s="46">
        <f ca="1">IFERROR(__xludf.DUMMYFUNCTION("""COMPUTED_VALUE"""),0)</f>
        <v>0</v>
      </c>
      <c r="Q725" s="47">
        <f ca="1">IFERROR(__xludf.DUMMYFUNCTION("""COMPUTED_VALUE"""),0)</f>
        <v>0</v>
      </c>
      <c r="R725" s="24">
        <f ca="1">IFERROR(__xludf.DUMMYFUNCTION("""COMPUTED_VALUE"""),0)</f>
        <v>0</v>
      </c>
      <c r="S725" s="23">
        <f ca="1">IFERROR(__xludf.DUMMYFUNCTION("""COMPUTED_VALUE"""),0)</f>
        <v>0</v>
      </c>
      <c r="T725" s="48">
        <f ca="1">IFERROR(__xludf.DUMMYFUNCTION("""COMPUTED_VALUE"""),0)</f>
        <v>0</v>
      </c>
      <c r="U725" s="47">
        <f ca="1">IFERROR(__xludf.DUMMYFUNCTION("""COMPUTED_VALUE"""),0)</f>
        <v>0</v>
      </c>
      <c r="V725" s="47">
        <f ca="1">IFERROR(__xludf.DUMMYFUNCTION("""COMPUTED_VALUE"""),0)</f>
        <v>0</v>
      </c>
      <c r="W725" s="47">
        <f ca="1">IFERROR(__xludf.DUMMYFUNCTION("""COMPUTED_VALUE"""),0)</f>
        <v>0</v>
      </c>
      <c r="X725" s="47">
        <f ca="1">IFERROR(__xludf.DUMMYFUNCTION("""COMPUTED_VALUE"""),0)</f>
        <v>0</v>
      </c>
      <c r="Y725" s="44">
        <f ca="1">IFERROR(__xludf.DUMMYFUNCTION("""COMPUTED_VALUE"""),0)</f>
        <v>0</v>
      </c>
      <c r="Z725" s="44">
        <f ca="1">IFERROR(__xludf.DUMMYFUNCTION("""COMPUTED_VALUE"""),0)</f>
        <v>0</v>
      </c>
      <c r="AA725" s="44">
        <f ca="1">IFERROR(__xludf.DUMMYFUNCTION("""COMPUTED_VALUE"""),0)</f>
        <v>0</v>
      </c>
      <c r="AB725" s="44">
        <f ca="1">IFERROR(__xludf.DUMMYFUNCTION("""COMPUTED_VALUE"""),0)</f>
        <v>0</v>
      </c>
      <c r="AC725" s="47">
        <f ca="1">IFERROR(__xludf.DUMMYFUNCTION("""COMPUTED_VALUE"""),0)</f>
        <v>0</v>
      </c>
      <c r="AD725" s="49"/>
      <c r="AE725" s="27"/>
    </row>
    <row r="726" spans="1:31" ht="14.3">
      <c r="A726" s="42" t="str">
        <f ca="1">IFERROR(__xludf.DUMMYFUNCTION("""COMPUTED_VALUE"""),"22SDSEE01041")</f>
        <v>22SDSEE01041</v>
      </c>
      <c r="B726" s="43" t="str">
        <f ca="1">IFERROR(__xludf.DUMMYFUNCTION("""COMPUTED_VALUE"""),"PRASHANT KUMAR")</f>
        <v>PRASHANT KUMAR</v>
      </c>
      <c r="C726" s="42" t="str">
        <f ca="1">IFERROR(__xludf.DUMMYFUNCTION("""COMPUTED_VALUE"""),"SDS")</f>
        <v>SDS</v>
      </c>
      <c r="D726" s="42" t="str">
        <f ca="1">IFERROR(__xludf.DUMMYFUNCTION("""COMPUTED_VALUE"""),"DEE")</f>
        <v>DEE</v>
      </c>
      <c r="E726" s="44">
        <f ca="1">IFERROR(__xludf.DUMMYFUNCTION("""COMPUTED_VALUE"""),4)</f>
        <v>4</v>
      </c>
      <c r="F726" s="42" t="str">
        <f ca="1">IFERROR(__xludf.DUMMYFUNCTION("""COMPUTED_VALUE"""),"BIHAR STUDENT")</f>
        <v>BIHAR STUDENT</v>
      </c>
      <c r="G726" s="42" t="str">
        <f ca="1">IFERROR(__xludf.DUMMYFUNCTION("""COMPUTED_VALUE"""),"BIHAR STUDENT")</f>
        <v>BIHAR STUDENT</v>
      </c>
      <c r="H726" s="2" t="str">
        <f ca="1">IFERROR(__xludf.DUMMYFUNCTION("""COMPUTED_VALUE"""),"DEE_2022-25")</f>
        <v>DEE_2022-25</v>
      </c>
      <c r="I726" s="45"/>
      <c r="J726" s="46">
        <f ca="1">IFERROR(__xludf.DUMMYFUNCTION("""COMPUTED_VALUE"""),42500)</f>
        <v>42500</v>
      </c>
      <c r="K726" s="46">
        <f ca="1">IFERROR(__xludf.DUMMYFUNCTION("""COMPUTED_VALUE"""),42500)</f>
        <v>42500</v>
      </c>
      <c r="L726" s="46">
        <f ca="1">IFERROR(__xludf.DUMMYFUNCTION("""COMPUTED_VALUE"""),0)</f>
        <v>0</v>
      </c>
      <c r="M726" s="47">
        <f ca="1">IFERROR(__xludf.DUMMYFUNCTION("""COMPUTED_VALUE"""),0)</f>
        <v>0</v>
      </c>
      <c r="N726" s="46">
        <f ca="1">IFERROR(__xludf.DUMMYFUNCTION("""COMPUTED_VALUE"""),0)</f>
        <v>0</v>
      </c>
      <c r="O726" s="46">
        <f ca="1">IFERROR(__xludf.DUMMYFUNCTION("""COMPUTED_VALUE"""),0)</f>
        <v>0</v>
      </c>
      <c r="P726" s="46">
        <f ca="1">IFERROR(__xludf.DUMMYFUNCTION("""COMPUTED_VALUE"""),0)</f>
        <v>0</v>
      </c>
      <c r="Q726" s="47">
        <f ca="1">IFERROR(__xludf.DUMMYFUNCTION("""COMPUTED_VALUE"""),0)</f>
        <v>0</v>
      </c>
      <c r="R726" s="24">
        <f ca="1">IFERROR(__xludf.DUMMYFUNCTION("""COMPUTED_VALUE"""),0)</f>
        <v>0</v>
      </c>
      <c r="S726" s="23">
        <f ca="1">IFERROR(__xludf.DUMMYFUNCTION("""COMPUTED_VALUE"""),0)</f>
        <v>0</v>
      </c>
      <c r="T726" s="48">
        <f ca="1">IFERROR(__xludf.DUMMYFUNCTION("""COMPUTED_VALUE"""),0)</f>
        <v>0</v>
      </c>
      <c r="U726" s="47">
        <f ca="1">IFERROR(__xludf.DUMMYFUNCTION("""COMPUTED_VALUE"""),0)</f>
        <v>0</v>
      </c>
      <c r="V726" s="47">
        <f ca="1">IFERROR(__xludf.DUMMYFUNCTION("""COMPUTED_VALUE"""),0)</f>
        <v>0</v>
      </c>
      <c r="W726" s="47">
        <f ca="1">IFERROR(__xludf.DUMMYFUNCTION("""COMPUTED_VALUE"""),0)</f>
        <v>0</v>
      </c>
      <c r="X726" s="47">
        <f ca="1">IFERROR(__xludf.DUMMYFUNCTION("""COMPUTED_VALUE"""),0)</f>
        <v>0</v>
      </c>
      <c r="Y726" s="44">
        <f ca="1">IFERROR(__xludf.DUMMYFUNCTION("""COMPUTED_VALUE"""),0)</f>
        <v>0</v>
      </c>
      <c r="Z726" s="44">
        <f ca="1">IFERROR(__xludf.DUMMYFUNCTION("""COMPUTED_VALUE"""),0)</f>
        <v>0</v>
      </c>
      <c r="AA726" s="44">
        <f ca="1">IFERROR(__xludf.DUMMYFUNCTION("""COMPUTED_VALUE"""),0)</f>
        <v>0</v>
      </c>
      <c r="AB726" s="44">
        <f ca="1">IFERROR(__xludf.DUMMYFUNCTION("""COMPUTED_VALUE"""),0)</f>
        <v>0</v>
      </c>
      <c r="AC726" s="47">
        <f ca="1">IFERROR(__xludf.DUMMYFUNCTION("""COMPUTED_VALUE"""),0)</f>
        <v>0</v>
      </c>
      <c r="AD726" s="49"/>
      <c r="AE726" s="27"/>
    </row>
    <row r="727" spans="1:31" ht="14.3">
      <c r="A727" s="42" t="str">
        <f ca="1">IFERROR(__xludf.DUMMYFUNCTION("""COMPUTED_VALUE"""),"22SDSEE01042")</f>
        <v>22SDSEE01042</v>
      </c>
      <c r="B727" s="43" t="str">
        <f ca="1">IFERROR(__xludf.DUMMYFUNCTION("""COMPUTED_VALUE"""),"RAKESH KUMAR")</f>
        <v>RAKESH KUMAR</v>
      </c>
      <c r="C727" s="42" t="str">
        <f ca="1">IFERROR(__xludf.DUMMYFUNCTION("""COMPUTED_VALUE"""),"SDS")</f>
        <v>SDS</v>
      </c>
      <c r="D727" s="42" t="str">
        <f ca="1">IFERROR(__xludf.DUMMYFUNCTION("""COMPUTED_VALUE"""),"DEE")</f>
        <v>DEE</v>
      </c>
      <c r="E727" s="44">
        <f ca="1">IFERROR(__xludf.DUMMYFUNCTION("""COMPUTED_VALUE"""),4)</f>
        <v>4</v>
      </c>
      <c r="F727" s="42" t="str">
        <f ca="1">IFERROR(__xludf.DUMMYFUNCTION("""COMPUTED_VALUE"""),"BIHAR STUDENT")</f>
        <v>BIHAR STUDENT</v>
      </c>
      <c r="G727" s="42" t="str">
        <f ca="1">IFERROR(__xludf.DUMMYFUNCTION("""COMPUTED_VALUE"""),"BIHAR STUDENT")</f>
        <v>BIHAR STUDENT</v>
      </c>
      <c r="H727" s="2" t="str">
        <f ca="1">IFERROR(__xludf.DUMMYFUNCTION("""COMPUTED_VALUE"""),"DEE_2022-25")</f>
        <v>DEE_2022-25</v>
      </c>
      <c r="I727" s="45"/>
      <c r="J727" s="46">
        <f ca="1">IFERROR(__xludf.DUMMYFUNCTION("""COMPUTED_VALUE"""),42500)</f>
        <v>42500</v>
      </c>
      <c r="K727" s="46">
        <f ca="1">IFERROR(__xludf.DUMMYFUNCTION("""COMPUTED_VALUE"""),42500)</f>
        <v>42500</v>
      </c>
      <c r="L727" s="46">
        <f ca="1">IFERROR(__xludf.DUMMYFUNCTION("""COMPUTED_VALUE"""),0)</f>
        <v>0</v>
      </c>
      <c r="M727" s="47">
        <f ca="1">IFERROR(__xludf.DUMMYFUNCTION("""COMPUTED_VALUE"""),0)</f>
        <v>0</v>
      </c>
      <c r="N727" s="46">
        <f ca="1">IFERROR(__xludf.DUMMYFUNCTION("""COMPUTED_VALUE"""),0)</f>
        <v>0</v>
      </c>
      <c r="O727" s="46">
        <f ca="1">IFERROR(__xludf.DUMMYFUNCTION("""COMPUTED_VALUE"""),0)</f>
        <v>0</v>
      </c>
      <c r="P727" s="46">
        <f ca="1">IFERROR(__xludf.DUMMYFUNCTION("""COMPUTED_VALUE"""),0)</f>
        <v>0</v>
      </c>
      <c r="Q727" s="47">
        <f ca="1">IFERROR(__xludf.DUMMYFUNCTION("""COMPUTED_VALUE"""),0)</f>
        <v>0</v>
      </c>
      <c r="R727" s="24">
        <f ca="1">IFERROR(__xludf.DUMMYFUNCTION("""COMPUTED_VALUE"""),0)</f>
        <v>0</v>
      </c>
      <c r="S727" s="23">
        <f ca="1">IFERROR(__xludf.DUMMYFUNCTION("""COMPUTED_VALUE"""),0)</f>
        <v>0</v>
      </c>
      <c r="T727" s="48">
        <f ca="1">IFERROR(__xludf.DUMMYFUNCTION("""COMPUTED_VALUE"""),0)</f>
        <v>0</v>
      </c>
      <c r="U727" s="47">
        <f ca="1">IFERROR(__xludf.DUMMYFUNCTION("""COMPUTED_VALUE"""),0)</f>
        <v>0</v>
      </c>
      <c r="V727" s="47">
        <f ca="1">IFERROR(__xludf.DUMMYFUNCTION("""COMPUTED_VALUE"""),0)</f>
        <v>0</v>
      </c>
      <c r="W727" s="47">
        <f ca="1">IFERROR(__xludf.DUMMYFUNCTION("""COMPUTED_VALUE"""),0)</f>
        <v>0</v>
      </c>
      <c r="X727" s="47">
        <f ca="1">IFERROR(__xludf.DUMMYFUNCTION("""COMPUTED_VALUE"""),0)</f>
        <v>0</v>
      </c>
      <c r="Y727" s="44">
        <f ca="1">IFERROR(__xludf.DUMMYFUNCTION("""COMPUTED_VALUE"""),0)</f>
        <v>0</v>
      </c>
      <c r="Z727" s="44">
        <f ca="1">IFERROR(__xludf.DUMMYFUNCTION("""COMPUTED_VALUE"""),0)</f>
        <v>0</v>
      </c>
      <c r="AA727" s="44">
        <f ca="1">IFERROR(__xludf.DUMMYFUNCTION("""COMPUTED_VALUE"""),0)</f>
        <v>0</v>
      </c>
      <c r="AB727" s="44">
        <f ca="1">IFERROR(__xludf.DUMMYFUNCTION("""COMPUTED_VALUE"""),0)</f>
        <v>0</v>
      </c>
      <c r="AC727" s="47">
        <f ca="1">IFERROR(__xludf.DUMMYFUNCTION("""COMPUTED_VALUE"""),0)</f>
        <v>0</v>
      </c>
      <c r="AD727" s="49"/>
      <c r="AE727" s="27"/>
    </row>
    <row r="728" spans="1:31" ht="14.3">
      <c r="A728" s="42" t="str">
        <f ca="1">IFERROR(__xludf.DUMMYFUNCTION("""COMPUTED_VALUE"""),"22SDSEE01043")</f>
        <v>22SDSEE01043</v>
      </c>
      <c r="B728" s="43" t="str">
        <f ca="1">IFERROR(__xludf.DUMMYFUNCTION("""COMPUTED_VALUE"""),"SHUBHAM KUMAR")</f>
        <v>SHUBHAM KUMAR</v>
      </c>
      <c r="C728" s="42" t="str">
        <f ca="1">IFERROR(__xludf.DUMMYFUNCTION("""COMPUTED_VALUE"""),"SDS")</f>
        <v>SDS</v>
      </c>
      <c r="D728" s="42" t="str">
        <f ca="1">IFERROR(__xludf.DUMMYFUNCTION("""COMPUTED_VALUE"""),"DEE")</f>
        <v>DEE</v>
      </c>
      <c r="E728" s="44">
        <f ca="1">IFERROR(__xludf.DUMMYFUNCTION("""COMPUTED_VALUE"""),4)</f>
        <v>4</v>
      </c>
      <c r="F728" s="42" t="str">
        <f ca="1">IFERROR(__xludf.DUMMYFUNCTION("""COMPUTED_VALUE"""),"BIHAR STUDENT")</f>
        <v>BIHAR STUDENT</v>
      </c>
      <c r="G728" s="42" t="str">
        <f ca="1">IFERROR(__xludf.DUMMYFUNCTION("""COMPUTED_VALUE"""),"BIHAR STUDENT")</f>
        <v>BIHAR STUDENT</v>
      </c>
      <c r="H728" s="2" t="str">
        <f ca="1">IFERROR(__xludf.DUMMYFUNCTION("""COMPUTED_VALUE"""),"DEE_2022-25")</f>
        <v>DEE_2022-25</v>
      </c>
      <c r="I728" s="45"/>
      <c r="J728" s="46">
        <f ca="1">IFERROR(__xludf.DUMMYFUNCTION("""COMPUTED_VALUE"""),42500)</f>
        <v>42500</v>
      </c>
      <c r="K728" s="46">
        <f ca="1">IFERROR(__xludf.DUMMYFUNCTION("""COMPUTED_VALUE"""),0)</f>
        <v>0</v>
      </c>
      <c r="L728" s="46">
        <f ca="1">IFERROR(__xludf.DUMMYFUNCTION("""COMPUTED_VALUE"""),0)</f>
        <v>0</v>
      </c>
      <c r="M728" s="47">
        <f ca="1">IFERROR(__xludf.DUMMYFUNCTION("""COMPUTED_VALUE"""),0)</f>
        <v>0</v>
      </c>
      <c r="N728" s="46">
        <f ca="1">IFERROR(__xludf.DUMMYFUNCTION("""COMPUTED_VALUE"""),42500)</f>
        <v>42500</v>
      </c>
      <c r="O728" s="46">
        <f ca="1">IFERROR(__xludf.DUMMYFUNCTION("""COMPUTED_VALUE"""),0)</f>
        <v>0</v>
      </c>
      <c r="P728" s="46">
        <f ca="1">IFERROR(__xludf.DUMMYFUNCTION("""COMPUTED_VALUE"""),0)</f>
        <v>0</v>
      </c>
      <c r="Q728" s="47">
        <f ca="1">IFERROR(__xludf.DUMMYFUNCTION("""COMPUTED_VALUE"""),0)</f>
        <v>0</v>
      </c>
      <c r="R728" s="24">
        <f ca="1">IFERROR(__xludf.DUMMYFUNCTION("""COMPUTED_VALUE"""),0)</f>
        <v>0</v>
      </c>
      <c r="S728" s="23">
        <f ca="1">IFERROR(__xludf.DUMMYFUNCTION("""COMPUTED_VALUE"""),0)</f>
        <v>0</v>
      </c>
      <c r="T728" s="48">
        <f ca="1">IFERROR(__xludf.DUMMYFUNCTION("""COMPUTED_VALUE"""),0)</f>
        <v>0</v>
      </c>
      <c r="U728" s="47">
        <f ca="1">IFERROR(__xludf.DUMMYFUNCTION("""COMPUTED_VALUE"""),0)</f>
        <v>0</v>
      </c>
      <c r="V728" s="47">
        <f ca="1">IFERROR(__xludf.DUMMYFUNCTION("""COMPUTED_VALUE"""),0)</f>
        <v>0</v>
      </c>
      <c r="W728" s="47">
        <f ca="1">IFERROR(__xludf.DUMMYFUNCTION("""COMPUTED_VALUE"""),0)</f>
        <v>0</v>
      </c>
      <c r="X728" s="47">
        <f ca="1">IFERROR(__xludf.DUMMYFUNCTION("""COMPUTED_VALUE"""),0)</f>
        <v>0</v>
      </c>
      <c r="Y728" s="44">
        <f ca="1">IFERROR(__xludf.DUMMYFUNCTION("""COMPUTED_VALUE"""),0)</f>
        <v>0</v>
      </c>
      <c r="Z728" s="44">
        <f ca="1">IFERROR(__xludf.DUMMYFUNCTION("""COMPUTED_VALUE"""),0)</f>
        <v>0</v>
      </c>
      <c r="AA728" s="44">
        <f ca="1">IFERROR(__xludf.DUMMYFUNCTION("""COMPUTED_VALUE"""),0)</f>
        <v>0</v>
      </c>
      <c r="AB728" s="44">
        <f ca="1">IFERROR(__xludf.DUMMYFUNCTION("""COMPUTED_VALUE"""),0)</f>
        <v>0</v>
      </c>
      <c r="AC728" s="47">
        <f ca="1">IFERROR(__xludf.DUMMYFUNCTION("""COMPUTED_VALUE"""),0)</f>
        <v>0</v>
      </c>
      <c r="AD728" s="49"/>
      <c r="AE728" s="27"/>
    </row>
    <row r="729" spans="1:31" ht="14.3">
      <c r="A729" s="42" t="str">
        <f ca="1">IFERROR(__xludf.DUMMYFUNCTION("""COMPUTED_VALUE"""),"22SDSEE01045")</f>
        <v>22SDSEE01045</v>
      </c>
      <c r="B729" s="43" t="str">
        <f ca="1">IFERROR(__xludf.DUMMYFUNCTION("""COMPUTED_VALUE"""),"UJJWAL KUMAR")</f>
        <v>UJJWAL KUMAR</v>
      </c>
      <c r="C729" s="42" t="str">
        <f ca="1">IFERROR(__xludf.DUMMYFUNCTION("""COMPUTED_VALUE"""),"SDS")</f>
        <v>SDS</v>
      </c>
      <c r="D729" s="42" t="str">
        <f ca="1">IFERROR(__xludf.DUMMYFUNCTION("""COMPUTED_VALUE"""),"DEE")</f>
        <v>DEE</v>
      </c>
      <c r="E729" s="44">
        <f ca="1">IFERROR(__xludf.DUMMYFUNCTION("""COMPUTED_VALUE"""),4)</f>
        <v>4</v>
      </c>
      <c r="F729" s="42" t="str">
        <f ca="1">IFERROR(__xludf.DUMMYFUNCTION("""COMPUTED_VALUE"""),"BIHAR STUDENT")</f>
        <v>BIHAR STUDENT</v>
      </c>
      <c r="G729" s="42" t="str">
        <f ca="1">IFERROR(__xludf.DUMMYFUNCTION("""COMPUTED_VALUE"""),"BIHAR STUDENT")</f>
        <v>BIHAR STUDENT</v>
      </c>
      <c r="H729" s="2" t="str">
        <f ca="1">IFERROR(__xludf.DUMMYFUNCTION("""COMPUTED_VALUE"""),"DEE_2022-25")</f>
        <v>DEE_2022-25</v>
      </c>
      <c r="I729" s="45"/>
      <c r="J729" s="46">
        <f ca="1">IFERROR(__xludf.DUMMYFUNCTION("""COMPUTED_VALUE"""),42500)</f>
        <v>42500</v>
      </c>
      <c r="K729" s="46">
        <f ca="1">IFERROR(__xludf.DUMMYFUNCTION("""COMPUTED_VALUE"""),42500)</f>
        <v>42500</v>
      </c>
      <c r="L729" s="46">
        <f ca="1">IFERROR(__xludf.DUMMYFUNCTION("""COMPUTED_VALUE"""),0)</f>
        <v>0</v>
      </c>
      <c r="M729" s="47">
        <f ca="1">IFERROR(__xludf.DUMMYFUNCTION("""COMPUTED_VALUE"""),0)</f>
        <v>0</v>
      </c>
      <c r="N729" s="46">
        <f ca="1">IFERROR(__xludf.DUMMYFUNCTION("""COMPUTED_VALUE"""),0)</f>
        <v>0</v>
      </c>
      <c r="O729" s="46">
        <f ca="1">IFERROR(__xludf.DUMMYFUNCTION("""COMPUTED_VALUE"""),0)</f>
        <v>0</v>
      </c>
      <c r="P729" s="46">
        <f ca="1">IFERROR(__xludf.DUMMYFUNCTION("""COMPUTED_VALUE"""),0)</f>
        <v>0</v>
      </c>
      <c r="Q729" s="47">
        <f ca="1">IFERROR(__xludf.DUMMYFUNCTION("""COMPUTED_VALUE"""),0)</f>
        <v>0</v>
      </c>
      <c r="R729" s="24">
        <f ca="1">IFERROR(__xludf.DUMMYFUNCTION("""COMPUTED_VALUE"""),0)</f>
        <v>0</v>
      </c>
      <c r="S729" s="23">
        <f ca="1">IFERROR(__xludf.DUMMYFUNCTION("""COMPUTED_VALUE"""),0)</f>
        <v>0</v>
      </c>
      <c r="T729" s="48">
        <f ca="1">IFERROR(__xludf.DUMMYFUNCTION("""COMPUTED_VALUE"""),0)</f>
        <v>0</v>
      </c>
      <c r="U729" s="47">
        <f ca="1">IFERROR(__xludf.DUMMYFUNCTION("""COMPUTED_VALUE"""),0)</f>
        <v>0</v>
      </c>
      <c r="V729" s="47">
        <f ca="1">IFERROR(__xludf.DUMMYFUNCTION("""COMPUTED_VALUE"""),0)</f>
        <v>0</v>
      </c>
      <c r="W729" s="47">
        <f ca="1">IFERROR(__xludf.DUMMYFUNCTION("""COMPUTED_VALUE"""),0)</f>
        <v>0</v>
      </c>
      <c r="X729" s="47">
        <f ca="1">IFERROR(__xludf.DUMMYFUNCTION("""COMPUTED_VALUE"""),0)</f>
        <v>0</v>
      </c>
      <c r="Y729" s="44">
        <f ca="1">IFERROR(__xludf.DUMMYFUNCTION("""COMPUTED_VALUE"""),0)</f>
        <v>0</v>
      </c>
      <c r="Z729" s="44">
        <f ca="1">IFERROR(__xludf.DUMMYFUNCTION("""COMPUTED_VALUE"""),0)</f>
        <v>0</v>
      </c>
      <c r="AA729" s="44">
        <f ca="1">IFERROR(__xludf.DUMMYFUNCTION("""COMPUTED_VALUE"""),0)</f>
        <v>0</v>
      </c>
      <c r="AB729" s="44">
        <f ca="1">IFERROR(__xludf.DUMMYFUNCTION("""COMPUTED_VALUE"""),0)</f>
        <v>0</v>
      </c>
      <c r="AC729" s="47">
        <f ca="1">IFERROR(__xludf.DUMMYFUNCTION("""COMPUTED_VALUE"""),0)</f>
        <v>0</v>
      </c>
      <c r="AD729" s="49"/>
      <c r="AE729" s="27"/>
    </row>
    <row r="730" spans="1:31" ht="14.3">
      <c r="A730" s="42" t="str">
        <f ca="1">IFERROR(__xludf.DUMMYFUNCTION("""COMPUTED_VALUE"""),"22SDSEE01048")</f>
        <v>22SDSEE01048</v>
      </c>
      <c r="B730" s="43" t="str">
        <f ca="1">IFERROR(__xludf.DUMMYFUNCTION("""COMPUTED_VALUE"""),"PRITY KUMARI")</f>
        <v>PRITY KUMARI</v>
      </c>
      <c r="C730" s="42" t="str">
        <f ca="1">IFERROR(__xludf.DUMMYFUNCTION("""COMPUTED_VALUE"""),"SDS")</f>
        <v>SDS</v>
      </c>
      <c r="D730" s="42" t="str">
        <f ca="1">IFERROR(__xludf.DUMMYFUNCTION("""COMPUTED_VALUE"""),"DEE")</f>
        <v>DEE</v>
      </c>
      <c r="E730" s="44">
        <f ca="1">IFERROR(__xludf.DUMMYFUNCTION("""COMPUTED_VALUE"""),4)</f>
        <v>4</v>
      </c>
      <c r="F730" s="42" t="str">
        <f ca="1">IFERROR(__xludf.DUMMYFUNCTION("""COMPUTED_VALUE"""),"BIHAR STUDENT")</f>
        <v>BIHAR STUDENT</v>
      </c>
      <c r="G730" s="42" t="str">
        <f ca="1">IFERROR(__xludf.DUMMYFUNCTION("""COMPUTED_VALUE"""),"BIHAR STUDENT")</f>
        <v>BIHAR STUDENT</v>
      </c>
      <c r="H730" s="2" t="str">
        <f ca="1">IFERROR(__xludf.DUMMYFUNCTION("""COMPUTED_VALUE"""),"DEE_2022-25")</f>
        <v>DEE_2022-25</v>
      </c>
      <c r="I730" s="45"/>
      <c r="J730" s="46">
        <f ca="1">IFERROR(__xludf.DUMMYFUNCTION("""COMPUTED_VALUE"""),42500)</f>
        <v>42500</v>
      </c>
      <c r="K730" s="46">
        <f ca="1">IFERROR(__xludf.DUMMYFUNCTION("""COMPUTED_VALUE"""),0)</f>
        <v>0</v>
      </c>
      <c r="L730" s="46">
        <f ca="1">IFERROR(__xludf.DUMMYFUNCTION("""COMPUTED_VALUE"""),0)</f>
        <v>0</v>
      </c>
      <c r="M730" s="47">
        <f ca="1">IFERROR(__xludf.DUMMYFUNCTION("""COMPUTED_VALUE"""),0)</f>
        <v>0</v>
      </c>
      <c r="N730" s="46">
        <f ca="1">IFERROR(__xludf.DUMMYFUNCTION("""COMPUTED_VALUE"""),42500)</f>
        <v>42500</v>
      </c>
      <c r="O730" s="46">
        <f ca="1">IFERROR(__xludf.DUMMYFUNCTION("""COMPUTED_VALUE"""),0)</f>
        <v>0</v>
      </c>
      <c r="P730" s="46">
        <f ca="1">IFERROR(__xludf.DUMMYFUNCTION("""COMPUTED_VALUE"""),0)</f>
        <v>0</v>
      </c>
      <c r="Q730" s="47">
        <f ca="1">IFERROR(__xludf.DUMMYFUNCTION("""COMPUTED_VALUE"""),0)</f>
        <v>0</v>
      </c>
      <c r="R730" s="24">
        <f ca="1">IFERROR(__xludf.DUMMYFUNCTION("""COMPUTED_VALUE"""),0)</f>
        <v>0</v>
      </c>
      <c r="S730" s="23">
        <f ca="1">IFERROR(__xludf.DUMMYFUNCTION("""COMPUTED_VALUE"""),0)</f>
        <v>0</v>
      </c>
      <c r="T730" s="48">
        <f ca="1">IFERROR(__xludf.DUMMYFUNCTION("""COMPUTED_VALUE"""),0)</f>
        <v>0</v>
      </c>
      <c r="U730" s="47">
        <f ca="1">IFERROR(__xludf.DUMMYFUNCTION("""COMPUTED_VALUE"""),0)</f>
        <v>0</v>
      </c>
      <c r="V730" s="47">
        <f ca="1">IFERROR(__xludf.DUMMYFUNCTION("""COMPUTED_VALUE"""),0)</f>
        <v>0</v>
      </c>
      <c r="W730" s="47">
        <f ca="1">IFERROR(__xludf.DUMMYFUNCTION("""COMPUTED_VALUE"""),0)</f>
        <v>0</v>
      </c>
      <c r="X730" s="47">
        <f ca="1">IFERROR(__xludf.DUMMYFUNCTION("""COMPUTED_VALUE"""),0)</f>
        <v>0</v>
      </c>
      <c r="Y730" s="44">
        <f ca="1">IFERROR(__xludf.DUMMYFUNCTION("""COMPUTED_VALUE"""),0)</f>
        <v>0</v>
      </c>
      <c r="Z730" s="44">
        <f ca="1">IFERROR(__xludf.DUMMYFUNCTION("""COMPUTED_VALUE"""),0)</f>
        <v>0</v>
      </c>
      <c r="AA730" s="44">
        <f ca="1">IFERROR(__xludf.DUMMYFUNCTION("""COMPUTED_VALUE"""),0)</f>
        <v>0</v>
      </c>
      <c r="AB730" s="44">
        <f ca="1">IFERROR(__xludf.DUMMYFUNCTION("""COMPUTED_VALUE"""),0)</f>
        <v>0</v>
      </c>
      <c r="AC730" s="47">
        <f ca="1">IFERROR(__xludf.DUMMYFUNCTION("""COMPUTED_VALUE"""),0)</f>
        <v>0</v>
      </c>
      <c r="AD730" s="49"/>
      <c r="AE730" s="27"/>
    </row>
    <row r="731" spans="1:31" ht="14.3">
      <c r="A731" s="42" t="str">
        <f ca="1">IFERROR(__xludf.DUMMYFUNCTION("""COMPUTED_VALUE"""),"22SDSEE01049")</f>
        <v>22SDSEE01049</v>
      </c>
      <c r="B731" s="43" t="str">
        <f ca="1">IFERROR(__xludf.DUMMYFUNCTION("""COMPUTED_VALUE"""),"MD SAHIL")</f>
        <v>MD SAHIL</v>
      </c>
      <c r="C731" s="42" t="str">
        <f ca="1">IFERROR(__xludf.DUMMYFUNCTION("""COMPUTED_VALUE"""),"SDS")</f>
        <v>SDS</v>
      </c>
      <c r="D731" s="42" t="str">
        <f ca="1">IFERROR(__xludf.DUMMYFUNCTION("""COMPUTED_VALUE"""),"DEE")</f>
        <v>DEE</v>
      </c>
      <c r="E731" s="44">
        <f ca="1">IFERROR(__xludf.DUMMYFUNCTION("""COMPUTED_VALUE"""),4)</f>
        <v>4</v>
      </c>
      <c r="F731" s="42" t="str">
        <f ca="1">IFERROR(__xludf.DUMMYFUNCTION("""COMPUTED_VALUE"""),"BIHAR STUDENT")</f>
        <v>BIHAR STUDENT</v>
      </c>
      <c r="G731" s="42" t="str">
        <f ca="1">IFERROR(__xludf.DUMMYFUNCTION("""COMPUTED_VALUE"""),"BIHAR STUDENT")</f>
        <v>BIHAR STUDENT</v>
      </c>
      <c r="H731" s="2" t="str">
        <f ca="1">IFERROR(__xludf.DUMMYFUNCTION("""COMPUTED_VALUE"""),"DEE_2022-25")</f>
        <v>DEE_2022-25</v>
      </c>
      <c r="I731" s="45"/>
      <c r="J731" s="46">
        <f ca="1">IFERROR(__xludf.DUMMYFUNCTION("""COMPUTED_VALUE"""),42500)</f>
        <v>42500</v>
      </c>
      <c r="K731" s="46">
        <f ca="1">IFERROR(__xludf.DUMMYFUNCTION("""COMPUTED_VALUE"""),0)</f>
        <v>0</v>
      </c>
      <c r="L731" s="46">
        <f ca="1">IFERROR(__xludf.DUMMYFUNCTION("""COMPUTED_VALUE"""),0)</f>
        <v>0</v>
      </c>
      <c r="M731" s="47">
        <f ca="1">IFERROR(__xludf.DUMMYFUNCTION("""COMPUTED_VALUE"""),0)</f>
        <v>0</v>
      </c>
      <c r="N731" s="46">
        <f ca="1">IFERROR(__xludf.DUMMYFUNCTION("""COMPUTED_VALUE"""),42500)</f>
        <v>42500</v>
      </c>
      <c r="O731" s="46">
        <f ca="1">IFERROR(__xludf.DUMMYFUNCTION("""COMPUTED_VALUE"""),0)</f>
        <v>0</v>
      </c>
      <c r="P731" s="46">
        <f ca="1">IFERROR(__xludf.DUMMYFUNCTION("""COMPUTED_VALUE"""),0)</f>
        <v>0</v>
      </c>
      <c r="Q731" s="47">
        <f ca="1">IFERROR(__xludf.DUMMYFUNCTION("""COMPUTED_VALUE"""),0)</f>
        <v>0</v>
      </c>
      <c r="R731" s="24">
        <f ca="1">IFERROR(__xludf.DUMMYFUNCTION("""COMPUTED_VALUE"""),0)</f>
        <v>0</v>
      </c>
      <c r="S731" s="23">
        <f ca="1">IFERROR(__xludf.DUMMYFUNCTION("""COMPUTED_VALUE"""),0)</f>
        <v>0</v>
      </c>
      <c r="T731" s="48">
        <f ca="1">IFERROR(__xludf.DUMMYFUNCTION("""COMPUTED_VALUE"""),0)</f>
        <v>0</v>
      </c>
      <c r="U731" s="47">
        <f ca="1">IFERROR(__xludf.DUMMYFUNCTION("""COMPUTED_VALUE"""),0)</f>
        <v>0</v>
      </c>
      <c r="V731" s="47">
        <f ca="1">IFERROR(__xludf.DUMMYFUNCTION("""COMPUTED_VALUE"""),0)</f>
        <v>0</v>
      </c>
      <c r="W731" s="47">
        <f ca="1">IFERROR(__xludf.DUMMYFUNCTION("""COMPUTED_VALUE"""),0)</f>
        <v>0</v>
      </c>
      <c r="X731" s="47">
        <f ca="1">IFERROR(__xludf.DUMMYFUNCTION("""COMPUTED_VALUE"""),0)</f>
        <v>0</v>
      </c>
      <c r="Y731" s="44">
        <f ca="1">IFERROR(__xludf.DUMMYFUNCTION("""COMPUTED_VALUE"""),0)</f>
        <v>0</v>
      </c>
      <c r="Z731" s="44">
        <f ca="1">IFERROR(__xludf.DUMMYFUNCTION("""COMPUTED_VALUE"""),0)</f>
        <v>0</v>
      </c>
      <c r="AA731" s="44">
        <f ca="1">IFERROR(__xludf.DUMMYFUNCTION("""COMPUTED_VALUE"""),0)</f>
        <v>0</v>
      </c>
      <c r="AB731" s="44">
        <f ca="1">IFERROR(__xludf.DUMMYFUNCTION("""COMPUTED_VALUE"""),0)</f>
        <v>0</v>
      </c>
      <c r="AC731" s="47">
        <f ca="1">IFERROR(__xludf.DUMMYFUNCTION("""COMPUTED_VALUE"""),0)</f>
        <v>0</v>
      </c>
      <c r="AD731" s="49"/>
      <c r="AE731" s="27"/>
    </row>
    <row r="732" spans="1:31" ht="14.3">
      <c r="A732" s="42" t="str">
        <f ca="1">IFERROR(__xludf.DUMMYFUNCTION("""COMPUTED_VALUE"""),"22SDSEE01050")</f>
        <v>22SDSEE01050</v>
      </c>
      <c r="B732" s="43" t="str">
        <f ca="1">IFERROR(__xludf.DUMMYFUNCTION("""COMPUTED_VALUE"""),"SHASHIKANT SHARMA")</f>
        <v>SHASHIKANT SHARMA</v>
      </c>
      <c r="C732" s="42" t="str">
        <f ca="1">IFERROR(__xludf.DUMMYFUNCTION("""COMPUTED_VALUE"""),"SDS")</f>
        <v>SDS</v>
      </c>
      <c r="D732" s="42" t="str">
        <f ca="1">IFERROR(__xludf.DUMMYFUNCTION("""COMPUTED_VALUE"""),"DEE")</f>
        <v>DEE</v>
      </c>
      <c r="E732" s="44">
        <f ca="1">IFERROR(__xludf.DUMMYFUNCTION("""COMPUTED_VALUE"""),4)</f>
        <v>4</v>
      </c>
      <c r="F732" s="42" t="str">
        <f ca="1">IFERROR(__xludf.DUMMYFUNCTION("""COMPUTED_VALUE"""),"BIHAR STUDENT")</f>
        <v>BIHAR STUDENT</v>
      </c>
      <c r="G732" s="42" t="str">
        <f ca="1">IFERROR(__xludf.DUMMYFUNCTION("""COMPUTED_VALUE"""),"BIHAR STUDENT")</f>
        <v>BIHAR STUDENT</v>
      </c>
      <c r="H732" s="2" t="str">
        <f ca="1">IFERROR(__xludf.DUMMYFUNCTION("""COMPUTED_VALUE"""),"DEE_2022-25")</f>
        <v>DEE_2022-25</v>
      </c>
      <c r="I732" s="45"/>
      <c r="J732" s="46">
        <f ca="1">IFERROR(__xludf.DUMMYFUNCTION("""COMPUTED_VALUE"""),42500)</f>
        <v>42500</v>
      </c>
      <c r="K732" s="46">
        <f ca="1">IFERROR(__xludf.DUMMYFUNCTION("""COMPUTED_VALUE"""),0)</f>
        <v>0</v>
      </c>
      <c r="L732" s="46">
        <f ca="1">IFERROR(__xludf.DUMMYFUNCTION("""COMPUTED_VALUE"""),0)</f>
        <v>0</v>
      </c>
      <c r="M732" s="47">
        <f ca="1">IFERROR(__xludf.DUMMYFUNCTION("""COMPUTED_VALUE"""),0)</f>
        <v>0</v>
      </c>
      <c r="N732" s="46">
        <f ca="1">IFERROR(__xludf.DUMMYFUNCTION("""COMPUTED_VALUE"""),42500)</f>
        <v>42500</v>
      </c>
      <c r="O732" s="46">
        <f ca="1">IFERROR(__xludf.DUMMYFUNCTION("""COMPUTED_VALUE"""),0)</f>
        <v>0</v>
      </c>
      <c r="P732" s="46">
        <f ca="1">IFERROR(__xludf.DUMMYFUNCTION("""COMPUTED_VALUE"""),0)</f>
        <v>0</v>
      </c>
      <c r="Q732" s="47">
        <f ca="1">IFERROR(__xludf.DUMMYFUNCTION("""COMPUTED_VALUE"""),0)</f>
        <v>0</v>
      </c>
      <c r="R732" s="24">
        <f ca="1">IFERROR(__xludf.DUMMYFUNCTION("""COMPUTED_VALUE"""),0)</f>
        <v>0</v>
      </c>
      <c r="S732" s="23">
        <f ca="1">IFERROR(__xludf.DUMMYFUNCTION("""COMPUTED_VALUE"""),0)</f>
        <v>0</v>
      </c>
      <c r="T732" s="48">
        <f ca="1">IFERROR(__xludf.DUMMYFUNCTION("""COMPUTED_VALUE"""),0)</f>
        <v>0</v>
      </c>
      <c r="U732" s="47">
        <f ca="1">IFERROR(__xludf.DUMMYFUNCTION("""COMPUTED_VALUE"""),0)</f>
        <v>0</v>
      </c>
      <c r="V732" s="47">
        <f ca="1">IFERROR(__xludf.DUMMYFUNCTION("""COMPUTED_VALUE"""),0)</f>
        <v>0</v>
      </c>
      <c r="W732" s="47">
        <f ca="1">IFERROR(__xludf.DUMMYFUNCTION("""COMPUTED_VALUE"""),0)</f>
        <v>0</v>
      </c>
      <c r="X732" s="47">
        <f ca="1">IFERROR(__xludf.DUMMYFUNCTION("""COMPUTED_VALUE"""),0)</f>
        <v>0</v>
      </c>
      <c r="Y732" s="44">
        <f ca="1">IFERROR(__xludf.DUMMYFUNCTION("""COMPUTED_VALUE"""),0)</f>
        <v>0</v>
      </c>
      <c r="Z732" s="44">
        <f ca="1">IFERROR(__xludf.DUMMYFUNCTION("""COMPUTED_VALUE"""),0)</f>
        <v>0</v>
      </c>
      <c r="AA732" s="44">
        <f ca="1">IFERROR(__xludf.DUMMYFUNCTION("""COMPUTED_VALUE"""),0)</f>
        <v>0</v>
      </c>
      <c r="AB732" s="44">
        <f ca="1">IFERROR(__xludf.DUMMYFUNCTION("""COMPUTED_VALUE"""),0)</f>
        <v>0</v>
      </c>
      <c r="AC732" s="47">
        <f ca="1">IFERROR(__xludf.DUMMYFUNCTION("""COMPUTED_VALUE"""),0)</f>
        <v>0</v>
      </c>
      <c r="AD732" s="49"/>
      <c r="AE732" s="27"/>
    </row>
    <row r="733" spans="1:31" ht="14.3">
      <c r="A733" s="42" t="str">
        <f ca="1">IFERROR(__xludf.DUMMYFUNCTION("""COMPUTED_VALUE"""),"22SDSEE01051")</f>
        <v>22SDSEE01051</v>
      </c>
      <c r="B733" s="43" t="str">
        <f ca="1">IFERROR(__xludf.DUMMYFUNCTION("""COMPUTED_VALUE"""),"MD ASIM ASGHAR")</f>
        <v>MD ASIM ASGHAR</v>
      </c>
      <c r="C733" s="42" t="str">
        <f ca="1">IFERROR(__xludf.DUMMYFUNCTION("""COMPUTED_VALUE"""),"SDS")</f>
        <v>SDS</v>
      </c>
      <c r="D733" s="42" t="str">
        <f ca="1">IFERROR(__xludf.DUMMYFUNCTION("""COMPUTED_VALUE"""),"DEE")</f>
        <v>DEE</v>
      </c>
      <c r="E733" s="44">
        <f ca="1">IFERROR(__xludf.DUMMYFUNCTION("""COMPUTED_VALUE"""),4)</f>
        <v>4</v>
      </c>
      <c r="F733" s="42" t="str">
        <f ca="1">IFERROR(__xludf.DUMMYFUNCTION("""COMPUTED_VALUE"""),"BIHAR STUDENT")</f>
        <v>BIHAR STUDENT</v>
      </c>
      <c r="G733" s="42" t="str">
        <f ca="1">IFERROR(__xludf.DUMMYFUNCTION("""COMPUTED_VALUE"""),"BIHAR STUDENT")</f>
        <v>BIHAR STUDENT</v>
      </c>
      <c r="H733" s="2" t="str">
        <f ca="1">IFERROR(__xludf.DUMMYFUNCTION("""COMPUTED_VALUE"""),"DEE_2022-25")</f>
        <v>DEE_2022-25</v>
      </c>
      <c r="I733" s="45"/>
      <c r="J733" s="46">
        <f ca="1">IFERROR(__xludf.DUMMYFUNCTION("""COMPUTED_VALUE"""),42500)</f>
        <v>42500</v>
      </c>
      <c r="K733" s="46">
        <f ca="1">IFERROR(__xludf.DUMMYFUNCTION("""COMPUTED_VALUE"""),0)</f>
        <v>0</v>
      </c>
      <c r="L733" s="46">
        <f ca="1">IFERROR(__xludf.DUMMYFUNCTION("""COMPUTED_VALUE"""),0)</f>
        <v>0</v>
      </c>
      <c r="M733" s="47">
        <f ca="1">IFERROR(__xludf.DUMMYFUNCTION("""COMPUTED_VALUE"""),0)</f>
        <v>0</v>
      </c>
      <c r="N733" s="46">
        <f ca="1">IFERROR(__xludf.DUMMYFUNCTION("""COMPUTED_VALUE"""),42500)</f>
        <v>42500</v>
      </c>
      <c r="O733" s="46">
        <f ca="1">IFERROR(__xludf.DUMMYFUNCTION("""COMPUTED_VALUE"""),0)</f>
        <v>0</v>
      </c>
      <c r="P733" s="46">
        <f ca="1">IFERROR(__xludf.DUMMYFUNCTION("""COMPUTED_VALUE"""),0)</f>
        <v>0</v>
      </c>
      <c r="Q733" s="47">
        <f ca="1">IFERROR(__xludf.DUMMYFUNCTION("""COMPUTED_VALUE"""),0)</f>
        <v>0</v>
      </c>
      <c r="R733" s="24">
        <f ca="1">IFERROR(__xludf.DUMMYFUNCTION("""COMPUTED_VALUE"""),0)</f>
        <v>0</v>
      </c>
      <c r="S733" s="23">
        <f ca="1">IFERROR(__xludf.DUMMYFUNCTION("""COMPUTED_VALUE"""),0)</f>
        <v>0</v>
      </c>
      <c r="T733" s="48">
        <f ca="1">IFERROR(__xludf.DUMMYFUNCTION("""COMPUTED_VALUE"""),0)</f>
        <v>0</v>
      </c>
      <c r="U733" s="47">
        <f ca="1">IFERROR(__xludf.DUMMYFUNCTION("""COMPUTED_VALUE"""),0)</f>
        <v>0</v>
      </c>
      <c r="V733" s="47">
        <f ca="1">IFERROR(__xludf.DUMMYFUNCTION("""COMPUTED_VALUE"""),0)</f>
        <v>0</v>
      </c>
      <c r="W733" s="47">
        <f ca="1">IFERROR(__xludf.DUMMYFUNCTION("""COMPUTED_VALUE"""),0)</f>
        <v>0</v>
      </c>
      <c r="X733" s="47">
        <f ca="1">IFERROR(__xludf.DUMMYFUNCTION("""COMPUTED_VALUE"""),0)</f>
        <v>0</v>
      </c>
      <c r="Y733" s="44">
        <f ca="1">IFERROR(__xludf.DUMMYFUNCTION("""COMPUTED_VALUE"""),0)</f>
        <v>0</v>
      </c>
      <c r="Z733" s="44">
        <f ca="1">IFERROR(__xludf.DUMMYFUNCTION("""COMPUTED_VALUE"""),0)</f>
        <v>0</v>
      </c>
      <c r="AA733" s="44">
        <f ca="1">IFERROR(__xludf.DUMMYFUNCTION("""COMPUTED_VALUE"""),0)</f>
        <v>0</v>
      </c>
      <c r="AB733" s="44">
        <f ca="1">IFERROR(__xludf.DUMMYFUNCTION("""COMPUTED_VALUE"""),0)</f>
        <v>0</v>
      </c>
      <c r="AC733" s="47">
        <f ca="1">IFERROR(__xludf.DUMMYFUNCTION("""COMPUTED_VALUE"""),0)</f>
        <v>0</v>
      </c>
      <c r="AD733" s="49"/>
      <c r="AE733" s="27"/>
    </row>
    <row r="734" spans="1:31" ht="14.3">
      <c r="A734" s="42" t="str">
        <f ca="1">IFERROR(__xludf.DUMMYFUNCTION("""COMPUTED_VALUE"""),"22SDSEE01601")</f>
        <v>22SDSEE01601</v>
      </c>
      <c r="B734" s="43" t="str">
        <f ca="1">IFERROR(__xludf.DUMMYFUNCTION("""COMPUTED_VALUE"""),"PRAKASH GURUNG")</f>
        <v>PRAKASH GURUNG</v>
      </c>
      <c r="C734" s="42" t="str">
        <f ca="1">IFERROR(__xludf.DUMMYFUNCTION("""COMPUTED_VALUE"""),"SDS")</f>
        <v>SDS</v>
      </c>
      <c r="D734" s="42" t="str">
        <f ca="1">IFERROR(__xludf.DUMMYFUNCTION("""COMPUTED_VALUE"""),"DEE")</f>
        <v>DEE</v>
      </c>
      <c r="E734" s="44">
        <f ca="1">IFERROR(__xludf.DUMMYFUNCTION("""COMPUTED_VALUE"""),4)</f>
        <v>4</v>
      </c>
      <c r="F734" s="42" t="str">
        <f ca="1">IFERROR(__xludf.DUMMYFUNCTION("""COMPUTED_VALUE"""),"INTERNATIONAL")</f>
        <v>INTERNATIONAL</v>
      </c>
      <c r="G734" s="42" t="str">
        <f ca="1">IFERROR(__xludf.DUMMYFUNCTION("""COMPUTED_VALUE"""),"INR FEE STUDENT")</f>
        <v>INR FEE STUDENT</v>
      </c>
      <c r="H734" s="2" t="str">
        <f ca="1">IFERROR(__xludf.DUMMYFUNCTION("""COMPUTED_VALUE"""),"DEE_2022-25")</f>
        <v>DEE_2022-25</v>
      </c>
      <c r="I734" s="45"/>
      <c r="J734" s="46">
        <f ca="1">IFERROR(__xludf.DUMMYFUNCTION("""COMPUTED_VALUE"""),37500)</f>
        <v>37500</v>
      </c>
      <c r="K734" s="46">
        <f ca="1">IFERROR(__xludf.DUMMYFUNCTION("""COMPUTED_VALUE"""),37500)</f>
        <v>37500</v>
      </c>
      <c r="L734" s="46">
        <f ca="1">IFERROR(__xludf.DUMMYFUNCTION("""COMPUTED_VALUE"""),0)</f>
        <v>0</v>
      </c>
      <c r="M734" s="47">
        <f ca="1">IFERROR(__xludf.DUMMYFUNCTION("""COMPUTED_VALUE"""),0)</f>
        <v>0</v>
      </c>
      <c r="N734" s="46">
        <f ca="1">IFERROR(__xludf.DUMMYFUNCTION("""COMPUTED_VALUE"""),0)</f>
        <v>0</v>
      </c>
      <c r="O734" s="46">
        <f ca="1">IFERROR(__xludf.DUMMYFUNCTION("""COMPUTED_VALUE"""),0)</f>
        <v>0</v>
      </c>
      <c r="P734" s="46">
        <f ca="1">IFERROR(__xludf.DUMMYFUNCTION("""COMPUTED_VALUE"""),0)</f>
        <v>0</v>
      </c>
      <c r="Q734" s="47">
        <f ca="1">IFERROR(__xludf.DUMMYFUNCTION("""COMPUTED_VALUE"""),0)</f>
        <v>0</v>
      </c>
      <c r="R734" s="24">
        <f ca="1">IFERROR(__xludf.DUMMYFUNCTION("""COMPUTED_VALUE"""),0)</f>
        <v>0</v>
      </c>
      <c r="S734" s="23">
        <f ca="1">IFERROR(__xludf.DUMMYFUNCTION("""COMPUTED_VALUE"""),0)</f>
        <v>0</v>
      </c>
      <c r="T734" s="48">
        <f ca="1">IFERROR(__xludf.DUMMYFUNCTION("""COMPUTED_VALUE"""),0)</f>
        <v>0</v>
      </c>
      <c r="U734" s="47">
        <f ca="1">IFERROR(__xludf.DUMMYFUNCTION("""COMPUTED_VALUE"""),0)</f>
        <v>0</v>
      </c>
      <c r="V734" s="47">
        <f ca="1">IFERROR(__xludf.DUMMYFUNCTION("""COMPUTED_VALUE"""),0)</f>
        <v>0</v>
      </c>
      <c r="W734" s="47">
        <f ca="1">IFERROR(__xludf.DUMMYFUNCTION("""COMPUTED_VALUE"""),0)</f>
        <v>0</v>
      </c>
      <c r="X734" s="47">
        <f ca="1">IFERROR(__xludf.DUMMYFUNCTION("""COMPUTED_VALUE"""),0)</f>
        <v>0</v>
      </c>
      <c r="Y734" s="44">
        <f ca="1">IFERROR(__xludf.DUMMYFUNCTION("""COMPUTED_VALUE"""),0)</f>
        <v>0</v>
      </c>
      <c r="Z734" s="44">
        <f ca="1">IFERROR(__xludf.DUMMYFUNCTION("""COMPUTED_VALUE"""),0)</f>
        <v>0</v>
      </c>
      <c r="AA734" s="44">
        <f ca="1">IFERROR(__xludf.DUMMYFUNCTION("""COMPUTED_VALUE"""),0)</f>
        <v>0</v>
      </c>
      <c r="AB734" s="44">
        <f ca="1">IFERROR(__xludf.DUMMYFUNCTION("""COMPUTED_VALUE"""),0)</f>
        <v>0</v>
      </c>
      <c r="AC734" s="47">
        <f ca="1">IFERROR(__xludf.DUMMYFUNCTION("""COMPUTED_VALUE"""),0)</f>
        <v>0</v>
      </c>
      <c r="AD734" s="49"/>
      <c r="AE734" s="27"/>
    </row>
    <row r="735" spans="1:31" ht="14.3">
      <c r="A735" s="42" t="str">
        <f ca="1">IFERROR(__xludf.DUMMYFUNCTION("""COMPUTED_VALUE"""),"22SDSEE01603")</f>
        <v>22SDSEE01603</v>
      </c>
      <c r="B735" s="43" t="str">
        <f ca="1">IFERROR(__xludf.DUMMYFUNCTION("""COMPUTED_VALUE"""),"UMESH KUMAR YADAV")</f>
        <v>UMESH KUMAR YADAV</v>
      </c>
      <c r="C735" s="42" t="str">
        <f ca="1">IFERROR(__xludf.DUMMYFUNCTION("""COMPUTED_VALUE"""),"SDS")</f>
        <v>SDS</v>
      </c>
      <c r="D735" s="42" t="str">
        <f ca="1">IFERROR(__xludf.DUMMYFUNCTION("""COMPUTED_VALUE"""),"DEE")</f>
        <v>DEE</v>
      </c>
      <c r="E735" s="44">
        <f ca="1">IFERROR(__xludf.DUMMYFUNCTION("""COMPUTED_VALUE"""),4)</f>
        <v>4</v>
      </c>
      <c r="F735" s="42" t="str">
        <f ca="1">IFERROR(__xludf.DUMMYFUNCTION("""COMPUTED_VALUE"""),"INTERNATIONAL")</f>
        <v>INTERNATIONAL</v>
      </c>
      <c r="G735" s="42" t="str">
        <f ca="1">IFERROR(__xludf.DUMMYFUNCTION("""COMPUTED_VALUE"""),"INR FEE STUDENT")</f>
        <v>INR FEE STUDENT</v>
      </c>
      <c r="H735" s="2" t="str">
        <f ca="1">IFERROR(__xludf.DUMMYFUNCTION("""COMPUTED_VALUE"""),"DEE_2022-25")</f>
        <v>DEE_2022-25</v>
      </c>
      <c r="I735" s="45"/>
      <c r="J735" s="46">
        <f ca="1">IFERROR(__xludf.DUMMYFUNCTION("""COMPUTED_VALUE"""),37500)</f>
        <v>37500</v>
      </c>
      <c r="K735" s="46">
        <f ca="1">IFERROR(__xludf.DUMMYFUNCTION("""COMPUTED_VALUE"""),37500)</f>
        <v>37500</v>
      </c>
      <c r="L735" s="46">
        <f ca="1">IFERROR(__xludf.DUMMYFUNCTION("""COMPUTED_VALUE"""),0)</f>
        <v>0</v>
      </c>
      <c r="M735" s="47">
        <f ca="1">IFERROR(__xludf.DUMMYFUNCTION("""COMPUTED_VALUE"""),0)</f>
        <v>0</v>
      </c>
      <c r="N735" s="46">
        <f ca="1">IFERROR(__xludf.DUMMYFUNCTION("""COMPUTED_VALUE"""),0)</f>
        <v>0</v>
      </c>
      <c r="O735" s="46">
        <f ca="1">IFERROR(__xludf.DUMMYFUNCTION("""COMPUTED_VALUE"""),0)</f>
        <v>0</v>
      </c>
      <c r="P735" s="46">
        <f ca="1">IFERROR(__xludf.DUMMYFUNCTION("""COMPUTED_VALUE"""),0)</f>
        <v>0</v>
      </c>
      <c r="Q735" s="47">
        <f ca="1">IFERROR(__xludf.DUMMYFUNCTION("""COMPUTED_VALUE"""),0)</f>
        <v>0</v>
      </c>
      <c r="R735" s="24">
        <f ca="1">IFERROR(__xludf.DUMMYFUNCTION("""COMPUTED_VALUE"""),0)</f>
        <v>0</v>
      </c>
      <c r="S735" s="23">
        <f ca="1">IFERROR(__xludf.DUMMYFUNCTION("""COMPUTED_VALUE"""),0)</f>
        <v>0</v>
      </c>
      <c r="T735" s="48">
        <f ca="1">IFERROR(__xludf.DUMMYFUNCTION("""COMPUTED_VALUE"""),0)</f>
        <v>0</v>
      </c>
      <c r="U735" s="47">
        <f ca="1">IFERROR(__xludf.DUMMYFUNCTION("""COMPUTED_VALUE"""),0)</f>
        <v>0</v>
      </c>
      <c r="V735" s="47">
        <f ca="1">IFERROR(__xludf.DUMMYFUNCTION("""COMPUTED_VALUE"""),0)</f>
        <v>0</v>
      </c>
      <c r="W735" s="47">
        <f ca="1">IFERROR(__xludf.DUMMYFUNCTION("""COMPUTED_VALUE"""),0)</f>
        <v>0</v>
      </c>
      <c r="X735" s="47">
        <f ca="1">IFERROR(__xludf.DUMMYFUNCTION("""COMPUTED_VALUE"""),0)</f>
        <v>0</v>
      </c>
      <c r="Y735" s="44">
        <f ca="1">IFERROR(__xludf.DUMMYFUNCTION("""COMPUTED_VALUE"""),0)</f>
        <v>0</v>
      </c>
      <c r="Z735" s="44">
        <f ca="1">IFERROR(__xludf.DUMMYFUNCTION("""COMPUTED_VALUE"""),0)</f>
        <v>0</v>
      </c>
      <c r="AA735" s="44">
        <f ca="1">IFERROR(__xludf.DUMMYFUNCTION("""COMPUTED_VALUE"""),0)</f>
        <v>0</v>
      </c>
      <c r="AB735" s="44">
        <f ca="1">IFERROR(__xludf.DUMMYFUNCTION("""COMPUTED_VALUE"""),0)</f>
        <v>0</v>
      </c>
      <c r="AC735" s="47">
        <f ca="1">IFERROR(__xludf.DUMMYFUNCTION("""COMPUTED_VALUE"""),0)</f>
        <v>0</v>
      </c>
      <c r="AD735" s="49"/>
      <c r="AE735" s="27"/>
    </row>
    <row r="736" spans="1:31" ht="14.3">
      <c r="A736" s="42" t="str">
        <f ca="1">IFERROR(__xludf.DUMMYFUNCTION("""COMPUTED_VALUE"""),"23SDSEE03901")</f>
        <v>23SDSEE03901</v>
      </c>
      <c r="B736" s="43" t="str">
        <f ca="1">IFERROR(__xludf.DUMMYFUNCTION("""COMPUTED_VALUE"""),"MAKWANA HIMANSHI ANILBHAI")</f>
        <v>MAKWANA HIMANSHI ANILBHAI</v>
      </c>
      <c r="C736" s="42" t="str">
        <f ca="1">IFERROR(__xludf.DUMMYFUNCTION("""COMPUTED_VALUE"""),"SDS")</f>
        <v>SDS</v>
      </c>
      <c r="D736" s="42" t="str">
        <f ca="1">IFERROR(__xludf.DUMMYFUNCTION("""COMPUTED_VALUE"""),"DEE")</f>
        <v>DEE</v>
      </c>
      <c r="E736" s="44">
        <f ca="1">IFERROR(__xludf.DUMMYFUNCTION("""COMPUTED_VALUE"""),4)</f>
        <v>4</v>
      </c>
      <c r="F736" s="42" t="str">
        <f ca="1">IFERROR(__xludf.DUMMYFUNCTION("""COMPUTED_VALUE"""),"9328214491
7574968702")</f>
        <v>9328214491
7574968702</v>
      </c>
      <c r="G736" s="42" t="str">
        <f ca="1">IFERROR(__xludf.DUMMYFUNCTION("""COMPUTED_VALUE"""),"9328214491
7574968702")</f>
        <v>9328214491
7574968702</v>
      </c>
      <c r="H736" s="2" t="str">
        <f ca="1">IFERROR(__xludf.DUMMYFUNCTION("""COMPUTED_VALUE"""),"DEE_2022-25")</f>
        <v>DEE_2022-25</v>
      </c>
      <c r="I736" s="45"/>
      <c r="J736" s="46">
        <f ca="1">IFERROR(__xludf.DUMMYFUNCTION("""COMPUTED_VALUE"""),25000)</f>
        <v>25000</v>
      </c>
      <c r="K736" s="46">
        <f ca="1">IFERROR(__xludf.DUMMYFUNCTION("""COMPUTED_VALUE"""),0)</f>
        <v>0</v>
      </c>
      <c r="L736" s="46">
        <f ca="1">IFERROR(__xludf.DUMMYFUNCTION("""COMPUTED_VALUE"""),0)</f>
        <v>0</v>
      </c>
      <c r="M736" s="47">
        <f ca="1">IFERROR(__xludf.DUMMYFUNCTION("""COMPUTED_VALUE"""),0)</f>
        <v>0</v>
      </c>
      <c r="N736" s="46">
        <f ca="1">IFERROR(__xludf.DUMMYFUNCTION("""COMPUTED_VALUE"""),25000)</f>
        <v>25000</v>
      </c>
      <c r="O736" s="46">
        <f ca="1">IFERROR(__xludf.DUMMYFUNCTION("""COMPUTED_VALUE"""),3000)</f>
        <v>3000</v>
      </c>
      <c r="P736" s="46">
        <f ca="1">IFERROR(__xludf.DUMMYFUNCTION("""COMPUTED_VALUE"""),0)</f>
        <v>0</v>
      </c>
      <c r="Q736" s="47">
        <f ca="1">IFERROR(__xludf.DUMMYFUNCTION("""COMPUTED_VALUE"""),0)</f>
        <v>0</v>
      </c>
      <c r="R736" s="24">
        <f ca="1">IFERROR(__xludf.DUMMYFUNCTION("""COMPUTED_VALUE"""),0)</f>
        <v>0</v>
      </c>
      <c r="S736" s="23">
        <f ca="1">IFERROR(__xludf.DUMMYFUNCTION("""COMPUTED_VALUE"""),3000)</f>
        <v>3000</v>
      </c>
      <c r="T736" s="48">
        <f ca="1">IFERROR(__xludf.DUMMYFUNCTION("""COMPUTED_VALUE"""),0)</f>
        <v>0</v>
      </c>
      <c r="U736" s="47">
        <f ca="1">IFERROR(__xludf.DUMMYFUNCTION("""COMPUTED_VALUE"""),0)</f>
        <v>0</v>
      </c>
      <c r="V736" s="47">
        <f ca="1">IFERROR(__xludf.DUMMYFUNCTION("""COMPUTED_VALUE"""),0)</f>
        <v>0</v>
      </c>
      <c r="W736" s="47">
        <f ca="1">IFERROR(__xludf.DUMMYFUNCTION("""COMPUTED_VALUE"""),0)</f>
        <v>0</v>
      </c>
      <c r="X736" s="47">
        <f ca="1">IFERROR(__xludf.DUMMYFUNCTION("""COMPUTED_VALUE"""),0)</f>
        <v>0</v>
      </c>
      <c r="Y736" s="44">
        <f ca="1">IFERROR(__xludf.DUMMYFUNCTION("""COMPUTED_VALUE"""),0)</f>
        <v>0</v>
      </c>
      <c r="Z736" s="44">
        <f ca="1">IFERROR(__xludf.DUMMYFUNCTION("""COMPUTED_VALUE"""),0)</f>
        <v>0</v>
      </c>
      <c r="AA736" s="44">
        <f ca="1">IFERROR(__xludf.DUMMYFUNCTION("""COMPUTED_VALUE"""),0)</f>
        <v>0</v>
      </c>
      <c r="AB736" s="44">
        <f ca="1">IFERROR(__xludf.DUMMYFUNCTION("""COMPUTED_VALUE"""),0)</f>
        <v>0</v>
      </c>
      <c r="AC736" s="47">
        <f ca="1">IFERROR(__xludf.DUMMYFUNCTION("""COMPUTED_VALUE"""),0)</f>
        <v>0</v>
      </c>
      <c r="AD736" s="49"/>
      <c r="AE736" s="27"/>
    </row>
    <row r="737" spans="1:31" ht="14.3">
      <c r="A737" s="42" t="str">
        <f ca="1">IFERROR(__xludf.DUMMYFUNCTION("""COMPUTED_VALUE"""),"21SDSEE01002")</f>
        <v>21SDSEE01002</v>
      </c>
      <c r="B737" s="43" t="str">
        <f ca="1">IFERROR(__xludf.DUMMYFUNCTION("""COMPUTED_VALUE"""),"BANDHIYA VIVEK BALUBHAI")</f>
        <v>BANDHIYA VIVEK BALUBHAI</v>
      </c>
      <c r="C737" s="42" t="str">
        <f ca="1">IFERROR(__xludf.DUMMYFUNCTION("""COMPUTED_VALUE"""),"SDS")</f>
        <v>SDS</v>
      </c>
      <c r="D737" s="42" t="str">
        <f ca="1">IFERROR(__xludf.DUMMYFUNCTION("""COMPUTED_VALUE"""),"DEE")</f>
        <v>DEE</v>
      </c>
      <c r="E737" s="44">
        <f ca="1">IFERROR(__xludf.DUMMYFUNCTION("""COMPUTED_VALUE"""),6)</f>
        <v>6</v>
      </c>
      <c r="F737" s="42" t="str">
        <f ca="1">IFERROR(__xludf.DUMMYFUNCTION("""COMPUTED_VALUE"""),"8530554858 9974820063")</f>
        <v>8530554858 9974820063</v>
      </c>
      <c r="G737" s="42" t="str">
        <f ca="1">IFERROR(__xludf.DUMMYFUNCTION("""COMPUTED_VALUE"""),"8530554858 9974820063")</f>
        <v>8530554858 9974820063</v>
      </c>
      <c r="H737" s="2" t="str">
        <f ca="1">IFERROR(__xludf.DUMMYFUNCTION("""COMPUTED_VALUE"""),"DEE_2021-24")</f>
        <v>DEE_2021-24</v>
      </c>
      <c r="I737" s="45" t="str">
        <f ca="1">IFERROR(__xludf.DUMMYFUNCTION("""COMPUTED_VALUE"""),"KSP")</f>
        <v>KSP</v>
      </c>
      <c r="J737" s="46">
        <f ca="1">IFERROR(__xludf.DUMMYFUNCTION("""COMPUTED_VALUE"""),25000)</f>
        <v>25000</v>
      </c>
      <c r="K737" s="46">
        <f ca="1">IFERROR(__xludf.DUMMYFUNCTION("""COMPUTED_VALUE"""),18750)</f>
        <v>18750</v>
      </c>
      <c r="L737" s="46">
        <f ca="1">IFERROR(__xludf.DUMMYFUNCTION("""COMPUTED_VALUE"""),0)</f>
        <v>0</v>
      </c>
      <c r="M737" s="47">
        <f ca="1">IFERROR(__xludf.DUMMYFUNCTION("""COMPUTED_VALUE"""),6250)</f>
        <v>6250</v>
      </c>
      <c r="N737" s="46">
        <f ca="1">IFERROR(__xludf.DUMMYFUNCTION("""COMPUTED_VALUE"""),0)</f>
        <v>0</v>
      </c>
      <c r="O737" s="46">
        <f ca="1">IFERROR(__xludf.DUMMYFUNCTION("""COMPUTED_VALUE"""),3750)</f>
        <v>3750</v>
      </c>
      <c r="P737" s="46">
        <f ca="1">IFERROR(__xludf.DUMMYFUNCTION("""COMPUTED_VALUE"""),3750)</f>
        <v>3750</v>
      </c>
      <c r="Q737" s="47">
        <f ca="1">IFERROR(__xludf.DUMMYFUNCTION("""COMPUTED_VALUE"""),0)</f>
        <v>0</v>
      </c>
      <c r="R737" s="24">
        <f ca="1">IFERROR(__xludf.DUMMYFUNCTION("""COMPUTED_VALUE"""),0)</f>
        <v>0</v>
      </c>
      <c r="S737" s="23">
        <f ca="1">IFERROR(__xludf.DUMMYFUNCTION("""COMPUTED_VALUE"""),0)</f>
        <v>0</v>
      </c>
      <c r="T737" s="48">
        <f ca="1">IFERROR(__xludf.DUMMYFUNCTION("""COMPUTED_VALUE"""),0)</f>
        <v>0</v>
      </c>
      <c r="U737" s="47">
        <f ca="1">IFERROR(__xludf.DUMMYFUNCTION("""COMPUTED_VALUE"""),0)</f>
        <v>0</v>
      </c>
      <c r="V737" s="47">
        <f ca="1">IFERROR(__xludf.DUMMYFUNCTION("""COMPUTED_VALUE"""),0)</f>
        <v>0</v>
      </c>
      <c r="W737" s="47">
        <f ca="1">IFERROR(__xludf.DUMMYFUNCTION("""COMPUTED_VALUE"""),0)</f>
        <v>0</v>
      </c>
      <c r="X737" s="47">
        <f ca="1">IFERROR(__xludf.DUMMYFUNCTION("""COMPUTED_VALUE"""),0)</f>
        <v>0</v>
      </c>
      <c r="Y737" s="44">
        <f ca="1">IFERROR(__xludf.DUMMYFUNCTION("""COMPUTED_VALUE"""),0)</f>
        <v>0</v>
      </c>
      <c r="Z737" s="44">
        <f ca="1">IFERROR(__xludf.DUMMYFUNCTION("""COMPUTED_VALUE"""),0)</f>
        <v>0</v>
      </c>
      <c r="AA737" s="44">
        <f ca="1">IFERROR(__xludf.DUMMYFUNCTION("""COMPUTED_VALUE"""),0)</f>
        <v>0</v>
      </c>
      <c r="AB737" s="44">
        <f ca="1">IFERROR(__xludf.DUMMYFUNCTION("""COMPUTED_VALUE"""),0)</f>
        <v>0</v>
      </c>
      <c r="AC737" s="47">
        <f ca="1">IFERROR(__xludf.DUMMYFUNCTION("""COMPUTED_VALUE"""),0)</f>
        <v>0</v>
      </c>
      <c r="AD737" s="49"/>
      <c r="AE737" s="27"/>
    </row>
    <row r="738" spans="1:31" ht="28.55">
      <c r="A738" s="42" t="str">
        <f ca="1">IFERROR(__xludf.DUMMYFUNCTION("""COMPUTED_VALUE"""),"21SDSEE01003")</f>
        <v>21SDSEE01003</v>
      </c>
      <c r="B738" s="43" t="str">
        <f ca="1">IFERROR(__xludf.DUMMYFUNCTION("""COMPUTED_VALUE"""),"DAFDA ANURAG JITESHBHAI")</f>
        <v>DAFDA ANURAG JITESHBHAI</v>
      </c>
      <c r="C738" s="42" t="str">
        <f ca="1">IFERROR(__xludf.DUMMYFUNCTION("""COMPUTED_VALUE"""),"SDS")</f>
        <v>SDS</v>
      </c>
      <c r="D738" s="42" t="str">
        <f ca="1">IFERROR(__xludf.DUMMYFUNCTION("""COMPUTED_VALUE"""),"DEE")</f>
        <v>DEE</v>
      </c>
      <c r="E738" s="44">
        <f ca="1">IFERROR(__xludf.DUMMYFUNCTION("""COMPUTED_VALUE"""),6)</f>
        <v>6</v>
      </c>
      <c r="F738" s="42" t="str">
        <f ca="1">IFERROR(__xludf.DUMMYFUNCTION("""COMPUTED_VALUE"""),"9824570056
9824570056")</f>
        <v>9824570056
9824570056</v>
      </c>
      <c r="G738" s="42" t="str">
        <f ca="1">IFERROR(__xludf.DUMMYFUNCTION("""COMPUTED_VALUE"""),"9824570056
9824570056")</f>
        <v>9824570056
9824570056</v>
      </c>
      <c r="H738" s="2" t="str">
        <f ca="1">IFERROR(__xludf.DUMMYFUNCTION("""COMPUTED_VALUE"""),"DEE_2021-24")</f>
        <v>DEE_2021-24</v>
      </c>
      <c r="I738" s="45" t="str">
        <f ca="1">IFERROR(__xludf.DUMMYFUNCTION("""COMPUTED_VALUE"""),"FREESHIP CARD")</f>
        <v>FREESHIP CARD</v>
      </c>
      <c r="J738" s="46">
        <f ca="1">IFERROR(__xludf.DUMMYFUNCTION("""COMPUTED_VALUE"""),25000)</f>
        <v>25000</v>
      </c>
      <c r="K738" s="46">
        <f ca="1">IFERROR(__xludf.DUMMYFUNCTION("""COMPUTED_VALUE"""),0)</f>
        <v>0</v>
      </c>
      <c r="L738" s="46">
        <f ca="1">IFERROR(__xludf.DUMMYFUNCTION("""COMPUTED_VALUE"""),0)</f>
        <v>0</v>
      </c>
      <c r="M738" s="47">
        <f ca="1">IFERROR(__xludf.DUMMYFUNCTION("""COMPUTED_VALUE"""),0)</f>
        <v>0</v>
      </c>
      <c r="N738" s="46">
        <f ca="1">IFERROR(__xludf.DUMMYFUNCTION("""COMPUTED_VALUE"""),25000)</f>
        <v>25000</v>
      </c>
      <c r="O738" s="46">
        <f ca="1">IFERROR(__xludf.DUMMYFUNCTION("""COMPUTED_VALUE"""),3750)</f>
        <v>3750</v>
      </c>
      <c r="P738" s="46">
        <f ca="1">IFERROR(__xludf.DUMMYFUNCTION("""COMPUTED_VALUE"""),0)</f>
        <v>0</v>
      </c>
      <c r="Q738" s="47">
        <f ca="1">IFERROR(__xludf.DUMMYFUNCTION("""COMPUTED_VALUE"""),0)</f>
        <v>0</v>
      </c>
      <c r="R738" s="24">
        <f ca="1">IFERROR(__xludf.DUMMYFUNCTION("""COMPUTED_VALUE"""),0)</f>
        <v>0</v>
      </c>
      <c r="S738" s="23">
        <f ca="1">IFERROR(__xludf.DUMMYFUNCTION("""COMPUTED_VALUE"""),3750)</f>
        <v>3750</v>
      </c>
      <c r="T738" s="48">
        <f ca="1">IFERROR(__xludf.DUMMYFUNCTION("""COMPUTED_VALUE"""),0)</f>
        <v>0</v>
      </c>
      <c r="U738" s="47">
        <f ca="1">IFERROR(__xludf.DUMMYFUNCTION("""COMPUTED_VALUE"""),0)</f>
        <v>0</v>
      </c>
      <c r="V738" s="47">
        <f ca="1">IFERROR(__xludf.DUMMYFUNCTION("""COMPUTED_VALUE"""),0)</f>
        <v>0</v>
      </c>
      <c r="W738" s="47">
        <f ca="1">IFERROR(__xludf.DUMMYFUNCTION("""COMPUTED_VALUE"""),0)</f>
        <v>0</v>
      </c>
      <c r="X738" s="47">
        <f ca="1">IFERROR(__xludf.DUMMYFUNCTION("""COMPUTED_VALUE"""),0)</f>
        <v>0</v>
      </c>
      <c r="Y738" s="44">
        <f ca="1">IFERROR(__xludf.DUMMYFUNCTION("""COMPUTED_VALUE"""),0)</f>
        <v>0</v>
      </c>
      <c r="Z738" s="44">
        <f ca="1">IFERROR(__xludf.DUMMYFUNCTION("""COMPUTED_VALUE"""),0)</f>
        <v>0</v>
      </c>
      <c r="AA738" s="44">
        <f ca="1">IFERROR(__xludf.DUMMYFUNCTION("""COMPUTED_VALUE"""),0)</f>
        <v>0</v>
      </c>
      <c r="AB738" s="44">
        <f ca="1">IFERROR(__xludf.DUMMYFUNCTION("""COMPUTED_VALUE"""),0)</f>
        <v>0</v>
      </c>
      <c r="AC738" s="47">
        <f ca="1">IFERROR(__xludf.DUMMYFUNCTION("""COMPUTED_VALUE"""),0)</f>
        <v>0</v>
      </c>
      <c r="AD738" s="49" t="str">
        <f ca="1">IFERROR(__xludf.DUMMYFUNCTION("""COMPUTED_VALUE"""),"FREESHIP CARD")</f>
        <v>FREESHIP CARD</v>
      </c>
      <c r="AE738" s="27"/>
    </row>
    <row r="739" spans="1:31" ht="14.3">
      <c r="A739" s="42" t="str">
        <f ca="1">IFERROR(__xludf.DUMMYFUNCTION("""COMPUTED_VALUE"""),"21SDSEE01006")</f>
        <v>21SDSEE01006</v>
      </c>
      <c r="B739" s="43" t="str">
        <f ca="1">IFERROR(__xludf.DUMMYFUNCTION("""COMPUTED_VALUE"""),"JOSHI SIDDHARTH RAJNIKANT")</f>
        <v>JOSHI SIDDHARTH RAJNIKANT</v>
      </c>
      <c r="C739" s="42" t="str">
        <f ca="1">IFERROR(__xludf.DUMMYFUNCTION("""COMPUTED_VALUE"""),"SDS")</f>
        <v>SDS</v>
      </c>
      <c r="D739" s="42" t="str">
        <f ca="1">IFERROR(__xludf.DUMMYFUNCTION("""COMPUTED_VALUE"""),"DEE")</f>
        <v>DEE</v>
      </c>
      <c r="E739" s="44">
        <f ca="1">IFERROR(__xludf.DUMMYFUNCTION("""COMPUTED_VALUE"""),6)</f>
        <v>6</v>
      </c>
      <c r="F739" s="42" t="str">
        <f ca="1">IFERROR(__xludf.DUMMYFUNCTION("""COMPUTED_VALUE"""),"9428319547 9428319547")</f>
        <v>9428319547 9428319547</v>
      </c>
      <c r="G739" s="42" t="str">
        <f ca="1">IFERROR(__xludf.DUMMYFUNCTION("""COMPUTED_VALUE"""),"9428319547 9428319547")</f>
        <v>9428319547 9428319547</v>
      </c>
      <c r="H739" s="2" t="str">
        <f ca="1">IFERROR(__xludf.DUMMYFUNCTION("""COMPUTED_VALUE"""),"DEE_2021-24")</f>
        <v>DEE_2021-24</v>
      </c>
      <c r="I739" s="45"/>
      <c r="J739" s="46">
        <f ca="1">IFERROR(__xludf.DUMMYFUNCTION("""COMPUTED_VALUE"""),25000)</f>
        <v>25000</v>
      </c>
      <c r="K739" s="46">
        <f ca="1">IFERROR(__xludf.DUMMYFUNCTION("""COMPUTED_VALUE"""),25000)</f>
        <v>25000</v>
      </c>
      <c r="L739" s="46">
        <f ca="1">IFERROR(__xludf.DUMMYFUNCTION("""COMPUTED_VALUE"""),0)</f>
        <v>0</v>
      </c>
      <c r="M739" s="47">
        <f ca="1">IFERROR(__xludf.DUMMYFUNCTION("""COMPUTED_VALUE"""),0)</f>
        <v>0</v>
      </c>
      <c r="N739" s="46">
        <f ca="1">IFERROR(__xludf.DUMMYFUNCTION("""COMPUTED_VALUE"""),0)</f>
        <v>0</v>
      </c>
      <c r="O739" s="46">
        <f ca="1">IFERROR(__xludf.DUMMYFUNCTION("""COMPUTED_VALUE"""),3750)</f>
        <v>3750</v>
      </c>
      <c r="P739" s="46">
        <f ca="1">IFERROR(__xludf.DUMMYFUNCTION("""COMPUTED_VALUE"""),3750)</f>
        <v>3750</v>
      </c>
      <c r="Q739" s="47">
        <f ca="1">IFERROR(__xludf.DUMMYFUNCTION("""COMPUTED_VALUE"""),0)</f>
        <v>0</v>
      </c>
      <c r="R739" s="24">
        <f ca="1">IFERROR(__xludf.DUMMYFUNCTION("""COMPUTED_VALUE"""),0)</f>
        <v>0</v>
      </c>
      <c r="S739" s="23">
        <f ca="1">IFERROR(__xludf.DUMMYFUNCTION("""COMPUTED_VALUE"""),0)</f>
        <v>0</v>
      </c>
      <c r="T739" s="48">
        <f ca="1">IFERROR(__xludf.DUMMYFUNCTION("""COMPUTED_VALUE"""),0)</f>
        <v>0</v>
      </c>
      <c r="U739" s="47">
        <f ca="1">IFERROR(__xludf.DUMMYFUNCTION("""COMPUTED_VALUE"""),0)</f>
        <v>0</v>
      </c>
      <c r="V739" s="47">
        <f ca="1">IFERROR(__xludf.DUMMYFUNCTION("""COMPUTED_VALUE"""),0)</f>
        <v>0</v>
      </c>
      <c r="W739" s="47">
        <f ca="1">IFERROR(__xludf.DUMMYFUNCTION("""COMPUTED_VALUE"""),0)</f>
        <v>0</v>
      </c>
      <c r="X739" s="47">
        <f ca="1">IFERROR(__xludf.DUMMYFUNCTION("""COMPUTED_VALUE"""),0)</f>
        <v>0</v>
      </c>
      <c r="Y739" s="44">
        <f ca="1">IFERROR(__xludf.DUMMYFUNCTION("""COMPUTED_VALUE"""),0)</f>
        <v>0</v>
      </c>
      <c r="Z739" s="44">
        <f ca="1">IFERROR(__xludf.DUMMYFUNCTION("""COMPUTED_VALUE"""),0)</f>
        <v>0</v>
      </c>
      <c r="AA739" s="44">
        <f ca="1">IFERROR(__xludf.DUMMYFUNCTION("""COMPUTED_VALUE"""),0)</f>
        <v>0</v>
      </c>
      <c r="AB739" s="44">
        <f ca="1">IFERROR(__xludf.DUMMYFUNCTION("""COMPUTED_VALUE"""),0)</f>
        <v>0</v>
      </c>
      <c r="AC739" s="47">
        <f ca="1">IFERROR(__xludf.DUMMYFUNCTION("""COMPUTED_VALUE"""),0)</f>
        <v>0</v>
      </c>
      <c r="AD739" s="49"/>
      <c r="AE739" s="27"/>
    </row>
    <row r="740" spans="1:31" ht="14.3">
      <c r="A740" s="42" t="str">
        <f ca="1">IFERROR(__xludf.DUMMYFUNCTION("""COMPUTED_VALUE"""),"21SDSEE01007")</f>
        <v>21SDSEE01007</v>
      </c>
      <c r="B740" s="43" t="str">
        <f ca="1">IFERROR(__xludf.DUMMYFUNCTION("""COMPUTED_VALUE"""),"TRAPASIYA DEEP SANJAYBHAI")</f>
        <v>TRAPASIYA DEEP SANJAYBHAI</v>
      </c>
      <c r="C740" s="42" t="str">
        <f ca="1">IFERROR(__xludf.DUMMYFUNCTION("""COMPUTED_VALUE"""),"SDS")</f>
        <v>SDS</v>
      </c>
      <c r="D740" s="42" t="str">
        <f ca="1">IFERROR(__xludf.DUMMYFUNCTION("""COMPUTED_VALUE"""),"DEE")</f>
        <v>DEE</v>
      </c>
      <c r="E740" s="44">
        <f ca="1">IFERROR(__xludf.DUMMYFUNCTION("""COMPUTED_VALUE"""),6)</f>
        <v>6</v>
      </c>
      <c r="F740" s="42" t="str">
        <f ca="1">IFERROR(__xludf.DUMMYFUNCTION("""COMPUTED_VALUE"""),"9727792244 
9824842788")</f>
        <v>9727792244 
9824842788</v>
      </c>
      <c r="G740" s="42" t="str">
        <f ca="1">IFERROR(__xludf.DUMMYFUNCTION("""COMPUTED_VALUE"""),"9727792244 
9824842788")</f>
        <v>9727792244 
9824842788</v>
      </c>
      <c r="H740" s="2" t="str">
        <f ca="1">IFERROR(__xludf.DUMMYFUNCTION("""COMPUTED_VALUE"""),"DEE_2021-24")</f>
        <v>DEE_2021-24</v>
      </c>
      <c r="I740" s="45" t="str">
        <f ca="1">IFERROR(__xludf.DUMMYFUNCTION("""COMPUTED_VALUE"""),"MYSY")</f>
        <v>MYSY</v>
      </c>
      <c r="J740" s="46">
        <f ca="1">IFERROR(__xludf.DUMMYFUNCTION("""COMPUTED_VALUE"""),25000)</f>
        <v>25000</v>
      </c>
      <c r="K740" s="46">
        <f ca="1">IFERROR(__xludf.DUMMYFUNCTION("""COMPUTED_VALUE"""),0)</f>
        <v>0</v>
      </c>
      <c r="L740" s="46">
        <f ca="1">IFERROR(__xludf.DUMMYFUNCTION("""COMPUTED_VALUE"""),0)</f>
        <v>0</v>
      </c>
      <c r="M740" s="47">
        <f ca="1">IFERROR(__xludf.DUMMYFUNCTION("""COMPUTED_VALUE"""),0)</f>
        <v>0</v>
      </c>
      <c r="N740" s="46">
        <f ca="1">IFERROR(__xludf.DUMMYFUNCTION("""COMPUTED_VALUE"""),25000)</f>
        <v>25000</v>
      </c>
      <c r="O740" s="46">
        <f ca="1">IFERROR(__xludf.DUMMYFUNCTION("""COMPUTED_VALUE"""),3750)</f>
        <v>3750</v>
      </c>
      <c r="P740" s="46">
        <f ca="1">IFERROR(__xludf.DUMMYFUNCTION("""COMPUTED_VALUE"""),3750)</f>
        <v>3750</v>
      </c>
      <c r="Q740" s="47">
        <f ca="1">IFERROR(__xludf.DUMMYFUNCTION("""COMPUTED_VALUE"""),0)</f>
        <v>0</v>
      </c>
      <c r="R740" s="24">
        <f ca="1">IFERROR(__xludf.DUMMYFUNCTION("""COMPUTED_VALUE"""),0)</f>
        <v>0</v>
      </c>
      <c r="S740" s="23">
        <f ca="1">IFERROR(__xludf.DUMMYFUNCTION("""COMPUTED_VALUE"""),0)</f>
        <v>0</v>
      </c>
      <c r="T740" s="48">
        <f ca="1">IFERROR(__xludf.DUMMYFUNCTION("""COMPUTED_VALUE"""),0)</f>
        <v>0</v>
      </c>
      <c r="U740" s="47">
        <f ca="1">IFERROR(__xludf.DUMMYFUNCTION("""COMPUTED_VALUE"""),0)</f>
        <v>0</v>
      </c>
      <c r="V740" s="47">
        <f ca="1">IFERROR(__xludf.DUMMYFUNCTION("""COMPUTED_VALUE"""),0)</f>
        <v>0</v>
      </c>
      <c r="W740" s="47">
        <f ca="1">IFERROR(__xludf.DUMMYFUNCTION("""COMPUTED_VALUE"""),0)</f>
        <v>0</v>
      </c>
      <c r="X740" s="47">
        <f ca="1">IFERROR(__xludf.DUMMYFUNCTION("""COMPUTED_VALUE"""),0)</f>
        <v>0</v>
      </c>
      <c r="Y740" s="44">
        <f ca="1">IFERROR(__xludf.DUMMYFUNCTION("""COMPUTED_VALUE"""),0)</f>
        <v>0</v>
      </c>
      <c r="Z740" s="44">
        <f ca="1">IFERROR(__xludf.DUMMYFUNCTION("""COMPUTED_VALUE"""),0)</f>
        <v>0</v>
      </c>
      <c r="AA740" s="44">
        <f ca="1">IFERROR(__xludf.DUMMYFUNCTION("""COMPUTED_VALUE"""),0)</f>
        <v>0</v>
      </c>
      <c r="AB740" s="44">
        <f ca="1">IFERROR(__xludf.DUMMYFUNCTION("""COMPUTED_VALUE"""),0)</f>
        <v>0</v>
      </c>
      <c r="AC740" s="47">
        <f ca="1">IFERROR(__xludf.DUMMYFUNCTION("""COMPUTED_VALUE"""),0)</f>
        <v>0</v>
      </c>
      <c r="AD740" s="49" t="str">
        <f ca="1">IFERROR(__xludf.DUMMYFUNCTION("""COMPUTED_VALUE"""),"KSPS(50%)+MYSY(50%)")</f>
        <v>KSPS(50%)+MYSY(50%)</v>
      </c>
      <c r="AE740" s="27"/>
    </row>
    <row r="741" spans="1:31" ht="14.3">
      <c r="A741" s="42" t="str">
        <f ca="1">IFERROR(__xludf.DUMMYFUNCTION("""COMPUTED_VALUE"""),"21SDSEE01601")</f>
        <v>21SDSEE01601</v>
      </c>
      <c r="B741" s="43" t="str">
        <f ca="1">IFERROR(__xludf.DUMMYFUNCTION("""COMPUTED_VALUE"""),"NCUBE ROBIN N")</f>
        <v>NCUBE ROBIN N</v>
      </c>
      <c r="C741" s="42" t="str">
        <f ca="1">IFERROR(__xludf.DUMMYFUNCTION("""COMPUTED_VALUE"""),"SDS")</f>
        <v>SDS</v>
      </c>
      <c r="D741" s="42" t="str">
        <f ca="1">IFERROR(__xludf.DUMMYFUNCTION("""COMPUTED_VALUE"""),"DEE")</f>
        <v>DEE</v>
      </c>
      <c r="E741" s="44">
        <f ca="1">IFERROR(__xludf.DUMMYFUNCTION("""COMPUTED_VALUE"""),6)</f>
        <v>6</v>
      </c>
      <c r="F741" s="42" t="str">
        <f ca="1">IFERROR(__xludf.DUMMYFUNCTION("""COMPUTED_VALUE"""),"INTERNATIONAL")</f>
        <v>INTERNATIONAL</v>
      </c>
      <c r="G741" s="42" t="str">
        <f ca="1">IFERROR(__xludf.DUMMYFUNCTION("""COMPUTED_VALUE"""),"USD FEE STUDENT")</f>
        <v>USD FEE STUDENT</v>
      </c>
      <c r="H741" s="2" t="str">
        <f ca="1">IFERROR(__xludf.DUMMYFUNCTION("""COMPUTED_VALUE"""),"DEE_2021-24")</f>
        <v>DEE_2021-24</v>
      </c>
      <c r="I741" s="45"/>
      <c r="J741" s="46">
        <f ca="1">IFERROR(__xludf.DUMMYFUNCTION("""COMPUTED_VALUE"""),60000)</f>
        <v>60000</v>
      </c>
      <c r="K741" s="46">
        <f ca="1">IFERROR(__xludf.DUMMYFUNCTION("""COMPUTED_VALUE"""),0)</f>
        <v>0</v>
      </c>
      <c r="L741" s="46">
        <f ca="1">IFERROR(__xludf.DUMMYFUNCTION("""COMPUTED_VALUE"""),0)</f>
        <v>0</v>
      </c>
      <c r="M741" s="47">
        <f ca="1">IFERROR(__xludf.DUMMYFUNCTION("""COMPUTED_VALUE"""),0)</f>
        <v>0</v>
      </c>
      <c r="N741" s="46">
        <f ca="1">IFERROR(__xludf.DUMMYFUNCTION("""COMPUTED_VALUE"""),60000)</f>
        <v>60000</v>
      </c>
      <c r="O741" s="46">
        <f ca="1">IFERROR(__xludf.DUMMYFUNCTION("""COMPUTED_VALUE"""),1250)</f>
        <v>1250</v>
      </c>
      <c r="P741" s="46">
        <f ca="1">IFERROR(__xludf.DUMMYFUNCTION("""COMPUTED_VALUE"""),0)</f>
        <v>0</v>
      </c>
      <c r="Q741" s="47">
        <f ca="1">IFERROR(__xludf.DUMMYFUNCTION("""COMPUTED_VALUE"""),0)</f>
        <v>0</v>
      </c>
      <c r="R741" s="24">
        <f ca="1">IFERROR(__xludf.DUMMYFUNCTION("""COMPUTED_VALUE"""),0)</f>
        <v>0</v>
      </c>
      <c r="S741" s="23">
        <f ca="1">IFERROR(__xludf.DUMMYFUNCTION("""COMPUTED_VALUE"""),1250)</f>
        <v>1250</v>
      </c>
      <c r="T741" s="48">
        <f ca="1">IFERROR(__xludf.DUMMYFUNCTION("""COMPUTED_VALUE"""),0)</f>
        <v>0</v>
      </c>
      <c r="U741" s="47">
        <f ca="1">IFERROR(__xludf.DUMMYFUNCTION("""COMPUTED_VALUE"""),0)</f>
        <v>0</v>
      </c>
      <c r="V741" s="47">
        <f ca="1">IFERROR(__xludf.DUMMYFUNCTION("""COMPUTED_VALUE"""),0)</f>
        <v>0</v>
      </c>
      <c r="W741" s="47">
        <f ca="1">IFERROR(__xludf.DUMMYFUNCTION("""COMPUTED_VALUE"""),0)</f>
        <v>0</v>
      </c>
      <c r="X741" s="47">
        <f ca="1">IFERROR(__xludf.DUMMYFUNCTION("""COMPUTED_VALUE"""),0)</f>
        <v>0</v>
      </c>
      <c r="Y741" s="44">
        <f ca="1">IFERROR(__xludf.DUMMYFUNCTION("""COMPUTED_VALUE"""),0)</f>
        <v>0</v>
      </c>
      <c r="Z741" s="44">
        <f ca="1">IFERROR(__xludf.DUMMYFUNCTION("""COMPUTED_VALUE"""),0)</f>
        <v>0</v>
      </c>
      <c r="AA741" s="44">
        <f ca="1">IFERROR(__xludf.DUMMYFUNCTION("""COMPUTED_VALUE"""),0)</f>
        <v>0</v>
      </c>
      <c r="AB741" s="44">
        <f ca="1">IFERROR(__xludf.DUMMYFUNCTION("""COMPUTED_VALUE"""),0)</f>
        <v>0</v>
      </c>
      <c r="AC741" s="47">
        <f ca="1">IFERROR(__xludf.DUMMYFUNCTION("""COMPUTED_VALUE"""),0)</f>
        <v>0</v>
      </c>
      <c r="AD741" s="49"/>
      <c r="AE741" s="27"/>
    </row>
    <row r="742" spans="1:31" ht="14.3">
      <c r="A742" s="42" t="str">
        <f ca="1">IFERROR(__xludf.DUMMYFUNCTION("""COMPUTED_VALUE"""),"22SDSEE03001")</f>
        <v>22SDSEE03001</v>
      </c>
      <c r="B742" s="43" t="str">
        <f ca="1">IFERROR(__xludf.DUMMYFUNCTION("""COMPUTED_VALUE"""),"KUMAR BHASKAR")</f>
        <v>KUMAR BHASKAR</v>
      </c>
      <c r="C742" s="42" t="str">
        <f ca="1">IFERROR(__xludf.DUMMYFUNCTION("""COMPUTED_VALUE"""),"SDS")</f>
        <v>SDS</v>
      </c>
      <c r="D742" s="42" t="str">
        <f ca="1">IFERROR(__xludf.DUMMYFUNCTION("""COMPUTED_VALUE"""),"DEE")</f>
        <v>DEE</v>
      </c>
      <c r="E742" s="44">
        <f ca="1">IFERROR(__xludf.DUMMYFUNCTION("""COMPUTED_VALUE"""),6)</f>
        <v>6</v>
      </c>
      <c r="F742" s="42" t="str">
        <f ca="1">IFERROR(__xludf.DUMMYFUNCTION("""COMPUTED_VALUE"""),"INTERNATIONAL")</f>
        <v>INTERNATIONAL</v>
      </c>
      <c r="G742" s="42" t="str">
        <f ca="1">IFERROR(__xludf.DUMMYFUNCTION("""COMPUTED_VALUE"""),"INR FEE STUDENT")</f>
        <v>INR FEE STUDENT</v>
      </c>
      <c r="H742" s="2" t="str">
        <f ca="1">IFERROR(__xludf.DUMMYFUNCTION("""COMPUTED_VALUE"""),"DEE_2022-23")</f>
        <v>DEE_2022-23</v>
      </c>
      <c r="I742" s="45"/>
      <c r="J742" s="46">
        <f ca="1">IFERROR(__xludf.DUMMYFUNCTION("""COMPUTED_VALUE"""),42500)</f>
        <v>42500</v>
      </c>
      <c r="K742" s="46">
        <f ca="1">IFERROR(__xludf.DUMMYFUNCTION("""COMPUTED_VALUE"""),42500)</f>
        <v>42500</v>
      </c>
      <c r="L742" s="46">
        <f ca="1">IFERROR(__xludf.DUMMYFUNCTION("""COMPUTED_VALUE"""),0)</f>
        <v>0</v>
      </c>
      <c r="M742" s="47">
        <f ca="1">IFERROR(__xludf.DUMMYFUNCTION("""COMPUTED_VALUE"""),0)</f>
        <v>0</v>
      </c>
      <c r="N742" s="46">
        <f ca="1">IFERROR(__xludf.DUMMYFUNCTION("""COMPUTED_VALUE"""),0)</f>
        <v>0</v>
      </c>
      <c r="O742" s="46">
        <f ca="1">IFERROR(__xludf.DUMMYFUNCTION("""COMPUTED_VALUE"""),1250)</f>
        <v>1250</v>
      </c>
      <c r="P742" s="46">
        <f ca="1">IFERROR(__xludf.DUMMYFUNCTION("""COMPUTED_VALUE"""),0)</f>
        <v>0</v>
      </c>
      <c r="Q742" s="47">
        <f ca="1">IFERROR(__xludf.DUMMYFUNCTION("""COMPUTED_VALUE"""),0)</f>
        <v>0</v>
      </c>
      <c r="R742" s="24">
        <f ca="1">IFERROR(__xludf.DUMMYFUNCTION("""COMPUTED_VALUE"""),0)</f>
        <v>0</v>
      </c>
      <c r="S742" s="23">
        <f ca="1">IFERROR(__xludf.DUMMYFUNCTION("""COMPUTED_VALUE"""),1250)</f>
        <v>1250</v>
      </c>
      <c r="T742" s="48">
        <f ca="1">IFERROR(__xludf.DUMMYFUNCTION("""COMPUTED_VALUE"""),0)</f>
        <v>0</v>
      </c>
      <c r="U742" s="47">
        <f ca="1">IFERROR(__xludf.DUMMYFUNCTION("""COMPUTED_VALUE"""),0)</f>
        <v>0</v>
      </c>
      <c r="V742" s="47">
        <f ca="1">IFERROR(__xludf.DUMMYFUNCTION("""COMPUTED_VALUE"""),0)</f>
        <v>0</v>
      </c>
      <c r="W742" s="47">
        <f ca="1">IFERROR(__xludf.DUMMYFUNCTION("""COMPUTED_VALUE"""),0)</f>
        <v>0</v>
      </c>
      <c r="X742" s="47">
        <f ca="1">IFERROR(__xludf.DUMMYFUNCTION("""COMPUTED_VALUE"""),0)</f>
        <v>0</v>
      </c>
      <c r="Y742" s="44">
        <f ca="1">IFERROR(__xludf.DUMMYFUNCTION("""COMPUTED_VALUE"""),0)</f>
        <v>0</v>
      </c>
      <c r="Z742" s="44">
        <f ca="1">IFERROR(__xludf.DUMMYFUNCTION("""COMPUTED_VALUE"""),0)</f>
        <v>0</v>
      </c>
      <c r="AA742" s="44">
        <f ca="1">IFERROR(__xludf.DUMMYFUNCTION("""COMPUTED_VALUE"""),0)</f>
        <v>0</v>
      </c>
      <c r="AB742" s="44">
        <f ca="1">IFERROR(__xludf.DUMMYFUNCTION("""COMPUTED_VALUE"""),0)</f>
        <v>0</v>
      </c>
      <c r="AC742" s="47">
        <f ca="1">IFERROR(__xludf.DUMMYFUNCTION("""COMPUTED_VALUE"""),0)</f>
        <v>0</v>
      </c>
      <c r="AD742" s="49"/>
      <c r="AE742" s="27"/>
    </row>
    <row r="743" spans="1:31" ht="14.3">
      <c r="A743" s="42" t="str">
        <f ca="1">IFERROR(__xludf.DUMMYFUNCTION("""COMPUTED_VALUE"""),"20SDSEE01009")</f>
        <v>20SDSEE01009</v>
      </c>
      <c r="B743" s="43" t="str">
        <f ca="1">IFERROR(__xludf.DUMMYFUNCTION("""COMPUTED_VALUE"""),"DUDHAREJIYA VIJAY DHIRAJBHAI")</f>
        <v>DUDHAREJIYA VIJAY DHIRAJBHAI</v>
      </c>
      <c r="C743" s="42" t="str">
        <f ca="1">IFERROR(__xludf.DUMMYFUNCTION("""COMPUTED_VALUE"""),"SDS")</f>
        <v>SDS</v>
      </c>
      <c r="D743" s="42" t="str">
        <f ca="1">IFERROR(__xludf.DUMMYFUNCTION("""COMPUTED_VALUE"""),"DEE")</f>
        <v>DEE</v>
      </c>
      <c r="E743" s="44">
        <f ca="1">IFERROR(__xludf.DUMMYFUNCTION("""COMPUTED_VALUE"""),6)</f>
        <v>6</v>
      </c>
      <c r="F743" s="42" t="str">
        <f ca="1">IFERROR(__xludf.DUMMYFUNCTION("""COMPUTED_VALUE"""),"9033353331
 9687996127")</f>
        <v>9033353331
 9687996127</v>
      </c>
      <c r="G743" s="42" t="str">
        <f ca="1">IFERROR(__xludf.DUMMYFUNCTION("""COMPUTED_VALUE"""),"9033353331
 9687996127")</f>
        <v>9033353331
 9687996127</v>
      </c>
      <c r="H743" s="2" t="str">
        <f ca="1">IFERROR(__xludf.DUMMYFUNCTION("""COMPUTED_VALUE"""),"DEE_2020-23")</f>
        <v>DEE_2020-23</v>
      </c>
      <c r="I743" s="45"/>
      <c r="J743" s="46">
        <f ca="1">IFERROR(__xludf.DUMMYFUNCTION("""COMPUTED_VALUE"""),0)</f>
        <v>0</v>
      </c>
      <c r="K743" s="46">
        <f ca="1">IFERROR(__xludf.DUMMYFUNCTION("""COMPUTED_VALUE"""),0)</f>
        <v>0</v>
      </c>
      <c r="L743" s="46">
        <f ca="1">IFERROR(__xludf.DUMMYFUNCTION("""COMPUTED_VALUE"""),0)</f>
        <v>0</v>
      </c>
      <c r="M743" s="47">
        <f ca="1">IFERROR(__xludf.DUMMYFUNCTION("""COMPUTED_VALUE"""),0)</f>
        <v>0</v>
      </c>
      <c r="N743" s="46">
        <f ca="1">IFERROR(__xludf.DUMMYFUNCTION("""COMPUTED_VALUE"""),0)</f>
        <v>0</v>
      </c>
      <c r="O743" s="46">
        <f ca="1">IFERROR(__xludf.DUMMYFUNCTION("""COMPUTED_VALUE"""),0)</f>
        <v>0</v>
      </c>
      <c r="P743" s="46">
        <f ca="1">IFERROR(__xludf.DUMMYFUNCTION("""COMPUTED_VALUE"""),0)</f>
        <v>0</v>
      </c>
      <c r="Q743" s="47">
        <f ca="1">IFERROR(__xludf.DUMMYFUNCTION("""COMPUTED_VALUE"""),0)</f>
        <v>0</v>
      </c>
      <c r="R743" s="24">
        <f ca="1">IFERROR(__xludf.DUMMYFUNCTION("""COMPUTED_VALUE"""),0)</f>
        <v>0</v>
      </c>
      <c r="S743" s="23">
        <f ca="1">IFERROR(__xludf.DUMMYFUNCTION("""COMPUTED_VALUE"""),0)</f>
        <v>0</v>
      </c>
      <c r="T743" s="48">
        <f ca="1">IFERROR(__xludf.DUMMYFUNCTION("""COMPUTED_VALUE"""),0)</f>
        <v>0</v>
      </c>
      <c r="U743" s="47">
        <f ca="1">IFERROR(__xludf.DUMMYFUNCTION("""COMPUTED_VALUE"""),0)</f>
        <v>0</v>
      </c>
      <c r="V743" s="47">
        <f ca="1">IFERROR(__xludf.DUMMYFUNCTION("""COMPUTED_VALUE"""),0)</f>
        <v>0</v>
      </c>
      <c r="W743" s="47">
        <f ca="1">IFERROR(__xludf.DUMMYFUNCTION("""COMPUTED_VALUE"""),0)</f>
        <v>0</v>
      </c>
      <c r="X743" s="47">
        <f ca="1">IFERROR(__xludf.DUMMYFUNCTION("""COMPUTED_VALUE"""),0)</f>
        <v>0</v>
      </c>
      <c r="Y743" s="44">
        <f ca="1">IFERROR(__xludf.DUMMYFUNCTION("""COMPUTED_VALUE"""),0)</f>
        <v>0</v>
      </c>
      <c r="Z743" s="44">
        <f ca="1">IFERROR(__xludf.DUMMYFUNCTION("""COMPUTED_VALUE"""),0)</f>
        <v>0</v>
      </c>
      <c r="AA743" s="44">
        <f ca="1">IFERROR(__xludf.DUMMYFUNCTION("""COMPUTED_VALUE"""),0)</f>
        <v>0</v>
      </c>
      <c r="AB743" s="44">
        <f ca="1">IFERROR(__xludf.DUMMYFUNCTION("""COMPUTED_VALUE"""),0)</f>
        <v>0</v>
      </c>
      <c r="AC743" s="47">
        <f ca="1">IFERROR(__xludf.DUMMYFUNCTION("""COMPUTED_VALUE"""),0)</f>
        <v>0</v>
      </c>
      <c r="AD743" s="49" t="str">
        <f ca="1">IFERROR(__xludf.DUMMYFUNCTION("""COMPUTED_VALUE"""),"last time 6th sem fees paid")</f>
        <v>last time 6th sem fees paid</v>
      </c>
      <c r="AE743" s="27"/>
    </row>
    <row r="744" spans="1:31" ht="14.3">
      <c r="A744" s="42" t="str">
        <f ca="1">IFERROR(__xludf.DUMMYFUNCTION("""COMPUTED_VALUE"""),"21SDSEE01008")</f>
        <v>21SDSEE01008</v>
      </c>
      <c r="B744" s="43" t="str">
        <f ca="1">IFERROR(__xludf.DUMMYFUNCTION("""COMPUTED_VALUE"""),"VARIA NIKHIL KRISHNAVADAN")</f>
        <v>VARIA NIKHIL KRISHNAVADAN</v>
      </c>
      <c r="C744" s="42" t="str">
        <f ca="1">IFERROR(__xludf.DUMMYFUNCTION("""COMPUTED_VALUE"""),"SDS")</f>
        <v>SDS</v>
      </c>
      <c r="D744" s="42" t="str">
        <f ca="1">IFERROR(__xludf.DUMMYFUNCTION("""COMPUTED_VALUE"""),"DEE")</f>
        <v>DEE</v>
      </c>
      <c r="E744" s="44">
        <f ca="1">IFERROR(__xludf.DUMMYFUNCTION("""COMPUTED_VALUE"""),6)</f>
        <v>6</v>
      </c>
      <c r="F744" s="42" t="str">
        <f ca="1">IFERROR(__xludf.DUMMYFUNCTION("""COMPUTED_VALUE"""),"9974065607 8200506310")</f>
        <v>9974065607 8200506310</v>
      </c>
      <c r="G744" s="42" t="str">
        <f ca="1">IFERROR(__xludf.DUMMYFUNCTION("""COMPUTED_VALUE"""),"9974065607 8200506310")</f>
        <v>9974065607 8200506310</v>
      </c>
      <c r="H744" s="2" t="str">
        <f ca="1">IFERROR(__xludf.DUMMYFUNCTION("""COMPUTED_VALUE"""),"DEE_2021-24")</f>
        <v>DEE_2021-24</v>
      </c>
      <c r="I744" s="45" t="str">
        <f ca="1">IFERROR(__xludf.DUMMYFUNCTION("""COMPUTED_VALUE"""),"KSP")</f>
        <v>KSP</v>
      </c>
      <c r="J744" s="46">
        <f ca="1">IFERROR(__xludf.DUMMYFUNCTION("""COMPUTED_VALUE"""),25000)</f>
        <v>25000</v>
      </c>
      <c r="K744" s="46">
        <f ca="1">IFERROR(__xludf.DUMMYFUNCTION("""COMPUTED_VALUE"""),12500)</f>
        <v>12500</v>
      </c>
      <c r="L744" s="46">
        <f ca="1">IFERROR(__xludf.DUMMYFUNCTION("""COMPUTED_VALUE"""),0)</f>
        <v>0</v>
      </c>
      <c r="M744" s="47">
        <f ca="1">IFERROR(__xludf.DUMMYFUNCTION("""COMPUTED_VALUE"""),12500)</f>
        <v>12500</v>
      </c>
      <c r="N744" s="46">
        <f ca="1">IFERROR(__xludf.DUMMYFUNCTION("""COMPUTED_VALUE"""),0)</f>
        <v>0</v>
      </c>
      <c r="O744" s="46">
        <f ca="1">IFERROR(__xludf.DUMMYFUNCTION("""COMPUTED_VALUE"""),3750)</f>
        <v>3750</v>
      </c>
      <c r="P744" s="46">
        <f ca="1">IFERROR(__xludf.DUMMYFUNCTION("""COMPUTED_VALUE"""),3750)</f>
        <v>3750</v>
      </c>
      <c r="Q744" s="47">
        <f ca="1">IFERROR(__xludf.DUMMYFUNCTION("""COMPUTED_VALUE"""),0)</f>
        <v>0</v>
      </c>
      <c r="R744" s="24">
        <f ca="1">IFERROR(__xludf.DUMMYFUNCTION("""COMPUTED_VALUE"""),0)</f>
        <v>0</v>
      </c>
      <c r="S744" s="23">
        <f ca="1">IFERROR(__xludf.DUMMYFUNCTION("""COMPUTED_VALUE"""),0)</f>
        <v>0</v>
      </c>
      <c r="T744" s="48">
        <f ca="1">IFERROR(__xludf.DUMMYFUNCTION("""COMPUTED_VALUE"""),0)</f>
        <v>0</v>
      </c>
      <c r="U744" s="47">
        <f ca="1">IFERROR(__xludf.DUMMYFUNCTION("""COMPUTED_VALUE"""),0)</f>
        <v>0</v>
      </c>
      <c r="V744" s="47">
        <f ca="1">IFERROR(__xludf.DUMMYFUNCTION("""COMPUTED_VALUE"""),0)</f>
        <v>0</v>
      </c>
      <c r="W744" s="47">
        <f ca="1">IFERROR(__xludf.DUMMYFUNCTION("""COMPUTED_VALUE"""),0)</f>
        <v>0</v>
      </c>
      <c r="X744" s="47">
        <f ca="1">IFERROR(__xludf.DUMMYFUNCTION("""COMPUTED_VALUE"""),0)</f>
        <v>0</v>
      </c>
      <c r="Y744" s="44">
        <f ca="1">IFERROR(__xludf.DUMMYFUNCTION("""COMPUTED_VALUE"""),0)</f>
        <v>0</v>
      </c>
      <c r="Z744" s="44">
        <f ca="1">IFERROR(__xludf.DUMMYFUNCTION("""COMPUTED_VALUE"""),0)</f>
        <v>0</v>
      </c>
      <c r="AA744" s="44">
        <f ca="1">IFERROR(__xludf.DUMMYFUNCTION("""COMPUTED_VALUE"""),0)</f>
        <v>0</v>
      </c>
      <c r="AB744" s="44">
        <f ca="1">IFERROR(__xludf.DUMMYFUNCTION("""COMPUTED_VALUE"""),0)</f>
        <v>0</v>
      </c>
      <c r="AC744" s="47">
        <f ca="1">IFERROR(__xludf.DUMMYFUNCTION("""COMPUTED_VALUE"""),0)</f>
        <v>0</v>
      </c>
      <c r="AD744" s="49"/>
      <c r="AE744" s="27"/>
    </row>
    <row r="745" spans="1:31" ht="14.3">
      <c r="A745" s="42" t="str">
        <f ca="1">IFERROR(__xludf.DUMMYFUNCTION("""COMPUTED_VALUE"""),"23SDSME01002")</f>
        <v>23SDSME01002</v>
      </c>
      <c r="B745" s="43" t="str">
        <f ca="1">IFERROR(__xludf.DUMMYFUNCTION("""COMPUTED_VALUE"""),"BHESANIYA ARYAN MUKESHBHAI")</f>
        <v>BHESANIYA ARYAN MUKESHBHAI</v>
      </c>
      <c r="C745" s="42" t="str">
        <f ca="1">IFERROR(__xludf.DUMMYFUNCTION("""COMPUTED_VALUE"""),"SDS")</f>
        <v>SDS</v>
      </c>
      <c r="D745" s="42" t="str">
        <f ca="1">IFERROR(__xludf.DUMMYFUNCTION("""COMPUTED_VALUE"""),"DME")</f>
        <v>DME</v>
      </c>
      <c r="E745" s="44">
        <f ca="1">IFERROR(__xludf.DUMMYFUNCTION("""COMPUTED_VALUE"""),2)</f>
        <v>2</v>
      </c>
      <c r="F745" s="42" t="str">
        <f ca="1">IFERROR(__xludf.DUMMYFUNCTION("""COMPUTED_VALUE"""),"9313952462 9924165459")</f>
        <v>9313952462 9924165459</v>
      </c>
      <c r="G745" s="42" t="str">
        <f ca="1">IFERROR(__xludf.DUMMYFUNCTION("""COMPUTED_VALUE"""),"9313952462 9924165459")</f>
        <v>9313952462 9924165459</v>
      </c>
      <c r="H745" s="2" t="str">
        <f ca="1">IFERROR(__xludf.DUMMYFUNCTION("""COMPUTED_VALUE"""),"DME_2023-26")</f>
        <v>DME_2023-26</v>
      </c>
      <c r="I745" s="45" t="str">
        <f ca="1">IFERROR(__xludf.DUMMYFUNCTION("""COMPUTED_VALUE"""),"KSP")</f>
        <v>KSP</v>
      </c>
      <c r="J745" s="46">
        <f ca="1">IFERROR(__xludf.DUMMYFUNCTION("""COMPUTED_VALUE"""),27500)</f>
        <v>27500</v>
      </c>
      <c r="K745" s="46">
        <f ca="1">IFERROR(__xludf.DUMMYFUNCTION("""COMPUTED_VALUE"""),25000)</f>
        <v>25000</v>
      </c>
      <c r="L745" s="46">
        <f ca="1">IFERROR(__xludf.DUMMYFUNCTION("""COMPUTED_VALUE"""),0)</f>
        <v>0</v>
      </c>
      <c r="M745" s="47">
        <f ca="1">IFERROR(__xludf.DUMMYFUNCTION("""COMPUTED_VALUE"""),2500)</f>
        <v>2500</v>
      </c>
      <c r="N745" s="46">
        <f ca="1">IFERROR(__xludf.DUMMYFUNCTION("""COMPUTED_VALUE"""),0)</f>
        <v>0</v>
      </c>
      <c r="O745" s="46">
        <f ca="1">IFERROR(__xludf.DUMMYFUNCTION("""COMPUTED_VALUE"""),3000)</f>
        <v>3000</v>
      </c>
      <c r="P745" s="46">
        <f ca="1">IFERROR(__xludf.DUMMYFUNCTION("""COMPUTED_VALUE"""),3000)</f>
        <v>3000</v>
      </c>
      <c r="Q745" s="47">
        <f ca="1">IFERROR(__xludf.DUMMYFUNCTION("""COMPUTED_VALUE"""),0)</f>
        <v>0</v>
      </c>
      <c r="R745" s="24">
        <f ca="1">IFERROR(__xludf.DUMMYFUNCTION("""COMPUTED_VALUE"""),0)</f>
        <v>0</v>
      </c>
      <c r="S745" s="23">
        <f ca="1">IFERROR(__xludf.DUMMYFUNCTION("""COMPUTED_VALUE"""),0)</f>
        <v>0</v>
      </c>
      <c r="T745" s="48">
        <f ca="1">IFERROR(__xludf.DUMMYFUNCTION("""COMPUTED_VALUE"""),0)</f>
        <v>0</v>
      </c>
      <c r="U745" s="47">
        <f ca="1">IFERROR(__xludf.DUMMYFUNCTION("""COMPUTED_VALUE"""),0)</f>
        <v>0</v>
      </c>
      <c r="V745" s="47">
        <f ca="1">IFERROR(__xludf.DUMMYFUNCTION("""COMPUTED_VALUE"""),0)</f>
        <v>0</v>
      </c>
      <c r="W745" s="47">
        <f ca="1">IFERROR(__xludf.DUMMYFUNCTION("""COMPUTED_VALUE"""),0)</f>
        <v>0</v>
      </c>
      <c r="X745" s="47">
        <f ca="1">IFERROR(__xludf.DUMMYFUNCTION("""COMPUTED_VALUE"""),0)</f>
        <v>0</v>
      </c>
      <c r="Y745" s="44">
        <f ca="1">IFERROR(__xludf.DUMMYFUNCTION("""COMPUTED_VALUE"""),0)</f>
        <v>0</v>
      </c>
      <c r="Z745" s="44">
        <f ca="1">IFERROR(__xludf.DUMMYFUNCTION("""COMPUTED_VALUE"""),0)</f>
        <v>0</v>
      </c>
      <c r="AA745" s="44">
        <f ca="1">IFERROR(__xludf.DUMMYFUNCTION("""COMPUTED_VALUE"""),0)</f>
        <v>0</v>
      </c>
      <c r="AB745" s="44">
        <f ca="1">IFERROR(__xludf.DUMMYFUNCTION("""COMPUTED_VALUE"""),0)</f>
        <v>0</v>
      </c>
      <c r="AC745" s="47">
        <f ca="1">IFERROR(__xludf.DUMMYFUNCTION("""COMPUTED_VALUE"""),0)</f>
        <v>0</v>
      </c>
      <c r="AD745" s="49" t="str">
        <f ca="1">IFERROR(__xludf.DUMMYFUNCTION("""COMPUTED_VALUE"""),"KSPS ( 2500/- )")</f>
        <v>KSPS ( 2500/- )</v>
      </c>
      <c r="AE745" s="27"/>
    </row>
    <row r="746" spans="1:31" ht="14.3">
      <c r="A746" s="42" t="str">
        <f ca="1">IFERROR(__xludf.DUMMYFUNCTION("""COMPUTED_VALUE"""),"23SDSME01003")</f>
        <v>23SDSME01003</v>
      </c>
      <c r="B746" s="43" t="str">
        <f ca="1">IFERROR(__xludf.DUMMYFUNCTION("""COMPUTED_VALUE"""),"BUHA NISHANT RAMESHBHAI")</f>
        <v>BUHA NISHANT RAMESHBHAI</v>
      </c>
      <c r="C746" s="42" t="str">
        <f ca="1">IFERROR(__xludf.DUMMYFUNCTION("""COMPUTED_VALUE"""),"SDS")</f>
        <v>SDS</v>
      </c>
      <c r="D746" s="42" t="str">
        <f ca="1">IFERROR(__xludf.DUMMYFUNCTION("""COMPUTED_VALUE"""),"DME")</f>
        <v>DME</v>
      </c>
      <c r="E746" s="44">
        <f ca="1">IFERROR(__xludf.DUMMYFUNCTION("""COMPUTED_VALUE"""),2)</f>
        <v>2</v>
      </c>
      <c r="F746" s="42" t="str">
        <f ca="1">IFERROR(__xludf.DUMMYFUNCTION("""COMPUTED_VALUE"""),"9328233498 9624317041")</f>
        <v>9328233498 9624317041</v>
      </c>
      <c r="G746" s="42" t="str">
        <f ca="1">IFERROR(__xludf.DUMMYFUNCTION("""COMPUTED_VALUE"""),"9328233498 9624317041")</f>
        <v>9328233498 9624317041</v>
      </c>
      <c r="H746" s="2" t="str">
        <f ca="1">IFERROR(__xludf.DUMMYFUNCTION("""COMPUTED_VALUE"""),"DCE_2023-26")</f>
        <v>DCE_2023-26</v>
      </c>
      <c r="I746" s="45" t="str">
        <f ca="1">IFERROR(__xludf.DUMMYFUNCTION("""COMPUTED_VALUE"""),"KSP")</f>
        <v>KSP</v>
      </c>
      <c r="J746" s="46">
        <f ca="1">IFERROR(__xludf.DUMMYFUNCTION("""COMPUTED_VALUE"""),27500)</f>
        <v>27500</v>
      </c>
      <c r="K746" s="46">
        <f ca="1">IFERROR(__xludf.DUMMYFUNCTION("""COMPUTED_VALUE"""),15000)</f>
        <v>15000</v>
      </c>
      <c r="L746" s="46">
        <f ca="1">IFERROR(__xludf.DUMMYFUNCTION("""COMPUTED_VALUE"""),0)</f>
        <v>0</v>
      </c>
      <c r="M746" s="47">
        <f ca="1">IFERROR(__xludf.DUMMYFUNCTION("""COMPUTED_VALUE"""),12500)</f>
        <v>12500</v>
      </c>
      <c r="N746" s="46">
        <f ca="1">IFERROR(__xludf.DUMMYFUNCTION("""COMPUTED_VALUE"""),0)</f>
        <v>0</v>
      </c>
      <c r="O746" s="46">
        <f ca="1">IFERROR(__xludf.DUMMYFUNCTION("""COMPUTED_VALUE"""),3000)</f>
        <v>3000</v>
      </c>
      <c r="P746" s="46">
        <f ca="1">IFERROR(__xludf.DUMMYFUNCTION("""COMPUTED_VALUE"""),3000)</f>
        <v>3000</v>
      </c>
      <c r="Q746" s="47">
        <f ca="1">IFERROR(__xludf.DUMMYFUNCTION("""COMPUTED_VALUE"""),0)</f>
        <v>0</v>
      </c>
      <c r="R746" s="24">
        <f ca="1">IFERROR(__xludf.DUMMYFUNCTION("""COMPUTED_VALUE"""),0)</f>
        <v>0</v>
      </c>
      <c r="S746" s="23">
        <f ca="1">IFERROR(__xludf.DUMMYFUNCTION("""COMPUTED_VALUE"""),0)</f>
        <v>0</v>
      </c>
      <c r="T746" s="48">
        <f ca="1">IFERROR(__xludf.DUMMYFUNCTION("""COMPUTED_VALUE"""),0)</f>
        <v>0</v>
      </c>
      <c r="U746" s="47">
        <f ca="1">IFERROR(__xludf.DUMMYFUNCTION("""COMPUTED_VALUE"""),0)</f>
        <v>0</v>
      </c>
      <c r="V746" s="47">
        <f ca="1">IFERROR(__xludf.DUMMYFUNCTION("""COMPUTED_VALUE"""),0)</f>
        <v>0</v>
      </c>
      <c r="W746" s="47">
        <f ca="1">IFERROR(__xludf.DUMMYFUNCTION("""COMPUTED_VALUE"""),0)</f>
        <v>0</v>
      </c>
      <c r="X746" s="47">
        <f ca="1">IFERROR(__xludf.DUMMYFUNCTION("""COMPUTED_VALUE"""),0)</f>
        <v>0</v>
      </c>
      <c r="Y746" s="44">
        <f ca="1">IFERROR(__xludf.DUMMYFUNCTION("""COMPUTED_VALUE"""),0)</f>
        <v>0</v>
      </c>
      <c r="Z746" s="44">
        <f ca="1">IFERROR(__xludf.DUMMYFUNCTION("""COMPUTED_VALUE"""),0)</f>
        <v>0</v>
      </c>
      <c r="AA746" s="44">
        <f ca="1">IFERROR(__xludf.DUMMYFUNCTION("""COMPUTED_VALUE"""),0)</f>
        <v>0</v>
      </c>
      <c r="AB746" s="44">
        <f ca="1">IFERROR(__xludf.DUMMYFUNCTION("""COMPUTED_VALUE"""),0)</f>
        <v>0</v>
      </c>
      <c r="AC746" s="47">
        <f ca="1">IFERROR(__xludf.DUMMYFUNCTION("""COMPUTED_VALUE"""),0)</f>
        <v>0</v>
      </c>
      <c r="AD746" s="49"/>
      <c r="AE746" s="27"/>
    </row>
    <row r="747" spans="1:31" ht="14.3">
      <c r="A747" s="42" t="str">
        <f ca="1">IFERROR(__xludf.DUMMYFUNCTION("""COMPUTED_VALUE"""),"23SDSME01004")</f>
        <v>23SDSME01004</v>
      </c>
      <c r="B747" s="43" t="str">
        <f ca="1">IFERROR(__xludf.DUMMYFUNCTION("""COMPUTED_VALUE"""),"CHAUHAN BHAUTIK HARIBHAI")</f>
        <v>CHAUHAN BHAUTIK HARIBHAI</v>
      </c>
      <c r="C747" s="42" t="str">
        <f ca="1">IFERROR(__xludf.DUMMYFUNCTION("""COMPUTED_VALUE"""),"SDS")</f>
        <v>SDS</v>
      </c>
      <c r="D747" s="42" t="str">
        <f ca="1">IFERROR(__xludf.DUMMYFUNCTION("""COMPUTED_VALUE"""),"DME")</f>
        <v>DME</v>
      </c>
      <c r="E747" s="44">
        <f ca="1">IFERROR(__xludf.DUMMYFUNCTION("""COMPUTED_VALUE"""),2)</f>
        <v>2</v>
      </c>
      <c r="F747" s="42" t="str">
        <f ca="1">IFERROR(__xludf.DUMMYFUNCTION("""COMPUTED_VALUE"""),"9106779053 9978668541")</f>
        <v>9106779053 9978668541</v>
      </c>
      <c r="G747" s="42" t="str">
        <f ca="1">IFERROR(__xludf.DUMMYFUNCTION("""COMPUTED_VALUE"""),"9106779053 9978668541")</f>
        <v>9106779053 9978668541</v>
      </c>
      <c r="H747" s="2" t="str">
        <f ca="1">IFERROR(__xludf.DUMMYFUNCTION("""COMPUTED_VALUE"""),"DME_2023-26")</f>
        <v>DME_2023-26</v>
      </c>
      <c r="I747" s="45" t="str">
        <f ca="1">IFERROR(__xludf.DUMMYFUNCTION("""COMPUTED_VALUE"""),"MYSY")</f>
        <v>MYSY</v>
      </c>
      <c r="J747" s="46">
        <f ca="1">IFERROR(__xludf.DUMMYFUNCTION("""COMPUTED_VALUE"""),27500)</f>
        <v>27500</v>
      </c>
      <c r="K747" s="46">
        <f ca="1">IFERROR(__xludf.DUMMYFUNCTION("""COMPUTED_VALUE"""),27500)</f>
        <v>27500</v>
      </c>
      <c r="L747" s="46">
        <f ca="1">IFERROR(__xludf.DUMMYFUNCTION("""COMPUTED_VALUE"""),0)</f>
        <v>0</v>
      </c>
      <c r="M747" s="47">
        <f ca="1">IFERROR(__xludf.DUMMYFUNCTION("""COMPUTED_VALUE"""),0)</f>
        <v>0</v>
      </c>
      <c r="N747" s="46">
        <f ca="1">IFERROR(__xludf.DUMMYFUNCTION("""COMPUTED_VALUE"""),0)</f>
        <v>0</v>
      </c>
      <c r="O747" s="46">
        <f ca="1">IFERROR(__xludf.DUMMYFUNCTION("""COMPUTED_VALUE"""),3000)</f>
        <v>3000</v>
      </c>
      <c r="P747" s="46">
        <f ca="1">IFERROR(__xludf.DUMMYFUNCTION("""COMPUTED_VALUE"""),3000)</f>
        <v>3000</v>
      </c>
      <c r="Q747" s="47">
        <f ca="1">IFERROR(__xludf.DUMMYFUNCTION("""COMPUTED_VALUE"""),0)</f>
        <v>0</v>
      </c>
      <c r="R747" s="24">
        <f ca="1">IFERROR(__xludf.DUMMYFUNCTION("""COMPUTED_VALUE"""),0)</f>
        <v>0</v>
      </c>
      <c r="S747" s="23">
        <f ca="1">IFERROR(__xludf.DUMMYFUNCTION("""COMPUTED_VALUE"""),0)</f>
        <v>0</v>
      </c>
      <c r="T747" s="48">
        <f ca="1">IFERROR(__xludf.DUMMYFUNCTION("""COMPUTED_VALUE"""),0)</f>
        <v>0</v>
      </c>
      <c r="U747" s="47">
        <f ca="1">IFERROR(__xludf.DUMMYFUNCTION("""COMPUTED_VALUE"""),0)</f>
        <v>0</v>
      </c>
      <c r="V747" s="47">
        <f ca="1">IFERROR(__xludf.DUMMYFUNCTION("""COMPUTED_VALUE"""),0)</f>
        <v>0</v>
      </c>
      <c r="W747" s="47">
        <f ca="1">IFERROR(__xludf.DUMMYFUNCTION("""COMPUTED_VALUE"""),0)</f>
        <v>0</v>
      </c>
      <c r="X747" s="47">
        <f ca="1">IFERROR(__xludf.DUMMYFUNCTION("""COMPUTED_VALUE"""),0)</f>
        <v>0</v>
      </c>
      <c r="Y747" s="44">
        <f ca="1">IFERROR(__xludf.DUMMYFUNCTION("""COMPUTED_VALUE"""),0)</f>
        <v>0</v>
      </c>
      <c r="Z747" s="44">
        <f ca="1">IFERROR(__xludf.DUMMYFUNCTION("""COMPUTED_VALUE"""),0)</f>
        <v>0</v>
      </c>
      <c r="AA747" s="44">
        <f ca="1">IFERROR(__xludf.DUMMYFUNCTION("""COMPUTED_VALUE"""),0)</f>
        <v>0</v>
      </c>
      <c r="AB747" s="44">
        <f ca="1">IFERROR(__xludf.DUMMYFUNCTION("""COMPUTED_VALUE"""),0)</f>
        <v>0</v>
      </c>
      <c r="AC747" s="47">
        <f ca="1">IFERROR(__xludf.DUMMYFUNCTION("""COMPUTED_VALUE"""),0)</f>
        <v>0</v>
      </c>
      <c r="AD747" s="49" t="str">
        <f ca="1">IFERROR(__xludf.DUMMYFUNCTION("""COMPUTED_VALUE"""),"MYSY (25000/-)	KSPS ( 12500/- )")</f>
        <v>MYSY (25000/-)	KSPS ( 12500/- )</v>
      </c>
      <c r="AE747" s="27"/>
    </row>
    <row r="748" spans="1:31" ht="46.2">
      <c r="A748" s="42" t="str">
        <f ca="1">IFERROR(__xludf.DUMMYFUNCTION("""COMPUTED_VALUE"""),"23SDSME01005")</f>
        <v>23SDSME01005</v>
      </c>
      <c r="B748" s="43" t="str">
        <f ca="1">IFERROR(__xludf.DUMMYFUNCTION("""COMPUTED_VALUE"""),"DHADUK DHRUVIN CHETANBHAI")</f>
        <v>DHADUK DHRUVIN CHETANBHAI</v>
      </c>
      <c r="C748" s="42" t="str">
        <f ca="1">IFERROR(__xludf.DUMMYFUNCTION("""COMPUTED_VALUE"""),"SDS")</f>
        <v>SDS</v>
      </c>
      <c r="D748" s="42" t="str">
        <f ca="1">IFERROR(__xludf.DUMMYFUNCTION("""COMPUTED_VALUE"""),"DME")</f>
        <v>DME</v>
      </c>
      <c r="E748" s="44">
        <f ca="1">IFERROR(__xludf.DUMMYFUNCTION("""COMPUTED_VALUE"""),2)</f>
        <v>2</v>
      </c>
      <c r="F748" s="42" t="str">
        <f ca="1">IFERROR(__xludf.DUMMYFUNCTION("""COMPUTED_VALUE"""),"9510555151 9974582449")</f>
        <v>9510555151 9974582449</v>
      </c>
      <c r="G748" s="42" t="str">
        <f ca="1">IFERROR(__xludf.DUMMYFUNCTION("""COMPUTED_VALUE"""),"9510555151 9974582449")</f>
        <v>9510555151 9974582449</v>
      </c>
      <c r="H748" s="2" t="str">
        <f ca="1">IFERROR(__xludf.DUMMYFUNCTION("""COMPUTED_VALUE"""),"DME_2023-26")</f>
        <v>DME_2023-26</v>
      </c>
      <c r="I748" s="45" t="str">
        <f ca="1">IFERROR(__xludf.DUMMYFUNCTION("""COMPUTED_VALUE"""),"KSP")</f>
        <v>KSP</v>
      </c>
      <c r="J748" s="46">
        <f ca="1">IFERROR(__xludf.DUMMYFUNCTION("""COMPUTED_VALUE"""),27500)</f>
        <v>27500</v>
      </c>
      <c r="K748" s="46">
        <f ca="1">IFERROR(__xludf.DUMMYFUNCTION("""COMPUTED_VALUE"""),2500)</f>
        <v>2500</v>
      </c>
      <c r="L748" s="46">
        <f ca="1">IFERROR(__xludf.DUMMYFUNCTION("""COMPUTED_VALUE"""),0)</f>
        <v>0</v>
      </c>
      <c r="M748" s="47">
        <f ca="1">IFERROR(__xludf.DUMMYFUNCTION("""COMPUTED_VALUE"""),25000)</f>
        <v>25000</v>
      </c>
      <c r="N748" s="46">
        <f ca="1">IFERROR(__xludf.DUMMYFUNCTION("""COMPUTED_VALUE"""),0)</f>
        <v>0</v>
      </c>
      <c r="O748" s="46">
        <f ca="1">IFERROR(__xludf.DUMMYFUNCTION("""COMPUTED_VALUE"""),3000)</f>
        <v>3000</v>
      </c>
      <c r="P748" s="46">
        <f ca="1">IFERROR(__xludf.DUMMYFUNCTION("""COMPUTED_VALUE"""),3000)</f>
        <v>3000</v>
      </c>
      <c r="Q748" s="47">
        <f ca="1">IFERROR(__xludf.DUMMYFUNCTION("""COMPUTED_VALUE"""),0)</f>
        <v>0</v>
      </c>
      <c r="R748" s="24">
        <f ca="1">IFERROR(__xludf.DUMMYFUNCTION("""COMPUTED_VALUE"""),0)</f>
        <v>0</v>
      </c>
      <c r="S748" s="23">
        <f ca="1">IFERROR(__xludf.DUMMYFUNCTION("""COMPUTED_VALUE"""),0)</f>
        <v>0</v>
      </c>
      <c r="T748" s="48">
        <f ca="1">IFERROR(__xludf.DUMMYFUNCTION("""COMPUTED_VALUE"""),0)</f>
        <v>0</v>
      </c>
      <c r="U748" s="47">
        <f ca="1">IFERROR(__xludf.DUMMYFUNCTION("""COMPUTED_VALUE"""),0)</f>
        <v>0</v>
      </c>
      <c r="V748" s="47">
        <f ca="1">IFERROR(__xludf.DUMMYFUNCTION("""COMPUTED_VALUE"""),0)</f>
        <v>0</v>
      </c>
      <c r="W748" s="47">
        <f ca="1">IFERROR(__xludf.DUMMYFUNCTION("""COMPUTED_VALUE"""),0)</f>
        <v>0</v>
      </c>
      <c r="X748" s="47">
        <f ca="1">IFERROR(__xludf.DUMMYFUNCTION("""COMPUTED_VALUE"""),0)</f>
        <v>0</v>
      </c>
      <c r="Y748" s="44">
        <f ca="1">IFERROR(__xludf.DUMMYFUNCTION("""COMPUTED_VALUE"""),0)</f>
        <v>0</v>
      </c>
      <c r="Z748" s="44">
        <f ca="1">IFERROR(__xludf.DUMMYFUNCTION("""COMPUTED_VALUE"""),0)</f>
        <v>0</v>
      </c>
      <c r="AA748" s="44">
        <f ca="1">IFERROR(__xludf.DUMMYFUNCTION("""COMPUTED_VALUE"""),0)</f>
        <v>0</v>
      </c>
      <c r="AB748" s="44">
        <f ca="1">IFERROR(__xludf.DUMMYFUNCTION("""COMPUTED_VALUE"""),0)</f>
        <v>0</v>
      </c>
      <c r="AC748" s="47">
        <f ca="1">IFERROR(__xludf.DUMMYFUNCTION("""COMPUTED_VALUE"""),0)</f>
        <v>0</v>
      </c>
      <c r="AD748" s="49" t="str">
        <f ca="1">IFERROR(__xludf.DUMMYFUNCTION("""COMPUTED_VALUE"""),"NO DUE IN 1ST SEM, APPROVED 12500/- ONE TIME IN 2ND SEM AND 12500/- EVERYSEM FROM 2ND SEM 19.12.23")</f>
        <v>NO DUE IN 1ST SEM, APPROVED 12500/- ONE TIME IN 2ND SEM AND 12500/- EVERYSEM FROM 2ND SEM 19.12.23</v>
      </c>
      <c r="AE748" s="27"/>
    </row>
    <row r="749" spans="1:31" ht="14.3">
      <c r="A749" s="42" t="str">
        <f ca="1">IFERROR(__xludf.DUMMYFUNCTION("""COMPUTED_VALUE"""),"23SDSME01006")</f>
        <v>23SDSME01006</v>
      </c>
      <c r="B749" s="43" t="str">
        <f ca="1">IFERROR(__xludf.DUMMYFUNCTION("""COMPUTED_VALUE"""),"SHIVAM DHOLARIYA")</f>
        <v>SHIVAM DHOLARIYA</v>
      </c>
      <c r="C749" s="42" t="str">
        <f ca="1">IFERROR(__xludf.DUMMYFUNCTION("""COMPUTED_VALUE"""),"SDS")</f>
        <v>SDS</v>
      </c>
      <c r="D749" s="42" t="str">
        <f ca="1">IFERROR(__xludf.DUMMYFUNCTION("""COMPUTED_VALUE"""),"DME")</f>
        <v>DME</v>
      </c>
      <c r="E749" s="44">
        <f ca="1">IFERROR(__xludf.DUMMYFUNCTION("""COMPUTED_VALUE"""),2)</f>
        <v>2</v>
      </c>
      <c r="F749" s="42" t="str">
        <f ca="1">IFERROR(__xludf.DUMMYFUNCTION("""COMPUTED_VALUE"""),"8160408088
9427727742")</f>
        <v>8160408088
9427727742</v>
      </c>
      <c r="G749" s="42" t="str">
        <f ca="1">IFERROR(__xludf.DUMMYFUNCTION("""COMPUTED_VALUE"""),"8160408088
9427727742")</f>
        <v>8160408088
9427727742</v>
      </c>
      <c r="H749" s="2" t="str">
        <f ca="1">IFERROR(__xludf.DUMMYFUNCTION("""COMPUTED_VALUE"""),"DME_2023-26")</f>
        <v>DME_2023-26</v>
      </c>
      <c r="I749" s="45"/>
      <c r="J749" s="46">
        <f ca="1">IFERROR(__xludf.DUMMYFUNCTION("""COMPUTED_VALUE"""),27500)</f>
        <v>27500</v>
      </c>
      <c r="K749" s="46">
        <f ca="1">IFERROR(__xludf.DUMMYFUNCTION("""COMPUTED_VALUE"""),27500)</f>
        <v>27500</v>
      </c>
      <c r="L749" s="46">
        <f ca="1">IFERROR(__xludf.DUMMYFUNCTION("""COMPUTED_VALUE"""),0)</f>
        <v>0</v>
      </c>
      <c r="M749" s="47">
        <f ca="1">IFERROR(__xludf.DUMMYFUNCTION("""COMPUTED_VALUE"""),0)</f>
        <v>0</v>
      </c>
      <c r="N749" s="46">
        <f ca="1">IFERROR(__xludf.DUMMYFUNCTION("""COMPUTED_VALUE"""),0)</f>
        <v>0</v>
      </c>
      <c r="O749" s="46">
        <f ca="1">IFERROR(__xludf.DUMMYFUNCTION("""COMPUTED_VALUE"""),3000)</f>
        <v>3000</v>
      </c>
      <c r="P749" s="46">
        <f ca="1">IFERROR(__xludf.DUMMYFUNCTION("""COMPUTED_VALUE"""),3000)</f>
        <v>3000</v>
      </c>
      <c r="Q749" s="47">
        <f ca="1">IFERROR(__xludf.DUMMYFUNCTION("""COMPUTED_VALUE"""),0)</f>
        <v>0</v>
      </c>
      <c r="R749" s="24">
        <f ca="1">IFERROR(__xludf.DUMMYFUNCTION("""COMPUTED_VALUE"""),0)</f>
        <v>0</v>
      </c>
      <c r="S749" s="23">
        <f ca="1">IFERROR(__xludf.DUMMYFUNCTION("""COMPUTED_VALUE"""),0)</f>
        <v>0</v>
      </c>
      <c r="T749" s="48">
        <f ca="1">IFERROR(__xludf.DUMMYFUNCTION("""COMPUTED_VALUE"""),0)</f>
        <v>0</v>
      </c>
      <c r="U749" s="47">
        <f ca="1">IFERROR(__xludf.DUMMYFUNCTION("""COMPUTED_VALUE"""),0)</f>
        <v>0</v>
      </c>
      <c r="V749" s="47">
        <f ca="1">IFERROR(__xludf.DUMMYFUNCTION("""COMPUTED_VALUE"""),0)</f>
        <v>0</v>
      </c>
      <c r="W749" s="47">
        <f ca="1">IFERROR(__xludf.DUMMYFUNCTION("""COMPUTED_VALUE"""),0)</f>
        <v>0</v>
      </c>
      <c r="X749" s="47">
        <f ca="1">IFERROR(__xludf.DUMMYFUNCTION("""COMPUTED_VALUE"""),0)</f>
        <v>0</v>
      </c>
      <c r="Y749" s="44">
        <f ca="1">IFERROR(__xludf.DUMMYFUNCTION("""COMPUTED_VALUE"""),0)</f>
        <v>0</v>
      </c>
      <c r="Z749" s="44">
        <f ca="1">IFERROR(__xludf.DUMMYFUNCTION("""COMPUTED_VALUE"""),0)</f>
        <v>0</v>
      </c>
      <c r="AA749" s="44">
        <f ca="1">IFERROR(__xludf.DUMMYFUNCTION("""COMPUTED_VALUE"""),0)</f>
        <v>0</v>
      </c>
      <c r="AB749" s="44">
        <f ca="1">IFERROR(__xludf.DUMMYFUNCTION("""COMPUTED_VALUE"""),0)</f>
        <v>0</v>
      </c>
      <c r="AC749" s="47">
        <f ca="1">IFERROR(__xludf.DUMMYFUNCTION("""COMPUTED_VALUE"""),0)</f>
        <v>0</v>
      </c>
      <c r="AD749" s="49"/>
      <c r="AE749" s="27"/>
    </row>
    <row r="750" spans="1:31" ht="14.3">
      <c r="A750" s="42" t="str">
        <f ca="1">IFERROR(__xludf.DUMMYFUNCTION("""COMPUTED_VALUE"""),"23SDSME01009")</f>
        <v>23SDSME01009</v>
      </c>
      <c r="B750" s="43" t="str">
        <f ca="1">IFERROR(__xludf.DUMMYFUNCTION("""COMPUTED_VALUE"""),"PARTH HAPANI")</f>
        <v>PARTH HAPANI</v>
      </c>
      <c r="C750" s="42" t="str">
        <f ca="1">IFERROR(__xludf.DUMMYFUNCTION("""COMPUTED_VALUE"""),"SDS")</f>
        <v>SDS</v>
      </c>
      <c r="D750" s="42" t="str">
        <f ca="1">IFERROR(__xludf.DUMMYFUNCTION("""COMPUTED_VALUE"""),"DME")</f>
        <v>DME</v>
      </c>
      <c r="E750" s="44">
        <f ca="1">IFERROR(__xludf.DUMMYFUNCTION("""COMPUTED_VALUE"""),2)</f>
        <v>2</v>
      </c>
      <c r="F750" s="42" t="str">
        <f ca="1">IFERROR(__xludf.DUMMYFUNCTION("""COMPUTED_VALUE"""),"9586166298 9879752606")</f>
        <v>9586166298 9879752606</v>
      </c>
      <c r="G750" s="42" t="str">
        <f ca="1">IFERROR(__xludf.DUMMYFUNCTION("""COMPUTED_VALUE"""),"9586166298 9879752606")</f>
        <v>9586166298 9879752606</v>
      </c>
      <c r="H750" s="2" t="str">
        <f ca="1">IFERROR(__xludf.DUMMYFUNCTION("""COMPUTED_VALUE"""),"DME_2023-26")</f>
        <v>DME_2023-26</v>
      </c>
      <c r="I750" s="45" t="str">
        <f ca="1">IFERROR(__xludf.DUMMYFUNCTION("""COMPUTED_VALUE"""),"KSP")</f>
        <v>KSP</v>
      </c>
      <c r="J750" s="46">
        <f ca="1">IFERROR(__xludf.DUMMYFUNCTION("""COMPUTED_VALUE"""),27500)</f>
        <v>27500</v>
      </c>
      <c r="K750" s="46">
        <f ca="1">IFERROR(__xludf.DUMMYFUNCTION("""COMPUTED_VALUE"""),21250)</f>
        <v>21250</v>
      </c>
      <c r="L750" s="46">
        <f ca="1">IFERROR(__xludf.DUMMYFUNCTION("""COMPUTED_VALUE"""),0)</f>
        <v>0</v>
      </c>
      <c r="M750" s="47">
        <f ca="1">IFERROR(__xludf.DUMMYFUNCTION("""COMPUTED_VALUE"""),6250)</f>
        <v>6250</v>
      </c>
      <c r="N750" s="46">
        <f ca="1">IFERROR(__xludf.DUMMYFUNCTION("""COMPUTED_VALUE"""),0)</f>
        <v>0</v>
      </c>
      <c r="O750" s="46">
        <f ca="1">IFERROR(__xludf.DUMMYFUNCTION("""COMPUTED_VALUE"""),3000)</f>
        <v>3000</v>
      </c>
      <c r="P750" s="46">
        <f ca="1">IFERROR(__xludf.DUMMYFUNCTION("""COMPUTED_VALUE"""),3000)</f>
        <v>3000</v>
      </c>
      <c r="Q750" s="47">
        <f ca="1">IFERROR(__xludf.DUMMYFUNCTION("""COMPUTED_VALUE"""),0)</f>
        <v>0</v>
      </c>
      <c r="R750" s="24">
        <f ca="1">IFERROR(__xludf.DUMMYFUNCTION("""COMPUTED_VALUE"""),0)</f>
        <v>0</v>
      </c>
      <c r="S750" s="23">
        <f ca="1">IFERROR(__xludf.DUMMYFUNCTION("""COMPUTED_VALUE"""),0)</f>
        <v>0</v>
      </c>
      <c r="T750" s="48">
        <f ca="1">IFERROR(__xludf.DUMMYFUNCTION("""COMPUTED_VALUE"""),0)</f>
        <v>0</v>
      </c>
      <c r="U750" s="47">
        <f ca="1">IFERROR(__xludf.DUMMYFUNCTION("""COMPUTED_VALUE"""),0)</f>
        <v>0</v>
      </c>
      <c r="V750" s="47">
        <f ca="1">IFERROR(__xludf.DUMMYFUNCTION("""COMPUTED_VALUE"""),0)</f>
        <v>0</v>
      </c>
      <c r="W750" s="47">
        <f ca="1">IFERROR(__xludf.DUMMYFUNCTION("""COMPUTED_VALUE"""),0)</f>
        <v>0</v>
      </c>
      <c r="X750" s="47">
        <f ca="1">IFERROR(__xludf.DUMMYFUNCTION("""COMPUTED_VALUE"""),0)</f>
        <v>0</v>
      </c>
      <c r="Y750" s="44">
        <f ca="1">IFERROR(__xludf.DUMMYFUNCTION("""COMPUTED_VALUE"""),0)</f>
        <v>0</v>
      </c>
      <c r="Z750" s="44">
        <f ca="1">IFERROR(__xludf.DUMMYFUNCTION("""COMPUTED_VALUE"""),0)</f>
        <v>0</v>
      </c>
      <c r="AA750" s="44">
        <f ca="1">IFERROR(__xludf.DUMMYFUNCTION("""COMPUTED_VALUE"""),0)</f>
        <v>0</v>
      </c>
      <c r="AB750" s="44">
        <f ca="1">IFERROR(__xludf.DUMMYFUNCTION("""COMPUTED_VALUE"""),0)</f>
        <v>0</v>
      </c>
      <c r="AC750" s="47">
        <f ca="1">IFERROR(__xludf.DUMMYFUNCTION("""COMPUTED_VALUE"""),0)</f>
        <v>0</v>
      </c>
      <c r="AD750" s="49" t="str">
        <f ca="1">IFERROR(__xludf.DUMMYFUNCTION("""COMPUTED_VALUE"""),"KSPS ( 6250/- )")</f>
        <v>KSPS ( 6250/- )</v>
      </c>
      <c r="AE750" s="27"/>
    </row>
    <row r="751" spans="1:31" ht="14.3">
      <c r="A751" s="42" t="str">
        <f ca="1">IFERROR(__xludf.DUMMYFUNCTION("""COMPUTED_VALUE"""),"23SDSME01010")</f>
        <v>23SDSME01010</v>
      </c>
      <c r="B751" s="43" t="str">
        <f ca="1">IFERROR(__xludf.DUMMYFUNCTION("""COMPUTED_VALUE"""),"KAKADIYA JAYDEEP KISHORBHAI")</f>
        <v>KAKADIYA JAYDEEP KISHORBHAI</v>
      </c>
      <c r="C751" s="42" t="str">
        <f ca="1">IFERROR(__xludf.DUMMYFUNCTION("""COMPUTED_VALUE"""),"SDS")</f>
        <v>SDS</v>
      </c>
      <c r="D751" s="42" t="str">
        <f ca="1">IFERROR(__xludf.DUMMYFUNCTION("""COMPUTED_VALUE"""),"DME")</f>
        <v>DME</v>
      </c>
      <c r="E751" s="44">
        <f ca="1">IFERROR(__xludf.DUMMYFUNCTION("""COMPUTED_VALUE"""),2)</f>
        <v>2</v>
      </c>
      <c r="F751" s="42" t="str">
        <f ca="1">IFERROR(__xludf.DUMMYFUNCTION("""COMPUTED_VALUE"""),"9737480693 9898028838")</f>
        <v>9737480693 9898028838</v>
      </c>
      <c r="G751" s="42" t="str">
        <f ca="1">IFERROR(__xludf.DUMMYFUNCTION("""COMPUTED_VALUE"""),"9737480693 9898028838")</f>
        <v>9737480693 9898028838</v>
      </c>
      <c r="H751" s="2" t="str">
        <f ca="1">IFERROR(__xludf.DUMMYFUNCTION("""COMPUTED_VALUE"""),"DCE_2023-26")</f>
        <v>DCE_2023-26</v>
      </c>
      <c r="I751" s="45" t="str">
        <f ca="1">IFERROR(__xludf.DUMMYFUNCTION("""COMPUTED_VALUE"""),"KSP")</f>
        <v>KSP</v>
      </c>
      <c r="J751" s="46">
        <f ca="1">IFERROR(__xludf.DUMMYFUNCTION("""COMPUTED_VALUE"""),27500)</f>
        <v>27500</v>
      </c>
      <c r="K751" s="46">
        <f ca="1">IFERROR(__xludf.DUMMYFUNCTION("""COMPUTED_VALUE"""),21250)</f>
        <v>21250</v>
      </c>
      <c r="L751" s="46">
        <f ca="1">IFERROR(__xludf.DUMMYFUNCTION("""COMPUTED_VALUE"""),0)</f>
        <v>0</v>
      </c>
      <c r="M751" s="47">
        <f ca="1">IFERROR(__xludf.DUMMYFUNCTION("""COMPUTED_VALUE"""),6250)</f>
        <v>6250</v>
      </c>
      <c r="N751" s="46">
        <f ca="1">IFERROR(__xludf.DUMMYFUNCTION("""COMPUTED_VALUE"""),0)</f>
        <v>0</v>
      </c>
      <c r="O751" s="46">
        <f ca="1">IFERROR(__xludf.DUMMYFUNCTION("""COMPUTED_VALUE"""),3000)</f>
        <v>3000</v>
      </c>
      <c r="P751" s="46">
        <f ca="1">IFERROR(__xludf.DUMMYFUNCTION("""COMPUTED_VALUE"""),3000)</f>
        <v>3000</v>
      </c>
      <c r="Q751" s="47">
        <f ca="1">IFERROR(__xludf.DUMMYFUNCTION("""COMPUTED_VALUE"""),0)</f>
        <v>0</v>
      </c>
      <c r="R751" s="24">
        <f ca="1">IFERROR(__xludf.DUMMYFUNCTION("""COMPUTED_VALUE"""),0)</f>
        <v>0</v>
      </c>
      <c r="S751" s="23">
        <f ca="1">IFERROR(__xludf.DUMMYFUNCTION("""COMPUTED_VALUE"""),0)</f>
        <v>0</v>
      </c>
      <c r="T751" s="48">
        <f ca="1">IFERROR(__xludf.DUMMYFUNCTION("""COMPUTED_VALUE"""),0)</f>
        <v>0</v>
      </c>
      <c r="U751" s="47">
        <f ca="1">IFERROR(__xludf.DUMMYFUNCTION("""COMPUTED_VALUE"""),0)</f>
        <v>0</v>
      </c>
      <c r="V751" s="47">
        <f ca="1">IFERROR(__xludf.DUMMYFUNCTION("""COMPUTED_VALUE"""),0)</f>
        <v>0</v>
      </c>
      <c r="W751" s="47">
        <f ca="1">IFERROR(__xludf.DUMMYFUNCTION("""COMPUTED_VALUE"""),0)</f>
        <v>0</v>
      </c>
      <c r="X751" s="47">
        <f ca="1">IFERROR(__xludf.DUMMYFUNCTION("""COMPUTED_VALUE"""),0)</f>
        <v>0</v>
      </c>
      <c r="Y751" s="44">
        <f ca="1">IFERROR(__xludf.DUMMYFUNCTION("""COMPUTED_VALUE"""),0)</f>
        <v>0</v>
      </c>
      <c r="Z751" s="44">
        <f ca="1">IFERROR(__xludf.DUMMYFUNCTION("""COMPUTED_VALUE"""),0)</f>
        <v>0</v>
      </c>
      <c r="AA751" s="44">
        <f ca="1">IFERROR(__xludf.DUMMYFUNCTION("""COMPUTED_VALUE"""),0)</f>
        <v>0</v>
      </c>
      <c r="AB751" s="44">
        <f ca="1">IFERROR(__xludf.DUMMYFUNCTION("""COMPUTED_VALUE"""),0)</f>
        <v>0</v>
      </c>
      <c r="AC751" s="47">
        <f ca="1">IFERROR(__xludf.DUMMYFUNCTION("""COMPUTED_VALUE"""),0)</f>
        <v>0</v>
      </c>
      <c r="AD751" s="49" t="str">
        <f ca="1">IFERROR(__xludf.DUMMYFUNCTION("""COMPUTED_VALUE"""),"KSPS ( 6250/- )")</f>
        <v>KSPS ( 6250/- )</v>
      </c>
      <c r="AE751" s="27"/>
    </row>
    <row r="752" spans="1:31" ht="14.3">
      <c r="A752" s="42" t="str">
        <f ca="1">IFERROR(__xludf.DUMMYFUNCTION("""COMPUTED_VALUE"""),"23SDSME01012")</f>
        <v>23SDSME01012</v>
      </c>
      <c r="B752" s="43" t="str">
        <f ca="1">IFERROR(__xludf.DUMMYFUNCTION("""COMPUTED_VALUE"""),"KYADA VARUN KIRITBHAI")</f>
        <v>KYADA VARUN KIRITBHAI</v>
      </c>
      <c r="C752" s="42" t="str">
        <f ca="1">IFERROR(__xludf.DUMMYFUNCTION("""COMPUTED_VALUE"""),"SDS")</f>
        <v>SDS</v>
      </c>
      <c r="D752" s="42" t="str">
        <f ca="1">IFERROR(__xludf.DUMMYFUNCTION("""COMPUTED_VALUE"""),"DME")</f>
        <v>DME</v>
      </c>
      <c r="E752" s="44">
        <f ca="1">IFERROR(__xludf.DUMMYFUNCTION("""COMPUTED_VALUE"""),2)</f>
        <v>2</v>
      </c>
      <c r="F752" s="42" t="str">
        <f ca="1">IFERROR(__xludf.DUMMYFUNCTION("""COMPUTED_VALUE"""),"9714910460 9879238981")</f>
        <v>9714910460 9879238981</v>
      </c>
      <c r="G752" s="42" t="str">
        <f ca="1">IFERROR(__xludf.DUMMYFUNCTION("""COMPUTED_VALUE"""),"9714910460 9879238981")</f>
        <v>9714910460 9879238981</v>
      </c>
      <c r="H752" s="2" t="str">
        <f ca="1">IFERROR(__xludf.DUMMYFUNCTION("""COMPUTED_VALUE"""),"DME_2023-26")</f>
        <v>DME_2023-26</v>
      </c>
      <c r="I752" s="45" t="str">
        <f ca="1">IFERROR(__xludf.DUMMYFUNCTION("""COMPUTED_VALUE"""),"MYSY")</f>
        <v>MYSY</v>
      </c>
      <c r="J752" s="46">
        <f ca="1">IFERROR(__xludf.DUMMYFUNCTION("""COMPUTED_VALUE"""),27500)</f>
        <v>27500</v>
      </c>
      <c r="K752" s="46">
        <f ca="1">IFERROR(__xludf.DUMMYFUNCTION("""COMPUTED_VALUE"""),2500)</f>
        <v>2500</v>
      </c>
      <c r="L752" s="46">
        <f ca="1">IFERROR(__xludf.DUMMYFUNCTION("""COMPUTED_VALUE"""),0)</f>
        <v>0</v>
      </c>
      <c r="M752" s="47">
        <f ca="1">IFERROR(__xludf.DUMMYFUNCTION("""COMPUTED_VALUE"""),0)</f>
        <v>0</v>
      </c>
      <c r="N752" s="46">
        <f ca="1">IFERROR(__xludf.DUMMYFUNCTION("""COMPUTED_VALUE"""),25000)</f>
        <v>25000</v>
      </c>
      <c r="O752" s="46">
        <f ca="1">IFERROR(__xludf.DUMMYFUNCTION("""COMPUTED_VALUE"""),3000)</f>
        <v>3000</v>
      </c>
      <c r="P752" s="46">
        <f ca="1">IFERROR(__xludf.DUMMYFUNCTION("""COMPUTED_VALUE"""),3000)</f>
        <v>3000</v>
      </c>
      <c r="Q752" s="47">
        <f ca="1">IFERROR(__xludf.DUMMYFUNCTION("""COMPUTED_VALUE"""),0)</f>
        <v>0</v>
      </c>
      <c r="R752" s="24">
        <f ca="1">IFERROR(__xludf.DUMMYFUNCTION("""COMPUTED_VALUE"""),0)</f>
        <v>0</v>
      </c>
      <c r="S752" s="23">
        <f ca="1">IFERROR(__xludf.DUMMYFUNCTION("""COMPUTED_VALUE"""),0)</f>
        <v>0</v>
      </c>
      <c r="T752" s="48">
        <f ca="1">IFERROR(__xludf.DUMMYFUNCTION("""COMPUTED_VALUE"""),0)</f>
        <v>0</v>
      </c>
      <c r="U752" s="47">
        <f ca="1">IFERROR(__xludf.DUMMYFUNCTION("""COMPUTED_VALUE"""),0)</f>
        <v>0</v>
      </c>
      <c r="V752" s="47">
        <f ca="1">IFERROR(__xludf.DUMMYFUNCTION("""COMPUTED_VALUE"""),0)</f>
        <v>0</v>
      </c>
      <c r="W752" s="47">
        <f ca="1">IFERROR(__xludf.DUMMYFUNCTION("""COMPUTED_VALUE"""),0)</f>
        <v>0</v>
      </c>
      <c r="X752" s="47">
        <f ca="1">IFERROR(__xludf.DUMMYFUNCTION("""COMPUTED_VALUE"""),0)</f>
        <v>0</v>
      </c>
      <c r="Y752" s="44">
        <f ca="1">IFERROR(__xludf.DUMMYFUNCTION("""COMPUTED_VALUE"""),0)</f>
        <v>0</v>
      </c>
      <c r="Z752" s="44">
        <f ca="1">IFERROR(__xludf.DUMMYFUNCTION("""COMPUTED_VALUE"""),0)</f>
        <v>0</v>
      </c>
      <c r="AA752" s="44">
        <f ca="1">IFERROR(__xludf.DUMMYFUNCTION("""COMPUTED_VALUE"""),0)</f>
        <v>0</v>
      </c>
      <c r="AB752" s="44">
        <f ca="1">IFERROR(__xludf.DUMMYFUNCTION("""COMPUTED_VALUE"""),0)</f>
        <v>0</v>
      </c>
      <c r="AC752" s="47">
        <f ca="1">IFERROR(__xludf.DUMMYFUNCTION("""COMPUTED_VALUE"""),0)</f>
        <v>0</v>
      </c>
      <c r="AD752" s="49" t="str">
        <f ca="1">IFERROR(__xludf.DUMMYFUNCTION("""COMPUTED_VALUE"""),"MYSY (25000/-)	KSPS ( 12500/- )")</f>
        <v>MYSY (25000/-)	KSPS ( 12500/- )</v>
      </c>
      <c r="AE752" s="27"/>
    </row>
    <row r="753" spans="1:31" ht="14.3">
      <c r="A753" s="42" t="str">
        <f ca="1">IFERROR(__xludf.DUMMYFUNCTION("""COMPUTED_VALUE"""),"23SDSME01013")</f>
        <v>23SDSME01013</v>
      </c>
      <c r="B753" s="43" t="str">
        <f ca="1">IFERROR(__xludf.DUMMYFUNCTION("""COMPUTED_VALUE"""),"LUNAGARIYA NIKIT ASHVIN")</f>
        <v>LUNAGARIYA NIKIT ASHVIN</v>
      </c>
      <c r="C753" s="42" t="str">
        <f ca="1">IFERROR(__xludf.DUMMYFUNCTION("""COMPUTED_VALUE"""),"SDS")</f>
        <v>SDS</v>
      </c>
      <c r="D753" s="42" t="str">
        <f ca="1">IFERROR(__xludf.DUMMYFUNCTION("""COMPUTED_VALUE"""),"DME")</f>
        <v>DME</v>
      </c>
      <c r="E753" s="44">
        <f ca="1">IFERROR(__xludf.DUMMYFUNCTION("""COMPUTED_VALUE"""),2)</f>
        <v>2</v>
      </c>
      <c r="F753" s="42" t="str">
        <f ca="1">IFERROR(__xludf.DUMMYFUNCTION("""COMPUTED_VALUE"""),"9016282952 9309900321")</f>
        <v>9016282952 9309900321</v>
      </c>
      <c r="G753" s="42" t="str">
        <f ca="1">IFERROR(__xludf.DUMMYFUNCTION("""COMPUTED_VALUE"""),"9016282952 9309900321")</f>
        <v>9016282952 9309900321</v>
      </c>
      <c r="H753" s="2" t="str">
        <f ca="1">IFERROR(__xludf.DUMMYFUNCTION("""COMPUTED_VALUE"""),"DCE_2023-26")</f>
        <v>DCE_2023-26</v>
      </c>
      <c r="I753" s="45" t="str">
        <f ca="1">IFERROR(__xludf.DUMMYFUNCTION("""COMPUTED_VALUE"""),"MYSY")</f>
        <v>MYSY</v>
      </c>
      <c r="J753" s="46">
        <f ca="1">IFERROR(__xludf.DUMMYFUNCTION("""COMPUTED_VALUE"""),27500)</f>
        <v>27500</v>
      </c>
      <c r="K753" s="46">
        <f ca="1">IFERROR(__xludf.DUMMYFUNCTION("""COMPUTED_VALUE"""),0)</f>
        <v>0</v>
      </c>
      <c r="L753" s="46">
        <f ca="1">IFERROR(__xludf.DUMMYFUNCTION("""COMPUTED_VALUE"""),0)</f>
        <v>0</v>
      </c>
      <c r="M753" s="47">
        <f ca="1">IFERROR(__xludf.DUMMYFUNCTION("""COMPUTED_VALUE"""),0)</f>
        <v>0</v>
      </c>
      <c r="N753" s="46">
        <f ca="1">IFERROR(__xludf.DUMMYFUNCTION("""COMPUTED_VALUE"""),27500)</f>
        <v>27500</v>
      </c>
      <c r="O753" s="46">
        <f ca="1">IFERROR(__xludf.DUMMYFUNCTION("""COMPUTED_VALUE"""),3000)</f>
        <v>3000</v>
      </c>
      <c r="P753" s="46">
        <f ca="1">IFERROR(__xludf.DUMMYFUNCTION("""COMPUTED_VALUE"""),3000)</f>
        <v>3000</v>
      </c>
      <c r="Q753" s="47">
        <f ca="1">IFERROR(__xludf.DUMMYFUNCTION("""COMPUTED_VALUE"""),0)</f>
        <v>0</v>
      </c>
      <c r="R753" s="24">
        <f ca="1">IFERROR(__xludf.DUMMYFUNCTION("""COMPUTED_VALUE"""),0)</f>
        <v>0</v>
      </c>
      <c r="S753" s="23">
        <f ca="1">IFERROR(__xludf.DUMMYFUNCTION("""COMPUTED_VALUE"""),0)</f>
        <v>0</v>
      </c>
      <c r="T753" s="48">
        <f ca="1">IFERROR(__xludf.DUMMYFUNCTION("""COMPUTED_VALUE"""),0)</f>
        <v>0</v>
      </c>
      <c r="U753" s="47">
        <f ca="1">IFERROR(__xludf.DUMMYFUNCTION("""COMPUTED_VALUE"""),0)</f>
        <v>0</v>
      </c>
      <c r="V753" s="47">
        <f ca="1">IFERROR(__xludf.DUMMYFUNCTION("""COMPUTED_VALUE"""),0)</f>
        <v>0</v>
      </c>
      <c r="W753" s="47">
        <f ca="1">IFERROR(__xludf.DUMMYFUNCTION("""COMPUTED_VALUE"""),0)</f>
        <v>0</v>
      </c>
      <c r="X753" s="47">
        <f ca="1">IFERROR(__xludf.DUMMYFUNCTION("""COMPUTED_VALUE"""),0)</f>
        <v>0</v>
      </c>
      <c r="Y753" s="44">
        <f ca="1">IFERROR(__xludf.DUMMYFUNCTION("""COMPUTED_VALUE"""),0)</f>
        <v>0</v>
      </c>
      <c r="Z753" s="44">
        <f ca="1">IFERROR(__xludf.DUMMYFUNCTION("""COMPUTED_VALUE"""),0)</f>
        <v>0</v>
      </c>
      <c r="AA753" s="44">
        <f ca="1">IFERROR(__xludf.DUMMYFUNCTION("""COMPUTED_VALUE"""),0)</f>
        <v>0</v>
      </c>
      <c r="AB753" s="44">
        <f ca="1">IFERROR(__xludf.DUMMYFUNCTION("""COMPUTED_VALUE"""),0)</f>
        <v>0</v>
      </c>
      <c r="AC753" s="47">
        <f ca="1">IFERROR(__xludf.DUMMYFUNCTION("""COMPUTED_VALUE"""),0)</f>
        <v>0</v>
      </c>
      <c r="AD753" s="49"/>
      <c r="AE753" s="27"/>
    </row>
    <row r="754" spans="1:31" ht="14.3">
      <c r="A754" s="42" t="str">
        <f ca="1">IFERROR(__xludf.DUMMYFUNCTION("""COMPUTED_VALUE"""),"23SDSME01014")</f>
        <v>23SDSME01014</v>
      </c>
      <c r="B754" s="43" t="str">
        <f ca="1">IFERROR(__xludf.DUMMYFUNCTION("""COMPUTED_VALUE"""),"KARAN KUMAR")</f>
        <v>KARAN KUMAR</v>
      </c>
      <c r="C754" s="42" t="str">
        <f ca="1">IFERROR(__xludf.DUMMYFUNCTION("""COMPUTED_VALUE"""),"SDS")</f>
        <v>SDS</v>
      </c>
      <c r="D754" s="42" t="str">
        <f ca="1">IFERROR(__xludf.DUMMYFUNCTION("""COMPUTED_VALUE"""),"DME")</f>
        <v>DME</v>
      </c>
      <c r="E754" s="44">
        <f ca="1">IFERROR(__xludf.DUMMYFUNCTION("""COMPUTED_VALUE"""),2)</f>
        <v>2</v>
      </c>
      <c r="F754" s="42" t="str">
        <f ca="1">IFERROR(__xludf.DUMMYFUNCTION("""COMPUTED_VALUE"""),"7482063545 8320599412")</f>
        <v>7482063545 8320599412</v>
      </c>
      <c r="G754" s="42" t="str">
        <f ca="1">IFERROR(__xludf.DUMMYFUNCTION("""COMPUTED_VALUE"""),"7482063545 8320599412")</f>
        <v>7482063545 8320599412</v>
      </c>
      <c r="H754" s="2" t="str">
        <f ca="1">IFERROR(__xludf.DUMMYFUNCTION("""COMPUTED_VALUE"""),"DME_2023-26")</f>
        <v>DME_2023-26</v>
      </c>
      <c r="I754" s="45"/>
      <c r="J754" s="46">
        <f ca="1">IFERROR(__xludf.DUMMYFUNCTION("""COMPUTED_VALUE"""),27500)</f>
        <v>27500</v>
      </c>
      <c r="K754" s="46">
        <f ca="1">IFERROR(__xludf.DUMMYFUNCTION("""COMPUTED_VALUE"""),55000)</f>
        <v>55000</v>
      </c>
      <c r="L754" s="46">
        <f ca="1">IFERROR(__xludf.DUMMYFUNCTION("""COMPUTED_VALUE"""),0)</f>
        <v>0</v>
      </c>
      <c r="M754" s="47">
        <f ca="1">IFERROR(__xludf.DUMMYFUNCTION("""COMPUTED_VALUE"""),0)</f>
        <v>0</v>
      </c>
      <c r="N754" s="46">
        <f ca="1">IFERROR(__xludf.DUMMYFUNCTION("""COMPUTED_VALUE"""),-27500)</f>
        <v>-27500</v>
      </c>
      <c r="O754" s="46">
        <f ca="1">IFERROR(__xludf.DUMMYFUNCTION("""COMPUTED_VALUE"""),3000)</f>
        <v>3000</v>
      </c>
      <c r="P754" s="46">
        <f ca="1">IFERROR(__xludf.DUMMYFUNCTION("""COMPUTED_VALUE"""),6000)</f>
        <v>6000</v>
      </c>
      <c r="Q754" s="47">
        <f ca="1">IFERROR(__xludf.DUMMYFUNCTION("""COMPUTED_VALUE"""),0)</f>
        <v>0</v>
      </c>
      <c r="R754" s="24">
        <f ca="1">IFERROR(__xludf.DUMMYFUNCTION("""COMPUTED_VALUE"""),0)</f>
        <v>0</v>
      </c>
      <c r="S754" s="23">
        <f ca="1">IFERROR(__xludf.DUMMYFUNCTION("""COMPUTED_VALUE"""),-3000)</f>
        <v>-3000</v>
      </c>
      <c r="T754" s="48">
        <f ca="1">IFERROR(__xludf.DUMMYFUNCTION("""COMPUTED_VALUE"""),0)</f>
        <v>0</v>
      </c>
      <c r="U754" s="47">
        <f ca="1">IFERROR(__xludf.DUMMYFUNCTION("""COMPUTED_VALUE"""),0)</f>
        <v>0</v>
      </c>
      <c r="V754" s="47">
        <f ca="1">IFERROR(__xludf.DUMMYFUNCTION("""COMPUTED_VALUE"""),0)</f>
        <v>0</v>
      </c>
      <c r="W754" s="47">
        <f ca="1">IFERROR(__xludf.DUMMYFUNCTION("""COMPUTED_VALUE"""),0)</f>
        <v>0</v>
      </c>
      <c r="X754" s="47">
        <f ca="1">IFERROR(__xludf.DUMMYFUNCTION("""COMPUTED_VALUE"""),0)</f>
        <v>0</v>
      </c>
      <c r="Y754" s="44">
        <f ca="1">IFERROR(__xludf.DUMMYFUNCTION("""COMPUTED_VALUE"""),0)</f>
        <v>0</v>
      </c>
      <c r="Z754" s="44">
        <f ca="1">IFERROR(__xludf.DUMMYFUNCTION("""COMPUTED_VALUE"""),0)</f>
        <v>0</v>
      </c>
      <c r="AA754" s="44">
        <f ca="1">IFERROR(__xludf.DUMMYFUNCTION("""COMPUTED_VALUE"""),0)</f>
        <v>0</v>
      </c>
      <c r="AB754" s="44">
        <f ca="1">IFERROR(__xludf.DUMMYFUNCTION("""COMPUTED_VALUE"""),0)</f>
        <v>0</v>
      </c>
      <c r="AC754" s="47">
        <f ca="1">IFERROR(__xludf.DUMMYFUNCTION("""COMPUTED_VALUE"""),0)</f>
        <v>0</v>
      </c>
      <c r="AD754" s="49"/>
      <c r="AE754" s="27"/>
    </row>
    <row r="755" spans="1:31" ht="14.3">
      <c r="A755" s="42" t="str">
        <f ca="1">IFERROR(__xludf.DUMMYFUNCTION("""COMPUTED_VALUE"""),"23SDSME01015")</f>
        <v>23SDSME01015</v>
      </c>
      <c r="B755" s="43" t="str">
        <f ca="1">IFERROR(__xludf.DUMMYFUNCTION("""COMPUTED_VALUE"""),"MAKWANA RONAK BHUPATBHAI")</f>
        <v>MAKWANA RONAK BHUPATBHAI</v>
      </c>
      <c r="C755" s="42" t="str">
        <f ca="1">IFERROR(__xludf.DUMMYFUNCTION("""COMPUTED_VALUE"""),"SDS")</f>
        <v>SDS</v>
      </c>
      <c r="D755" s="42" t="str">
        <f ca="1">IFERROR(__xludf.DUMMYFUNCTION("""COMPUTED_VALUE"""),"DME")</f>
        <v>DME</v>
      </c>
      <c r="E755" s="44">
        <f ca="1">IFERROR(__xludf.DUMMYFUNCTION("""COMPUTED_VALUE"""),2)</f>
        <v>2</v>
      </c>
      <c r="F755" s="42" t="str">
        <f ca="1">IFERROR(__xludf.DUMMYFUNCTION("""COMPUTED_VALUE"""),"9978467015 9925564402")</f>
        <v>9978467015 9925564402</v>
      </c>
      <c r="G755" s="42" t="str">
        <f ca="1">IFERROR(__xludf.DUMMYFUNCTION("""COMPUTED_VALUE"""),"9978467015 9925564402")</f>
        <v>9978467015 9925564402</v>
      </c>
      <c r="H755" s="2" t="str">
        <f ca="1">IFERROR(__xludf.DUMMYFUNCTION("""COMPUTED_VALUE"""),"DME_2023-26")</f>
        <v>DME_2023-26</v>
      </c>
      <c r="I755" s="45" t="str">
        <f ca="1">IFERROR(__xludf.DUMMYFUNCTION("""COMPUTED_VALUE"""),"MYSY")</f>
        <v>MYSY</v>
      </c>
      <c r="J755" s="46">
        <f ca="1">IFERROR(__xludf.DUMMYFUNCTION("""COMPUTED_VALUE"""),27500)</f>
        <v>27500</v>
      </c>
      <c r="K755" s="46">
        <f ca="1">IFERROR(__xludf.DUMMYFUNCTION("""COMPUTED_VALUE"""),0)</f>
        <v>0</v>
      </c>
      <c r="L755" s="46">
        <f ca="1">IFERROR(__xludf.DUMMYFUNCTION("""COMPUTED_VALUE"""),0)</f>
        <v>0</v>
      </c>
      <c r="M755" s="47">
        <f ca="1">IFERROR(__xludf.DUMMYFUNCTION("""COMPUTED_VALUE"""),0)</f>
        <v>0</v>
      </c>
      <c r="N755" s="46">
        <f ca="1">IFERROR(__xludf.DUMMYFUNCTION("""COMPUTED_VALUE"""),27500)</f>
        <v>27500</v>
      </c>
      <c r="O755" s="46">
        <f ca="1">IFERROR(__xludf.DUMMYFUNCTION("""COMPUTED_VALUE"""),3000)</f>
        <v>3000</v>
      </c>
      <c r="P755" s="46">
        <f ca="1">IFERROR(__xludf.DUMMYFUNCTION("""COMPUTED_VALUE"""),3000)</f>
        <v>3000</v>
      </c>
      <c r="Q755" s="47">
        <f ca="1">IFERROR(__xludf.DUMMYFUNCTION("""COMPUTED_VALUE"""),0)</f>
        <v>0</v>
      </c>
      <c r="R755" s="24">
        <f ca="1">IFERROR(__xludf.DUMMYFUNCTION("""COMPUTED_VALUE"""),0)</f>
        <v>0</v>
      </c>
      <c r="S755" s="23">
        <f ca="1">IFERROR(__xludf.DUMMYFUNCTION("""COMPUTED_VALUE"""),0)</f>
        <v>0</v>
      </c>
      <c r="T755" s="48">
        <f ca="1">IFERROR(__xludf.DUMMYFUNCTION("""COMPUTED_VALUE"""),0)</f>
        <v>0</v>
      </c>
      <c r="U755" s="47">
        <f ca="1">IFERROR(__xludf.DUMMYFUNCTION("""COMPUTED_VALUE"""),0)</f>
        <v>0</v>
      </c>
      <c r="V755" s="47">
        <f ca="1">IFERROR(__xludf.DUMMYFUNCTION("""COMPUTED_VALUE"""),0)</f>
        <v>0</v>
      </c>
      <c r="W755" s="47">
        <f ca="1">IFERROR(__xludf.DUMMYFUNCTION("""COMPUTED_VALUE"""),0)</f>
        <v>0</v>
      </c>
      <c r="X755" s="47">
        <f ca="1">IFERROR(__xludf.DUMMYFUNCTION("""COMPUTED_VALUE"""),0)</f>
        <v>0</v>
      </c>
      <c r="Y755" s="44">
        <f ca="1">IFERROR(__xludf.DUMMYFUNCTION("""COMPUTED_VALUE"""),0)</f>
        <v>0</v>
      </c>
      <c r="Z755" s="44">
        <f ca="1">IFERROR(__xludf.DUMMYFUNCTION("""COMPUTED_VALUE"""),0)</f>
        <v>0</v>
      </c>
      <c r="AA755" s="44">
        <f ca="1">IFERROR(__xludf.DUMMYFUNCTION("""COMPUTED_VALUE"""),0)</f>
        <v>0</v>
      </c>
      <c r="AB755" s="44">
        <f ca="1">IFERROR(__xludf.DUMMYFUNCTION("""COMPUTED_VALUE"""),0)</f>
        <v>0</v>
      </c>
      <c r="AC755" s="47">
        <f ca="1">IFERROR(__xludf.DUMMYFUNCTION("""COMPUTED_VALUE"""),0)</f>
        <v>0</v>
      </c>
      <c r="AD755" s="49" t="str">
        <f ca="1">IFERROR(__xludf.DUMMYFUNCTION("""COMPUTED_VALUE"""),"MYSY (25000/-)	KSPS ( 30000/- )")</f>
        <v>MYSY (25000/-)	KSPS ( 30000/- )</v>
      </c>
      <c r="AE755" s="27"/>
    </row>
    <row r="756" spans="1:31" ht="14.3">
      <c r="A756" s="42" t="str">
        <f ca="1">IFERROR(__xludf.DUMMYFUNCTION("""COMPUTED_VALUE"""),"23SDSME01016")</f>
        <v>23SDSME01016</v>
      </c>
      <c r="B756" s="43" t="str">
        <f ca="1">IFERROR(__xludf.DUMMYFUNCTION("""COMPUTED_VALUE"""),"NIMBARK DARSHIL VIPULBHAI")</f>
        <v>NIMBARK DARSHIL VIPULBHAI</v>
      </c>
      <c r="C756" s="42" t="str">
        <f ca="1">IFERROR(__xludf.DUMMYFUNCTION("""COMPUTED_VALUE"""),"SDS")</f>
        <v>SDS</v>
      </c>
      <c r="D756" s="42" t="str">
        <f ca="1">IFERROR(__xludf.DUMMYFUNCTION("""COMPUTED_VALUE"""),"DME")</f>
        <v>DME</v>
      </c>
      <c r="E756" s="44">
        <f ca="1">IFERROR(__xludf.DUMMYFUNCTION("""COMPUTED_VALUE"""),2)</f>
        <v>2</v>
      </c>
      <c r="F756" s="42" t="str">
        <f ca="1">IFERROR(__xludf.DUMMYFUNCTION("""COMPUTED_VALUE"""),"9157005256 9328677746")</f>
        <v>9157005256 9328677746</v>
      </c>
      <c r="G756" s="42" t="str">
        <f ca="1">IFERROR(__xludf.DUMMYFUNCTION("""COMPUTED_VALUE"""),"9157005256 9328677746")</f>
        <v>9157005256 9328677746</v>
      </c>
      <c r="H756" s="2" t="str">
        <f ca="1">IFERROR(__xludf.DUMMYFUNCTION("""COMPUTED_VALUE"""),"DME_2023-26")</f>
        <v>DME_2023-26</v>
      </c>
      <c r="I756" s="45" t="str">
        <f ca="1">IFERROR(__xludf.DUMMYFUNCTION("""COMPUTED_VALUE"""),"KSP")</f>
        <v>KSP</v>
      </c>
      <c r="J756" s="46">
        <f ca="1">IFERROR(__xludf.DUMMYFUNCTION("""COMPUTED_VALUE"""),27500)</f>
        <v>27500</v>
      </c>
      <c r="K756" s="46">
        <f ca="1">IFERROR(__xludf.DUMMYFUNCTION("""COMPUTED_VALUE"""),15000)</f>
        <v>15000</v>
      </c>
      <c r="L756" s="46">
        <f ca="1">IFERROR(__xludf.DUMMYFUNCTION("""COMPUTED_VALUE"""),0)</f>
        <v>0</v>
      </c>
      <c r="M756" s="47">
        <f ca="1">IFERROR(__xludf.DUMMYFUNCTION("""COMPUTED_VALUE"""),12500)</f>
        <v>12500</v>
      </c>
      <c r="N756" s="46">
        <f ca="1">IFERROR(__xludf.DUMMYFUNCTION("""COMPUTED_VALUE"""),0)</f>
        <v>0</v>
      </c>
      <c r="O756" s="46">
        <f ca="1">IFERROR(__xludf.DUMMYFUNCTION("""COMPUTED_VALUE"""),3000)</f>
        <v>3000</v>
      </c>
      <c r="P756" s="46">
        <f ca="1">IFERROR(__xludf.DUMMYFUNCTION("""COMPUTED_VALUE"""),3000)</f>
        <v>3000</v>
      </c>
      <c r="Q756" s="47">
        <f ca="1">IFERROR(__xludf.DUMMYFUNCTION("""COMPUTED_VALUE"""),0)</f>
        <v>0</v>
      </c>
      <c r="R756" s="24">
        <f ca="1">IFERROR(__xludf.DUMMYFUNCTION("""COMPUTED_VALUE"""),0)</f>
        <v>0</v>
      </c>
      <c r="S756" s="23">
        <f ca="1">IFERROR(__xludf.DUMMYFUNCTION("""COMPUTED_VALUE"""),0)</f>
        <v>0</v>
      </c>
      <c r="T756" s="48">
        <f ca="1">IFERROR(__xludf.DUMMYFUNCTION("""COMPUTED_VALUE"""),0)</f>
        <v>0</v>
      </c>
      <c r="U756" s="47">
        <f ca="1">IFERROR(__xludf.DUMMYFUNCTION("""COMPUTED_VALUE"""),0)</f>
        <v>0</v>
      </c>
      <c r="V756" s="47">
        <f ca="1">IFERROR(__xludf.DUMMYFUNCTION("""COMPUTED_VALUE"""),0)</f>
        <v>0</v>
      </c>
      <c r="W756" s="47">
        <f ca="1">IFERROR(__xludf.DUMMYFUNCTION("""COMPUTED_VALUE"""),0)</f>
        <v>0</v>
      </c>
      <c r="X756" s="47">
        <f ca="1">IFERROR(__xludf.DUMMYFUNCTION("""COMPUTED_VALUE"""),0)</f>
        <v>0</v>
      </c>
      <c r="Y756" s="44">
        <f ca="1">IFERROR(__xludf.DUMMYFUNCTION("""COMPUTED_VALUE"""),0)</f>
        <v>0</v>
      </c>
      <c r="Z756" s="44">
        <f ca="1">IFERROR(__xludf.DUMMYFUNCTION("""COMPUTED_VALUE"""),0)</f>
        <v>0</v>
      </c>
      <c r="AA756" s="44">
        <f ca="1">IFERROR(__xludf.DUMMYFUNCTION("""COMPUTED_VALUE"""),0)</f>
        <v>0</v>
      </c>
      <c r="AB756" s="44">
        <f ca="1">IFERROR(__xludf.DUMMYFUNCTION("""COMPUTED_VALUE"""),0)</f>
        <v>0</v>
      </c>
      <c r="AC756" s="47">
        <f ca="1">IFERROR(__xludf.DUMMYFUNCTION("""COMPUTED_VALUE"""),0)</f>
        <v>0</v>
      </c>
      <c r="AD756" s="49" t="str">
        <f ca="1">IFERROR(__xludf.DUMMYFUNCTION("""COMPUTED_VALUE"""),"KSPS ( 12500/- )")</f>
        <v>KSPS ( 12500/- )</v>
      </c>
      <c r="AE756" s="27"/>
    </row>
    <row r="757" spans="1:31" ht="14.3">
      <c r="A757" s="42" t="str">
        <f ca="1">IFERROR(__xludf.DUMMYFUNCTION("""COMPUTED_VALUE"""),"23SDSME01019")</f>
        <v>23SDSME01019</v>
      </c>
      <c r="B757" s="43" t="str">
        <f ca="1">IFERROR(__xludf.DUMMYFUNCTION("""COMPUTED_VALUE"""),"PADALIYA UTTAM RASHIKBHAI")</f>
        <v>PADALIYA UTTAM RASHIKBHAI</v>
      </c>
      <c r="C757" s="42" t="str">
        <f ca="1">IFERROR(__xludf.DUMMYFUNCTION("""COMPUTED_VALUE"""),"SDS")</f>
        <v>SDS</v>
      </c>
      <c r="D757" s="42" t="str">
        <f ca="1">IFERROR(__xludf.DUMMYFUNCTION("""COMPUTED_VALUE"""),"DME")</f>
        <v>DME</v>
      </c>
      <c r="E757" s="44">
        <f ca="1">IFERROR(__xludf.DUMMYFUNCTION("""COMPUTED_VALUE"""),2)</f>
        <v>2</v>
      </c>
      <c r="F757" s="42" t="str">
        <f ca="1">IFERROR(__xludf.DUMMYFUNCTION("""COMPUTED_VALUE"""),"7990112075 9904957318")</f>
        <v>7990112075 9904957318</v>
      </c>
      <c r="G757" s="42" t="str">
        <f ca="1">IFERROR(__xludf.DUMMYFUNCTION("""COMPUTED_VALUE"""),"7990112075 9904957318")</f>
        <v>7990112075 9904957318</v>
      </c>
      <c r="H757" s="2" t="str">
        <f ca="1">IFERROR(__xludf.DUMMYFUNCTION("""COMPUTED_VALUE"""),"DME_2023-26")</f>
        <v>DME_2023-26</v>
      </c>
      <c r="I757" s="45" t="str">
        <f ca="1">IFERROR(__xludf.DUMMYFUNCTION("""COMPUTED_VALUE"""),"KSP")</f>
        <v>KSP</v>
      </c>
      <c r="J757" s="46">
        <f ca="1">IFERROR(__xludf.DUMMYFUNCTION("""COMPUTED_VALUE"""),27500)</f>
        <v>27500</v>
      </c>
      <c r="K757" s="46">
        <f ca="1">IFERROR(__xludf.DUMMYFUNCTION("""COMPUTED_VALUE"""),15000)</f>
        <v>15000</v>
      </c>
      <c r="L757" s="46">
        <f ca="1">IFERROR(__xludf.DUMMYFUNCTION("""COMPUTED_VALUE"""),0)</f>
        <v>0</v>
      </c>
      <c r="M757" s="47">
        <f ca="1">IFERROR(__xludf.DUMMYFUNCTION("""COMPUTED_VALUE"""),12500)</f>
        <v>12500</v>
      </c>
      <c r="N757" s="46">
        <f ca="1">IFERROR(__xludf.DUMMYFUNCTION("""COMPUTED_VALUE"""),0)</f>
        <v>0</v>
      </c>
      <c r="O757" s="46">
        <f ca="1">IFERROR(__xludf.DUMMYFUNCTION("""COMPUTED_VALUE"""),3000)</f>
        <v>3000</v>
      </c>
      <c r="P757" s="46">
        <f ca="1">IFERROR(__xludf.DUMMYFUNCTION("""COMPUTED_VALUE"""),3000)</f>
        <v>3000</v>
      </c>
      <c r="Q757" s="47">
        <f ca="1">IFERROR(__xludf.DUMMYFUNCTION("""COMPUTED_VALUE"""),0)</f>
        <v>0</v>
      </c>
      <c r="R757" s="24">
        <f ca="1">IFERROR(__xludf.DUMMYFUNCTION("""COMPUTED_VALUE"""),0)</f>
        <v>0</v>
      </c>
      <c r="S757" s="23">
        <f ca="1">IFERROR(__xludf.DUMMYFUNCTION("""COMPUTED_VALUE"""),0)</f>
        <v>0</v>
      </c>
      <c r="T757" s="48">
        <f ca="1">IFERROR(__xludf.DUMMYFUNCTION("""COMPUTED_VALUE"""),0)</f>
        <v>0</v>
      </c>
      <c r="U757" s="47">
        <f ca="1">IFERROR(__xludf.DUMMYFUNCTION("""COMPUTED_VALUE"""),0)</f>
        <v>0</v>
      </c>
      <c r="V757" s="47">
        <f ca="1">IFERROR(__xludf.DUMMYFUNCTION("""COMPUTED_VALUE"""),0)</f>
        <v>0</v>
      </c>
      <c r="W757" s="47">
        <f ca="1">IFERROR(__xludf.DUMMYFUNCTION("""COMPUTED_VALUE"""),0)</f>
        <v>0</v>
      </c>
      <c r="X757" s="47">
        <f ca="1">IFERROR(__xludf.DUMMYFUNCTION("""COMPUTED_VALUE"""),0)</f>
        <v>0</v>
      </c>
      <c r="Y757" s="44">
        <f ca="1">IFERROR(__xludf.DUMMYFUNCTION("""COMPUTED_VALUE"""),0)</f>
        <v>0</v>
      </c>
      <c r="Z757" s="44">
        <f ca="1">IFERROR(__xludf.DUMMYFUNCTION("""COMPUTED_VALUE"""),0)</f>
        <v>0</v>
      </c>
      <c r="AA757" s="44">
        <f ca="1">IFERROR(__xludf.DUMMYFUNCTION("""COMPUTED_VALUE"""),0)</f>
        <v>0</v>
      </c>
      <c r="AB757" s="44">
        <f ca="1">IFERROR(__xludf.DUMMYFUNCTION("""COMPUTED_VALUE"""),0)</f>
        <v>0</v>
      </c>
      <c r="AC757" s="47">
        <f ca="1">IFERROR(__xludf.DUMMYFUNCTION("""COMPUTED_VALUE"""),0)</f>
        <v>0</v>
      </c>
      <c r="AD757" s="49" t="str">
        <f ca="1">IFERROR(__xludf.DUMMYFUNCTION("""COMPUTED_VALUE"""),"KSPS ( 12500/- )")</f>
        <v>KSPS ( 12500/- )</v>
      </c>
      <c r="AE757" s="27"/>
    </row>
    <row r="758" spans="1:31" ht="14.3">
      <c r="A758" s="42" t="str">
        <f ca="1">IFERROR(__xludf.DUMMYFUNCTION("""COMPUTED_VALUE"""),"23SDSME01020")</f>
        <v>23SDSME01020</v>
      </c>
      <c r="B758" s="43" t="str">
        <f ca="1">IFERROR(__xludf.DUMMYFUNCTION("""COMPUTED_VALUE"""),"PARMAR HITANSH VIPULBHAI")</f>
        <v>PARMAR HITANSH VIPULBHAI</v>
      </c>
      <c r="C758" s="42" t="str">
        <f ca="1">IFERROR(__xludf.DUMMYFUNCTION("""COMPUTED_VALUE"""),"SDS")</f>
        <v>SDS</v>
      </c>
      <c r="D758" s="42" t="str">
        <f ca="1">IFERROR(__xludf.DUMMYFUNCTION("""COMPUTED_VALUE"""),"DME")</f>
        <v>DME</v>
      </c>
      <c r="E758" s="44">
        <f ca="1">IFERROR(__xludf.DUMMYFUNCTION("""COMPUTED_VALUE"""),2)</f>
        <v>2</v>
      </c>
      <c r="F758" s="42" t="str">
        <f ca="1">IFERROR(__xludf.DUMMYFUNCTION("""COMPUTED_VALUE"""),"9427179658 
9724473736 
9664568165")</f>
        <v>9427179658 
9724473736 
9664568165</v>
      </c>
      <c r="G758" s="42" t="str">
        <f ca="1">IFERROR(__xludf.DUMMYFUNCTION("""COMPUTED_VALUE"""),"9427179658 
9724473736 
9664568165")</f>
        <v>9427179658 
9724473736 
9664568165</v>
      </c>
      <c r="H758" s="2" t="str">
        <f ca="1">IFERROR(__xludf.DUMMYFUNCTION("""COMPUTED_VALUE"""),"DME_2023-26")</f>
        <v>DME_2023-26</v>
      </c>
      <c r="I758" s="45"/>
      <c r="J758" s="46">
        <f ca="1">IFERROR(__xludf.DUMMYFUNCTION("""COMPUTED_VALUE"""),27500)</f>
        <v>27500</v>
      </c>
      <c r="K758" s="46">
        <f ca="1">IFERROR(__xludf.DUMMYFUNCTION("""COMPUTED_VALUE"""),27500)</f>
        <v>27500</v>
      </c>
      <c r="L758" s="46">
        <f ca="1">IFERROR(__xludf.DUMMYFUNCTION("""COMPUTED_VALUE"""),0)</f>
        <v>0</v>
      </c>
      <c r="M758" s="47">
        <f ca="1">IFERROR(__xludf.DUMMYFUNCTION("""COMPUTED_VALUE"""),0)</f>
        <v>0</v>
      </c>
      <c r="N758" s="46">
        <f ca="1">IFERROR(__xludf.DUMMYFUNCTION("""COMPUTED_VALUE"""),0)</f>
        <v>0</v>
      </c>
      <c r="O758" s="46">
        <f ca="1">IFERROR(__xludf.DUMMYFUNCTION("""COMPUTED_VALUE"""),3000)</f>
        <v>3000</v>
      </c>
      <c r="P758" s="46">
        <f ca="1">IFERROR(__xludf.DUMMYFUNCTION("""COMPUTED_VALUE"""),3000)</f>
        <v>3000</v>
      </c>
      <c r="Q758" s="47">
        <f ca="1">IFERROR(__xludf.DUMMYFUNCTION("""COMPUTED_VALUE"""),0)</f>
        <v>0</v>
      </c>
      <c r="R758" s="24">
        <f ca="1">IFERROR(__xludf.DUMMYFUNCTION("""COMPUTED_VALUE"""),0)</f>
        <v>0</v>
      </c>
      <c r="S758" s="23">
        <f ca="1">IFERROR(__xludf.DUMMYFUNCTION("""COMPUTED_VALUE"""),0)</f>
        <v>0</v>
      </c>
      <c r="T758" s="48">
        <f ca="1">IFERROR(__xludf.DUMMYFUNCTION("""COMPUTED_VALUE"""),0)</f>
        <v>0</v>
      </c>
      <c r="U758" s="47">
        <f ca="1">IFERROR(__xludf.DUMMYFUNCTION("""COMPUTED_VALUE"""),0)</f>
        <v>0</v>
      </c>
      <c r="V758" s="47">
        <f ca="1">IFERROR(__xludf.DUMMYFUNCTION("""COMPUTED_VALUE"""),0)</f>
        <v>0</v>
      </c>
      <c r="W758" s="47">
        <f ca="1">IFERROR(__xludf.DUMMYFUNCTION("""COMPUTED_VALUE"""),0)</f>
        <v>0</v>
      </c>
      <c r="X758" s="47">
        <f ca="1">IFERROR(__xludf.DUMMYFUNCTION("""COMPUTED_VALUE"""),0)</f>
        <v>0</v>
      </c>
      <c r="Y758" s="44">
        <f ca="1">IFERROR(__xludf.DUMMYFUNCTION("""COMPUTED_VALUE"""),0)</f>
        <v>0</v>
      </c>
      <c r="Z758" s="44">
        <f ca="1">IFERROR(__xludf.DUMMYFUNCTION("""COMPUTED_VALUE"""),0)</f>
        <v>0</v>
      </c>
      <c r="AA758" s="44">
        <f ca="1">IFERROR(__xludf.DUMMYFUNCTION("""COMPUTED_VALUE"""),0)</f>
        <v>0</v>
      </c>
      <c r="AB758" s="44">
        <f ca="1">IFERROR(__xludf.DUMMYFUNCTION("""COMPUTED_VALUE"""),0)</f>
        <v>0</v>
      </c>
      <c r="AC758" s="47">
        <f ca="1">IFERROR(__xludf.DUMMYFUNCTION("""COMPUTED_VALUE"""),0)</f>
        <v>0</v>
      </c>
      <c r="AD758" s="49"/>
      <c r="AE758" s="27"/>
    </row>
    <row r="759" spans="1:31" ht="14.3">
      <c r="A759" s="42" t="str">
        <f ca="1">IFERROR(__xludf.DUMMYFUNCTION("""COMPUTED_VALUE"""),"23SDSME01021")</f>
        <v>23SDSME01021</v>
      </c>
      <c r="B759" s="43" t="str">
        <f ca="1">IFERROR(__xludf.DUMMYFUNCTION("""COMPUTED_VALUE"""),"PIPROTAR JAYESH ASHOKBHAI")</f>
        <v>PIPROTAR JAYESH ASHOKBHAI</v>
      </c>
      <c r="C759" s="42" t="str">
        <f ca="1">IFERROR(__xludf.DUMMYFUNCTION("""COMPUTED_VALUE"""),"SDS")</f>
        <v>SDS</v>
      </c>
      <c r="D759" s="42" t="str">
        <f ca="1">IFERROR(__xludf.DUMMYFUNCTION("""COMPUTED_VALUE"""),"DME")</f>
        <v>DME</v>
      </c>
      <c r="E759" s="44">
        <f ca="1">IFERROR(__xludf.DUMMYFUNCTION("""COMPUTED_VALUE"""),2)</f>
        <v>2</v>
      </c>
      <c r="F759" s="42" t="str">
        <f ca="1">IFERROR(__xludf.DUMMYFUNCTION("""COMPUTED_VALUE"""),"9925267207 9016894889")</f>
        <v>9925267207 9016894889</v>
      </c>
      <c r="G759" s="42" t="str">
        <f ca="1">IFERROR(__xludf.DUMMYFUNCTION("""COMPUTED_VALUE"""),"9925267207 9016894889")</f>
        <v>9925267207 9016894889</v>
      </c>
      <c r="H759" s="2" t="str">
        <f ca="1">IFERROR(__xludf.DUMMYFUNCTION("""COMPUTED_VALUE"""),"DME_2023-26")</f>
        <v>DME_2023-26</v>
      </c>
      <c r="I759" s="45" t="str">
        <f ca="1">IFERROR(__xludf.DUMMYFUNCTION("""COMPUTED_VALUE"""),"KSP")</f>
        <v>KSP</v>
      </c>
      <c r="J759" s="46">
        <f ca="1">IFERROR(__xludf.DUMMYFUNCTION("""COMPUTED_VALUE"""),27500)</f>
        <v>27500</v>
      </c>
      <c r="K759" s="46">
        <f ca="1">IFERROR(__xludf.DUMMYFUNCTION("""COMPUTED_VALUE"""),21250)</f>
        <v>21250</v>
      </c>
      <c r="L759" s="46">
        <f ca="1">IFERROR(__xludf.DUMMYFUNCTION("""COMPUTED_VALUE"""),0)</f>
        <v>0</v>
      </c>
      <c r="M759" s="47">
        <f ca="1">IFERROR(__xludf.DUMMYFUNCTION("""COMPUTED_VALUE"""),6250)</f>
        <v>6250</v>
      </c>
      <c r="N759" s="46">
        <f ca="1">IFERROR(__xludf.DUMMYFUNCTION("""COMPUTED_VALUE"""),0)</f>
        <v>0</v>
      </c>
      <c r="O759" s="46">
        <f ca="1">IFERROR(__xludf.DUMMYFUNCTION("""COMPUTED_VALUE"""),3000)</f>
        <v>3000</v>
      </c>
      <c r="P759" s="46">
        <f ca="1">IFERROR(__xludf.DUMMYFUNCTION("""COMPUTED_VALUE"""),3000)</f>
        <v>3000</v>
      </c>
      <c r="Q759" s="47">
        <f ca="1">IFERROR(__xludf.DUMMYFUNCTION("""COMPUTED_VALUE"""),0)</f>
        <v>0</v>
      </c>
      <c r="R759" s="24">
        <f ca="1">IFERROR(__xludf.DUMMYFUNCTION("""COMPUTED_VALUE"""),0)</f>
        <v>0</v>
      </c>
      <c r="S759" s="23">
        <f ca="1">IFERROR(__xludf.DUMMYFUNCTION("""COMPUTED_VALUE"""),0)</f>
        <v>0</v>
      </c>
      <c r="T759" s="48">
        <f ca="1">IFERROR(__xludf.DUMMYFUNCTION("""COMPUTED_VALUE"""),0)</f>
        <v>0</v>
      </c>
      <c r="U759" s="47">
        <f ca="1">IFERROR(__xludf.DUMMYFUNCTION("""COMPUTED_VALUE"""),0)</f>
        <v>0</v>
      </c>
      <c r="V759" s="47">
        <f ca="1">IFERROR(__xludf.DUMMYFUNCTION("""COMPUTED_VALUE"""),0)</f>
        <v>0</v>
      </c>
      <c r="W759" s="47">
        <f ca="1">IFERROR(__xludf.DUMMYFUNCTION("""COMPUTED_VALUE"""),0)</f>
        <v>0</v>
      </c>
      <c r="X759" s="47">
        <f ca="1">IFERROR(__xludf.DUMMYFUNCTION("""COMPUTED_VALUE"""),0)</f>
        <v>0</v>
      </c>
      <c r="Y759" s="44">
        <f ca="1">IFERROR(__xludf.DUMMYFUNCTION("""COMPUTED_VALUE"""),0)</f>
        <v>0</v>
      </c>
      <c r="Z759" s="44">
        <f ca="1">IFERROR(__xludf.DUMMYFUNCTION("""COMPUTED_VALUE"""),0)</f>
        <v>0</v>
      </c>
      <c r="AA759" s="44">
        <f ca="1">IFERROR(__xludf.DUMMYFUNCTION("""COMPUTED_VALUE"""),0)</f>
        <v>0</v>
      </c>
      <c r="AB759" s="44">
        <f ca="1">IFERROR(__xludf.DUMMYFUNCTION("""COMPUTED_VALUE"""),0)</f>
        <v>0</v>
      </c>
      <c r="AC759" s="47">
        <f ca="1">IFERROR(__xludf.DUMMYFUNCTION("""COMPUTED_VALUE"""),0)</f>
        <v>0</v>
      </c>
      <c r="AD759" s="49" t="str">
        <f ca="1">IFERROR(__xludf.DUMMYFUNCTION("""COMPUTED_VALUE"""),"KSPS ( 6250/- )")</f>
        <v>KSPS ( 6250/- )</v>
      </c>
      <c r="AE759" s="27"/>
    </row>
    <row r="760" spans="1:31" ht="14.3">
      <c r="A760" s="42" t="str">
        <f ca="1">IFERROR(__xludf.DUMMYFUNCTION("""COMPUTED_VALUE"""),"23SDSME01023")</f>
        <v>23SDSME01023</v>
      </c>
      <c r="B760" s="43" t="str">
        <f ca="1">IFERROR(__xludf.DUMMYFUNCTION("""COMPUTED_VALUE"""),"SATODIYA RAJ HITESHBHAI")</f>
        <v>SATODIYA RAJ HITESHBHAI</v>
      </c>
      <c r="C760" s="42" t="str">
        <f ca="1">IFERROR(__xludf.DUMMYFUNCTION("""COMPUTED_VALUE"""),"SDS")</f>
        <v>SDS</v>
      </c>
      <c r="D760" s="42" t="str">
        <f ca="1">IFERROR(__xludf.DUMMYFUNCTION("""COMPUTED_VALUE"""),"DME")</f>
        <v>DME</v>
      </c>
      <c r="E760" s="44">
        <f ca="1">IFERROR(__xludf.DUMMYFUNCTION("""COMPUTED_VALUE"""),2)</f>
        <v>2</v>
      </c>
      <c r="F760" s="42" t="str">
        <f ca="1">IFERROR(__xludf.DUMMYFUNCTION("""COMPUTED_VALUE"""),"9510555151 9429431915")</f>
        <v>9510555151 9429431915</v>
      </c>
      <c r="G760" s="42" t="str">
        <f ca="1">IFERROR(__xludf.DUMMYFUNCTION("""COMPUTED_VALUE"""),"9510555151 9429431915")</f>
        <v>9510555151 9429431915</v>
      </c>
      <c r="H760" s="2" t="str">
        <f ca="1">IFERROR(__xludf.DUMMYFUNCTION("""COMPUTED_VALUE"""),"DME_2023-26")</f>
        <v>DME_2023-26</v>
      </c>
      <c r="I760" s="45" t="str">
        <f ca="1">IFERROR(__xludf.DUMMYFUNCTION("""COMPUTED_VALUE"""),"KSP")</f>
        <v>KSP</v>
      </c>
      <c r="J760" s="46">
        <f ca="1">IFERROR(__xludf.DUMMYFUNCTION("""COMPUTED_VALUE"""),27500)</f>
        <v>27500</v>
      </c>
      <c r="K760" s="46">
        <f ca="1">IFERROR(__xludf.DUMMYFUNCTION("""COMPUTED_VALUE"""),21250)</f>
        <v>21250</v>
      </c>
      <c r="L760" s="46">
        <f ca="1">IFERROR(__xludf.DUMMYFUNCTION("""COMPUTED_VALUE"""),0)</f>
        <v>0</v>
      </c>
      <c r="M760" s="47">
        <f ca="1">IFERROR(__xludf.DUMMYFUNCTION("""COMPUTED_VALUE"""),6250)</f>
        <v>6250</v>
      </c>
      <c r="N760" s="46">
        <f ca="1">IFERROR(__xludf.DUMMYFUNCTION("""COMPUTED_VALUE"""),0)</f>
        <v>0</v>
      </c>
      <c r="O760" s="46">
        <f ca="1">IFERROR(__xludf.DUMMYFUNCTION("""COMPUTED_VALUE"""),3000)</f>
        <v>3000</v>
      </c>
      <c r="P760" s="46">
        <f ca="1">IFERROR(__xludf.DUMMYFUNCTION("""COMPUTED_VALUE"""),3000)</f>
        <v>3000</v>
      </c>
      <c r="Q760" s="47">
        <f ca="1">IFERROR(__xludf.DUMMYFUNCTION("""COMPUTED_VALUE"""),0)</f>
        <v>0</v>
      </c>
      <c r="R760" s="24">
        <f ca="1">IFERROR(__xludf.DUMMYFUNCTION("""COMPUTED_VALUE"""),0)</f>
        <v>0</v>
      </c>
      <c r="S760" s="23">
        <f ca="1">IFERROR(__xludf.DUMMYFUNCTION("""COMPUTED_VALUE"""),0)</f>
        <v>0</v>
      </c>
      <c r="T760" s="48">
        <f ca="1">IFERROR(__xludf.DUMMYFUNCTION("""COMPUTED_VALUE"""),0)</f>
        <v>0</v>
      </c>
      <c r="U760" s="47">
        <f ca="1">IFERROR(__xludf.DUMMYFUNCTION("""COMPUTED_VALUE"""),0)</f>
        <v>0</v>
      </c>
      <c r="V760" s="47">
        <f ca="1">IFERROR(__xludf.DUMMYFUNCTION("""COMPUTED_VALUE"""),0)</f>
        <v>0</v>
      </c>
      <c r="W760" s="47">
        <f ca="1">IFERROR(__xludf.DUMMYFUNCTION("""COMPUTED_VALUE"""),0)</f>
        <v>0</v>
      </c>
      <c r="X760" s="47">
        <f ca="1">IFERROR(__xludf.DUMMYFUNCTION("""COMPUTED_VALUE"""),0)</f>
        <v>0</v>
      </c>
      <c r="Y760" s="44">
        <f ca="1">IFERROR(__xludf.DUMMYFUNCTION("""COMPUTED_VALUE"""),0)</f>
        <v>0</v>
      </c>
      <c r="Z760" s="44">
        <f ca="1">IFERROR(__xludf.DUMMYFUNCTION("""COMPUTED_VALUE"""),0)</f>
        <v>0</v>
      </c>
      <c r="AA760" s="44">
        <f ca="1">IFERROR(__xludf.DUMMYFUNCTION("""COMPUTED_VALUE"""),0)</f>
        <v>0</v>
      </c>
      <c r="AB760" s="44">
        <f ca="1">IFERROR(__xludf.DUMMYFUNCTION("""COMPUTED_VALUE"""),0)</f>
        <v>0</v>
      </c>
      <c r="AC760" s="47">
        <f ca="1">IFERROR(__xludf.DUMMYFUNCTION("""COMPUTED_VALUE"""),0)</f>
        <v>0</v>
      </c>
      <c r="AD760" s="49" t="str">
        <f ca="1">IFERROR(__xludf.DUMMYFUNCTION("""COMPUTED_VALUE"""),"KSPS ( 6250/- )")</f>
        <v>KSPS ( 6250/- )</v>
      </c>
      <c r="AE760" s="27"/>
    </row>
    <row r="761" spans="1:31" ht="14.3">
      <c r="A761" s="42" t="str">
        <f ca="1">IFERROR(__xludf.DUMMYFUNCTION("""COMPUTED_VALUE"""),"23SDSME01024")</f>
        <v>23SDSME01024</v>
      </c>
      <c r="B761" s="43" t="str">
        <f ca="1">IFERROR(__xludf.DUMMYFUNCTION("""COMPUTED_VALUE"""),"TADHANI ANSH HARSUKHBHAI")</f>
        <v>TADHANI ANSH HARSUKHBHAI</v>
      </c>
      <c r="C761" s="42" t="str">
        <f ca="1">IFERROR(__xludf.DUMMYFUNCTION("""COMPUTED_VALUE"""),"SDS")</f>
        <v>SDS</v>
      </c>
      <c r="D761" s="42" t="str">
        <f ca="1">IFERROR(__xludf.DUMMYFUNCTION("""COMPUTED_VALUE"""),"DME")</f>
        <v>DME</v>
      </c>
      <c r="E761" s="44">
        <f ca="1">IFERROR(__xludf.DUMMYFUNCTION("""COMPUTED_VALUE"""),2)</f>
        <v>2</v>
      </c>
      <c r="F761" s="42" t="str">
        <f ca="1">IFERROR(__xludf.DUMMYFUNCTION("""COMPUTED_VALUE"""),"7777949004 9879074852")</f>
        <v>7777949004 9879074852</v>
      </c>
      <c r="G761" s="42" t="str">
        <f ca="1">IFERROR(__xludf.DUMMYFUNCTION("""COMPUTED_VALUE"""),"7777949004 9879074852")</f>
        <v>7777949004 9879074852</v>
      </c>
      <c r="H761" s="2" t="str">
        <f ca="1">IFERROR(__xludf.DUMMYFUNCTION("""COMPUTED_VALUE"""),"DME_2023-26")</f>
        <v>DME_2023-26</v>
      </c>
      <c r="I761" s="45" t="str">
        <f ca="1">IFERROR(__xludf.DUMMYFUNCTION("""COMPUTED_VALUE"""),"MYSY")</f>
        <v>MYSY</v>
      </c>
      <c r="J761" s="46">
        <f ca="1">IFERROR(__xludf.DUMMYFUNCTION("""COMPUTED_VALUE"""),27500)</f>
        <v>27500</v>
      </c>
      <c r="K761" s="46">
        <f ca="1">IFERROR(__xludf.DUMMYFUNCTION("""COMPUTED_VALUE"""),0)</f>
        <v>0</v>
      </c>
      <c r="L761" s="46">
        <f ca="1">IFERROR(__xludf.DUMMYFUNCTION("""COMPUTED_VALUE"""),0)</f>
        <v>0</v>
      </c>
      <c r="M761" s="47">
        <f ca="1">IFERROR(__xludf.DUMMYFUNCTION("""COMPUTED_VALUE"""),0)</f>
        <v>0</v>
      </c>
      <c r="N761" s="46">
        <f ca="1">IFERROR(__xludf.DUMMYFUNCTION("""COMPUTED_VALUE"""),27500)</f>
        <v>27500</v>
      </c>
      <c r="O761" s="46">
        <f ca="1">IFERROR(__xludf.DUMMYFUNCTION("""COMPUTED_VALUE"""),3000)</f>
        <v>3000</v>
      </c>
      <c r="P761" s="46">
        <f ca="1">IFERROR(__xludf.DUMMYFUNCTION("""COMPUTED_VALUE"""),3000)</f>
        <v>3000</v>
      </c>
      <c r="Q761" s="47">
        <f ca="1">IFERROR(__xludf.DUMMYFUNCTION("""COMPUTED_VALUE"""),0)</f>
        <v>0</v>
      </c>
      <c r="R761" s="24">
        <f ca="1">IFERROR(__xludf.DUMMYFUNCTION("""COMPUTED_VALUE"""),0)</f>
        <v>0</v>
      </c>
      <c r="S761" s="23">
        <f ca="1">IFERROR(__xludf.DUMMYFUNCTION("""COMPUTED_VALUE"""),0)</f>
        <v>0</v>
      </c>
      <c r="T761" s="48">
        <f ca="1">IFERROR(__xludf.DUMMYFUNCTION("""COMPUTED_VALUE"""),0)</f>
        <v>0</v>
      </c>
      <c r="U761" s="47">
        <f ca="1">IFERROR(__xludf.DUMMYFUNCTION("""COMPUTED_VALUE"""),0)</f>
        <v>0</v>
      </c>
      <c r="V761" s="47">
        <f ca="1">IFERROR(__xludf.DUMMYFUNCTION("""COMPUTED_VALUE"""),0)</f>
        <v>0</v>
      </c>
      <c r="W761" s="47">
        <f ca="1">IFERROR(__xludf.DUMMYFUNCTION("""COMPUTED_VALUE"""),0)</f>
        <v>0</v>
      </c>
      <c r="X761" s="47">
        <f ca="1">IFERROR(__xludf.DUMMYFUNCTION("""COMPUTED_VALUE"""),0)</f>
        <v>0</v>
      </c>
      <c r="Y761" s="44">
        <f ca="1">IFERROR(__xludf.DUMMYFUNCTION("""COMPUTED_VALUE"""),0)</f>
        <v>0</v>
      </c>
      <c r="Z761" s="44">
        <f ca="1">IFERROR(__xludf.DUMMYFUNCTION("""COMPUTED_VALUE"""),0)</f>
        <v>0</v>
      </c>
      <c r="AA761" s="44">
        <f ca="1">IFERROR(__xludf.DUMMYFUNCTION("""COMPUTED_VALUE"""),0)</f>
        <v>0</v>
      </c>
      <c r="AB761" s="44">
        <f ca="1">IFERROR(__xludf.DUMMYFUNCTION("""COMPUTED_VALUE"""),0)</f>
        <v>0</v>
      </c>
      <c r="AC761" s="47">
        <f ca="1">IFERROR(__xludf.DUMMYFUNCTION("""COMPUTED_VALUE"""),0)</f>
        <v>0</v>
      </c>
      <c r="AD761" s="49" t="str">
        <f ca="1">IFERROR(__xludf.DUMMYFUNCTION("""COMPUTED_VALUE"""),"MYSY (25000/-)	KSPS ( 12500/- )")</f>
        <v>MYSY (25000/-)	KSPS ( 12500/- )</v>
      </c>
      <c r="AE761" s="27"/>
    </row>
    <row r="762" spans="1:31" ht="14.3">
      <c r="A762" s="42" t="str">
        <f ca="1">IFERROR(__xludf.DUMMYFUNCTION("""COMPUTED_VALUE"""),"23SDSME01025")</f>
        <v>23SDSME01025</v>
      </c>
      <c r="B762" s="43" t="str">
        <f ca="1">IFERROR(__xludf.DUMMYFUNCTION("""COMPUTED_VALUE"""),"UMARANIYA AKSHAY MAHESHBHAI")</f>
        <v>UMARANIYA AKSHAY MAHESHBHAI</v>
      </c>
      <c r="C762" s="42" t="str">
        <f ca="1">IFERROR(__xludf.DUMMYFUNCTION("""COMPUTED_VALUE"""),"SDS")</f>
        <v>SDS</v>
      </c>
      <c r="D762" s="42" t="str">
        <f ca="1">IFERROR(__xludf.DUMMYFUNCTION("""COMPUTED_VALUE"""),"DME")</f>
        <v>DME</v>
      </c>
      <c r="E762" s="44">
        <f ca="1">IFERROR(__xludf.DUMMYFUNCTION("""COMPUTED_VALUE"""),2)</f>
        <v>2</v>
      </c>
      <c r="F762" s="42" t="str">
        <f ca="1">IFERROR(__xludf.DUMMYFUNCTION("""COMPUTED_VALUE"""),"9904044844 9825261367")</f>
        <v>9904044844 9825261367</v>
      </c>
      <c r="G762" s="42" t="str">
        <f ca="1">IFERROR(__xludf.DUMMYFUNCTION("""COMPUTED_VALUE"""),"9904044844 9825261367")</f>
        <v>9904044844 9825261367</v>
      </c>
      <c r="H762" s="2" t="str">
        <f ca="1">IFERROR(__xludf.DUMMYFUNCTION("""COMPUTED_VALUE"""),"DCE_2023-26")</f>
        <v>DCE_2023-26</v>
      </c>
      <c r="I762" s="45"/>
      <c r="J762" s="46">
        <f ca="1">IFERROR(__xludf.DUMMYFUNCTION("""COMPUTED_VALUE"""),27500)</f>
        <v>27500</v>
      </c>
      <c r="K762" s="46">
        <f ca="1">IFERROR(__xludf.DUMMYFUNCTION("""COMPUTED_VALUE"""),27500)</f>
        <v>27500</v>
      </c>
      <c r="L762" s="46">
        <f ca="1">IFERROR(__xludf.DUMMYFUNCTION("""COMPUTED_VALUE"""),0)</f>
        <v>0</v>
      </c>
      <c r="M762" s="47">
        <f ca="1">IFERROR(__xludf.DUMMYFUNCTION("""COMPUTED_VALUE"""),0)</f>
        <v>0</v>
      </c>
      <c r="N762" s="46">
        <f ca="1">IFERROR(__xludf.DUMMYFUNCTION("""COMPUTED_VALUE"""),0)</f>
        <v>0</v>
      </c>
      <c r="O762" s="46">
        <f ca="1">IFERROR(__xludf.DUMMYFUNCTION("""COMPUTED_VALUE"""),3000)</f>
        <v>3000</v>
      </c>
      <c r="P762" s="46">
        <f ca="1">IFERROR(__xludf.DUMMYFUNCTION("""COMPUTED_VALUE"""),3000)</f>
        <v>3000</v>
      </c>
      <c r="Q762" s="47">
        <f ca="1">IFERROR(__xludf.DUMMYFUNCTION("""COMPUTED_VALUE"""),0)</f>
        <v>0</v>
      </c>
      <c r="R762" s="24">
        <f ca="1">IFERROR(__xludf.DUMMYFUNCTION("""COMPUTED_VALUE"""),0)</f>
        <v>0</v>
      </c>
      <c r="S762" s="23">
        <f ca="1">IFERROR(__xludf.DUMMYFUNCTION("""COMPUTED_VALUE"""),0)</f>
        <v>0</v>
      </c>
      <c r="T762" s="48">
        <f ca="1">IFERROR(__xludf.DUMMYFUNCTION("""COMPUTED_VALUE"""),0)</f>
        <v>0</v>
      </c>
      <c r="U762" s="47">
        <f ca="1">IFERROR(__xludf.DUMMYFUNCTION("""COMPUTED_VALUE"""),0)</f>
        <v>0</v>
      </c>
      <c r="V762" s="47">
        <f ca="1">IFERROR(__xludf.DUMMYFUNCTION("""COMPUTED_VALUE"""),0)</f>
        <v>0</v>
      </c>
      <c r="W762" s="47">
        <f ca="1">IFERROR(__xludf.DUMMYFUNCTION("""COMPUTED_VALUE"""),0)</f>
        <v>0</v>
      </c>
      <c r="X762" s="47">
        <f ca="1">IFERROR(__xludf.DUMMYFUNCTION("""COMPUTED_VALUE"""),0)</f>
        <v>0</v>
      </c>
      <c r="Y762" s="44">
        <f ca="1">IFERROR(__xludf.DUMMYFUNCTION("""COMPUTED_VALUE"""),0)</f>
        <v>0</v>
      </c>
      <c r="Z762" s="44">
        <f ca="1">IFERROR(__xludf.DUMMYFUNCTION("""COMPUTED_VALUE"""),0)</f>
        <v>0</v>
      </c>
      <c r="AA762" s="44">
        <f ca="1">IFERROR(__xludf.DUMMYFUNCTION("""COMPUTED_VALUE"""),0)</f>
        <v>0</v>
      </c>
      <c r="AB762" s="44">
        <f ca="1">IFERROR(__xludf.DUMMYFUNCTION("""COMPUTED_VALUE"""),0)</f>
        <v>0</v>
      </c>
      <c r="AC762" s="47">
        <f ca="1">IFERROR(__xludf.DUMMYFUNCTION("""COMPUTED_VALUE"""),0)</f>
        <v>0</v>
      </c>
      <c r="AD762" s="49"/>
      <c r="AE762" s="27"/>
    </row>
    <row r="763" spans="1:31" ht="14.3">
      <c r="A763" s="42" t="str">
        <f ca="1">IFERROR(__xludf.DUMMYFUNCTION("""COMPUTED_VALUE"""),"23SDSME01026")</f>
        <v>23SDSME01026</v>
      </c>
      <c r="B763" s="43" t="str">
        <f ca="1">IFERROR(__xludf.DUMMYFUNCTION("""COMPUTED_VALUE"""),"AMIT RAJ")</f>
        <v>AMIT RAJ</v>
      </c>
      <c r="C763" s="42" t="str">
        <f ca="1">IFERROR(__xludf.DUMMYFUNCTION("""COMPUTED_VALUE"""),"SDS")</f>
        <v>SDS</v>
      </c>
      <c r="D763" s="42" t="str">
        <f ca="1">IFERROR(__xludf.DUMMYFUNCTION("""COMPUTED_VALUE"""),"DME")</f>
        <v>DME</v>
      </c>
      <c r="E763" s="44">
        <f ca="1">IFERROR(__xludf.DUMMYFUNCTION("""COMPUTED_VALUE"""),2)</f>
        <v>2</v>
      </c>
      <c r="F763" s="42" t="str">
        <f ca="1">IFERROR(__xludf.DUMMYFUNCTION("""COMPUTED_VALUE"""),"BIHAR STUDENT")</f>
        <v>BIHAR STUDENT</v>
      </c>
      <c r="G763" s="42" t="str">
        <f ca="1">IFERROR(__xludf.DUMMYFUNCTION("""COMPUTED_VALUE"""),"BIHAR STUDENT")</f>
        <v>BIHAR STUDENT</v>
      </c>
      <c r="H763" s="2" t="str">
        <f ca="1">IFERROR(__xludf.DUMMYFUNCTION("""COMPUTED_VALUE"""),"DME_2023-26")</f>
        <v>DME_2023-26</v>
      </c>
      <c r="I763" s="45"/>
      <c r="J763" s="46">
        <f ca="1">IFERROR(__xludf.DUMMYFUNCTION("""COMPUTED_VALUE"""),0)</f>
        <v>0</v>
      </c>
      <c r="K763" s="46">
        <f ca="1">IFERROR(__xludf.DUMMYFUNCTION("""COMPUTED_VALUE"""),0)</f>
        <v>0</v>
      </c>
      <c r="L763" s="46">
        <f ca="1">IFERROR(__xludf.DUMMYFUNCTION("""COMPUTED_VALUE"""),0)</f>
        <v>0</v>
      </c>
      <c r="M763" s="47">
        <f ca="1">IFERROR(__xludf.DUMMYFUNCTION("""COMPUTED_VALUE"""),0)</f>
        <v>0</v>
      </c>
      <c r="N763" s="46">
        <f ca="1">IFERROR(__xludf.DUMMYFUNCTION("""COMPUTED_VALUE"""),0)</f>
        <v>0</v>
      </c>
      <c r="O763" s="46">
        <f ca="1">IFERROR(__xludf.DUMMYFUNCTION("""COMPUTED_VALUE"""),0)</f>
        <v>0</v>
      </c>
      <c r="P763" s="46">
        <f ca="1">IFERROR(__xludf.DUMMYFUNCTION("""COMPUTED_VALUE"""),0)</f>
        <v>0</v>
      </c>
      <c r="Q763" s="47">
        <f ca="1">IFERROR(__xludf.DUMMYFUNCTION("""COMPUTED_VALUE"""),0)</f>
        <v>0</v>
      </c>
      <c r="R763" s="24">
        <f ca="1">IFERROR(__xludf.DUMMYFUNCTION("""COMPUTED_VALUE"""),0)</f>
        <v>0</v>
      </c>
      <c r="S763" s="23">
        <f ca="1">IFERROR(__xludf.DUMMYFUNCTION("""COMPUTED_VALUE"""),0)</f>
        <v>0</v>
      </c>
      <c r="T763" s="48">
        <f ca="1">IFERROR(__xludf.DUMMYFUNCTION("""COMPUTED_VALUE"""),0)</f>
        <v>0</v>
      </c>
      <c r="U763" s="47">
        <f ca="1">IFERROR(__xludf.DUMMYFUNCTION("""COMPUTED_VALUE"""),0)</f>
        <v>0</v>
      </c>
      <c r="V763" s="47">
        <f ca="1">IFERROR(__xludf.DUMMYFUNCTION("""COMPUTED_VALUE"""),0)</f>
        <v>0</v>
      </c>
      <c r="W763" s="47">
        <f ca="1">IFERROR(__xludf.DUMMYFUNCTION("""COMPUTED_VALUE"""),0)</f>
        <v>0</v>
      </c>
      <c r="X763" s="47">
        <f ca="1">IFERROR(__xludf.DUMMYFUNCTION("""COMPUTED_VALUE"""),0)</f>
        <v>0</v>
      </c>
      <c r="Y763" s="44">
        <f ca="1">IFERROR(__xludf.DUMMYFUNCTION("""COMPUTED_VALUE"""),0)</f>
        <v>0</v>
      </c>
      <c r="Z763" s="44">
        <f ca="1">IFERROR(__xludf.DUMMYFUNCTION("""COMPUTED_VALUE"""),0)</f>
        <v>0</v>
      </c>
      <c r="AA763" s="44">
        <f ca="1">IFERROR(__xludf.DUMMYFUNCTION("""COMPUTED_VALUE"""),0)</f>
        <v>0</v>
      </c>
      <c r="AB763" s="44">
        <f ca="1">IFERROR(__xludf.DUMMYFUNCTION("""COMPUTED_VALUE"""),0)</f>
        <v>0</v>
      </c>
      <c r="AC763" s="47">
        <f ca="1">IFERROR(__xludf.DUMMYFUNCTION("""COMPUTED_VALUE"""),0)</f>
        <v>0</v>
      </c>
      <c r="AD763" s="49"/>
      <c r="AE763" s="27"/>
    </row>
    <row r="764" spans="1:31" ht="14.3">
      <c r="A764" s="42" t="str">
        <f ca="1">IFERROR(__xludf.DUMMYFUNCTION("""COMPUTED_VALUE"""),"23SDSME01027")</f>
        <v>23SDSME01027</v>
      </c>
      <c r="B764" s="43" t="str">
        <f ca="1">IFERROR(__xludf.DUMMYFUNCTION("""COMPUTED_VALUE"""),"PARMAR SHYAM ASHOKBHAI")</f>
        <v>PARMAR SHYAM ASHOKBHAI</v>
      </c>
      <c r="C764" s="42" t="str">
        <f ca="1">IFERROR(__xludf.DUMMYFUNCTION("""COMPUTED_VALUE"""),"SDS")</f>
        <v>SDS</v>
      </c>
      <c r="D764" s="42" t="str">
        <f ca="1">IFERROR(__xludf.DUMMYFUNCTION("""COMPUTED_VALUE"""),"DME")</f>
        <v>DME</v>
      </c>
      <c r="E764" s="44">
        <f ca="1">IFERROR(__xludf.DUMMYFUNCTION("""COMPUTED_VALUE"""),2)</f>
        <v>2</v>
      </c>
      <c r="F764" s="42" t="str">
        <f ca="1">IFERROR(__xludf.DUMMYFUNCTION("""COMPUTED_VALUE"""),"9825828304
9510030367")</f>
        <v>9825828304
9510030367</v>
      </c>
      <c r="G764" s="42" t="str">
        <f ca="1">IFERROR(__xludf.DUMMYFUNCTION("""COMPUTED_VALUE"""),"9825828304
9510030367")</f>
        <v>9825828304
9510030367</v>
      </c>
      <c r="H764" s="2" t="str">
        <f ca="1">IFERROR(__xludf.DUMMYFUNCTION("""COMPUTED_VALUE"""),"DCE_2023-26")</f>
        <v>DCE_2023-26</v>
      </c>
      <c r="I764" s="45"/>
      <c r="J764" s="46">
        <f ca="1">IFERROR(__xludf.DUMMYFUNCTION("""COMPUTED_VALUE"""),27500)</f>
        <v>27500</v>
      </c>
      <c r="K764" s="46">
        <f ca="1">IFERROR(__xludf.DUMMYFUNCTION("""COMPUTED_VALUE"""),0)</f>
        <v>0</v>
      </c>
      <c r="L764" s="46">
        <f ca="1">IFERROR(__xludf.DUMMYFUNCTION("""COMPUTED_VALUE"""),0)</f>
        <v>0</v>
      </c>
      <c r="M764" s="47">
        <f ca="1">IFERROR(__xludf.DUMMYFUNCTION("""COMPUTED_VALUE"""),0)</f>
        <v>0</v>
      </c>
      <c r="N764" s="46">
        <f ca="1">IFERROR(__xludf.DUMMYFUNCTION("""COMPUTED_VALUE"""),27500)</f>
        <v>27500</v>
      </c>
      <c r="O764" s="46">
        <f ca="1">IFERROR(__xludf.DUMMYFUNCTION("""COMPUTED_VALUE"""),3000)</f>
        <v>3000</v>
      </c>
      <c r="P764" s="46">
        <f ca="1">IFERROR(__xludf.DUMMYFUNCTION("""COMPUTED_VALUE"""),0)</f>
        <v>0</v>
      </c>
      <c r="Q764" s="47">
        <f ca="1">IFERROR(__xludf.DUMMYFUNCTION("""COMPUTED_VALUE"""),0)</f>
        <v>0</v>
      </c>
      <c r="R764" s="24">
        <f ca="1">IFERROR(__xludf.DUMMYFUNCTION("""COMPUTED_VALUE"""),0)</f>
        <v>0</v>
      </c>
      <c r="S764" s="23">
        <f ca="1">IFERROR(__xludf.DUMMYFUNCTION("""COMPUTED_VALUE"""),3000)</f>
        <v>3000</v>
      </c>
      <c r="T764" s="48">
        <f ca="1">IFERROR(__xludf.DUMMYFUNCTION("""COMPUTED_VALUE"""),0)</f>
        <v>0</v>
      </c>
      <c r="U764" s="47">
        <f ca="1">IFERROR(__xludf.DUMMYFUNCTION("""COMPUTED_VALUE"""),0)</f>
        <v>0</v>
      </c>
      <c r="V764" s="47">
        <f ca="1">IFERROR(__xludf.DUMMYFUNCTION("""COMPUTED_VALUE"""),0)</f>
        <v>0</v>
      </c>
      <c r="W764" s="47">
        <f ca="1">IFERROR(__xludf.DUMMYFUNCTION("""COMPUTED_VALUE"""),0)</f>
        <v>0</v>
      </c>
      <c r="X764" s="47">
        <f ca="1">IFERROR(__xludf.DUMMYFUNCTION("""COMPUTED_VALUE"""),0)</f>
        <v>0</v>
      </c>
      <c r="Y764" s="44">
        <f ca="1">IFERROR(__xludf.DUMMYFUNCTION("""COMPUTED_VALUE"""),0)</f>
        <v>0</v>
      </c>
      <c r="Z764" s="44">
        <f ca="1">IFERROR(__xludf.DUMMYFUNCTION("""COMPUTED_VALUE"""),0)</f>
        <v>0</v>
      </c>
      <c r="AA764" s="44">
        <f ca="1">IFERROR(__xludf.DUMMYFUNCTION("""COMPUTED_VALUE"""),0)</f>
        <v>0</v>
      </c>
      <c r="AB764" s="44">
        <f ca="1">IFERROR(__xludf.DUMMYFUNCTION("""COMPUTED_VALUE"""),0)</f>
        <v>0</v>
      </c>
      <c r="AC764" s="47">
        <f ca="1">IFERROR(__xludf.DUMMYFUNCTION("""COMPUTED_VALUE"""),0)</f>
        <v>0</v>
      </c>
      <c r="AD764" s="49"/>
      <c r="AE764" s="27"/>
    </row>
    <row r="765" spans="1:31" ht="14.3">
      <c r="A765" s="42" t="str">
        <f ca="1">IFERROR(__xludf.DUMMYFUNCTION("""COMPUTED_VALUE"""),"23SDSME01001")</f>
        <v>23SDSME01001</v>
      </c>
      <c r="B765" s="43" t="str">
        <f ca="1">IFERROR(__xludf.DUMMYFUNCTION("""COMPUTED_VALUE"""),"AJANA DRAVID RAJESHBHAI")</f>
        <v>AJANA DRAVID RAJESHBHAI</v>
      </c>
      <c r="C765" s="42" t="str">
        <f ca="1">IFERROR(__xludf.DUMMYFUNCTION("""COMPUTED_VALUE"""),"SDS")</f>
        <v>SDS</v>
      </c>
      <c r="D765" s="42" t="str">
        <f ca="1">IFERROR(__xludf.DUMMYFUNCTION("""COMPUTED_VALUE"""),"DME")</f>
        <v>DME</v>
      </c>
      <c r="E765" s="44">
        <f ca="1">IFERROR(__xludf.DUMMYFUNCTION("""COMPUTED_VALUE"""),2)</f>
        <v>2</v>
      </c>
      <c r="F765" s="42" t="str">
        <f ca="1">IFERROR(__xludf.DUMMYFUNCTION("""COMPUTED_VALUE"""),"9316048654 8320656274")</f>
        <v>9316048654 8320656274</v>
      </c>
      <c r="G765" s="42" t="str">
        <f ca="1">IFERROR(__xludf.DUMMYFUNCTION("""COMPUTED_VALUE"""),"9316048654 8320656274")</f>
        <v>9316048654 8320656274</v>
      </c>
      <c r="H765" s="2" t="str">
        <f ca="1">IFERROR(__xludf.DUMMYFUNCTION("""COMPUTED_VALUE"""),"DME_2023-26")</f>
        <v>DME_2023-26</v>
      </c>
      <c r="I765" s="45"/>
      <c r="J765" s="46">
        <f ca="1">IFERROR(__xludf.DUMMYFUNCTION("""COMPUTED_VALUE"""),27500)</f>
        <v>27500</v>
      </c>
      <c r="K765" s="46">
        <f ca="1">IFERROR(__xludf.DUMMYFUNCTION("""COMPUTED_VALUE"""),27500)</f>
        <v>27500</v>
      </c>
      <c r="L765" s="46">
        <f ca="1">IFERROR(__xludf.DUMMYFUNCTION("""COMPUTED_VALUE"""),0)</f>
        <v>0</v>
      </c>
      <c r="M765" s="47">
        <f ca="1">IFERROR(__xludf.DUMMYFUNCTION("""COMPUTED_VALUE"""),0)</f>
        <v>0</v>
      </c>
      <c r="N765" s="46">
        <f ca="1">IFERROR(__xludf.DUMMYFUNCTION("""COMPUTED_VALUE"""),0)</f>
        <v>0</v>
      </c>
      <c r="O765" s="46">
        <f ca="1">IFERROR(__xludf.DUMMYFUNCTION("""COMPUTED_VALUE"""),3000)</f>
        <v>3000</v>
      </c>
      <c r="P765" s="46">
        <f ca="1">IFERROR(__xludf.DUMMYFUNCTION("""COMPUTED_VALUE"""),3000)</f>
        <v>3000</v>
      </c>
      <c r="Q765" s="47">
        <f ca="1">IFERROR(__xludf.DUMMYFUNCTION("""COMPUTED_VALUE"""),0)</f>
        <v>0</v>
      </c>
      <c r="R765" s="24">
        <f ca="1">IFERROR(__xludf.DUMMYFUNCTION("""COMPUTED_VALUE"""),0)</f>
        <v>0</v>
      </c>
      <c r="S765" s="23">
        <f ca="1">IFERROR(__xludf.DUMMYFUNCTION("""COMPUTED_VALUE"""),0)</f>
        <v>0</v>
      </c>
      <c r="T765" s="50"/>
      <c r="U765" s="44"/>
      <c r="V765" s="44"/>
      <c r="W765" s="44"/>
      <c r="X765" s="44"/>
      <c r="Y765" s="44"/>
      <c r="Z765" s="44"/>
      <c r="AA765" s="44"/>
      <c r="AB765" s="44"/>
      <c r="AC765" s="44"/>
      <c r="AD765" s="49"/>
      <c r="AE765" s="27"/>
    </row>
    <row r="766" spans="1:31" ht="14.3">
      <c r="A766" s="42" t="str">
        <f ca="1">IFERROR(__xludf.DUMMYFUNCTION("""COMPUTED_VALUE"""),"23SDSME01007")</f>
        <v>23SDSME01007</v>
      </c>
      <c r="B766" s="43" t="str">
        <f ca="1">IFERROR(__xludf.DUMMYFUNCTION("""COMPUTED_VALUE"""),"FOG ADIB ALAUDINBHAI")</f>
        <v>FOG ADIB ALAUDINBHAI</v>
      </c>
      <c r="C766" s="42" t="str">
        <f ca="1">IFERROR(__xludf.DUMMYFUNCTION("""COMPUTED_VALUE"""),"SDS")</f>
        <v>SDS</v>
      </c>
      <c r="D766" s="42" t="str">
        <f ca="1">IFERROR(__xludf.DUMMYFUNCTION("""COMPUTED_VALUE"""),"DME")</f>
        <v>DME</v>
      </c>
      <c r="E766" s="44">
        <f ca="1">IFERROR(__xludf.DUMMYFUNCTION("""COMPUTED_VALUE"""),2)</f>
        <v>2</v>
      </c>
      <c r="F766" s="42" t="str">
        <f ca="1">IFERROR(__xludf.DUMMYFUNCTION("""COMPUTED_VALUE"""),"9313067721 9427253388")</f>
        <v>9313067721 9427253388</v>
      </c>
      <c r="G766" s="42" t="str">
        <f ca="1">IFERROR(__xludf.DUMMYFUNCTION("""COMPUTED_VALUE"""),"9313067721 9427253388")</f>
        <v>9313067721 9427253388</v>
      </c>
      <c r="H766" s="2" t="str">
        <f ca="1">IFERROR(__xludf.DUMMYFUNCTION("""COMPUTED_VALUE"""),"DME_2023-26")</f>
        <v>DME_2023-26</v>
      </c>
      <c r="I766" s="45"/>
      <c r="J766" s="46">
        <f ca="1">IFERROR(__xludf.DUMMYFUNCTION("""COMPUTED_VALUE"""),27500)</f>
        <v>27500</v>
      </c>
      <c r="K766" s="46">
        <f ca="1">IFERROR(__xludf.DUMMYFUNCTION("""COMPUTED_VALUE"""),27500)</f>
        <v>27500</v>
      </c>
      <c r="L766" s="46">
        <f ca="1">IFERROR(__xludf.DUMMYFUNCTION("""COMPUTED_VALUE"""),0)</f>
        <v>0</v>
      </c>
      <c r="M766" s="47">
        <f ca="1">IFERROR(__xludf.DUMMYFUNCTION("""COMPUTED_VALUE"""),0)</f>
        <v>0</v>
      </c>
      <c r="N766" s="46">
        <f ca="1">IFERROR(__xludf.DUMMYFUNCTION("""COMPUTED_VALUE"""),0)</f>
        <v>0</v>
      </c>
      <c r="O766" s="46">
        <f ca="1">IFERROR(__xludf.DUMMYFUNCTION("""COMPUTED_VALUE"""),3000)</f>
        <v>3000</v>
      </c>
      <c r="P766" s="46">
        <f ca="1">IFERROR(__xludf.DUMMYFUNCTION("""COMPUTED_VALUE"""),3000)</f>
        <v>3000</v>
      </c>
      <c r="Q766" s="47">
        <f ca="1">IFERROR(__xludf.DUMMYFUNCTION("""COMPUTED_VALUE"""),0)</f>
        <v>0</v>
      </c>
      <c r="R766" s="24">
        <f ca="1">IFERROR(__xludf.DUMMYFUNCTION("""COMPUTED_VALUE"""),0)</f>
        <v>0</v>
      </c>
      <c r="S766" s="23">
        <f ca="1">IFERROR(__xludf.DUMMYFUNCTION("""COMPUTED_VALUE"""),0)</f>
        <v>0</v>
      </c>
      <c r="T766" s="50"/>
      <c r="U766" s="44"/>
      <c r="V766" s="44"/>
      <c r="W766" s="44"/>
      <c r="X766" s="44"/>
      <c r="Y766" s="44"/>
      <c r="Z766" s="44"/>
      <c r="AA766" s="44"/>
      <c r="AB766" s="44"/>
      <c r="AC766" s="44"/>
      <c r="AD766" s="49"/>
      <c r="AE766" s="27"/>
    </row>
    <row r="767" spans="1:31" ht="14.3">
      <c r="A767" s="42" t="str">
        <f ca="1">IFERROR(__xludf.DUMMYFUNCTION("""COMPUTED_VALUE"""),"23SDSME01008")</f>
        <v>23SDSME01008</v>
      </c>
      <c r="B767" s="43" t="str">
        <f ca="1">IFERROR(__xludf.DUMMYFUNCTION("""COMPUTED_VALUE"""),"GADHIYA MAYANK NARESHBHAI")</f>
        <v>GADHIYA MAYANK NARESHBHAI</v>
      </c>
      <c r="C767" s="42" t="str">
        <f ca="1">IFERROR(__xludf.DUMMYFUNCTION("""COMPUTED_VALUE"""),"SDS")</f>
        <v>SDS</v>
      </c>
      <c r="D767" s="42" t="str">
        <f ca="1">IFERROR(__xludf.DUMMYFUNCTION("""COMPUTED_VALUE"""),"DME")</f>
        <v>DME</v>
      </c>
      <c r="E767" s="44">
        <f ca="1">IFERROR(__xludf.DUMMYFUNCTION("""COMPUTED_VALUE"""),2)</f>
        <v>2</v>
      </c>
      <c r="F767" s="42" t="str">
        <f ca="1">IFERROR(__xludf.DUMMYFUNCTION("""COMPUTED_VALUE"""),"9773179102 7698762203")</f>
        <v>9773179102 7698762203</v>
      </c>
      <c r="G767" s="42" t="str">
        <f ca="1">IFERROR(__xludf.DUMMYFUNCTION("""COMPUTED_VALUE"""),"9773179102 7698762203")</f>
        <v>9773179102 7698762203</v>
      </c>
      <c r="H767" s="2" t="str">
        <f ca="1">IFERROR(__xludf.DUMMYFUNCTION("""COMPUTED_VALUE"""),"DME_2023-26")</f>
        <v>DME_2023-26</v>
      </c>
      <c r="I767" s="45"/>
      <c r="J767" s="46">
        <f ca="1">IFERROR(__xludf.DUMMYFUNCTION("""COMPUTED_VALUE"""),27500)</f>
        <v>27500</v>
      </c>
      <c r="K767" s="46">
        <f ca="1">IFERROR(__xludf.DUMMYFUNCTION("""COMPUTED_VALUE"""),27500)</f>
        <v>27500</v>
      </c>
      <c r="L767" s="46">
        <f ca="1">IFERROR(__xludf.DUMMYFUNCTION("""COMPUTED_VALUE"""),0)</f>
        <v>0</v>
      </c>
      <c r="M767" s="47">
        <f ca="1">IFERROR(__xludf.DUMMYFUNCTION("""COMPUTED_VALUE"""),0)</f>
        <v>0</v>
      </c>
      <c r="N767" s="46">
        <f ca="1">IFERROR(__xludf.DUMMYFUNCTION("""COMPUTED_VALUE"""),0)</f>
        <v>0</v>
      </c>
      <c r="O767" s="46">
        <f ca="1">IFERROR(__xludf.DUMMYFUNCTION("""COMPUTED_VALUE"""),3000)</f>
        <v>3000</v>
      </c>
      <c r="P767" s="46">
        <f ca="1">IFERROR(__xludf.DUMMYFUNCTION("""COMPUTED_VALUE"""),3000)</f>
        <v>3000</v>
      </c>
      <c r="Q767" s="47">
        <f ca="1">IFERROR(__xludf.DUMMYFUNCTION("""COMPUTED_VALUE"""),0)</f>
        <v>0</v>
      </c>
      <c r="R767" s="24">
        <f ca="1">IFERROR(__xludf.DUMMYFUNCTION("""COMPUTED_VALUE"""),0)</f>
        <v>0</v>
      </c>
      <c r="S767" s="23">
        <f ca="1">IFERROR(__xludf.DUMMYFUNCTION("""COMPUTED_VALUE"""),0)</f>
        <v>0</v>
      </c>
      <c r="T767" s="50"/>
      <c r="U767" s="44"/>
      <c r="V767" s="44"/>
      <c r="W767" s="44"/>
      <c r="X767" s="44"/>
      <c r="Y767" s="44"/>
      <c r="Z767" s="44"/>
      <c r="AA767" s="44"/>
      <c r="AB767" s="44"/>
      <c r="AC767" s="44"/>
      <c r="AD767" s="49"/>
      <c r="AE767" s="27"/>
    </row>
    <row r="768" spans="1:31" ht="14.3">
      <c r="A768" s="42" t="str">
        <f ca="1">IFERROR(__xludf.DUMMYFUNCTION("""COMPUTED_VALUE"""),"23SDSME01017")</f>
        <v>23SDSME01017</v>
      </c>
      <c r="B768" s="43" t="str">
        <f ca="1">IFERROR(__xludf.DUMMYFUNCTION("""COMPUTED_VALUE"""),"PADALIYA DHRUV DHARMENDRABHAI")</f>
        <v>PADALIYA DHRUV DHARMENDRABHAI</v>
      </c>
      <c r="C768" s="42" t="str">
        <f ca="1">IFERROR(__xludf.DUMMYFUNCTION("""COMPUTED_VALUE"""),"SDS")</f>
        <v>SDS</v>
      </c>
      <c r="D768" s="42" t="str">
        <f ca="1">IFERROR(__xludf.DUMMYFUNCTION("""COMPUTED_VALUE"""),"DME")</f>
        <v>DME</v>
      </c>
      <c r="E768" s="44">
        <f ca="1">IFERROR(__xludf.DUMMYFUNCTION("""COMPUTED_VALUE"""),2)</f>
        <v>2</v>
      </c>
      <c r="F768" s="42" t="str">
        <f ca="1">IFERROR(__xludf.DUMMYFUNCTION("""COMPUTED_VALUE"""),"9978809545 9724177353")</f>
        <v>9978809545 9724177353</v>
      </c>
      <c r="G768" s="42" t="str">
        <f ca="1">IFERROR(__xludf.DUMMYFUNCTION("""COMPUTED_VALUE"""),"9978809545 9724177353")</f>
        <v>9978809545 9724177353</v>
      </c>
      <c r="H768" s="2" t="str">
        <f ca="1">IFERROR(__xludf.DUMMYFUNCTION("""COMPUTED_VALUE"""),"DME_2023-26")</f>
        <v>DME_2023-26</v>
      </c>
      <c r="I768" s="45" t="str">
        <f ca="1">IFERROR(__xludf.DUMMYFUNCTION("""COMPUTED_VALUE"""),"KSP")</f>
        <v>KSP</v>
      </c>
      <c r="J768" s="46">
        <f ca="1">IFERROR(__xludf.DUMMYFUNCTION("""COMPUTED_VALUE"""),27500)</f>
        <v>27500</v>
      </c>
      <c r="K768" s="46">
        <f ca="1">IFERROR(__xludf.DUMMYFUNCTION("""COMPUTED_VALUE"""),15000)</f>
        <v>15000</v>
      </c>
      <c r="L768" s="46">
        <f ca="1">IFERROR(__xludf.DUMMYFUNCTION("""COMPUTED_VALUE"""),0)</f>
        <v>0</v>
      </c>
      <c r="M768" s="47">
        <f ca="1">IFERROR(__xludf.DUMMYFUNCTION("""COMPUTED_VALUE"""),12500)</f>
        <v>12500</v>
      </c>
      <c r="N768" s="46">
        <f ca="1">IFERROR(__xludf.DUMMYFUNCTION("""COMPUTED_VALUE"""),0)</f>
        <v>0</v>
      </c>
      <c r="O768" s="46">
        <f ca="1">IFERROR(__xludf.DUMMYFUNCTION("""COMPUTED_VALUE"""),3000)</f>
        <v>3000</v>
      </c>
      <c r="P768" s="46">
        <f ca="1">IFERROR(__xludf.DUMMYFUNCTION("""COMPUTED_VALUE"""),3000)</f>
        <v>3000</v>
      </c>
      <c r="Q768" s="47">
        <f ca="1">IFERROR(__xludf.DUMMYFUNCTION("""COMPUTED_VALUE"""),0)</f>
        <v>0</v>
      </c>
      <c r="R768" s="24">
        <f ca="1">IFERROR(__xludf.DUMMYFUNCTION("""COMPUTED_VALUE"""),0)</f>
        <v>0</v>
      </c>
      <c r="S768" s="23">
        <f ca="1">IFERROR(__xludf.DUMMYFUNCTION("""COMPUTED_VALUE"""),0)</f>
        <v>0</v>
      </c>
      <c r="T768" s="50"/>
      <c r="U768" s="44"/>
      <c r="V768" s="44"/>
      <c r="W768" s="44"/>
      <c r="X768" s="44"/>
      <c r="Y768" s="44"/>
      <c r="Z768" s="44"/>
      <c r="AA768" s="44"/>
      <c r="AB768" s="44"/>
      <c r="AC768" s="44"/>
      <c r="AD768" s="49" t="str">
        <f ca="1">IFERROR(__xludf.DUMMYFUNCTION("""COMPUTED_VALUE"""),"KSPS ( 12500/- )")</f>
        <v>KSPS ( 12500/- )</v>
      </c>
      <c r="AE768" s="27"/>
    </row>
    <row r="769" spans="1:31" ht="14.3">
      <c r="A769" s="42" t="str">
        <f ca="1">IFERROR(__xludf.DUMMYFUNCTION("""COMPUTED_VALUE"""),"23SDSME01018")</f>
        <v>23SDSME01018</v>
      </c>
      <c r="B769" s="43" t="str">
        <f ca="1">IFERROR(__xludf.DUMMYFUNCTION("""COMPUTED_VALUE"""),"PADALIYA KAMAL BHAVESHBHAI")</f>
        <v>PADALIYA KAMAL BHAVESHBHAI</v>
      </c>
      <c r="C769" s="42" t="str">
        <f ca="1">IFERROR(__xludf.DUMMYFUNCTION("""COMPUTED_VALUE"""),"SDS")</f>
        <v>SDS</v>
      </c>
      <c r="D769" s="42" t="str">
        <f ca="1">IFERROR(__xludf.DUMMYFUNCTION("""COMPUTED_VALUE"""),"DME")</f>
        <v>DME</v>
      </c>
      <c r="E769" s="44">
        <f ca="1">IFERROR(__xludf.DUMMYFUNCTION("""COMPUTED_VALUE"""),2)</f>
        <v>2</v>
      </c>
      <c r="F769" s="42" t="str">
        <f ca="1">IFERROR(__xludf.DUMMYFUNCTION("""COMPUTED_VALUE"""),"8799466639 8780682309")</f>
        <v>8799466639 8780682309</v>
      </c>
      <c r="G769" s="42" t="str">
        <f ca="1">IFERROR(__xludf.DUMMYFUNCTION("""COMPUTED_VALUE"""),"8799466639 8780682309")</f>
        <v>8799466639 8780682309</v>
      </c>
      <c r="H769" s="2" t="str">
        <f ca="1">IFERROR(__xludf.DUMMYFUNCTION("""COMPUTED_VALUE"""),"DME_2023-26")</f>
        <v>DME_2023-26</v>
      </c>
      <c r="I769" s="45"/>
      <c r="J769" s="46">
        <f ca="1">IFERROR(__xludf.DUMMYFUNCTION("""COMPUTED_VALUE"""),27500)</f>
        <v>27500</v>
      </c>
      <c r="K769" s="46">
        <f ca="1">IFERROR(__xludf.DUMMYFUNCTION("""COMPUTED_VALUE"""),27500)</f>
        <v>27500</v>
      </c>
      <c r="L769" s="46">
        <f ca="1">IFERROR(__xludf.DUMMYFUNCTION("""COMPUTED_VALUE"""),0)</f>
        <v>0</v>
      </c>
      <c r="M769" s="47">
        <f ca="1">IFERROR(__xludf.DUMMYFUNCTION("""COMPUTED_VALUE"""),0)</f>
        <v>0</v>
      </c>
      <c r="N769" s="46">
        <f ca="1">IFERROR(__xludf.DUMMYFUNCTION("""COMPUTED_VALUE"""),0)</f>
        <v>0</v>
      </c>
      <c r="O769" s="46">
        <f ca="1">IFERROR(__xludf.DUMMYFUNCTION("""COMPUTED_VALUE"""),3000)</f>
        <v>3000</v>
      </c>
      <c r="P769" s="46">
        <f ca="1">IFERROR(__xludf.DUMMYFUNCTION("""COMPUTED_VALUE"""),3000)</f>
        <v>3000</v>
      </c>
      <c r="Q769" s="47">
        <f ca="1">IFERROR(__xludf.DUMMYFUNCTION("""COMPUTED_VALUE"""),0)</f>
        <v>0</v>
      </c>
      <c r="R769" s="24">
        <f ca="1">IFERROR(__xludf.DUMMYFUNCTION("""COMPUTED_VALUE"""),0)</f>
        <v>0</v>
      </c>
      <c r="S769" s="23">
        <f ca="1">IFERROR(__xludf.DUMMYFUNCTION("""COMPUTED_VALUE"""),0)</f>
        <v>0</v>
      </c>
      <c r="T769" s="50"/>
      <c r="U769" s="44"/>
      <c r="V769" s="44"/>
      <c r="W769" s="44"/>
      <c r="X769" s="44"/>
      <c r="Y769" s="44"/>
      <c r="Z769" s="44"/>
      <c r="AA769" s="44"/>
      <c r="AB769" s="44"/>
      <c r="AC769" s="44"/>
      <c r="AD769" s="49"/>
      <c r="AE769" s="27"/>
    </row>
    <row r="770" spans="1:31" ht="14.3">
      <c r="A770" s="42" t="str">
        <f ca="1">IFERROR(__xludf.DUMMYFUNCTION("""COMPUTED_VALUE"""),"23SDSME01022")</f>
        <v>23SDSME01022</v>
      </c>
      <c r="B770" s="43" t="str">
        <f ca="1">IFERROR(__xludf.DUMMYFUNCTION("""COMPUTED_VALUE"""),"RATHOD RAJ BIPINBHAI")</f>
        <v>RATHOD RAJ BIPINBHAI</v>
      </c>
      <c r="C770" s="42" t="str">
        <f ca="1">IFERROR(__xludf.DUMMYFUNCTION("""COMPUTED_VALUE"""),"SDS")</f>
        <v>SDS</v>
      </c>
      <c r="D770" s="42" t="str">
        <f ca="1">IFERROR(__xludf.DUMMYFUNCTION("""COMPUTED_VALUE"""),"DME")</f>
        <v>DME</v>
      </c>
      <c r="E770" s="44">
        <f ca="1">IFERROR(__xludf.DUMMYFUNCTION("""COMPUTED_VALUE"""),2)</f>
        <v>2</v>
      </c>
      <c r="F770" s="42" t="str">
        <f ca="1">IFERROR(__xludf.DUMMYFUNCTION("""COMPUTED_VALUE"""),"9313446351 6351081595")</f>
        <v>9313446351 6351081595</v>
      </c>
      <c r="G770" s="42" t="str">
        <f ca="1">IFERROR(__xludf.DUMMYFUNCTION("""COMPUTED_VALUE"""),"9313446351 6351081595")</f>
        <v>9313446351 6351081595</v>
      </c>
      <c r="H770" s="2" t="str">
        <f ca="1">IFERROR(__xludf.DUMMYFUNCTION("""COMPUTED_VALUE"""),"DME_2023-26")</f>
        <v>DME_2023-26</v>
      </c>
      <c r="I770" s="45" t="str">
        <f ca="1">IFERROR(__xludf.DUMMYFUNCTION("""COMPUTED_VALUE"""),"KSP")</f>
        <v>KSP</v>
      </c>
      <c r="J770" s="46">
        <f ca="1">IFERROR(__xludf.DUMMYFUNCTION("""COMPUTED_VALUE"""),27500)</f>
        <v>27500</v>
      </c>
      <c r="K770" s="46">
        <f ca="1">IFERROR(__xludf.DUMMYFUNCTION("""COMPUTED_VALUE"""),0)</f>
        <v>0</v>
      </c>
      <c r="L770" s="46">
        <f ca="1">IFERROR(__xludf.DUMMYFUNCTION("""COMPUTED_VALUE"""),0)</f>
        <v>0</v>
      </c>
      <c r="M770" s="47">
        <f ca="1">IFERROR(__xludf.DUMMYFUNCTION("""COMPUTED_VALUE"""),12500)</f>
        <v>12500</v>
      </c>
      <c r="N770" s="46">
        <f ca="1">IFERROR(__xludf.DUMMYFUNCTION("""COMPUTED_VALUE"""),15000)</f>
        <v>15000</v>
      </c>
      <c r="O770" s="46">
        <f ca="1">IFERROR(__xludf.DUMMYFUNCTION("""COMPUTED_VALUE"""),3000)</f>
        <v>3000</v>
      </c>
      <c r="P770" s="46">
        <f ca="1">IFERROR(__xludf.DUMMYFUNCTION("""COMPUTED_VALUE"""),0)</f>
        <v>0</v>
      </c>
      <c r="Q770" s="47">
        <f ca="1">IFERROR(__xludf.DUMMYFUNCTION("""COMPUTED_VALUE"""),0)</f>
        <v>0</v>
      </c>
      <c r="R770" s="24">
        <f ca="1">IFERROR(__xludf.DUMMYFUNCTION("""COMPUTED_VALUE"""),0)</f>
        <v>0</v>
      </c>
      <c r="S770" s="23">
        <f ca="1">IFERROR(__xludf.DUMMYFUNCTION("""COMPUTED_VALUE"""),3000)</f>
        <v>3000</v>
      </c>
      <c r="T770" s="50"/>
      <c r="U770" s="44"/>
      <c r="V770" s="44"/>
      <c r="W770" s="44"/>
      <c r="X770" s="44"/>
      <c r="Y770" s="44"/>
      <c r="Z770" s="44"/>
      <c r="AA770" s="44"/>
      <c r="AB770" s="44"/>
      <c r="AC770" s="44"/>
      <c r="AD770" s="49" t="str">
        <f ca="1">IFERROR(__xludf.DUMMYFUNCTION("""COMPUTED_VALUE"""),"KSPS ( 12500/- )")</f>
        <v>KSPS ( 12500/- )</v>
      </c>
      <c r="AE770" s="27"/>
    </row>
    <row r="771" spans="1:31" ht="14.3">
      <c r="A771" s="42" t="str">
        <f ca="1">IFERROR(__xludf.DUMMYFUNCTION("""COMPUTED_VALUE"""),"22SDSME01002")</f>
        <v>22SDSME01002</v>
      </c>
      <c r="B771" s="43" t="str">
        <f ca="1">IFERROR(__xludf.DUMMYFUNCTION("""COMPUTED_VALUE"""),"BARASIYA SMIT VIJAYBHAI")</f>
        <v>BARASIYA SMIT VIJAYBHAI</v>
      </c>
      <c r="C771" s="42" t="str">
        <f ca="1">IFERROR(__xludf.DUMMYFUNCTION("""COMPUTED_VALUE"""),"SDS")</f>
        <v>SDS</v>
      </c>
      <c r="D771" s="42" t="str">
        <f ca="1">IFERROR(__xludf.DUMMYFUNCTION("""COMPUTED_VALUE"""),"DME")</f>
        <v>DME</v>
      </c>
      <c r="E771" s="44">
        <f ca="1">IFERROR(__xludf.DUMMYFUNCTION("""COMPUTED_VALUE"""),4)</f>
        <v>4</v>
      </c>
      <c r="F771" s="42" t="str">
        <f ca="1">IFERROR(__xludf.DUMMYFUNCTION("""COMPUTED_VALUE"""),"7434052706 9727527302")</f>
        <v>7434052706 9727527302</v>
      </c>
      <c r="G771" s="42" t="str">
        <f ca="1">IFERROR(__xludf.DUMMYFUNCTION("""COMPUTED_VALUE"""),"7434052706 9727527302")</f>
        <v>7434052706 9727527302</v>
      </c>
      <c r="H771" s="2" t="str">
        <f ca="1">IFERROR(__xludf.DUMMYFUNCTION("""COMPUTED_VALUE"""),"DME_2022-25")</f>
        <v>DME_2022-25</v>
      </c>
      <c r="I771" s="45" t="str">
        <f ca="1">IFERROR(__xludf.DUMMYFUNCTION("""COMPUTED_VALUE"""),"KSP")</f>
        <v>KSP</v>
      </c>
      <c r="J771" s="46">
        <f ca="1">IFERROR(__xludf.DUMMYFUNCTION("""COMPUTED_VALUE"""),25000)</f>
        <v>25000</v>
      </c>
      <c r="K771" s="46">
        <f ca="1">IFERROR(__xludf.DUMMYFUNCTION("""COMPUTED_VALUE"""),12500)</f>
        <v>12500</v>
      </c>
      <c r="L771" s="46">
        <f ca="1">IFERROR(__xludf.DUMMYFUNCTION("""COMPUTED_VALUE"""),0)</f>
        <v>0</v>
      </c>
      <c r="M771" s="47">
        <f ca="1">IFERROR(__xludf.DUMMYFUNCTION("""COMPUTED_VALUE"""),12500)</f>
        <v>12500</v>
      </c>
      <c r="N771" s="46">
        <f ca="1">IFERROR(__xludf.DUMMYFUNCTION("""COMPUTED_VALUE"""),0)</f>
        <v>0</v>
      </c>
      <c r="O771" s="46">
        <f ca="1">IFERROR(__xludf.DUMMYFUNCTION("""COMPUTED_VALUE"""),3000)</f>
        <v>3000</v>
      </c>
      <c r="P771" s="46">
        <f ca="1">IFERROR(__xludf.DUMMYFUNCTION("""COMPUTED_VALUE"""),3000)</f>
        <v>3000</v>
      </c>
      <c r="Q771" s="47">
        <f ca="1">IFERROR(__xludf.DUMMYFUNCTION("""COMPUTED_VALUE"""),0)</f>
        <v>0</v>
      </c>
      <c r="R771" s="24">
        <f ca="1">IFERROR(__xludf.DUMMYFUNCTION("""COMPUTED_VALUE"""),0)</f>
        <v>0</v>
      </c>
      <c r="S771" s="23">
        <f ca="1">IFERROR(__xludf.DUMMYFUNCTION("""COMPUTED_VALUE"""),0)</f>
        <v>0</v>
      </c>
      <c r="T771" s="48">
        <f ca="1">IFERROR(__xludf.DUMMYFUNCTION("""COMPUTED_VALUE"""),0)</f>
        <v>0</v>
      </c>
      <c r="U771" s="47">
        <f ca="1">IFERROR(__xludf.DUMMYFUNCTION("""COMPUTED_VALUE"""),0)</f>
        <v>0</v>
      </c>
      <c r="V771" s="47">
        <f ca="1">IFERROR(__xludf.DUMMYFUNCTION("""COMPUTED_VALUE"""),0)</f>
        <v>0</v>
      </c>
      <c r="W771" s="47">
        <f ca="1">IFERROR(__xludf.DUMMYFUNCTION("""COMPUTED_VALUE"""),0)</f>
        <v>0</v>
      </c>
      <c r="X771" s="47">
        <f ca="1">IFERROR(__xludf.DUMMYFUNCTION("""COMPUTED_VALUE"""),0)</f>
        <v>0</v>
      </c>
      <c r="Y771" s="44">
        <f ca="1">IFERROR(__xludf.DUMMYFUNCTION("""COMPUTED_VALUE"""),0)</f>
        <v>0</v>
      </c>
      <c r="Z771" s="44">
        <f ca="1">IFERROR(__xludf.DUMMYFUNCTION("""COMPUTED_VALUE"""),0)</f>
        <v>0</v>
      </c>
      <c r="AA771" s="44">
        <f ca="1">IFERROR(__xludf.DUMMYFUNCTION("""COMPUTED_VALUE"""),0)</f>
        <v>0</v>
      </c>
      <c r="AB771" s="44">
        <f ca="1">IFERROR(__xludf.DUMMYFUNCTION("""COMPUTED_VALUE"""),0)</f>
        <v>0</v>
      </c>
      <c r="AC771" s="47">
        <f ca="1">IFERROR(__xludf.DUMMYFUNCTION("""COMPUTED_VALUE"""),0)</f>
        <v>0</v>
      </c>
      <c r="AD771" s="49"/>
      <c r="AE771" s="27"/>
    </row>
    <row r="772" spans="1:31" ht="14.3">
      <c r="A772" s="42" t="str">
        <f ca="1">IFERROR(__xludf.DUMMYFUNCTION("""COMPUTED_VALUE"""),"22SDSME01004")</f>
        <v>22SDSME01004</v>
      </c>
      <c r="B772" s="43" t="str">
        <f ca="1">IFERROR(__xludf.DUMMYFUNCTION("""COMPUTED_VALUE"""),"GONDALIYA MANTHAN ASHWINBHAI")</f>
        <v>GONDALIYA MANTHAN ASHWINBHAI</v>
      </c>
      <c r="C772" s="42" t="str">
        <f ca="1">IFERROR(__xludf.DUMMYFUNCTION("""COMPUTED_VALUE"""),"SDS")</f>
        <v>SDS</v>
      </c>
      <c r="D772" s="42" t="str">
        <f ca="1">IFERROR(__xludf.DUMMYFUNCTION("""COMPUTED_VALUE"""),"DME")</f>
        <v>DME</v>
      </c>
      <c r="E772" s="44">
        <f ca="1">IFERROR(__xludf.DUMMYFUNCTION("""COMPUTED_VALUE"""),4)</f>
        <v>4</v>
      </c>
      <c r="F772" s="42" t="str">
        <f ca="1">IFERROR(__xludf.DUMMYFUNCTION("""COMPUTED_VALUE"""),"8735875205 9879173531")</f>
        <v>8735875205 9879173531</v>
      </c>
      <c r="G772" s="42" t="str">
        <f ca="1">IFERROR(__xludf.DUMMYFUNCTION("""COMPUTED_VALUE"""),"8735875205 9879173531")</f>
        <v>8735875205 9879173531</v>
      </c>
      <c r="H772" s="2" t="str">
        <f ca="1">IFERROR(__xludf.DUMMYFUNCTION("""COMPUTED_VALUE"""),"DME_2022-25")</f>
        <v>DME_2022-25</v>
      </c>
      <c r="I772" s="45"/>
      <c r="J772" s="46">
        <f ca="1">IFERROR(__xludf.DUMMYFUNCTION("""COMPUTED_VALUE"""),25000)</f>
        <v>25000</v>
      </c>
      <c r="K772" s="46">
        <f ca="1">IFERROR(__xludf.DUMMYFUNCTION("""COMPUTED_VALUE"""),25000)</f>
        <v>25000</v>
      </c>
      <c r="L772" s="46">
        <f ca="1">IFERROR(__xludf.DUMMYFUNCTION("""COMPUTED_VALUE"""),0)</f>
        <v>0</v>
      </c>
      <c r="M772" s="47">
        <f ca="1">IFERROR(__xludf.DUMMYFUNCTION("""COMPUTED_VALUE"""),0)</f>
        <v>0</v>
      </c>
      <c r="N772" s="46">
        <f ca="1">IFERROR(__xludf.DUMMYFUNCTION("""COMPUTED_VALUE"""),0)</f>
        <v>0</v>
      </c>
      <c r="O772" s="46">
        <f ca="1">IFERROR(__xludf.DUMMYFUNCTION("""COMPUTED_VALUE"""),3000)</f>
        <v>3000</v>
      </c>
      <c r="P772" s="46">
        <f ca="1">IFERROR(__xludf.DUMMYFUNCTION("""COMPUTED_VALUE"""),3000)</f>
        <v>3000</v>
      </c>
      <c r="Q772" s="47">
        <f ca="1">IFERROR(__xludf.DUMMYFUNCTION("""COMPUTED_VALUE"""),0)</f>
        <v>0</v>
      </c>
      <c r="R772" s="24">
        <f ca="1">IFERROR(__xludf.DUMMYFUNCTION("""COMPUTED_VALUE"""),0)</f>
        <v>0</v>
      </c>
      <c r="S772" s="23">
        <f ca="1">IFERROR(__xludf.DUMMYFUNCTION("""COMPUTED_VALUE"""),0)</f>
        <v>0</v>
      </c>
      <c r="T772" s="48">
        <f ca="1">IFERROR(__xludf.DUMMYFUNCTION("""COMPUTED_VALUE"""),0)</f>
        <v>0</v>
      </c>
      <c r="U772" s="47">
        <f ca="1">IFERROR(__xludf.DUMMYFUNCTION("""COMPUTED_VALUE"""),0)</f>
        <v>0</v>
      </c>
      <c r="V772" s="47">
        <f ca="1">IFERROR(__xludf.DUMMYFUNCTION("""COMPUTED_VALUE"""),0)</f>
        <v>0</v>
      </c>
      <c r="W772" s="47">
        <f ca="1">IFERROR(__xludf.DUMMYFUNCTION("""COMPUTED_VALUE"""),0)</f>
        <v>0</v>
      </c>
      <c r="X772" s="47">
        <f ca="1">IFERROR(__xludf.DUMMYFUNCTION("""COMPUTED_VALUE"""),0)</f>
        <v>0</v>
      </c>
      <c r="Y772" s="44">
        <f ca="1">IFERROR(__xludf.DUMMYFUNCTION("""COMPUTED_VALUE"""),0)</f>
        <v>0</v>
      </c>
      <c r="Z772" s="44">
        <f ca="1">IFERROR(__xludf.DUMMYFUNCTION("""COMPUTED_VALUE"""),0)</f>
        <v>0</v>
      </c>
      <c r="AA772" s="44">
        <f ca="1">IFERROR(__xludf.DUMMYFUNCTION("""COMPUTED_VALUE"""),0)</f>
        <v>0</v>
      </c>
      <c r="AB772" s="44">
        <f ca="1">IFERROR(__xludf.DUMMYFUNCTION("""COMPUTED_VALUE"""),0)</f>
        <v>0</v>
      </c>
      <c r="AC772" s="47">
        <f ca="1">IFERROR(__xludf.DUMMYFUNCTION("""COMPUTED_VALUE"""),0)</f>
        <v>0</v>
      </c>
      <c r="AD772" s="49"/>
      <c r="AE772" s="27"/>
    </row>
    <row r="773" spans="1:31" ht="23.1">
      <c r="A773" s="42" t="str">
        <f ca="1">IFERROR(__xludf.DUMMYFUNCTION("""COMPUTED_VALUE"""),"22SDSME01005")</f>
        <v>22SDSME01005</v>
      </c>
      <c r="B773" s="43" t="str">
        <f ca="1">IFERROR(__xludf.DUMMYFUNCTION("""COMPUTED_VALUE"""),"GONDALIYA PURVAJ SANJAYBHAI")</f>
        <v>GONDALIYA PURVAJ SANJAYBHAI</v>
      </c>
      <c r="C773" s="42" t="str">
        <f ca="1">IFERROR(__xludf.DUMMYFUNCTION("""COMPUTED_VALUE"""),"SDS")</f>
        <v>SDS</v>
      </c>
      <c r="D773" s="42" t="str">
        <f ca="1">IFERROR(__xludf.DUMMYFUNCTION("""COMPUTED_VALUE"""),"DME")</f>
        <v>DME</v>
      </c>
      <c r="E773" s="44">
        <f ca="1">IFERROR(__xludf.DUMMYFUNCTION("""COMPUTED_VALUE"""),4)</f>
        <v>4</v>
      </c>
      <c r="F773" s="42" t="str">
        <f ca="1">IFERROR(__xludf.DUMMYFUNCTION("""COMPUTED_VALUE"""),"7567358087
9426787319")</f>
        <v>7567358087
9426787319</v>
      </c>
      <c r="G773" s="42" t="str">
        <f ca="1">IFERROR(__xludf.DUMMYFUNCTION("""COMPUTED_VALUE"""),"7567358087
9426787319")</f>
        <v>7567358087
9426787319</v>
      </c>
      <c r="H773" s="2" t="str">
        <f ca="1">IFERROR(__xludf.DUMMYFUNCTION("""COMPUTED_VALUE"""),"DME_2022-25")</f>
        <v>DME_2022-25</v>
      </c>
      <c r="I773" s="45" t="str">
        <f ca="1">IFERROR(__xludf.DUMMYFUNCTION("""COMPUTED_VALUE"""),"KSP")</f>
        <v>KSP</v>
      </c>
      <c r="J773" s="46">
        <f ca="1">IFERROR(__xludf.DUMMYFUNCTION("""COMPUTED_VALUE"""),25000)</f>
        <v>25000</v>
      </c>
      <c r="K773" s="46">
        <f ca="1">IFERROR(__xludf.DUMMYFUNCTION("""COMPUTED_VALUE"""),18750)</f>
        <v>18750</v>
      </c>
      <c r="L773" s="46">
        <f ca="1">IFERROR(__xludf.DUMMYFUNCTION("""COMPUTED_VALUE"""),0)</f>
        <v>0</v>
      </c>
      <c r="M773" s="47">
        <f ca="1">IFERROR(__xludf.DUMMYFUNCTION("""COMPUTED_VALUE"""),6250)</f>
        <v>6250</v>
      </c>
      <c r="N773" s="46">
        <f ca="1">IFERROR(__xludf.DUMMYFUNCTION("""COMPUTED_VALUE"""),0)</f>
        <v>0</v>
      </c>
      <c r="O773" s="46">
        <f ca="1">IFERROR(__xludf.DUMMYFUNCTION("""COMPUTED_VALUE"""),3000)</f>
        <v>3000</v>
      </c>
      <c r="P773" s="46">
        <f ca="1">IFERROR(__xludf.DUMMYFUNCTION("""COMPUTED_VALUE"""),3000)</f>
        <v>3000</v>
      </c>
      <c r="Q773" s="47">
        <f ca="1">IFERROR(__xludf.DUMMYFUNCTION("""COMPUTED_VALUE"""),0)</f>
        <v>0</v>
      </c>
      <c r="R773" s="24">
        <f ca="1">IFERROR(__xludf.DUMMYFUNCTION("""COMPUTED_VALUE"""),0)</f>
        <v>0</v>
      </c>
      <c r="S773" s="23">
        <f ca="1">IFERROR(__xludf.DUMMYFUNCTION("""COMPUTED_VALUE"""),0)</f>
        <v>0</v>
      </c>
      <c r="T773" s="48">
        <f ca="1">IFERROR(__xludf.DUMMYFUNCTION("""COMPUTED_VALUE"""),0)</f>
        <v>0</v>
      </c>
      <c r="U773" s="47">
        <f ca="1">IFERROR(__xludf.DUMMYFUNCTION("""COMPUTED_VALUE"""),0)</f>
        <v>0</v>
      </c>
      <c r="V773" s="47">
        <f ca="1">IFERROR(__xludf.DUMMYFUNCTION("""COMPUTED_VALUE"""),0)</f>
        <v>0</v>
      </c>
      <c r="W773" s="47">
        <f ca="1">IFERROR(__xludf.DUMMYFUNCTION("""COMPUTED_VALUE"""),0)</f>
        <v>0</v>
      </c>
      <c r="X773" s="47">
        <f ca="1">IFERROR(__xludf.DUMMYFUNCTION("""COMPUTED_VALUE"""),0)</f>
        <v>0</v>
      </c>
      <c r="Y773" s="44">
        <f ca="1">IFERROR(__xludf.DUMMYFUNCTION("""COMPUTED_VALUE"""),0)</f>
        <v>0</v>
      </c>
      <c r="Z773" s="44">
        <f ca="1">IFERROR(__xludf.DUMMYFUNCTION("""COMPUTED_VALUE"""),0)</f>
        <v>0</v>
      </c>
      <c r="AA773" s="44">
        <f ca="1">IFERROR(__xludf.DUMMYFUNCTION("""COMPUTED_VALUE"""),0)</f>
        <v>0</v>
      </c>
      <c r="AB773" s="44">
        <f ca="1">IFERROR(__xludf.DUMMYFUNCTION("""COMPUTED_VALUE"""),0)</f>
        <v>0</v>
      </c>
      <c r="AC773" s="47">
        <f ca="1">IFERROR(__xludf.DUMMYFUNCTION("""COMPUTED_VALUE"""),0)</f>
        <v>0</v>
      </c>
      <c r="AD773" s="49" t="str">
        <f ca="1">IFERROR(__xludf.DUMMYFUNCTION("""COMPUTED_VALUE"""),"RS 6250 SCHOLARSHIP PER SEMESTER")</f>
        <v>RS 6250 SCHOLARSHIP PER SEMESTER</v>
      </c>
      <c r="AE773" s="27"/>
    </row>
    <row r="774" spans="1:31" ht="14.3">
      <c r="A774" s="42" t="str">
        <f ca="1">IFERROR(__xludf.DUMMYFUNCTION("""COMPUTED_VALUE"""),"22SDSME01007")</f>
        <v>22SDSME01007</v>
      </c>
      <c r="B774" s="43" t="str">
        <f ca="1">IFERROR(__xludf.DUMMYFUNCTION("""COMPUTED_VALUE"""),"KALARIYA PARTH JAYESHBHAI")</f>
        <v>KALARIYA PARTH JAYESHBHAI</v>
      </c>
      <c r="C774" s="42" t="str">
        <f ca="1">IFERROR(__xludf.DUMMYFUNCTION("""COMPUTED_VALUE"""),"SDS")</f>
        <v>SDS</v>
      </c>
      <c r="D774" s="42" t="str">
        <f ca="1">IFERROR(__xludf.DUMMYFUNCTION("""COMPUTED_VALUE"""),"DME")</f>
        <v>DME</v>
      </c>
      <c r="E774" s="44">
        <f ca="1">IFERROR(__xludf.DUMMYFUNCTION("""COMPUTED_VALUE"""),4)</f>
        <v>4</v>
      </c>
      <c r="F774" s="42" t="str">
        <f ca="1">IFERROR(__xludf.DUMMYFUNCTION("""COMPUTED_VALUE"""),"8469577567  7046912942")</f>
        <v>8469577567  7046912942</v>
      </c>
      <c r="G774" s="42" t="str">
        <f ca="1">IFERROR(__xludf.DUMMYFUNCTION("""COMPUTED_VALUE"""),"8469577567  7046912942")</f>
        <v>8469577567  7046912942</v>
      </c>
      <c r="H774" s="2" t="str">
        <f ca="1">IFERROR(__xludf.DUMMYFUNCTION("""COMPUTED_VALUE"""),"DME_2022-25")</f>
        <v>DME_2022-25</v>
      </c>
      <c r="I774" s="45"/>
      <c r="J774" s="46">
        <f ca="1">IFERROR(__xludf.DUMMYFUNCTION("""COMPUTED_VALUE"""),25000)</f>
        <v>25000</v>
      </c>
      <c r="K774" s="46">
        <f ca="1">IFERROR(__xludf.DUMMYFUNCTION("""COMPUTED_VALUE"""),25000)</f>
        <v>25000</v>
      </c>
      <c r="L774" s="46">
        <f ca="1">IFERROR(__xludf.DUMMYFUNCTION("""COMPUTED_VALUE"""),0)</f>
        <v>0</v>
      </c>
      <c r="M774" s="47">
        <f ca="1">IFERROR(__xludf.DUMMYFUNCTION("""COMPUTED_VALUE"""),0)</f>
        <v>0</v>
      </c>
      <c r="N774" s="46">
        <f ca="1">IFERROR(__xludf.DUMMYFUNCTION("""COMPUTED_VALUE"""),0)</f>
        <v>0</v>
      </c>
      <c r="O774" s="46">
        <f ca="1">IFERROR(__xludf.DUMMYFUNCTION("""COMPUTED_VALUE"""),3000)</f>
        <v>3000</v>
      </c>
      <c r="P774" s="46">
        <f ca="1">IFERROR(__xludf.DUMMYFUNCTION("""COMPUTED_VALUE"""),3000)</f>
        <v>3000</v>
      </c>
      <c r="Q774" s="47">
        <f ca="1">IFERROR(__xludf.DUMMYFUNCTION("""COMPUTED_VALUE"""),0)</f>
        <v>0</v>
      </c>
      <c r="R774" s="24">
        <f ca="1">IFERROR(__xludf.DUMMYFUNCTION("""COMPUTED_VALUE"""),0)</f>
        <v>0</v>
      </c>
      <c r="S774" s="23">
        <f ca="1">IFERROR(__xludf.DUMMYFUNCTION("""COMPUTED_VALUE"""),0)</f>
        <v>0</v>
      </c>
      <c r="T774" s="48">
        <f ca="1">IFERROR(__xludf.DUMMYFUNCTION("""COMPUTED_VALUE"""),0)</f>
        <v>0</v>
      </c>
      <c r="U774" s="47">
        <f ca="1">IFERROR(__xludf.DUMMYFUNCTION("""COMPUTED_VALUE"""),0)</f>
        <v>0</v>
      </c>
      <c r="V774" s="47">
        <f ca="1">IFERROR(__xludf.DUMMYFUNCTION("""COMPUTED_VALUE"""),0)</f>
        <v>0</v>
      </c>
      <c r="W774" s="47">
        <f ca="1">IFERROR(__xludf.DUMMYFUNCTION("""COMPUTED_VALUE"""),0)</f>
        <v>0</v>
      </c>
      <c r="X774" s="47">
        <f ca="1">IFERROR(__xludf.DUMMYFUNCTION("""COMPUTED_VALUE"""),0)</f>
        <v>0</v>
      </c>
      <c r="Y774" s="44">
        <f ca="1">IFERROR(__xludf.DUMMYFUNCTION("""COMPUTED_VALUE"""),0)</f>
        <v>0</v>
      </c>
      <c r="Z774" s="44">
        <f ca="1">IFERROR(__xludf.DUMMYFUNCTION("""COMPUTED_VALUE"""),0)</f>
        <v>0</v>
      </c>
      <c r="AA774" s="44">
        <f ca="1">IFERROR(__xludf.DUMMYFUNCTION("""COMPUTED_VALUE"""),0)</f>
        <v>0</v>
      </c>
      <c r="AB774" s="44">
        <f ca="1">IFERROR(__xludf.DUMMYFUNCTION("""COMPUTED_VALUE"""),0)</f>
        <v>0</v>
      </c>
      <c r="AC774" s="47">
        <f ca="1">IFERROR(__xludf.DUMMYFUNCTION("""COMPUTED_VALUE"""),0)</f>
        <v>0</v>
      </c>
      <c r="AD774" s="49"/>
      <c r="AE774" s="27"/>
    </row>
    <row r="775" spans="1:31" ht="14.3">
      <c r="A775" s="42" t="str">
        <f ca="1">IFERROR(__xludf.DUMMYFUNCTION("""COMPUTED_VALUE"""),"22SDSME01010")</f>
        <v>22SDSME01010</v>
      </c>
      <c r="B775" s="43" t="str">
        <f ca="1">IFERROR(__xludf.DUMMYFUNCTION("""COMPUTED_VALUE"""),"MISTRY JENISH VIJAYBHAI")</f>
        <v>MISTRY JENISH VIJAYBHAI</v>
      </c>
      <c r="C775" s="42" t="str">
        <f ca="1">IFERROR(__xludf.DUMMYFUNCTION("""COMPUTED_VALUE"""),"SDS")</f>
        <v>SDS</v>
      </c>
      <c r="D775" s="42" t="str">
        <f ca="1">IFERROR(__xludf.DUMMYFUNCTION("""COMPUTED_VALUE"""),"DME")</f>
        <v>DME</v>
      </c>
      <c r="E775" s="44">
        <f ca="1">IFERROR(__xludf.DUMMYFUNCTION("""COMPUTED_VALUE"""),4)</f>
        <v>4</v>
      </c>
      <c r="F775" s="42" t="str">
        <f ca="1">IFERROR(__xludf.DUMMYFUNCTION("""COMPUTED_VALUE"""),"9313188724 9879623914")</f>
        <v>9313188724 9879623914</v>
      </c>
      <c r="G775" s="42" t="str">
        <f ca="1">IFERROR(__xludf.DUMMYFUNCTION("""COMPUTED_VALUE"""),"9313188724 9879623914")</f>
        <v>9313188724 9879623914</v>
      </c>
      <c r="H775" s="2" t="str">
        <f ca="1">IFERROR(__xludf.DUMMYFUNCTION("""COMPUTED_VALUE"""),"DME_2022-25")</f>
        <v>DME_2022-25</v>
      </c>
      <c r="I775" s="45"/>
      <c r="J775" s="46">
        <f ca="1">IFERROR(__xludf.DUMMYFUNCTION("""COMPUTED_VALUE"""),25000)</f>
        <v>25000</v>
      </c>
      <c r="K775" s="46">
        <f ca="1">IFERROR(__xludf.DUMMYFUNCTION("""COMPUTED_VALUE"""),25000)</f>
        <v>25000</v>
      </c>
      <c r="L775" s="46">
        <f ca="1">IFERROR(__xludf.DUMMYFUNCTION("""COMPUTED_VALUE"""),0)</f>
        <v>0</v>
      </c>
      <c r="M775" s="47">
        <f ca="1">IFERROR(__xludf.DUMMYFUNCTION("""COMPUTED_VALUE"""),0)</f>
        <v>0</v>
      </c>
      <c r="N775" s="46">
        <f ca="1">IFERROR(__xludf.DUMMYFUNCTION("""COMPUTED_VALUE"""),0)</f>
        <v>0</v>
      </c>
      <c r="O775" s="46">
        <f ca="1">IFERROR(__xludf.DUMMYFUNCTION("""COMPUTED_VALUE"""),3000)</f>
        <v>3000</v>
      </c>
      <c r="P775" s="46">
        <f ca="1">IFERROR(__xludf.DUMMYFUNCTION("""COMPUTED_VALUE"""),3000)</f>
        <v>3000</v>
      </c>
      <c r="Q775" s="47">
        <f ca="1">IFERROR(__xludf.DUMMYFUNCTION("""COMPUTED_VALUE"""),0)</f>
        <v>0</v>
      </c>
      <c r="R775" s="24">
        <f ca="1">IFERROR(__xludf.DUMMYFUNCTION("""COMPUTED_VALUE"""),0)</f>
        <v>0</v>
      </c>
      <c r="S775" s="23">
        <f ca="1">IFERROR(__xludf.DUMMYFUNCTION("""COMPUTED_VALUE"""),0)</f>
        <v>0</v>
      </c>
      <c r="T775" s="48">
        <f ca="1">IFERROR(__xludf.DUMMYFUNCTION("""COMPUTED_VALUE"""),0)</f>
        <v>0</v>
      </c>
      <c r="U775" s="47">
        <f ca="1">IFERROR(__xludf.DUMMYFUNCTION("""COMPUTED_VALUE"""),0)</f>
        <v>0</v>
      </c>
      <c r="V775" s="47">
        <f ca="1">IFERROR(__xludf.DUMMYFUNCTION("""COMPUTED_VALUE"""),0)</f>
        <v>0</v>
      </c>
      <c r="W775" s="47">
        <f ca="1">IFERROR(__xludf.DUMMYFUNCTION("""COMPUTED_VALUE"""),0)</f>
        <v>0</v>
      </c>
      <c r="X775" s="47">
        <f ca="1">IFERROR(__xludf.DUMMYFUNCTION("""COMPUTED_VALUE"""),0)</f>
        <v>0</v>
      </c>
      <c r="Y775" s="44">
        <f ca="1">IFERROR(__xludf.DUMMYFUNCTION("""COMPUTED_VALUE"""),0)</f>
        <v>0</v>
      </c>
      <c r="Z775" s="44">
        <f ca="1">IFERROR(__xludf.DUMMYFUNCTION("""COMPUTED_VALUE"""),0)</f>
        <v>0</v>
      </c>
      <c r="AA775" s="44">
        <f ca="1">IFERROR(__xludf.DUMMYFUNCTION("""COMPUTED_VALUE"""),0)</f>
        <v>0</v>
      </c>
      <c r="AB775" s="44">
        <f ca="1">IFERROR(__xludf.DUMMYFUNCTION("""COMPUTED_VALUE"""),0)</f>
        <v>0</v>
      </c>
      <c r="AC775" s="47">
        <f ca="1">IFERROR(__xludf.DUMMYFUNCTION("""COMPUTED_VALUE"""),0)</f>
        <v>0</v>
      </c>
      <c r="AD775" s="49"/>
      <c r="AE775" s="27"/>
    </row>
    <row r="776" spans="1:31" ht="14.3">
      <c r="A776" s="42" t="str">
        <f ca="1">IFERROR(__xludf.DUMMYFUNCTION("""COMPUTED_VALUE"""),"22SDSME01011")</f>
        <v>22SDSME01011</v>
      </c>
      <c r="B776" s="43" t="str">
        <f ca="1">IFERROR(__xludf.DUMMYFUNCTION("""COMPUTED_VALUE"""),"MOHAMMAD SHADAB")</f>
        <v>MOHAMMAD SHADAB</v>
      </c>
      <c r="C776" s="42" t="str">
        <f ca="1">IFERROR(__xludf.DUMMYFUNCTION("""COMPUTED_VALUE"""),"SDS")</f>
        <v>SDS</v>
      </c>
      <c r="D776" s="42" t="str">
        <f ca="1">IFERROR(__xludf.DUMMYFUNCTION("""COMPUTED_VALUE"""),"DME")</f>
        <v>DME</v>
      </c>
      <c r="E776" s="44">
        <f ca="1">IFERROR(__xludf.DUMMYFUNCTION("""COMPUTED_VALUE"""),4)</f>
        <v>4</v>
      </c>
      <c r="F776" s="42" t="str">
        <f ca="1">IFERROR(__xludf.DUMMYFUNCTION("""COMPUTED_VALUE"""),"BIHAR STUDENT")</f>
        <v>BIHAR STUDENT</v>
      </c>
      <c r="G776" s="42" t="str">
        <f ca="1">IFERROR(__xludf.DUMMYFUNCTION("""COMPUTED_VALUE"""),"BIHAR STUDENT")</f>
        <v>BIHAR STUDENT</v>
      </c>
      <c r="H776" s="2" t="str">
        <f ca="1">IFERROR(__xludf.DUMMYFUNCTION("""COMPUTED_VALUE"""),"DME_2022-25")</f>
        <v>DME_2022-25</v>
      </c>
      <c r="I776" s="45"/>
      <c r="J776" s="46">
        <f ca="1">IFERROR(__xludf.DUMMYFUNCTION("""COMPUTED_VALUE"""),42500)</f>
        <v>42500</v>
      </c>
      <c r="K776" s="46">
        <f ca="1">IFERROR(__xludf.DUMMYFUNCTION("""COMPUTED_VALUE"""),0)</f>
        <v>0</v>
      </c>
      <c r="L776" s="46">
        <f ca="1">IFERROR(__xludf.DUMMYFUNCTION("""COMPUTED_VALUE"""),0)</f>
        <v>0</v>
      </c>
      <c r="M776" s="47">
        <f ca="1">IFERROR(__xludf.DUMMYFUNCTION("""COMPUTED_VALUE"""),0)</f>
        <v>0</v>
      </c>
      <c r="N776" s="46">
        <f ca="1">IFERROR(__xludf.DUMMYFUNCTION("""COMPUTED_VALUE"""),42500)</f>
        <v>42500</v>
      </c>
      <c r="O776" s="46">
        <f ca="1">IFERROR(__xludf.DUMMYFUNCTION("""COMPUTED_VALUE"""),0)</f>
        <v>0</v>
      </c>
      <c r="P776" s="46">
        <f ca="1">IFERROR(__xludf.DUMMYFUNCTION("""COMPUTED_VALUE"""),0)</f>
        <v>0</v>
      </c>
      <c r="Q776" s="47">
        <f ca="1">IFERROR(__xludf.DUMMYFUNCTION("""COMPUTED_VALUE"""),0)</f>
        <v>0</v>
      </c>
      <c r="R776" s="24">
        <f ca="1">IFERROR(__xludf.DUMMYFUNCTION("""COMPUTED_VALUE"""),0)</f>
        <v>0</v>
      </c>
      <c r="S776" s="23">
        <f ca="1">IFERROR(__xludf.DUMMYFUNCTION("""COMPUTED_VALUE"""),0)</f>
        <v>0</v>
      </c>
      <c r="T776" s="48">
        <f ca="1">IFERROR(__xludf.DUMMYFUNCTION("""COMPUTED_VALUE"""),0)</f>
        <v>0</v>
      </c>
      <c r="U776" s="47">
        <f ca="1">IFERROR(__xludf.DUMMYFUNCTION("""COMPUTED_VALUE"""),0)</f>
        <v>0</v>
      </c>
      <c r="V776" s="47">
        <f ca="1">IFERROR(__xludf.DUMMYFUNCTION("""COMPUTED_VALUE"""),0)</f>
        <v>0</v>
      </c>
      <c r="W776" s="47">
        <f ca="1">IFERROR(__xludf.DUMMYFUNCTION("""COMPUTED_VALUE"""),0)</f>
        <v>0</v>
      </c>
      <c r="X776" s="47">
        <f ca="1">IFERROR(__xludf.DUMMYFUNCTION("""COMPUTED_VALUE"""),0)</f>
        <v>0</v>
      </c>
      <c r="Y776" s="44">
        <f ca="1">IFERROR(__xludf.DUMMYFUNCTION("""COMPUTED_VALUE"""),0)</f>
        <v>0</v>
      </c>
      <c r="Z776" s="44">
        <f ca="1">IFERROR(__xludf.DUMMYFUNCTION("""COMPUTED_VALUE"""),0)</f>
        <v>0</v>
      </c>
      <c r="AA776" s="44">
        <f ca="1">IFERROR(__xludf.DUMMYFUNCTION("""COMPUTED_VALUE"""),0)</f>
        <v>0</v>
      </c>
      <c r="AB776" s="44">
        <f ca="1">IFERROR(__xludf.DUMMYFUNCTION("""COMPUTED_VALUE"""),0)</f>
        <v>0</v>
      </c>
      <c r="AC776" s="47">
        <f ca="1">IFERROR(__xludf.DUMMYFUNCTION("""COMPUTED_VALUE"""),0)</f>
        <v>0</v>
      </c>
      <c r="AD776" s="49"/>
      <c r="AE776" s="27"/>
    </row>
    <row r="777" spans="1:31" ht="14.3">
      <c r="A777" s="42" t="str">
        <f ca="1">IFERROR(__xludf.DUMMYFUNCTION("""COMPUTED_VALUE"""),"22SDSME01012")</f>
        <v>22SDSME01012</v>
      </c>
      <c r="B777" s="43" t="str">
        <f ca="1">IFERROR(__xludf.DUMMYFUNCTION("""COMPUTED_VALUE"""),"RAMANI ABHI JAYSUKHBHAI")</f>
        <v>RAMANI ABHI JAYSUKHBHAI</v>
      </c>
      <c r="C777" s="42" t="str">
        <f ca="1">IFERROR(__xludf.DUMMYFUNCTION("""COMPUTED_VALUE"""),"SDS")</f>
        <v>SDS</v>
      </c>
      <c r="D777" s="42" t="str">
        <f ca="1">IFERROR(__xludf.DUMMYFUNCTION("""COMPUTED_VALUE"""),"DME")</f>
        <v>DME</v>
      </c>
      <c r="E777" s="44">
        <f ca="1">IFERROR(__xludf.DUMMYFUNCTION("""COMPUTED_VALUE"""),4)</f>
        <v>4</v>
      </c>
      <c r="F777" s="42" t="str">
        <f ca="1">IFERROR(__xludf.DUMMYFUNCTION("""COMPUTED_VALUE"""),"7201810703
8347733761")</f>
        <v>7201810703
8347733761</v>
      </c>
      <c r="G777" s="42" t="str">
        <f ca="1">IFERROR(__xludf.DUMMYFUNCTION("""COMPUTED_VALUE"""),"7201810703
8347733761")</f>
        <v>7201810703
8347733761</v>
      </c>
      <c r="H777" s="2" t="str">
        <f ca="1">IFERROR(__xludf.DUMMYFUNCTION("""COMPUTED_VALUE"""),"DME_2022-25")</f>
        <v>DME_2022-25</v>
      </c>
      <c r="I777" s="45"/>
      <c r="J777" s="46">
        <f ca="1">IFERROR(__xludf.DUMMYFUNCTION("""COMPUTED_VALUE"""),25000)</f>
        <v>25000</v>
      </c>
      <c r="K777" s="46">
        <f ca="1">IFERROR(__xludf.DUMMYFUNCTION("""COMPUTED_VALUE"""),25000)</f>
        <v>25000</v>
      </c>
      <c r="L777" s="46">
        <f ca="1">IFERROR(__xludf.DUMMYFUNCTION("""COMPUTED_VALUE"""),0)</f>
        <v>0</v>
      </c>
      <c r="M777" s="47">
        <f ca="1">IFERROR(__xludf.DUMMYFUNCTION("""COMPUTED_VALUE"""),0)</f>
        <v>0</v>
      </c>
      <c r="N777" s="46">
        <f ca="1">IFERROR(__xludf.DUMMYFUNCTION("""COMPUTED_VALUE"""),0)</f>
        <v>0</v>
      </c>
      <c r="O777" s="46">
        <f ca="1">IFERROR(__xludf.DUMMYFUNCTION("""COMPUTED_VALUE"""),3000)</f>
        <v>3000</v>
      </c>
      <c r="P777" s="46">
        <f ca="1">IFERROR(__xludf.DUMMYFUNCTION("""COMPUTED_VALUE"""),3000)</f>
        <v>3000</v>
      </c>
      <c r="Q777" s="47">
        <f ca="1">IFERROR(__xludf.DUMMYFUNCTION("""COMPUTED_VALUE"""),0)</f>
        <v>0</v>
      </c>
      <c r="R777" s="24">
        <f ca="1">IFERROR(__xludf.DUMMYFUNCTION("""COMPUTED_VALUE"""),0)</f>
        <v>0</v>
      </c>
      <c r="S777" s="23">
        <f ca="1">IFERROR(__xludf.DUMMYFUNCTION("""COMPUTED_VALUE"""),0)</f>
        <v>0</v>
      </c>
      <c r="T777" s="48">
        <f ca="1">IFERROR(__xludf.DUMMYFUNCTION("""COMPUTED_VALUE"""),0)</f>
        <v>0</v>
      </c>
      <c r="U777" s="47">
        <f ca="1">IFERROR(__xludf.DUMMYFUNCTION("""COMPUTED_VALUE"""),0)</f>
        <v>0</v>
      </c>
      <c r="V777" s="47">
        <f ca="1">IFERROR(__xludf.DUMMYFUNCTION("""COMPUTED_VALUE"""),0)</f>
        <v>0</v>
      </c>
      <c r="W777" s="47">
        <f ca="1">IFERROR(__xludf.DUMMYFUNCTION("""COMPUTED_VALUE"""),0)</f>
        <v>0</v>
      </c>
      <c r="X777" s="47">
        <f ca="1">IFERROR(__xludf.DUMMYFUNCTION("""COMPUTED_VALUE"""),0)</f>
        <v>0</v>
      </c>
      <c r="Y777" s="44">
        <f ca="1">IFERROR(__xludf.DUMMYFUNCTION("""COMPUTED_VALUE"""),0)</f>
        <v>0</v>
      </c>
      <c r="Z777" s="44">
        <f ca="1">IFERROR(__xludf.DUMMYFUNCTION("""COMPUTED_VALUE"""),0)</f>
        <v>0</v>
      </c>
      <c r="AA777" s="44">
        <f ca="1">IFERROR(__xludf.DUMMYFUNCTION("""COMPUTED_VALUE"""),0)</f>
        <v>0</v>
      </c>
      <c r="AB777" s="44">
        <f ca="1">IFERROR(__xludf.DUMMYFUNCTION("""COMPUTED_VALUE"""),0)</f>
        <v>0</v>
      </c>
      <c r="AC777" s="47">
        <f ca="1">IFERROR(__xludf.DUMMYFUNCTION("""COMPUTED_VALUE"""),0)</f>
        <v>0</v>
      </c>
      <c r="AD777" s="49"/>
      <c r="AE777" s="27"/>
    </row>
    <row r="778" spans="1:31" ht="14.3">
      <c r="A778" s="42" t="str">
        <f ca="1">IFERROR(__xludf.DUMMYFUNCTION("""COMPUTED_VALUE"""),"22SDSME01015")</f>
        <v>22SDSME01015</v>
      </c>
      <c r="B778" s="43" t="str">
        <f ca="1">IFERROR(__xludf.DUMMYFUNCTION("""COMPUTED_VALUE"""),"JITENDRA KUMAR")</f>
        <v>JITENDRA KUMAR</v>
      </c>
      <c r="C778" s="42" t="str">
        <f ca="1">IFERROR(__xludf.DUMMYFUNCTION("""COMPUTED_VALUE"""),"SDS")</f>
        <v>SDS</v>
      </c>
      <c r="D778" s="42" t="str">
        <f ca="1">IFERROR(__xludf.DUMMYFUNCTION("""COMPUTED_VALUE"""),"DME")</f>
        <v>DME</v>
      </c>
      <c r="E778" s="44">
        <f ca="1">IFERROR(__xludf.DUMMYFUNCTION("""COMPUTED_VALUE"""),4)</f>
        <v>4</v>
      </c>
      <c r="F778" s="42" t="str">
        <f ca="1">IFERROR(__xludf.DUMMYFUNCTION("""COMPUTED_VALUE"""),"BIHAR STUDENT")</f>
        <v>BIHAR STUDENT</v>
      </c>
      <c r="G778" s="42" t="str">
        <f ca="1">IFERROR(__xludf.DUMMYFUNCTION("""COMPUTED_VALUE"""),"BIHAR STUDENT")</f>
        <v>BIHAR STUDENT</v>
      </c>
      <c r="H778" s="2" t="str">
        <f ca="1">IFERROR(__xludf.DUMMYFUNCTION("""COMPUTED_VALUE"""),"DME_2022-25")</f>
        <v>DME_2022-25</v>
      </c>
      <c r="I778" s="45"/>
      <c r="J778" s="46">
        <f ca="1">IFERROR(__xludf.DUMMYFUNCTION("""COMPUTED_VALUE"""),42500)</f>
        <v>42500</v>
      </c>
      <c r="K778" s="46">
        <f ca="1">IFERROR(__xludf.DUMMYFUNCTION("""COMPUTED_VALUE"""),42500)</f>
        <v>42500</v>
      </c>
      <c r="L778" s="46">
        <f ca="1">IFERROR(__xludf.DUMMYFUNCTION("""COMPUTED_VALUE"""),0)</f>
        <v>0</v>
      </c>
      <c r="M778" s="47">
        <f ca="1">IFERROR(__xludf.DUMMYFUNCTION("""COMPUTED_VALUE"""),0)</f>
        <v>0</v>
      </c>
      <c r="N778" s="46">
        <f ca="1">IFERROR(__xludf.DUMMYFUNCTION("""COMPUTED_VALUE"""),0)</f>
        <v>0</v>
      </c>
      <c r="O778" s="46">
        <f ca="1">IFERROR(__xludf.DUMMYFUNCTION("""COMPUTED_VALUE"""),0)</f>
        <v>0</v>
      </c>
      <c r="P778" s="46">
        <f ca="1">IFERROR(__xludf.DUMMYFUNCTION("""COMPUTED_VALUE"""),0)</f>
        <v>0</v>
      </c>
      <c r="Q778" s="47">
        <f ca="1">IFERROR(__xludf.DUMMYFUNCTION("""COMPUTED_VALUE"""),0)</f>
        <v>0</v>
      </c>
      <c r="R778" s="24">
        <f ca="1">IFERROR(__xludf.DUMMYFUNCTION("""COMPUTED_VALUE"""),0)</f>
        <v>0</v>
      </c>
      <c r="S778" s="23">
        <f ca="1">IFERROR(__xludf.DUMMYFUNCTION("""COMPUTED_VALUE"""),0)</f>
        <v>0</v>
      </c>
      <c r="T778" s="48">
        <f ca="1">IFERROR(__xludf.DUMMYFUNCTION("""COMPUTED_VALUE"""),0)</f>
        <v>0</v>
      </c>
      <c r="U778" s="47">
        <f ca="1">IFERROR(__xludf.DUMMYFUNCTION("""COMPUTED_VALUE"""),0)</f>
        <v>0</v>
      </c>
      <c r="V778" s="47">
        <f ca="1">IFERROR(__xludf.DUMMYFUNCTION("""COMPUTED_VALUE"""),0)</f>
        <v>0</v>
      </c>
      <c r="W778" s="47">
        <f ca="1">IFERROR(__xludf.DUMMYFUNCTION("""COMPUTED_VALUE"""),0)</f>
        <v>0</v>
      </c>
      <c r="X778" s="47">
        <f ca="1">IFERROR(__xludf.DUMMYFUNCTION("""COMPUTED_VALUE"""),0)</f>
        <v>0</v>
      </c>
      <c r="Y778" s="44">
        <f ca="1">IFERROR(__xludf.DUMMYFUNCTION("""COMPUTED_VALUE"""),0)</f>
        <v>0</v>
      </c>
      <c r="Z778" s="44">
        <f ca="1">IFERROR(__xludf.DUMMYFUNCTION("""COMPUTED_VALUE"""),0)</f>
        <v>0</v>
      </c>
      <c r="AA778" s="44">
        <f ca="1">IFERROR(__xludf.DUMMYFUNCTION("""COMPUTED_VALUE"""),0)</f>
        <v>0</v>
      </c>
      <c r="AB778" s="44">
        <f ca="1">IFERROR(__xludf.DUMMYFUNCTION("""COMPUTED_VALUE"""),0)</f>
        <v>0</v>
      </c>
      <c r="AC778" s="47">
        <f ca="1">IFERROR(__xludf.DUMMYFUNCTION("""COMPUTED_VALUE"""),0)</f>
        <v>0</v>
      </c>
      <c r="AD778" s="49"/>
      <c r="AE778" s="27"/>
    </row>
    <row r="779" spans="1:31" ht="14.3">
      <c r="A779" s="42" t="str">
        <f ca="1">IFERROR(__xludf.DUMMYFUNCTION("""COMPUTED_VALUE"""),"22SDSME01016")</f>
        <v>22SDSME01016</v>
      </c>
      <c r="B779" s="43" t="str">
        <f ca="1">IFERROR(__xludf.DUMMYFUNCTION("""COMPUTED_VALUE"""),"TRIVEDI SHIVAM SACHINBHAI")</f>
        <v>TRIVEDI SHIVAM SACHINBHAI</v>
      </c>
      <c r="C779" s="42" t="str">
        <f ca="1">IFERROR(__xludf.DUMMYFUNCTION("""COMPUTED_VALUE"""),"SDS")</f>
        <v>SDS</v>
      </c>
      <c r="D779" s="42" t="str">
        <f ca="1">IFERROR(__xludf.DUMMYFUNCTION("""COMPUTED_VALUE"""),"DME")</f>
        <v>DME</v>
      </c>
      <c r="E779" s="44">
        <f ca="1">IFERROR(__xludf.DUMMYFUNCTION("""COMPUTED_VALUE"""),4)</f>
        <v>4</v>
      </c>
      <c r="F779" s="42" t="str">
        <f ca="1">IFERROR(__xludf.DUMMYFUNCTION("""COMPUTED_VALUE"""),"9106490312 9687322503")</f>
        <v>9106490312 9687322503</v>
      </c>
      <c r="G779" s="42" t="str">
        <f ca="1">IFERROR(__xludf.DUMMYFUNCTION("""COMPUTED_VALUE"""),"9106490312 9687322503")</f>
        <v>9106490312 9687322503</v>
      </c>
      <c r="H779" s="2" t="str">
        <f ca="1">IFERROR(__xludf.DUMMYFUNCTION("""COMPUTED_VALUE"""),"DME_2022-25")</f>
        <v>DME_2022-25</v>
      </c>
      <c r="I779" s="45" t="str">
        <f ca="1">IFERROR(__xludf.DUMMYFUNCTION("""COMPUTED_VALUE"""),"MYSY")</f>
        <v>MYSY</v>
      </c>
      <c r="J779" s="46">
        <f ca="1">IFERROR(__xludf.DUMMYFUNCTION("""COMPUTED_VALUE"""),25000)</f>
        <v>25000</v>
      </c>
      <c r="K779" s="46">
        <f ca="1">IFERROR(__xludf.DUMMYFUNCTION("""COMPUTED_VALUE"""),0)</f>
        <v>0</v>
      </c>
      <c r="L779" s="46">
        <f ca="1">IFERROR(__xludf.DUMMYFUNCTION("""COMPUTED_VALUE"""),0)</f>
        <v>0</v>
      </c>
      <c r="M779" s="47">
        <f ca="1">IFERROR(__xludf.DUMMYFUNCTION("""COMPUTED_VALUE"""),0)</f>
        <v>0</v>
      </c>
      <c r="N779" s="46">
        <f ca="1">IFERROR(__xludf.DUMMYFUNCTION("""COMPUTED_VALUE"""),25000)</f>
        <v>25000</v>
      </c>
      <c r="O779" s="46">
        <f ca="1">IFERROR(__xludf.DUMMYFUNCTION("""COMPUTED_VALUE"""),3000)</f>
        <v>3000</v>
      </c>
      <c r="P779" s="46">
        <f ca="1">IFERROR(__xludf.DUMMYFUNCTION("""COMPUTED_VALUE"""),3000)</f>
        <v>3000</v>
      </c>
      <c r="Q779" s="47">
        <f ca="1">IFERROR(__xludf.DUMMYFUNCTION("""COMPUTED_VALUE"""),0)</f>
        <v>0</v>
      </c>
      <c r="R779" s="24">
        <f ca="1">IFERROR(__xludf.DUMMYFUNCTION("""COMPUTED_VALUE"""),0)</f>
        <v>0</v>
      </c>
      <c r="S779" s="23">
        <f ca="1">IFERROR(__xludf.DUMMYFUNCTION("""COMPUTED_VALUE"""),0)</f>
        <v>0</v>
      </c>
      <c r="T779" s="48">
        <f ca="1">IFERROR(__xludf.DUMMYFUNCTION("""COMPUTED_VALUE"""),0)</f>
        <v>0</v>
      </c>
      <c r="U779" s="47">
        <f ca="1">IFERROR(__xludf.DUMMYFUNCTION("""COMPUTED_VALUE"""),0)</f>
        <v>0</v>
      </c>
      <c r="V779" s="47">
        <f ca="1">IFERROR(__xludf.DUMMYFUNCTION("""COMPUTED_VALUE"""),0)</f>
        <v>0</v>
      </c>
      <c r="W779" s="47">
        <f ca="1">IFERROR(__xludf.DUMMYFUNCTION("""COMPUTED_VALUE"""),0)</f>
        <v>0</v>
      </c>
      <c r="X779" s="47">
        <f ca="1">IFERROR(__xludf.DUMMYFUNCTION("""COMPUTED_VALUE"""),0)</f>
        <v>0</v>
      </c>
      <c r="Y779" s="44">
        <f ca="1">IFERROR(__xludf.DUMMYFUNCTION("""COMPUTED_VALUE"""),0)</f>
        <v>0</v>
      </c>
      <c r="Z779" s="44">
        <f ca="1">IFERROR(__xludf.DUMMYFUNCTION("""COMPUTED_VALUE"""),0)</f>
        <v>0</v>
      </c>
      <c r="AA779" s="44">
        <f ca="1">IFERROR(__xludf.DUMMYFUNCTION("""COMPUTED_VALUE"""),0)</f>
        <v>0</v>
      </c>
      <c r="AB779" s="44">
        <f ca="1">IFERROR(__xludf.DUMMYFUNCTION("""COMPUTED_VALUE"""),0)</f>
        <v>0</v>
      </c>
      <c r="AC779" s="47">
        <f ca="1">IFERROR(__xludf.DUMMYFUNCTION("""COMPUTED_VALUE"""),0)</f>
        <v>0</v>
      </c>
      <c r="AD779" s="49" t="str">
        <f ca="1">IFERROR(__xludf.DUMMYFUNCTION("""COMPUTED_VALUE"""),"KSPS(25%) + MYSY(50%) ")</f>
        <v xml:space="preserve">KSPS(25%) + MYSY(50%) </v>
      </c>
      <c r="AE779" s="27"/>
    </row>
    <row r="780" spans="1:31" ht="14.3">
      <c r="A780" s="42" t="str">
        <f ca="1">IFERROR(__xludf.DUMMYFUNCTION("""COMPUTED_VALUE"""),"22SDSME01018")</f>
        <v>22SDSME01018</v>
      </c>
      <c r="B780" s="43" t="str">
        <f ca="1">IFERROR(__xludf.DUMMYFUNCTION("""COMPUTED_VALUE"""),"VALANI VIVEK VINODBHAI")</f>
        <v>VALANI VIVEK VINODBHAI</v>
      </c>
      <c r="C780" s="42" t="str">
        <f ca="1">IFERROR(__xludf.DUMMYFUNCTION("""COMPUTED_VALUE"""),"SDS")</f>
        <v>SDS</v>
      </c>
      <c r="D780" s="42" t="str">
        <f ca="1">IFERROR(__xludf.DUMMYFUNCTION("""COMPUTED_VALUE"""),"DME")</f>
        <v>DME</v>
      </c>
      <c r="E780" s="44">
        <f ca="1">IFERROR(__xludf.DUMMYFUNCTION("""COMPUTED_VALUE"""),4)</f>
        <v>4</v>
      </c>
      <c r="F780" s="42" t="str">
        <f ca="1">IFERROR(__xludf.DUMMYFUNCTION("""COMPUTED_VALUE"""),"7984636678 9979238385")</f>
        <v>7984636678 9979238385</v>
      </c>
      <c r="G780" s="42" t="str">
        <f ca="1">IFERROR(__xludf.DUMMYFUNCTION("""COMPUTED_VALUE"""),"7984636678 9979238385")</f>
        <v>7984636678 9979238385</v>
      </c>
      <c r="H780" s="2" t="str">
        <f ca="1">IFERROR(__xludf.DUMMYFUNCTION("""COMPUTED_VALUE"""),"DME_2022-25")</f>
        <v>DME_2022-25</v>
      </c>
      <c r="I780" s="45" t="str">
        <f ca="1">IFERROR(__xludf.DUMMYFUNCTION("""COMPUTED_VALUE"""),"MYSY")</f>
        <v>MYSY</v>
      </c>
      <c r="J780" s="46">
        <f ca="1">IFERROR(__xludf.DUMMYFUNCTION("""COMPUTED_VALUE"""),25000)</f>
        <v>25000</v>
      </c>
      <c r="K780" s="46">
        <f ca="1">IFERROR(__xludf.DUMMYFUNCTION("""COMPUTED_VALUE"""),25000)</f>
        <v>25000</v>
      </c>
      <c r="L780" s="46">
        <f ca="1">IFERROR(__xludf.DUMMYFUNCTION("""COMPUTED_VALUE"""),0)</f>
        <v>0</v>
      </c>
      <c r="M780" s="47">
        <f ca="1">IFERROR(__xludf.DUMMYFUNCTION("""COMPUTED_VALUE"""),0)</f>
        <v>0</v>
      </c>
      <c r="N780" s="46">
        <f ca="1">IFERROR(__xludf.DUMMYFUNCTION("""COMPUTED_VALUE"""),0)</f>
        <v>0</v>
      </c>
      <c r="O780" s="46">
        <f ca="1">IFERROR(__xludf.DUMMYFUNCTION("""COMPUTED_VALUE"""),3000)</f>
        <v>3000</v>
      </c>
      <c r="P780" s="46">
        <f ca="1">IFERROR(__xludf.DUMMYFUNCTION("""COMPUTED_VALUE"""),3000)</f>
        <v>3000</v>
      </c>
      <c r="Q780" s="47">
        <f ca="1">IFERROR(__xludf.DUMMYFUNCTION("""COMPUTED_VALUE"""),0)</f>
        <v>0</v>
      </c>
      <c r="R780" s="24">
        <f ca="1">IFERROR(__xludf.DUMMYFUNCTION("""COMPUTED_VALUE"""),0)</f>
        <v>0</v>
      </c>
      <c r="S780" s="23">
        <f ca="1">IFERROR(__xludf.DUMMYFUNCTION("""COMPUTED_VALUE"""),0)</f>
        <v>0</v>
      </c>
      <c r="T780" s="48">
        <f ca="1">IFERROR(__xludf.DUMMYFUNCTION("""COMPUTED_VALUE"""),0)</f>
        <v>0</v>
      </c>
      <c r="U780" s="47">
        <f ca="1">IFERROR(__xludf.DUMMYFUNCTION("""COMPUTED_VALUE"""),0)</f>
        <v>0</v>
      </c>
      <c r="V780" s="47">
        <f ca="1">IFERROR(__xludf.DUMMYFUNCTION("""COMPUTED_VALUE"""),0)</f>
        <v>0</v>
      </c>
      <c r="W780" s="47">
        <f ca="1">IFERROR(__xludf.DUMMYFUNCTION("""COMPUTED_VALUE"""),0)</f>
        <v>0</v>
      </c>
      <c r="X780" s="47">
        <f ca="1">IFERROR(__xludf.DUMMYFUNCTION("""COMPUTED_VALUE"""),0)</f>
        <v>0</v>
      </c>
      <c r="Y780" s="44">
        <f ca="1">IFERROR(__xludf.DUMMYFUNCTION("""COMPUTED_VALUE"""),0)</f>
        <v>0</v>
      </c>
      <c r="Z780" s="44">
        <f ca="1">IFERROR(__xludf.DUMMYFUNCTION("""COMPUTED_VALUE"""),0)</f>
        <v>0</v>
      </c>
      <c r="AA780" s="44">
        <f ca="1">IFERROR(__xludf.DUMMYFUNCTION("""COMPUTED_VALUE"""),0)</f>
        <v>0</v>
      </c>
      <c r="AB780" s="44">
        <f ca="1">IFERROR(__xludf.DUMMYFUNCTION("""COMPUTED_VALUE"""),0)</f>
        <v>0</v>
      </c>
      <c r="AC780" s="47">
        <f ca="1">IFERROR(__xludf.DUMMYFUNCTION("""COMPUTED_VALUE"""),0)</f>
        <v>0</v>
      </c>
      <c r="AD780" s="49" t="str">
        <f ca="1">IFERROR(__xludf.DUMMYFUNCTION("""COMPUTED_VALUE"""),"KSPS(25%) + MYSY(50%) ")</f>
        <v xml:space="preserve">KSPS(25%) + MYSY(50%) </v>
      </c>
      <c r="AE780" s="27"/>
    </row>
    <row r="781" spans="1:31" ht="14.3">
      <c r="A781" s="42" t="str">
        <f ca="1">IFERROR(__xludf.DUMMYFUNCTION("""COMPUTED_VALUE"""),"22SDSME01019")</f>
        <v>22SDSME01019</v>
      </c>
      <c r="B781" s="43" t="str">
        <f ca="1">IFERROR(__xludf.DUMMYFUNCTION("""COMPUTED_VALUE"""),"VISHAL KUMAR")</f>
        <v>VISHAL KUMAR</v>
      </c>
      <c r="C781" s="42" t="str">
        <f ca="1">IFERROR(__xludf.DUMMYFUNCTION("""COMPUTED_VALUE"""),"SDS")</f>
        <v>SDS</v>
      </c>
      <c r="D781" s="42" t="str">
        <f ca="1">IFERROR(__xludf.DUMMYFUNCTION("""COMPUTED_VALUE"""),"DME")</f>
        <v>DME</v>
      </c>
      <c r="E781" s="44">
        <f ca="1">IFERROR(__xludf.DUMMYFUNCTION("""COMPUTED_VALUE"""),4)</f>
        <v>4</v>
      </c>
      <c r="F781" s="42" t="str">
        <f ca="1">IFERROR(__xludf.DUMMYFUNCTION("""COMPUTED_VALUE"""),"BIHAR STUDENT")</f>
        <v>BIHAR STUDENT</v>
      </c>
      <c r="G781" s="42" t="str">
        <f ca="1">IFERROR(__xludf.DUMMYFUNCTION("""COMPUTED_VALUE"""),"BIHAR STUDENT")</f>
        <v>BIHAR STUDENT</v>
      </c>
      <c r="H781" s="2" t="str">
        <f ca="1">IFERROR(__xludf.DUMMYFUNCTION("""COMPUTED_VALUE"""),"DME_2022-25")</f>
        <v>DME_2022-25</v>
      </c>
      <c r="I781" s="45"/>
      <c r="J781" s="46">
        <f ca="1">IFERROR(__xludf.DUMMYFUNCTION("""COMPUTED_VALUE"""),42500)</f>
        <v>42500</v>
      </c>
      <c r="K781" s="46">
        <f ca="1">IFERROR(__xludf.DUMMYFUNCTION("""COMPUTED_VALUE"""),42500)</f>
        <v>42500</v>
      </c>
      <c r="L781" s="46">
        <f ca="1">IFERROR(__xludf.DUMMYFUNCTION("""COMPUTED_VALUE"""),0)</f>
        <v>0</v>
      </c>
      <c r="M781" s="47">
        <f ca="1">IFERROR(__xludf.DUMMYFUNCTION("""COMPUTED_VALUE"""),0)</f>
        <v>0</v>
      </c>
      <c r="N781" s="46">
        <f ca="1">IFERROR(__xludf.DUMMYFUNCTION("""COMPUTED_VALUE"""),0)</f>
        <v>0</v>
      </c>
      <c r="O781" s="46">
        <f ca="1">IFERROR(__xludf.DUMMYFUNCTION("""COMPUTED_VALUE"""),0)</f>
        <v>0</v>
      </c>
      <c r="P781" s="46">
        <f ca="1">IFERROR(__xludf.DUMMYFUNCTION("""COMPUTED_VALUE"""),0)</f>
        <v>0</v>
      </c>
      <c r="Q781" s="47">
        <f ca="1">IFERROR(__xludf.DUMMYFUNCTION("""COMPUTED_VALUE"""),0)</f>
        <v>0</v>
      </c>
      <c r="R781" s="24">
        <f ca="1">IFERROR(__xludf.DUMMYFUNCTION("""COMPUTED_VALUE"""),0)</f>
        <v>0</v>
      </c>
      <c r="S781" s="23">
        <f ca="1">IFERROR(__xludf.DUMMYFUNCTION("""COMPUTED_VALUE"""),0)</f>
        <v>0</v>
      </c>
      <c r="T781" s="48">
        <f ca="1">IFERROR(__xludf.DUMMYFUNCTION("""COMPUTED_VALUE"""),0)</f>
        <v>0</v>
      </c>
      <c r="U781" s="47">
        <f ca="1">IFERROR(__xludf.DUMMYFUNCTION("""COMPUTED_VALUE"""),0)</f>
        <v>0</v>
      </c>
      <c r="V781" s="47">
        <f ca="1">IFERROR(__xludf.DUMMYFUNCTION("""COMPUTED_VALUE"""),0)</f>
        <v>0</v>
      </c>
      <c r="W781" s="47">
        <f ca="1">IFERROR(__xludf.DUMMYFUNCTION("""COMPUTED_VALUE"""),0)</f>
        <v>0</v>
      </c>
      <c r="X781" s="47">
        <f ca="1">IFERROR(__xludf.DUMMYFUNCTION("""COMPUTED_VALUE"""),0)</f>
        <v>0</v>
      </c>
      <c r="Y781" s="44">
        <f ca="1">IFERROR(__xludf.DUMMYFUNCTION("""COMPUTED_VALUE"""),0)</f>
        <v>0</v>
      </c>
      <c r="Z781" s="44">
        <f ca="1">IFERROR(__xludf.DUMMYFUNCTION("""COMPUTED_VALUE"""),0)</f>
        <v>0</v>
      </c>
      <c r="AA781" s="44">
        <f ca="1">IFERROR(__xludf.DUMMYFUNCTION("""COMPUTED_VALUE"""),0)</f>
        <v>0</v>
      </c>
      <c r="AB781" s="44">
        <f ca="1">IFERROR(__xludf.DUMMYFUNCTION("""COMPUTED_VALUE"""),0)</f>
        <v>0</v>
      </c>
      <c r="AC781" s="47">
        <f ca="1">IFERROR(__xludf.DUMMYFUNCTION("""COMPUTED_VALUE"""),0)</f>
        <v>0</v>
      </c>
      <c r="AD781" s="49"/>
      <c r="AE781" s="27"/>
    </row>
    <row r="782" spans="1:31" ht="14.3">
      <c r="A782" s="42" t="str">
        <f ca="1">IFERROR(__xludf.DUMMYFUNCTION("""COMPUTED_VALUE"""),"22SDSME01020")</f>
        <v>22SDSME01020</v>
      </c>
      <c r="B782" s="43" t="str">
        <f ca="1">IFERROR(__xludf.DUMMYFUNCTION("""COMPUTED_VALUE"""),"MOHAMMAD HAMMAD")</f>
        <v>MOHAMMAD HAMMAD</v>
      </c>
      <c r="C782" s="42" t="str">
        <f ca="1">IFERROR(__xludf.DUMMYFUNCTION("""COMPUTED_VALUE"""),"SDS")</f>
        <v>SDS</v>
      </c>
      <c r="D782" s="42" t="str">
        <f ca="1">IFERROR(__xludf.DUMMYFUNCTION("""COMPUTED_VALUE"""),"DME")</f>
        <v>DME</v>
      </c>
      <c r="E782" s="44">
        <f ca="1">IFERROR(__xludf.DUMMYFUNCTION("""COMPUTED_VALUE"""),4)</f>
        <v>4</v>
      </c>
      <c r="F782" s="42" t="str">
        <f ca="1">IFERROR(__xludf.DUMMYFUNCTION("""COMPUTED_VALUE"""),"BIHAR STUDENT")</f>
        <v>BIHAR STUDENT</v>
      </c>
      <c r="G782" s="42" t="str">
        <f ca="1">IFERROR(__xludf.DUMMYFUNCTION("""COMPUTED_VALUE"""),"BIHAR STUDENT")</f>
        <v>BIHAR STUDENT</v>
      </c>
      <c r="H782" s="2" t="str">
        <f ca="1">IFERROR(__xludf.DUMMYFUNCTION("""COMPUTED_VALUE"""),"DME_2022-25")</f>
        <v>DME_2022-25</v>
      </c>
      <c r="I782" s="45"/>
      <c r="J782" s="46">
        <f ca="1">IFERROR(__xludf.DUMMYFUNCTION("""COMPUTED_VALUE"""),42500)</f>
        <v>42500</v>
      </c>
      <c r="K782" s="46">
        <f ca="1">IFERROR(__xludf.DUMMYFUNCTION("""COMPUTED_VALUE"""),0)</f>
        <v>0</v>
      </c>
      <c r="L782" s="46">
        <f ca="1">IFERROR(__xludf.DUMMYFUNCTION("""COMPUTED_VALUE"""),0)</f>
        <v>0</v>
      </c>
      <c r="M782" s="47">
        <f ca="1">IFERROR(__xludf.DUMMYFUNCTION("""COMPUTED_VALUE"""),0)</f>
        <v>0</v>
      </c>
      <c r="N782" s="46">
        <f ca="1">IFERROR(__xludf.DUMMYFUNCTION("""COMPUTED_VALUE"""),42500)</f>
        <v>42500</v>
      </c>
      <c r="O782" s="46">
        <f ca="1">IFERROR(__xludf.DUMMYFUNCTION("""COMPUTED_VALUE"""),0)</f>
        <v>0</v>
      </c>
      <c r="P782" s="46">
        <f ca="1">IFERROR(__xludf.DUMMYFUNCTION("""COMPUTED_VALUE"""),0)</f>
        <v>0</v>
      </c>
      <c r="Q782" s="47">
        <f ca="1">IFERROR(__xludf.DUMMYFUNCTION("""COMPUTED_VALUE"""),0)</f>
        <v>0</v>
      </c>
      <c r="R782" s="24">
        <f ca="1">IFERROR(__xludf.DUMMYFUNCTION("""COMPUTED_VALUE"""),0)</f>
        <v>0</v>
      </c>
      <c r="S782" s="23">
        <f ca="1">IFERROR(__xludf.DUMMYFUNCTION("""COMPUTED_VALUE"""),0)</f>
        <v>0</v>
      </c>
      <c r="T782" s="48">
        <f ca="1">IFERROR(__xludf.DUMMYFUNCTION("""COMPUTED_VALUE"""),0)</f>
        <v>0</v>
      </c>
      <c r="U782" s="47">
        <f ca="1">IFERROR(__xludf.DUMMYFUNCTION("""COMPUTED_VALUE"""),0)</f>
        <v>0</v>
      </c>
      <c r="V782" s="47">
        <f ca="1">IFERROR(__xludf.DUMMYFUNCTION("""COMPUTED_VALUE"""),0)</f>
        <v>0</v>
      </c>
      <c r="W782" s="47">
        <f ca="1">IFERROR(__xludf.DUMMYFUNCTION("""COMPUTED_VALUE"""),0)</f>
        <v>0</v>
      </c>
      <c r="X782" s="47">
        <f ca="1">IFERROR(__xludf.DUMMYFUNCTION("""COMPUTED_VALUE"""),0)</f>
        <v>0</v>
      </c>
      <c r="Y782" s="44">
        <f ca="1">IFERROR(__xludf.DUMMYFUNCTION("""COMPUTED_VALUE"""),0)</f>
        <v>0</v>
      </c>
      <c r="Z782" s="44">
        <f ca="1">IFERROR(__xludf.DUMMYFUNCTION("""COMPUTED_VALUE"""),0)</f>
        <v>0</v>
      </c>
      <c r="AA782" s="44">
        <f ca="1">IFERROR(__xludf.DUMMYFUNCTION("""COMPUTED_VALUE"""),0)</f>
        <v>0</v>
      </c>
      <c r="AB782" s="44">
        <f ca="1">IFERROR(__xludf.DUMMYFUNCTION("""COMPUTED_VALUE"""),0)</f>
        <v>0</v>
      </c>
      <c r="AC782" s="47">
        <f ca="1">IFERROR(__xludf.DUMMYFUNCTION("""COMPUTED_VALUE"""),0)</f>
        <v>0</v>
      </c>
      <c r="AD782" s="49"/>
      <c r="AE782" s="27"/>
    </row>
    <row r="783" spans="1:31" ht="14.3">
      <c r="A783" s="42" t="str">
        <f ca="1">IFERROR(__xludf.DUMMYFUNCTION("""COMPUTED_VALUE"""),"22SDSME01022")</f>
        <v>22SDSME01022</v>
      </c>
      <c r="B783" s="43" t="str">
        <f ca="1">IFERROR(__xludf.DUMMYFUNCTION("""COMPUTED_VALUE"""),"GUJARATI RAVIKUMAR MOHANBHAI")</f>
        <v>GUJARATI RAVIKUMAR MOHANBHAI</v>
      </c>
      <c r="C783" s="42" t="str">
        <f ca="1">IFERROR(__xludf.DUMMYFUNCTION("""COMPUTED_VALUE"""),"SDS")</f>
        <v>SDS</v>
      </c>
      <c r="D783" s="42" t="str">
        <f ca="1">IFERROR(__xludf.DUMMYFUNCTION("""COMPUTED_VALUE"""),"DME")</f>
        <v>DME</v>
      </c>
      <c r="E783" s="44">
        <f ca="1">IFERROR(__xludf.DUMMYFUNCTION("""COMPUTED_VALUE"""),4)</f>
        <v>4</v>
      </c>
      <c r="F783" s="42" t="str">
        <f ca="1">IFERROR(__xludf.DUMMYFUNCTION("""COMPUTED_VALUE"""),"6351625284")</f>
        <v>6351625284</v>
      </c>
      <c r="G783" s="42" t="str">
        <f ca="1">IFERROR(__xludf.DUMMYFUNCTION("""COMPUTED_VALUE"""),"6351625284")</f>
        <v>6351625284</v>
      </c>
      <c r="H783" s="2" t="str">
        <f ca="1">IFERROR(__xludf.DUMMYFUNCTION("""COMPUTED_VALUE"""),"DME_2022-25")</f>
        <v>DME_2022-25</v>
      </c>
      <c r="I783" s="45" t="str">
        <f ca="1">IFERROR(__xludf.DUMMYFUNCTION("""COMPUTED_VALUE"""),"MYSY")</f>
        <v>MYSY</v>
      </c>
      <c r="J783" s="46">
        <f ca="1">IFERROR(__xludf.DUMMYFUNCTION("""COMPUTED_VALUE"""),25000)</f>
        <v>25000</v>
      </c>
      <c r="K783" s="46">
        <f ca="1">IFERROR(__xludf.DUMMYFUNCTION("""COMPUTED_VALUE"""),0)</f>
        <v>0</v>
      </c>
      <c r="L783" s="46">
        <f ca="1">IFERROR(__xludf.DUMMYFUNCTION("""COMPUTED_VALUE"""),0)</f>
        <v>0</v>
      </c>
      <c r="M783" s="47">
        <f ca="1">IFERROR(__xludf.DUMMYFUNCTION("""COMPUTED_VALUE"""),0)</f>
        <v>0</v>
      </c>
      <c r="N783" s="46">
        <f ca="1">IFERROR(__xludf.DUMMYFUNCTION("""COMPUTED_VALUE"""),25000)</f>
        <v>25000</v>
      </c>
      <c r="O783" s="46">
        <f ca="1">IFERROR(__xludf.DUMMYFUNCTION("""COMPUTED_VALUE"""),3000)</f>
        <v>3000</v>
      </c>
      <c r="P783" s="46">
        <f ca="1">IFERROR(__xludf.DUMMYFUNCTION("""COMPUTED_VALUE"""),3000)</f>
        <v>3000</v>
      </c>
      <c r="Q783" s="47">
        <f ca="1">IFERROR(__xludf.DUMMYFUNCTION("""COMPUTED_VALUE"""),0)</f>
        <v>0</v>
      </c>
      <c r="R783" s="24">
        <f ca="1">IFERROR(__xludf.DUMMYFUNCTION("""COMPUTED_VALUE"""),0)</f>
        <v>0</v>
      </c>
      <c r="S783" s="23">
        <f ca="1">IFERROR(__xludf.DUMMYFUNCTION("""COMPUTED_VALUE"""),0)</f>
        <v>0</v>
      </c>
      <c r="T783" s="48">
        <f ca="1">IFERROR(__xludf.DUMMYFUNCTION("""COMPUTED_VALUE"""),0)</f>
        <v>0</v>
      </c>
      <c r="U783" s="47">
        <f ca="1">IFERROR(__xludf.DUMMYFUNCTION("""COMPUTED_VALUE"""),0)</f>
        <v>0</v>
      </c>
      <c r="V783" s="47">
        <f ca="1">IFERROR(__xludf.DUMMYFUNCTION("""COMPUTED_VALUE"""),0)</f>
        <v>0</v>
      </c>
      <c r="W783" s="47">
        <f ca="1">IFERROR(__xludf.DUMMYFUNCTION("""COMPUTED_VALUE"""),0)</f>
        <v>0</v>
      </c>
      <c r="X783" s="47">
        <f ca="1">IFERROR(__xludf.DUMMYFUNCTION("""COMPUTED_VALUE"""),0)</f>
        <v>0</v>
      </c>
      <c r="Y783" s="44">
        <f ca="1">IFERROR(__xludf.DUMMYFUNCTION("""COMPUTED_VALUE"""),0)</f>
        <v>0</v>
      </c>
      <c r="Z783" s="44">
        <f ca="1">IFERROR(__xludf.DUMMYFUNCTION("""COMPUTED_VALUE"""),0)</f>
        <v>0</v>
      </c>
      <c r="AA783" s="44">
        <f ca="1">IFERROR(__xludf.DUMMYFUNCTION("""COMPUTED_VALUE"""),0)</f>
        <v>0</v>
      </c>
      <c r="AB783" s="44">
        <f ca="1">IFERROR(__xludf.DUMMYFUNCTION("""COMPUTED_VALUE"""),0)</f>
        <v>0</v>
      </c>
      <c r="AC783" s="47">
        <f ca="1">IFERROR(__xludf.DUMMYFUNCTION("""COMPUTED_VALUE"""),0)</f>
        <v>0</v>
      </c>
      <c r="AD783" s="49" t="str">
        <f ca="1">IFERROR(__xludf.DUMMYFUNCTION("""COMPUTED_VALUE"""),"KSPS(25%) + MYSY(50%) ")</f>
        <v xml:space="preserve">KSPS(25%) + MYSY(50%) </v>
      </c>
      <c r="AE783" s="27"/>
    </row>
    <row r="784" spans="1:31" ht="14.3">
      <c r="A784" s="42" t="str">
        <f ca="1">IFERROR(__xludf.DUMMYFUNCTION("""COMPUTED_VALUE"""),"22SDSME01023")</f>
        <v>22SDSME01023</v>
      </c>
      <c r="B784" s="43" t="str">
        <f ca="1">IFERROR(__xludf.DUMMYFUNCTION("""COMPUTED_VALUE"""),"GUJARATI PRITESH RAJESHBHAI")</f>
        <v>GUJARATI PRITESH RAJESHBHAI</v>
      </c>
      <c r="C784" s="42" t="str">
        <f ca="1">IFERROR(__xludf.DUMMYFUNCTION("""COMPUTED_VALUE"""),"SDS")</f>
        <v>SDS</v>
      </c>
      <c r="D784" s="42" t="str">
        <f ca="1">IFERROR(__xludf.DUMMYFUNCTION("""COMPUTED_VALUE"""),"DME")</f>
        <v>DME</v>
      </c>
      <c r="E784" s="44">
        <f ca="1">IFERROR(__xludf.DUMMYFUNCTION("""COMPUTED_VALUE"""),4)</f>
        <v>4</v>
      </c>
      <c r="F784" s="42" t="str">
        <f ca="1">IFERROR(__xludf.DUMMYFUNCTION("""COMPUTED_VALUE"""),"9727699328 9727699328")</f>
        <v>9727699328 9727699328</v>
      </c>
      <c r="G784" s="42" t="str">
        <f ca="1">IFERROR(__xludf.DUMMYFUNCTION("""COMPUTED_VALUE"""),"9727699328 9727699328")</f>
        <v>9727699328 9727699328</v>
      </c>
      <c r="H784" s="2" t="str">
        <f ca="1">IFERROR(__xludf.DUMMYFUNCTION("""COMPUTED_VALUE"""),"DME_2022-25")</f>
        <v>DME_2022-25</v>
      </c>
      <c r="I784" s="45" t="str">
        <f ca="1">IFERROR(__xludf.DUMMYFUNCTION("""COMPUTED_VALUE"""),"MYSY")</f>
        <v>MYSY</v>
      </c>
      <c r="J784" s="46">
        <f ca="1">IFERROR(__xludf.DUMMYFUNCTION("""COMPUTED_VALUE"""),25000)</f>
        <v>25000</v>
      </c>
      <c r="K784" s="46">
        <f ca="1">IFERROR(__xludf.DUMMYFUNCTION("""COMPUTED_VALUE"""),0)</f>
        <v>0</v>
      </c>
      <c r="L784" s="46">
        <f ca="1">IFERROR(__xludf.DUMMYFUNCTION("""COMPUTED_VALUE"""),0)</f>
        <v>0</v>
      </c>
      <c r="M784" s="47">
        <f ca="1">IFERROR(__xludf.DUMMYFUNCTION("""COMPUTED_VALUE"""),0)</f>
        <v>0</v>
      </c>
      <c r="N784" s="46">
        <f ca="1">IFERROR(__xludf.DUMMYFUNCTION("""COMPUTED_VALUE"""),25000)</f>
        <v>25000</v>
      </c>
      <c r="O784" s="46">
        <f ca="1">IFERROR(__xludf.DUMMYFUNCTION("""COMPUTED_VALUE"""),3000)</f>
        <v>3000</v>
      </c>
      <c r="P784" s="46">
        <f ca="1">IFERROR(__xludf.DUMMYFUNCTION("""COMPUTED_VALUE"""),3000)</f>
        <v>3000</v>
      </c>
      <c r="Q784" s="47">
        <f ca="1">IFERROR(__xludf.DUMMYFUNCTION("""COMPUTED_VALUE"""),0)</f>
        <v>0</v>
      </c>
      <c r="R784" s="24">
        <f ca="1">IFERROR(__xludf.DUMMYFUNCTION("""COMPUTED_VALUE"""),0)</f>
        <v>0</v>
      </c>
      <c r="S784" s="23">
        <f ca="1">IFERROR(__xludf.DUMMYFUNCTION("""COMPUTED_VALUE"""),0)</f>
        <v>0</v>
      </c>
      <c r="T784" s="48">
        <f ca="1">IFERROR(__xludf.DUMMYFUNCTION("""COMPUTED_VALUE"""),0)</f>
        <v>0</v>
      </c>
      <c r="U784" s="47">
        <f ca="1">IFERROR(__xludf.DUMMYFUNCTION("""COMPUTED_VALUE"""),0)</f>
        <v>0</v>
      </c>
      <c r="V784" s="47">
        <f ca="1">IFERROR(__xludf.DUMMYFUNCTION("""COMPUTED_VALUE"""),0)</f>
        <v>0</v>
      </c>
      <c r="W784" s="47">
        <f ca="1">IFERROR(__xludf.DUMMYFUNCTION("""COMPUTED_VALUE"""),0)</f>
        <v>0</v>
      </c>
      <c r="X784" s="47">
        <f ca="1">IFERROR(__xludf.DUMMYFUNCTION("""COMPUTED_VALUE"""),0)</f>
        <v>0</v>
      </c>
      <c r="Y784" s="44">
        <f ca="1">IFERROR(__xludf.DUMMYFUNCTION("""COMPUTED_VALUE"""),0)</f>
        <v>0</v>
      </c>
      <c r="Z784" s="44">
        <f ca="1">IFERROR(__xludf.DUMMYFUNCTION("""COMPUTED_VALUE"""),0)</f>
        <v>0</v>
      </c>
      <c r="AA784" s="44">
        <f ca="1">IFERROR(__xludf.DUMMYFUNCTION("""COMPUTED_VALUE"""),0)</f>
        <v>0</v>
      </c>
      <c r="AB784" s="44">
        <f ca="1">IFERROR(__xludf.DUMMYFUNCTION("""COMPUTED_VALUE"""),0)</f>
        <v>0</v>
      </c>
      <c r="AC784" s="47">
        <f ca="1">IFERROR(__xludf.DUMMYFUNCTION("""COMPUTED_VALUE"""),0)</f>
        <v>0</v>
      </c>
      <c r="AD784" s="49" t="str">
        <f ca="1">IFERROR(__xludf.DUMMYFUNCTION("""COMPUTED_VALUE"""),"KSPS(50%) + MYSY(50%)")</f>
        <v>KSPS(50%) + MYSY(50%)</v>
      </c>
      <c r="AE784" s="27"/>
    </row>
    <row r="785" spans="1:31" ht="14.3">
      <c r="A785" s="42" t="str">
        <f ca="1">IFERROR(__xludf.DUMMYFUNCTION("""COMPUTED_VALUE"""),"22SDSME01024")</f>
        <v>22SDSME01024</v>
      </c>
      <c r="B785" s="43" t="str">
        <f ca="1">IFERROR(__xludf.DUMMYFUNCTION("""COMPUTED_VALUE"""),"KACHHADIYA KRISH HITESHBHAI")</f>
        <v>KACHHADIYA KRISH HITESHBHAI</v>
      </c>
      <c r="C785" s="42" t="str">
        <f ca="1">IFERROR(__xludf.DUMMYFUNCTION("""COMPUTED_VALUE"""),"SDS")</f>
        <v>SDS</v>
      </c>
      <c r="D785" s="42" t="str">
        <f ca="1">IFERROR(__xludf.DUMMYFUNCTION("""COMPUTED_VALUE"""),"DME")</f>
        <v>DME</v>
      </c>
      <c r="E785" s="44">
        <f ca="1">IFERROR(__xludf.DUMMYFUNCTION("""COMPUTED_VALUE"""),4)</f>
        <v>4</v>
      </c>
      <c r="F785" s="42" t="str">
        <f ca="1">IFERROR(__xludf.DUMMYFUNCTION("""COMPUTED_VALUE"""),"6354045981 9099708050")</f>
        <v>6354045981 9099708050</v>
      </c>
      <c r="G785" s="42" t="str">
        <f ca="1">IFERROR(__xludf.DUMMYFUNCTION("""COMPUTED_VALUE"""),"6354045981 9099708050")</f>
        <v>6354045981 9099708050</v>
      </c>
      <c r="H785" s="2" t="str">
        <f ca="1">IFERROR(__xludf.DUMMYFUNCTION("""COMPUTED_VALUE"""),"DME_2022-25")</f>
        <v>DME_2022-25</v>
      </c>
      <c r="I785" s="45"/>
      <c r="J785" s="46">
        <f ca="1">IFERROR(__xludf.DUMMYFUNCTION("""COMPUTED_VALUE"""),25000)</f>
        <v>25000</v>
      </c>
      <c r="K785" s="46">
        <f ca="1">IFERROR(__xludf.DUMMYFUNCTION("""COMPUTED_VALUE"""),25000)</f>
        <v>25000</v>
      </c>
      <c r="L785" s="46">
        <f ca="1">IFERROR(__xludf.DUMMYFUNCTION("""COMPUTED_VALUE"""),0)</f>
        <v>0</v>
      </c>
      <c r="M785" s="47">
        <f ca="1">IFERROR(__xludf.DUMMYFUNCTION("""COMPUTED_VALUE"""),0)</f>
        <v>0</v>
      </c>
      <c r="N785" s="46">
        <f ca="1">IFERROR(__xludf.DUMMYFUNCTION("""COMPUTED_VALUE"""),0)</f>
        <v>0</v>
      </c>
      <c r="O785" s="46">
        <f ca="1">IFERROR(__xludf.DUMMYFUNCTION("""COMPUTED_VALUE"""),3000)</f>
        <v>3000</v>
      </c>
      <c r="P785" s="46">
        <f ca="1">IFERROR(__xludf.DUMMYFUNCTION("""COMPUTED_VALUE"""),3000)</f>
        <v>3000</v>
      </c>
      <c r="Q785" s="47">
        <f ca="1">IFERROR(__xludf.DUMMYFUNCTION("""COMPUTED_VALUE"""),0)</f>
        <v>0</v>
      </c>
      <c r="R785" s="24">
        <f ca="1">IFERROR(__xludf.DUMMYFUNCTION("""COMPUTED_VALUE"""),0)</f>
        <v>0</v>
      </c>
      <c r="S785" s="23">
        <f ca="1">IFERROR(__xludf.DUMMYFUNCTION("""COMPUTED_VALUE"""),0)</f>
        <v>0</v>
      </c>
      <c r="T785" s="48">
        <f ca="1">IFERROR(__xludf.DUMMYFUNCTION("""COMPUTED_VALUE"""),0)</f>
        <v>0</v>
      </c>
      <c r="U785" s="47">
        <f ca="1">IFERROR(__xludf.DUMMYFUNCTION("""COMPUTED_VALUE"""),0)</f>
        <v>0</v>
      </c>
      <c r="V785" s="47">
        <f ca="1">IFERROR(__xludf.DUMMYFUNCTION("""COMPUTED_VALUE"""),0)</f>
        <v>0</v>
      </c>
      <c r="W785" s="47">
        <f ca="1">IFERROR(__xludf.DUMMYFUNCTION("""COMPUTED_VALUE"""),0)</f>
        <v>0</v>
      </c>
      <c r="X785" s="47">
        <f ca="1">IFERROR(__xludf.DUMMYFUNCTION("""COMPUTED_VALUE"""),0)</f>
        <v>0</v>
      </c>
      <c r="Y785" s="44">
        <f ca="1">IFERROR(__xludf.DUMMYFUNCTION("""COMPUTED_VALUE"""),0)</f>
        <v>0</v>
      </c>
      <c r="Z785" s="44">
        <f ca="1">IFERROR(__xludf.DUMMYFUNCTION("""COMPUTED_VALUE"""),0)</f>
        <v>0</v>
      </c>
      <c r="AA785" s="44">
        <f ca="1">IFERROR(__xludf.DUMMYFUNCTION("""COMPUTED_VALUE"""),0)</f>
        <v>0</v>
      </c>
      <c r="AB785" s="44">
        <f ca="1">IFERROR(__xludf.DUMMYFUNCTION("""COMPUTED_VALUE"""),0)</f>
        <v>0</v>
      </c>
      <c r="AC785" s="47">
        <f ca="1">IFERROR(__xludf.DUMMYFUNCTION("""COMPUTED_VALUE"""),0)</f>
        <v>0</v>
      </c>
      <c r="AD785" s="49"/>
      <c r="AE785" s="27"/>
    </row>
    <row r="786" spans="1:31" ht="14.3">
      <c r="A786" s="42" t="str">
        <f ca="1">IFERROR(__xludf.DUMMYFUNCTION("""COMPUTED_VALUE"""),"22SDSME01025")</f>
        <v>22SDSME01025</v>
      </c>
      <c r="B786" s="43" t="str">
        <f ca="1">IFERROR(__xludf.DUMMYFUNCTION("""COMPUTED_VALUE"""),"ABHISHEK KUMAR")</f>
        <v>ABHISHEK KUMAR</v>
      </c>
      <c r="C786" s="42" t="str">
        <f ca="1">IFERROR(__xludf.DUMMYFUNCTION("""COMPUTED_VALUE"""),"SDS")</f>
        <v>SDS</v>
      </c>
      <c r="D786" s="42" t="str">
        <f ca="1">IFERROR(__xludf.DUMMYFUNCTION("""COMPUTED_VALUE"""),"DME")</f>
        <v>DME</v>
      </c>
      <c r="E786" s="44">
        <f ca="1">IFERROR(__xludf.DUMMYFUNCTION("""COMPUTED_VALUE"""),4)</f>
        <v>4</v>
      </c>
      <c r="F786" s="42" t="str">
        <f ca="1">IFERROR(__xludf.DUMMYFUNCTION("""COMPUTED_VALUE"""),"BIHAR STUDENT")</f>
        <v>BIHAR STUDENT</v>
      </c>
      <c r="G786" s="42" t="str">
        <f ca="1">IFERROR(__xludf.DUMMYFUNCTION("""COMPUTED_VALUE"""),"BIHAR STUDENT")</f>
        <v>BIHAR STUDENT</v>
      </c>
      <c r="H786" s="2" t="str">
        <f ca="1">IFERROR(__xludf.DUMMYFUNCTION("""COMPUTED_VALUE"""),"DME_2022-25")</f>
        <v>DME_2022-25</v>
      </c>
      <c r="I786" s="45"/>
      <c r="J786" s="46">
        <f ca="1">IFERROR(__xludf.DUMMYFUNCTION("""COMPUTED_VALUE"""),42500)</f>
        <v>42500</v>
      </c>
      <c r="K786" s="46">
        <f ca="1">IFERROR(__xludf.DUMMYFUNCTION("""COMPUTED_VALUE"""),0)</f>
        <v>0</v>
      </c>
      <c r="L786" s="46">
        <f ca="1">IFERROR(__xludf.DUMMYFUNCTION("""COMPUTED_VALUE"""),0)</f>
        <v>0</v>
      </c>
      <c r="M786" s="47">
        <f ca="1">IFERROR(__xludf.DUMMYFUNCTION("""COMPUTED_VALUE"""),0)</f>
        <v>0</v>
      </c>
      <c r="N786" s="46">
        <f ca="1">IFERROR(__xludf.DUMMYFUNCTION("""COMPUTED_VALUE"""),42500)</f>
        <v>42500</v>
      </c>
      <c r="O786" s="46">
        <f ca="1">IFERROR(__xludf.DUMMYFUNCTION("""COMPUTED_VALUE"""),0)</f>
        <v>0</v>
      </c>
      <c r="P786" s="46">
        <f ca="1">IFERROR(__xludf.DUMMYFUNCTION("""COMPUTED_VALUE"""),0)</f>
        <v>0</v>
      </c>
      <c r="Q786" s="47">
        <f ca="1">IFERROR(__xludf.DUMMYFUNCTION("""COMPUTED_VALUE"""),0)</f>
        <v>0</v>
      </c>
      <c r="R786" s="24">
        <f ca="1">IFERROR(__xludf.DUMMYFUNCTION("""COMPUTED_VALUE"""),0)</f>
        <v>0</v>
      </c>
      <c r="S786" s="23">
        <f ca="1">IFERROR(__xludf.DUMMYFUNCTION("""COMPUTED_VALUE"""),0)</f>
        <v>0</v>
      </c>
      <c r="T786" s="48">
        <f ca="1">IFERROR(__xludf.DUMMYFUNCTION("""COMPUTED_VALUE"""),0)</f>
        <v>0</v>
      </c>
      <c r="U786" s="47">
        <f ca="1">IFERROR(__xludf.DUMMYFUNCTION("""COMPUTED_VALUE"""),0)</f>
        <v>0</v>
      </c>
      <c r="V786" s="47">
        <f ca="1">IFERROR(__xludf.DUMMYFUNCTION("""COMPUTED_VALUE"""),0)</f>
        <v>0</v>
      </c>
      <c r="W786" s="47">
        <f ca="1">IFERROR(__xludf.DUMMYFUNCTION("""COMPUTED_VALUE"""),0)</f>
        <v>0</v>
      </c>
      <c r="X786" s="47">
        <f ca="1">IFERROR(__xludf.DUMMYFUNCTION("""COMPUTED_VALUE"""),0)</f>
        <v>0</v>
      </c>
      <c r="Y786" s="44">
        <f ca="1">IFERROR(__xludf.DUMMYFUNCTION("""COMPUTED_VALUE"""),0)</f>
        <v>0</v>
      </c>
      <c r="Z786" s="44">
        <f ca="1">IFERROR(__xludf.DUMMYFUNCTION("""COMPUTED_VALUE"""),0)</f>
        <v>0</v>
      </c>
      <c r="AA786" s="44">
        <f ca="1">IFERROR(__xludf.DUMMYFUNCTION("""COMPUTED_VALUE"""),0)</f>
        <v>0</v>
      </c>
      <c r="AB786" s="44">
        <f ca="1">IFERROR(__xludf.DUMMYFUNCTION("""COMPUTED_VALUE"""),0)</f>
        <v>0</v>
      </c>
      <c r="AC786" s="47">
        <f ca="1">IFERROR(__xludf.DUMMYFUNCTION("""COMPUTED_VALUE"""),0)</f>
        <v>0</v>
      </c>
      <c r="AD786" s="49"/>
      <c r="AE786" s="27"/>
    </row>
    <row r="787" spans="1:31" ht="14.3">
      <c r="A787" s="42" t="str">
        <f ca="1">IFERROR(__xludf.DUMMYFUNCTION("""COMPUTED_VALUE"""),"22SDSME01026")</f>
        <v>22SDSME01026</v>
      </c>
      <c r="B787" s="43" t="str">
        <f ca="1">IFERROR(__xludf.DUMMYFUNCTION("""COMPUTED_VALUE"""),"RAM RATAN KUMAR")</f>
        <v>RAM RATAN KUMAR</v>
      </c>
      <c r="C787" s="42" t="str">
        <f ca="1">IFERROR(__xludf.DUMMYFUNCTION("""COMPUTED_VALUE"""),"SDS")</f>
        <v>SDS</v>
      </c>
      <c r="D787" s="42" t="str">
        <f ca="1">IFERROR(__xludf.DUMMYFUNCTION("""COMPUTED_VALUE"""),"DME")</f>
        <v>DME</v>
      </c>
      <c r="E787" s="44">
        <f ca="1">IFERROR(__xludf.DUMMYFUNCTION("""COMPUTED_VALUE"""),4)</f>
        <v>4</v>
      </c>
      <c r="F787" s="42" t="str">
        <f ca="1">IFERROR(__xludf.DUMMYFUNCTION("""COMPUTED_VALUE"""),"7808508073 7069020788")</f>
        <v>7808508073 7069020788</v>
      </c>
      <c r="G787" s="42" t="str">
        <f ca="1">IFERROR(__xludf.DUMMYFUNCTION("""COMPUTED_VALUE"""),"7808508073 7069020788")</f>
        <v>7808508073 7069020788</v>
      </c>
      <c r="H787" s="2" t="str">
        <f ca="1">IFERROR(__xludf.DUMMYFUNCTION("""COMPUTED_VALUE"""),"DME_2022-25")</f>
        <v>DME_2022-25</v>
      </c>
      <c r="I787" s="45"/>
      <c r="J787" s="46">
        <f ca="1">IFERROR(__xludf.DUMMYFUNCTION("""COMPUTED_VALUE"""),25000)</f>
        <v>25000</v>
      </c>
      <c r="K787" s="46">
        <f ca="1">IFERROR(__xludf.DUMMYFUNCTION("""COMPUTED_VALUE"""),25000)</f>
        <v>25000</v>
      </c>
      <c r="L787" s="46">
        <f ca="1">IFERROR(__xludf.DUMMYFUNCTION("""COMPUTED_VALUE"""),0)</f>
        <v>0</v>
      </c>
      <c r="M787" s="47">
        <f ca="1">IFERROR(__xludf.DUMMYFUNCTION("""COMPUTED_VALUE"""),0)</f>
        <v>0</v>
      </c>
      <c r="N787" s="46">
        <f ca="1">IFERROR(__xludf.DUMMYFUNCTION("""COMPUTED_VALUE"""),0)</f>
        <v>0</v>
      </c>
      <c r="O787" s="46">
        <f ca="1">IFERROR(__xludf.DUMMYFUNCTION("""COMPUTED_VALUE"""),3000)</f>
        <v>3000</v>
      </c>
      <c r="P787" s="46">
        <f ca="1">IFERROR(__xludf.DUMMYFUNCTION("""COMPUTED_VALUE"""),3000)</f>
        <v>3000</v>
      </c>
      <c r="Q787" s="47">
        <f ca="1">IFERROR(__xludf.DUMMYFUNCTION("""COMPUTED_VALUE"""),0)</f>
        <v>0</v>
      </c>
      <c r="R787" s="24">
        <f ca="1">IFERROR(__xludf.DUMMYFUNCTION("""COMPUTED_VALUE"""),0)</f>
        <v>0</v>
      </c>
      <c r="S787" s="23">
        <f ca="1">IFERROR(__xludf.DUMMYFUNCTION("""COMPUTED_VALUE"""),0)</f>
        <v>0</v>
      </c>
      <c r="T787" s="48">
        <f ca="1">IFERROR(__xludf.DUMMYFUNCTION("""COMPUTED_VALUE"""),0)</f>
        <v>0</v>
      </c>
      <c r="U787" s="47">
        <f ca="1">IFERROR(__xludf.DUMMYFUNCTION("""COMPUTED_VALUE"""),0)</f>
        <v>0</v>
      </c>
      <c r="V787" s="47">
        <f ca="1">IFERROR(__xludf.DUMMYFUNCTION("""COMPUTED_VALUE"""),0)</f>
        <v>0</v>
      </c>
      <c r="W787" s="47">
        <f ca="1">IFERROR(__xludf.DUMMYFUNCTION("""COMPUTED_VALUE"""),0)</f>
        <v>0</v>
      </c>
      <c r="X787" s="47">
        <f ca="1">IFERROR(__xludf.DUMMYFUNCTION("""COMPUTED_VALUE"""),0)</f>
        <v>0</v>
      </c>
      <c r="Y787" s="44">
        <f ca="1">IFERROR(__xludf.DUMMYFUNCTION("""COMPUTED_VALUE"""),0)</f>
        <v>0</v>
      </c>
      <c r="Z787" s="44">
        <f ca="1">IFERROR(__xludf.DUMMYFUNCTION("""COMPUTED_VALUE"""),0)</f>
        <v>0</v>
      </c>
      <c r="AA787" s="44">
        <f ca="1">IFERROR(__xludf.DUMMYFUNCTION("""COMPUTED_VALUE"""),0)</f>
        <v>0</v>
      </c>
      <c r="AB787" s="44">
        <f ca="1">IFERROR(__xludf.DUMMYFUNCTION("""COMPUTED_VALUE"""),0)</f>
        <v>0</v>
      </c>
      <c r="AC787" s="47">
        <f ca="1">IFERROR(__xludf.DUMMYFUNCTION("""COMPUTED_VALUE"""),0)</f>
        <v>0</v>
      </c>
      <c r="AD787" s="49"/>
      <c r="AE787" s="27"/>
    </row>
    <row r="788" spans="1:31" ht="14.3">
      <c r="A788" s="42" t="str">
        <f ca="1">IFERROR(__xludf.DUMMYFUNCTION("""COMPUTED_VALUE"""),"22SDSME01027")</f>
        <v>22SDSME01027</v>
      </c>
      <c r="B788" s="43" t="str">
        <f ca="1">IFERROR(__xludf.DUMMYFUNCTION("""COMPUTED_VALUE"""),"RAUNAK KUMAR")</f>
        <v>RAUNAK KUMAR</v>
      </c>
      <c r="C788" s="42" t="str">
        <f ca="1">IFERROR(__xludf.DUMMYFUNCTION("""COMPUTED_VALUE"""),"SDS")</f>
        <v>SDS</v>
      </c>
      <c r="D788" s="42" t="str">
        <f ca="1">IFERROR(__xludf.DUMMYFUNCTION("""COMPUTED_VALUE"""),"DME")</f>
        <v>DME</v>
      </c>
      <c r="E788" s="44">
        <f ca="1">IFERROR(__xludf.DUMMYFUNCTION("""COMPUTED_VALUE"""),4)</f>
        <v>4</v>
      </c>
      <c r="F788" s="42" t="str">
        <f ca="1">IFERROR(__xludf.DUMMYFUNCTION("""COMPUTED_VALUE"""),"BIHAR STUDENT")</f>
        <v>BIHAR STUDENT</v>
      </c>
      <c r="G788" s="42" t="str">
        <f ca="1">IFERROR(__xludf.DUMMYFUNCTION("""COMPUTED_VALUE"""),"BIHAR STUDENT")</f>
        <v>BIHAR STUDENT</v>
      </c>
      <c r="H788" s="2" t="str">
        <f ca="1">IFERROR(__xludf.DUMMYFUNCTION("""COMPUTED_VALUE"""),"DME_2022-25")</f>
        <v>DME_2022-25</v>
      </c>
      <c r="I788" s="45"/>
      <c r="J788" s="46">
        <f ca="1">IFERROR(__xludf.DUMMYFUNCTION("""COMPUTED_VALUE"""),42500)</f>
        <v>42500</v>
      </c>
      <c r="K788" s="46">
        <f ca="1">IFERROR(__xludf.DUMMYFUNCTION("""COMPUTED_VALUE"""),42500)</f>
        <v>42500</v>
      </c>
      <c r="L788" s="46">
        <f ca="1">IFERROR(__xludf.DUMMYFUNCTION("""COMPUTED_VALUE"""),0)</f>
        <v>0</v>
      </c>
      <c r="M788" s="47">
        <f ca="1">IFERROR(__xludf.DUMMYFUNCTION("""COMPUTED_VALUE"""),0)</f>
        <v>0</v>
      </c>
      <c r="N788" s="46">
        <f ca="1">IFERROR(__xludf.DUMMYFUNCTION("""COMPUTED_VALUE"""),0)</f>
        <v>0</v>
      </c>
      <c r="O788" s="46">
        <f ca="1">IFERROR(__xludf.DUMMYFUNCTION("""COMPUTED_VALUE"""),0)</f>
        <v>0</v>
      </c>
      <c r="P788" s="46">
        <f ca="1">IFERROR(__xludf.DUMMYFUNCTION("""COMPUTED_VALUE"""),0)</f>
        <v>0</v>
      </c>
      <c r="Q788" s="47">
        <f ca="1">IFERROR(__xludf.DUMMYFUNCTION("""COMPUTED_VALUE"""),0)</f>
        <v>0</v>
      </c>
      <c r="R788" s="24">
        <f ca="1">IFERROR(__xludf.DUMMYFUNCTION("""COMPUTED_VALUE"""),0)</f>
        <v>0</v>
      </c>
      <c r="S788" s="23">
        <f ca="1">IFERROR(__xludf.DUMMYFUNCTION("""COMPUTED_VALUE"""),0)</f>
        <v>0</v>
      </c>
      <c r="T788" s="48">
        <f ca="1">IFERROR(__xludf.DUMMYFUNCTION("""COMPUTED_VALUE"""),0)</f>
        <v>0</v>
      </c>
      <c r="U788" s="47">
        <f ca="1">IFERROR(__xludf.DUMMYFUNCTION("""COMPUTED_VALUE"""),0)</f>
        <v>0</v>
      </c>
      <c r="V788" s="47">
        <f ca="1">IFERROR(__xludf.DUMMYFUNCTION("""COMPUTED_VALUE"""),0)</f>
        <v>0</v>
      </c>
      <c r="W788" s="47">
        <f ca="1">IFERROR(__xludf.DUMMYFUNCTION("""COMPUTED_VALUE"""),0)</f>
        <v>0</v>
      </c>
      <c r="X788" s="47">
        <f ca="1">IFERROR(__xludf.DUMMYFUNCTION("""COMPUTED_VALUE"""),0)</f>
        <v>0</v>
      </c>
      <c r="Y788" s="44">
        <f ca="1">IFERROR(__xludf.DUMMYFUNCTION("""COMPUTED_VALUE"""),0)</f>
        <v>0</v>
      </c>
      <c r="Z788" s="44">
        <f ca="1">IFERROR(__xludf.DUMMYFUNCTION("""COMPUTED_VALUE"""),0)</f>
        <v>0</v>
      </c>
      <c r="AA788" s="44">
        <f ca="1">IFERROR(__xludf.DUMMYFUNCTION("""COMPUTED_VALUE"""),0)</f>
        <v>0</v>
      </c>
      <c r="AB788" s="44">
        <f ca="1">IFERROR(__xludf.DUMMYFUNCTION("""COMPUTED_VALUE"""),0)</f>
        <v>0</v>
      </c>
      <c r="AC788" s="47">
        <f ca="1">IFERROR(__xludf.DUMMYFUNCTION("""COMPUTED_VALUE"""),0)</f>
        <v>0</v>
      </c>
      <c r="AD788" s="49"/>
      <c r="AE788" s="27"/>
    </row>
    <row r="789" spans="1:31" ht="28.55">
      <c r="A789" s="42" t="str">
        <f ca="1">IFERROR(__xludf.DUMMYFUNCTION("""COMPUTED_VALUE"""),"22SDSME01028")</f>
        <v>22SDSME01028</v>
      </c>
      <c r="B789" s="43" t="str">
        <f ca="1">IFERROR(__xludf.DUMMYFUNCTION("""COMPUTED_VALUE"""),"PARMAR VISHAL DINESHBHAI")</f>
        <v>PARMAR VISHAL DINESHBHAI</v>
      </c>
      <c r="C789" s="42" t="str">
        <f ca="1">IFERROR(__xludf.DUMMYFUNCTION("""COMPUTED_VALUE"""),"SDS")</f>
        <v>SDS</v>
      </c>
      <c r="D789" s="42" t="str">
        <f ca="1">IFERROR(__xludf.DUMMYFUNCTION("""COMPUTED_VALUE"""),"DME")</f>
        <v>DME</v>
      </c>
      <c r="E789" s="44">
        <f ca="1">IFERROR(__xludf.DUMMYFUNCTION("""COMPUTED_VALUE"""),4)</f>
        <v>4</v>
      </c>
      <c r="F789" s="42" t="str">
        <f ca="1">IFERROR(__xludf.DUMMYFUNCTION("""COMPUTED_VALUE"""),"9687869962 9737874564")</f>
        <v>9687869962 9737874564</v>
      </c>
      <c r="G789" s="42" t="str">
        <f ca="1">IFERROR(__xludf.DUMMYFUNCTION("""COMPUTED_VALUE"""),"9687869962 9737874564")</f>
        <v>9687869962 9737874564</v>
      </c>
      <c r="H789" s="2" t="str">
        <f ca="1">IFERROR(__xludf.DUMMYFUNCTION("""COMPUTED_VALUE"""),"DME_2022-25")</f>
        <v>DME_2022-25</v>
      </c>
      <c r="I789" s="45" t="str">
        <f ca="1">IFERROR(__xludf.DUMMYFUNCTION("""COMPUTED_VALUE"""),"FREESHIP CARD")</f>
        <v>FREESHIP CARD</v>
      </c>
      <c r="J789" s="46">
        <f ca="1">IFERROR(__xludf.DUMMYFUNCTION("""COMPUTED_VALUE"""),25000)</f>
        <v>25000</v>
      </c>
      <c r="K789" s="46">
        <f ca="1">IFERROR(__xludf.DUMMYFUNCTION("""COMPUTED_VALUE"""),0)</f>
        <v>0</v>
      </c>
      <c r="L789" s="46">
        <f ca="1">IFERROR(__xludf.DUMMYFUNCTION("""COMPUTED_VALUE"""),0)</f>
        <v>0</v>
      </c>
      <c r="M789" s="47">
        <f ca="1">IFERROR(__xludf.DUMMYFUNCTION("""COMPUTED_VALUE"""),0)</f>
        <v>0</v>
      </c>
      <c r="N789" s="46">
        <f ca="1">IFERROR(__xludf.DUMMYFUNCTION("""COMPUTED_VALUE"""),25000)</f>
        <v>25000</v>
      </c>
      <c r="O789" s="46">
        <f ca="1">IFERROR(__xludf.DUMMYFUNCTION("""COMPUTED_VALUE"""),3000)</f>
        <v>3000</v>
      </c>
      <c r="P789" s="46">
        <f ca="1">IFERROR(__xludf.DUMMYFUNCTION("""COMPUTED_VALUE"""),0)</f>
        <v>0</v>
      </c>
      <c r="Q789" s="47">
        <f ca="1">IFERROR(__xludf.DUMMYFUNCTION("""COMPUTED_VALUE"""),0)</f>
        <v>0</v>
      </c>
      <c r="R789" s="24">
        <f ca="1">IFERROR(__xludf.DUMMYFUNCTION("""COMPUTED_VALUE"""),0)</f>
        <v>0</v>
      </c>
      <c r="S789" s="23">
        <f ca="1">IFERROR(__xludf.DUMMYFUNCTION("""COMPUTED_VALUE"""),3000)</f>
        <v>3000</v>
      </c>
      <c r="T789" s="48">
        <f ca="1">IFERROR(__xludf.DUMMYFUNCTION("""COMPUTED_VALUE"""),0)</f>
        <v>0</v>
      </c>
      <c r="U789" s="47">
        <f ca="1">IFERROR(__xludf.DUMMYFUNCTION("""COMPUTED_VALUE"""),0)</f>
        <v>0</v>
      </c>
      <c r="V789" s="47">
        <f ca="1">IFERROR(__xludf.DUMMYFUNCTION("""COMPUTED_VALUE"""),0)</f>
        <v>0</v>
      </c>
      <c r="W789" s="47">
        <f ca="1">IFERROR(__xludf.DUMMYFUNCTION("""COMPUTED_VALUE"""),0)</f>
        <v>0</v>
      </c>
      <c r="X789" s="47">
        <f ca="1">IFERROR(__xludf.DUMMYFUNCTION("""COMPUTED_VALUE"""),0)</f>
        <v>0</v>
      </c>
      <c r="Y789" s="44">
        <f ca="1">IFERROR(__xludf.DUMMYFUNCTION("""COMPUTED_VALUE"""),0)</f>
        <v>0</v>
      </c>
      <c r="Z789" s="44">
        <f ca="1">IFERROR(__xludf.DUMMYFUNCTION("""COMPUTED_VALUE"""),0)</f>
        <v>0</v>
      </c>
      <c r="AA789" s="44">
        <f ca="1">IFERROR(__xludf.DUMMYFUNCTION("""COMPUTED_VALUE"""),0)</f>
        <v>0</v>
      </c>
      <c r="AB789" s="44">
        <f ca="1">IFERROR(__xludf.DUMMYFUNCTION("""COMPUTED_VALUE"""),0)</f>
        <v>0</v>
      </c>
      <c r="AC789" s="47">
        <f ca="1">IFERROR(__xludf.DUMMYFUNCTION("""COMPUTED_VALUE"""),0)</f>
        <v>0</v>
      </c>
      <c r="AD789" s="49" t="str">
        <f ca="1">IFERROR(__xludf.DUMMYFUNCTION("""COMPUTED_VALUE"""),"FREESHIP CARD")</f>
        <v>FREESHIP CARD</v>
      </c>
      <c r="AE789" s="27"/>
    </row>
    <row r="790" spans="1:31" ht="14.3">
      <c r="A790" s="42" t="str">
        <f ca="1">IFERROR(__xludf.DUMMYFUNCTION("""COMPUTED_VALUE"""),"22SDSME01029")</f>
        <v>22SDSME01029</v>
      </c>
      <c r="B790" s="43" t="str">
        <f ca="1">IFERROR(__xludf.DUMMYFUNCTION("""COMPUTED_VALUE"""),"PARVADIYA JAYDEEP KALUBHAI")</f>
        <v>PARVADIYA JAYDEEP KALUBHAI</v>
      </c>
      <c r="C790" s="42" t="str">
        <f ca="1">IFERROR(__xludf.DUMMYFUNCTION("""COMPUTED_VALUE"""),"SDS")</f>
        <v>SDS</v>
      </c>
      <c r="D790" s="42" t="str">
        <f ca="1">IFERROR(__xludf.DUMMYFUNCTION("""COMPUTED_VALUE"""),"DME")</f>
        <v>DME</v>
      </c>
      <c r="E790" s="44">
        <f ca="1">IFERROR(__xludf.DUMMYFUNCTION("""COMPUTED_VALUE"""),4)</f>
        <v>4</v>
      </c>
      <c r="F790" s="42" t="str">
        <f ca="1">IFERROR(__xludf.DUMMYFUNCTION("""COMPUTED_VALUE"""),"9727847234 9909065204")</f>
        <v>9727847234 9909065204</v>
      </c>
      <c r="G790" s="42" t="str">
        <f ca="1">IFERROR(__xludf.DUMMYFUNCTION("""COMPUTED_VALUE"""),"9727847234 9909065204")</f>
        <v>9727847234 9909065204</v>
      </c>
      <c r="H790" s="2" t="str">
        <f ca="1">IFERROR(__xludf.DUMMYFUNCTION("""COMPUTED_VALUE"""),"DME_2022-25")</f>
        <v>DME_2022-25</v>
      </c>
      <c r="I790" s="45" t="str">
        <f ca="1">IFERROR(__xludf.DUMMYFUNCTION("""COMPUTED_VALUE"""),"MYSY")</f>
        <v>MYSY</v>
      </c>
      <c r="J790" s="46">
        <f ca="1">IFERROR(__xludf.DUMMYFUNCTION("""COMPUTED_VALUE"""),25000)</f>
        <v>25000</v>
      </c>
      <c r="K790" s="46">
        <f ca="1">IFERROR(__xludf.DUMMYFUNCTION("""COMPUTED_VALUE"""),0)</f>
        <v>0</v>
      </c>
      <c r="L790" s="46">
        <f ca="1">IFERROR(__xludf.DUMMYFUNCTION("""COMPUTED_VALUE"""),0)</f>
        <v>0</v>
      </c>
      <c r="M790" s="47">
        <f ca="1">IFERROR(__xludf.DUMMYFUNCTION("""COMPUTED_VALUE"""),0)</f>
        <v>0</v>
      </c>
      <c r="N790" s="46">
        <f ca="1">IFERROR(__xludf.DUMMYFUNCTION("""COMPUTED_VALUE"""),25000)</f>
        <v>25000</v>
      </c>
      <c r="O790" s="46">
        <f ca="1">IFERROR(__xludf.DUMMYFUNCTION("""COMPUTED_VALUE"""),3000)</f>
        <v>3000</v>
      </c>
      <c r="P790" s="46">
        <f ca="1">IFERROR(__xludf.DUMMYFUNCTION("""COMPUTED_VALUE"""),3000)</f>
        <v>3000</v>
      </c>
      <c r="Q790" s="47">
        <f ca="1">IFERROR(__xludf.DUMMYFUNCTION("""COMPUTED_VALUE"""),0)</f>
        <v>0</v>
      </c>
      <c r="R790" s="24">
        <f ca="1">IFERROR(__xludf.DUMMYFUNCTION("""COMPUTED_VALUE"""),0)</f>
        <v>0</v>
      </c>
      <c r="S790" s="23">
        <f ca="1">IFERROR(__xludf.DUMMYFUNCTION("""COMPUTED_VALUE"""),0)</f>
        <v>0</v>
      </c>
      <c r="T790" s="48">
        <f ca="1">IFERROR(__xludf.DUMMYFUNCTION("""COMPUTED_VALUE"""),0)</f>
        <v>0</v>
      </c>
      <c r="U790" s="47">
        <f ca="1">IFERROR(__xludf.DUMMYFUNCTION("""COMPUTED_VALUE"""),0)</f>
        <v>0</v>
      </c>
      <c r="V790" s="47">
        <f ca="1">IFERROR(__xludf.DUMMYFUNCTION("""COMPUTED_VALUE"""),0)</f>
        <v>0</v>
      </c>
      <c r="W790" s="47">
        <f ca="1">IFERROR(__xludf.DUMMYFUNCTION("""COMPUTED_VALUE"""),0)</f>
        <v>0</v>
      </c>
      <c r="X790" s="47">
        <f ca="1">IFERROR(__xludf.DUMMYFUNCTION("""COMPUTED_VALUE"""),0)</f>
        <v>0</v>
      </c>
      <c r="Y790" s="44">
        <f ca="1">IFERROR(__xludf.DUMMYFUNCTION("""COMPUTED_VALUE"""),0)</f>
        <v>0</v>
      </c>
      <c r="Z790" s="44">
        <f ca="1">IFERROR(__xludf.DUMMYFUNCTION("""COMPUTED_VALUE"""),0)</f>
        <v>0</v>
      </c>
      <c r="AA790" s="44">
        <f ca="1">IFERROR(__xludf.DUMMYFUNCTION("""COMPUTED_VALUE"""),0)</f>
        <v>0</v>
      </c>
      <c r="AB790" s="44">
        <f ca="1">IFERROR(__xludf.DUMMYFUNCTION("""COMPUTED_VALUE"""),0)</f>
        <v>0</v>
      </c>
      <c r="AC790" s="47">
        <f ca="1">IFERROR(__xludf.DUMMYFUNCTION("""COMPUTED_VALUE"""),0)</f>
        <v>0</v>
      </c>
      <c r="AD790" s="49" t="str">
        <f ca="1">IFERROR(__xludf.DUMMYFUNCTION("""COMPUTED_VALUE"""),"KSPS(25%) + MYSY(50%) ")</f>
        <v xml:space="preserve">KSPS(25%) + MYSY(50%) </v>
      </c>
      <c r="AE790" s="27"/>
    </row>
    <row r="791" spans="1:31" ht="14.3">
      <c r="A791" s="42" t="str">
        <f ca="1">IFERROR(__xludf.DUMMYFUNCTION("""COMPUTED_VALUE"""),"22SDSME01030")</f>
        <v>22SDSME01030</v>
      </c>
      <c r="B791" s="43" t="str">
        <f ca="1">IFERROR(__xludf.DUMMYFUNCTION("""COMPUTED_VALUE"""),"SANIYA GOPALBHAI HARJIBHAI")</f>
        <v>SANIYA GOPALBHAI HARJIBHAI</v>
      </c>
      <c r="C791" s="42" t="str">
        <f ca="1">IFERROR(__xludf.DUMMYFUNCTION("""COMPUTED_VALUE"""),"SDS")</f>
        <v>SDS</v>
      </c>
      <c r="D791" s="42" t="str">
        <f ca="1">IFERROR(__xludf.DUMMYFUNCTION("""COMPUTED_VALUE"""),"DME")</f>
        <v>DME</v>
      </c>
      <c r="E791" s="44">
        <f ca="1">IFERROR(__xludf.DUMMYFUNCTION("""COMPUTED_VALUE"""),4)</f>
        <v>4</v>
      </c>
      <c r="F791" s="42" t="str">
        <f ca="1">IFERROR(__xludf.DUMMYFUNCTION("""COMPUTED_VALUE"""),"7863042248 9510854542")</f>
        <v>7863042248 9510854542</v>
      </c>
      <c r="G791" s="42" t="str">
        <f ca="1">IFERROR(__xludf.DUMMYFUNCTION("""COMPUTED_VALUE"""),"7863042248 9510854542")</f>
        <v>7863042248 9510854542</v>
      </c>
      <c r="H791" s="2" t="str">
        <f ca="1">IFERROR(__xludf.DUMMYFUNCTION("""COMPUTED_VALUE"""),"DME_2022-25")</f>
        <v>DME_2022-25</v>
      </c>
      <c r="I791" s="45" t="str">
        <f ca="1">IFERROR(__xludf.DUMMYFUNCTION("""COMPUTED_VALUE"""),"MYSY")</f>
        <v>MYSY</v>
      </c>
      <c r="J791" s="46">
        <f ca="1">IFERROR(__xludf.DUMMYFUNCTION("""COMPUTED_VALUE"""),25000)</f>
        <v>25000</v>
      </c>
      <c r="K791" s="46">
        <f ca="1">IFERROR(__xludf.DUMMYFUNCTION("""COMPUTED_VALUE"""),0)</f>
        <v>0</v>
      </c>
      <c r="L791" s="46">
        <f ca="1">IFERROR(__xludf.DUMMYFUNCTION("""COMPUTED_VALUE"""),0)</f>
        <v>0</v>
      </c>
      <c r="M791" s="47">
        <f ca="1">IFERROR(__xludf.DUMMYFUNCTION("""COMPUTED_VALUE"""),0)</f>
        <v>0</v>
      </c>
      <c r="N791" s="46">
        <f ca="1">IFERROR(__xludf.DUMMYFUNCTION("""COMPUTED_VALUE"""),25000)</f>
        <v>25000</v>
      </c>
      <c r="O791" s="46">
        <f ca="1">IFERROR(__xludf.DUMMYFUNCTION("""COMPUTED_VALUE"""),3000)</f>
        <v>3000</v>
      </c>
      <c r="P791" s="46">
        <f ca="1">IFERROR(__xludf.DUMMYFUNCTION("""COMPUTED_VALUE"""),3000)</f>
        <v>3000</v>
      </c>
      <c r="Q791" s="47">
        <f ca="1">IFERROR(__xludf.DUMMYFUNCTION("""COMPUTED_VALUE"""),0)</f>
        <v>0</v>
      </c>
      <c r="R791" s="24">
        <f ca="1">IFERROR(__xludf.DUMMYFUNCTION("""COMPUTED_VALUE"""),0)</f>
        <v>0</v>
      </c>
      <c r="S791" s="23">
        <f ca="1">IFERROR(__xludf.DUMMYFUNCTION("""COMPUTED_VALUE"""),0)</f>
        <v>0</v>
      </c>
      <c r="T791" s="48">
        <f ca="1">IFERROR(__xludf.DUMMYFUNCTION("""COMPUTED_VALUE"""),0)</f>
        <v>0</v>
      </c>
      <c r="U791" s="47">
        <f ca="1">IFERROR(__xludf.DUMMYFUNCTION("""COMPUTED_VALUE"""),0)</f>
        <v>0</v>
      </c>
      <c r="V791" s="47">
        <f ca="1">IFERROR(__xludf.DUMMYFUNCTION("""COMPUTED_VALUE"""),0)</f>
        <v>0</v>
      </c>
      <c r="W791" s="47">
        <f ca="1">IFERROR(__xludf.DUMMYFUNCTION("""COMPUTED_VALUE"""),0)</f>
        <v>0</v>
      </c>
      <c r="X791" s="47">
        <f ca="1">IFERROR(__xludf.DUMMYFUNCTION("""COMPUTED_VALUE"""),0)</f>
        <v>0</v>
      </c>
      <c r="Y791" s="44">
        <f ca="1">IFERROR(__xludf.DUMMYFUNCTION("""COMPUTED_VALUE"""),0)</f>
        <v>0</v>
      </c>
      <c r="Z791" s="44">
        <f ca="1">IFERROR(__xludf.DUMMYFUNCTION("""COMPUTED_VALUE"""),0)</f>
        <v>0</v>
      </c>
      <c r="AA791" s="44">
        <f ca="1">IFERROR(__xludf.DUMMYFUNCTION("""COMPUTED_VALUE"""),0)</f>
        <v>0</v>
      </c>
      <c r="AB791" s="44">
        <f ca="1">IFERROR(__xludf.DUMMYFUNCTION("""COMPUTED_VALUE"""),0)</f>
        <v>0</v>
      </c>
      <c r="AC791" s="47">
        <f ca="1">IFERROR(__xludf.DUMMYFUNCTION("""COMPUTED_VALUE"""),0)</f>
        <v>0</v>
      </c>
      <c r="AD791" s="49" t="str">
        <f ca="1">IFERROR(__xludf.DUMMYFUNCTION("""COMPUTED_VALUE"""),"KSPS(25%) + MYSY(50%)")</f>
        <v>KSPS(25%) + MYSY(50%)</v>
      </c>
      <c r="AE791" s="27"/>
    </row>
    <row r="792" spans="1:31" ht="23.1">
      <c r="A792" s="42" t="str">
        <f ca="1">IFERROR(__xludf.DUMMYFUNCTION("""COMPUTED_VALUE"""),"22SDSME01031")</f>
        <v>22SDSME01031</v>
      </c>
      <c r="B792" s="43" t="str">
        <f ca="1">IFERROR(__xludf.DUMMYFUNCTION("""COMPUTED_VALUE"""),"SHINGALA YASH PRAVINBHAI")</f>
        <v>SHINGALA YASH PRAVINBHAI</v>
      </c>
      <c r="C792" s="42" t="str">
        <f ca="1">IFERROR(__xludf.DUMMYFUNCTION("""COMPUTED_VALUE"""),"SDS")</f>
        <v>SDS</v>
      </c>
      <c r="D792" s="42" t="str">
        <f ca="1">IFERROR(__xludf.DUMMYFUNCTION("""COMPUTED_VALUE"""),"DME")</f>
        <v>DME</v>
      </c>
      <c r="E792" s="44">
        <f ca="1">IFERROR(__xludf.DUMMYFUNCTION("""COMPUTED_VALUE"""),4)</f>
        <v>4</v>
      </c>
      <c r="F792" s="42" t="str">
        <f ca="1">IFERROR(__xludf.DUMMYFUNCTION("""COMPUTED_VALUE"""),"6355361156 9726147099")</f>
        <v>6355361156 9726147099</v>
      </c>
      <c r="G792" s="42" t="str">
        <f ca="1">IFERROR(__xludf.DUMMYFUNCTION("""COMPUTED_VALUE"""),"6355361156 9726147099")</f>
        <v>6355361156 9726147099</v>
      </c>
      <c r="H792" s="2" t="str">
        <f ca="1">IFERROR(__xludf.DUMMYFUNCTION("""COMPUTED_VALUE"""),"DME_2022-25")</f>
        <v>DME_2022-25</v>
      </c>
      <c r="I792" s="45" t="str">
        <f ca="1">IFERROR(__xludf.DUMMYFUNCTION("""COMPUTED_VALUE"""),"KSP")</f>
        <v>KSP</v>
      </c>
      <c r="J792" s="46">
        <f ca="1">IFERROR(__xludf.DUMMYFUNCTION("""COMPUTED_VALUE"""),25000)</f>
        <v>25000</v>
      </c>
      <c r="K792" s="46">
        <f ca="1">IFERROR(__xludf.DUMMYFUNCTION("""COMPUTED_VALUE"""),12500)</f>
        <v>12500</v>
      </c>
      <c r="L792" s="46">
        <f ca="1">IFERROR(__xludf.DUMMYFUNCTION("""COMPUTED_VALUE"""),0)</f>
        <v>0</v>
      </c>
      <c r="M792" s="47">
        <f ca="1">IFERROR(__xludf.DUMMYFUNCTION("""COMPUTED_VALUE"""),12500)</f>
        <v>12500</v>
      </c>
      <c r="N792" s="46">
        <f ca="1">IFERROR(__xludf.DUMMYFUNCTION("""COMPUTED_VALUE"""),0)</f>
        <v>0</v>
      </c>
      <c r="O792" s="46">
        <f ca="1">IFERROR(__xludf.DUMMYFUNCTION("""COMPUTED_VALUE"""),3000)</f>
        <v>3000</v>
      </c>
      <c r="P792" s="46">
        <f ca="1">IFERROR(__xludf.DUMMYFUNCTION("""COMPUTED_VALUE"""),3000)</f>
        <v>3000</v>
      </c>
      <c r="Q792" s="47">
        <f ca="1">IFERROR(__xludf.DUMMYFUNCTION("""COMPUTED_VALUE"""),0)</f>
        <v>0</v>
      </c>
      <c r="R792" s="24">
        <f ca="1">IFERROR(__xludf.DUMMYFUNCTION("""COMPUTED_VALUE"""),0)</f>
        <v>0</v>
      </c>
      <c r="S792" s="23">
        <f ca="1">IFERROR(__xludf.DUMMYFUNCTION("""COMPUTED_VALUE"""),0)</f>
        <v>0</v>
      </c>
      <c r="T792" s="48">
        <f ca="1">IFERROR(__xludf.DUMMYFUNCTION("""COMPUTED_VALUE"""),0)</f>
        <v>0</v>
      </c>
      <c r="U792" s="47">
        <f ca="1">IFERROR(__xludf.DUMMYFUNCTION("""COMPUTED_VALUE"""),0)</f>
        <v>0</v>
      </c>
      <c r="V792" s="47">
        <f ca="1">IFERROR(__xludf.DUMMYFUNCTION("""COMPUTED_VALUE"""),0)</f>
        <v>0</v>
      </c>
      <c r="W792" s="47">
        <f ca="1">IFERROR(__xludf.DUMMYFUNCTION("""COMPUTED_VALUE"""),0)</f>
        <v>0</v>
      </c>
      <c r="X792" s="47">
        <f ca="1">IFERROR(__xludf.DUMMYFUNCTION("""COMPUTED_VALUE"""),0)</f>
        <v>0</v>
      </c>
      <c r="Y792" s="44">
        <f ca="1">IFERROR(__xludf.DUMMYFUNCTION("""COMPUTED_VALUE"""),0)</f>
        <v>0</v>
      </c>
      <c r="Z792" s="44">
        <f ca="1">IFERROR(__xludf.DUMMYFUNCTION("""COMPUTED_VALUE"""),0)</f>
        <v>0</v>
      </c>
      <c r="AA792" s="44">
        <f ca="1">IFERROR(__xludf.DUMMYFUNCTION("""COMPUTED_VALUE"""),0)</f>
        <v>0</v>
      </c>
      <c r="AB792" s="44">
        <f ca="1">IFERROR(__xludf.DUMMYFUNCTION("""COMPUTED_VALUE"""),0)</f>
        <v>0</v>
      </c>
      <c r="AC792" s="47">
        <f ca="1">IFERROR(__xludf.DUMMYFUNCTION("""COMPUTED_VALUE"""),0)</f>
        <v>0</v>
      </c>
      <c r="AD792" s="49" t="str">
        <f ca="1">IFERROR(__xludf.DUMMYFUNCTION("""COMPUTED_VALUE"""),"KSPS(50%)
12500 PER SEM ")</f>
        <v xml:space="preserve">KSPS(50%)
12500 PER SEM </v>
      </c>
      <c r="AE792" s="27"/>
    </row>
    <row r="793" spans="1:31" ht="14.3">
      <c r="A793" s="42" t="str">
        <f ca="1">IFERROR(__xludf.DUMMYFUNCTION("""COMPUTED_VALUE"""),"22SDSME01032")</f>
        <v>22SDSME01032</v>
      </c>
      <c r="B793" s="43" t="str">
        <f ca="1">IFERROR(__xludf.DUMMYFUNCTION("""COMPUTED_VALUE"""),"ZALAVADIYA PRIYANK SANJAYBHAI")</f>
        <v>ZALAVADIYA PRIYANK SANJAYBHAI</v>
      </c>
      <c r="C793" s="42" t="str">
        <f ca="1">IFERROR(__xludf.DUMMYFUNCTION("""COMPUTED_VALUE"""),"SDS")</f>
        <v>SDS</v>
      </c>
      <c r="D793" s="42" t="str">
        <f ca="1">IFERROR(__xludf.DUMMYFUNCTION("""COMPUTED_VALUE"""),"DME")</f>
        <v>DME</v>
      </c>
      <c r="E793" s="44">
        <f ca="1">IFERROR(__xludf.DUMMYFUNCTION("""COMPUTED_VALUE"""),4)</f>
        <v>4</v>
      </c>
      <c r="F793" s="42" t="str">
        <f ca="1">IFERROR(__xludf.DUMMYFUNCTION("""COMPUTED_VALUE"""),"9016908802 6352167990")</f>
        <v>9016908802 6352167990</v>
      </c>
      <c r="G793" s="42" t="str">
        <f ca="1">IFERROR(__xludf.DUMMYFUNCTION("""COMPUTED_VALUE"""),"9016908802 6352167990")</f>
        <v>9016908802 6352167990</v>
      </c>
      <c r="H793" s="2" t="str">
        <f ca="1">IFERROR(__xludf.DUMMYFUNCTION("""COMPUTED_VALUE"""),"DME_2022-25")</f>
        <v>DME_2022-25</v>
      </c>
      <c r="I793" s="45" t="str">
        <f ca="1">IFERROR(__xludf.DUMMYFUNCTION("""COMPUTED_VALUE"""),"MYSY")</f>
        <v>MYSY</v>
      </c>
      <c r="J793" s="46">
        <f ca="1">IFERROR(__xludf.DUMMYFUNCTION("""COMPUTED_VALUE"""),25000)</f>
        <v>25000</v>
      </c>
      <c r="K793" s="46">
        <f ca="1">IFERROR(__xludf.DUMMYFUNCTION("""COMPUTED_VALUE"""),0)</f>
        <v>0</v>
      </c>
      <c r="L793" s="46">
        <f ca="1">IFERROR(__xludf.DUMMYFUNCTION("""COMPUTED_VALUE"""),0)</f>
        <v>0</v>
      </c>
      <c r="M793" s="47">
        <f ca="1">IFERROR(__xludf.DUMMYFUNCTION("""COMPUTED_VALUE"""),0)</f>
        <v>0</v>
      </c>
      <c r="N793" s="46">
        <f ca="1">IFERROR(__xludf.DUMMYFUNCTION("""COMPUTED_VALUE"""),25000)</f>
        <v>25000</v>
      </c>
      <c r="O793" s="46">
        <f ca="1">IFERROR(__xludf.DUMMYFUNCTION("""COMPUTED_VALUE"""),3000)</f>
        <v>3000</v>
      </c>
      <c r="P793" s="46">
        <f ca="1">IFERROR(__xludf.DUMMYFUNCTION("""COMPUTED_VALUE"""),3000)</f>
        <v>3000</v>
      </c>
      <c r="Q793" s="47">
        <f ca="1">IFERROR(__xludf.DUMMYFUNCTION("""COMPUTED_VALUE"""),0)</f>
        <v>0</v>
      </c>
      <c r="R793" s="24">
        <f ca="1">IFERROR(__xludf.DUMMYFUNCTION("""COMPUTED_VALUE"""),0)</f>
        <v>0</v>
      </c>
      <c r="S793" s="23">
        <f ca="1">IFERROR(__xludf.DUMMYFUNCTION("""COMPUTED_VALUE"""),0)</f>
        <v>0</v>
      </c>
      <c r="T793" s="48">
        <f ca="1">IFERROR(__xludf.DUMMYFUNCTION("""COMPUTED_VALUE"""),0)</f>
        <v>0</v>
      </c>
      <c r="U793" s="47">
        <f ca="1">IFERROR(__xludf.DUMMYFUNCTION("""COMPUTED_VALUE"""),0)</f>
        <v>0</v>
      </c>
      <c r="V793" s="47">
        <f ca="1">IFERROR(__xludf.DUMMYFUNCTION("""COMPUTED_VALUE"""),0)</f>
        <v>0</v>
      </c>
      <c r="W793" s="47">
        <f ca="1">IFERROR(__xludf.DUMMYFUNCTION("""COMPUTED_VALUE"""),0)</f>
        <v>0</v>
      </c>
      <c r="X793" s="47">
        <f ca="1">IFERROR(__xludf.DUMMYFUNCTION("""COMPUTED_VALUE"""),0)</f>
        <v>0</v>
      </c>
      <c r="Y793" s="44">
        <f ca="1">IFERROR(__xludf.DUMMYFUNCTION("""COMPUTED_VALUE"""),0)</f>
        <v>0</v>
      </c>
      <c r="Z793" s="44">
        <f ca="1">IFERROR(__xludf.DUMMYFUNCTION("""COMPUTED_VALUE"""),0)</f>
        <v>0</v>
      </c>
      <c r="AA793" s="44">
        <f ca="1">IFERROR(__xludf.DUMMYFUNCTION("""COMPUTED_VALUE"""),0)</f>
        <v>0</v>
      </c>
      <c r="AB793" s="44">
        <f ca="1">IFERROR(__xludf.DUMMYFUNCTION("""COMPUTED_VALUE"""),0)</f>
        <v>0</v>
      </c>
      <c r="AC793" s="47">
        <f ca="1">IFERROR(__xludf.DUMMYFUNCTION("""COMPUTED_VALUE"""),0)</f>
        <v>0</v>
      </c>
      <c r="AD793" s="49" t="str">
        <f ca="1">IFERROR(__xludf.DUMMYFUNCTION("""COMPUTED_VALUE"""),"KSPS(50%) + MYSY(50%)")</f>
        <v>KSPS(50%) + MYSY(50%)</v>
      </c>
      <c r="AE793" s="27"/>
    </row>
    <row r="794" spans="1:31" ht="14.3">
      <c r="A794" s="42" t="str">
        <f ca="1">IFERROR(__xludf.DUMMYFUNCTION("""COMPUTED_VALUE"""),"22SDSME01034")</f>
        <v>22SDSME01034</v>
      </c>
      <c r="B794" s="43" t="str">
        <f ca="1">IFERROR(__xludf.DUMMYFUNCTION("""COMPUTED_VALUE"""),"ASAR ALI")</f>
        <v>ASAR ALI</v>
      </c>
      <c r="C794" s="42" t="str">
        <f ca="1">IFERROR(__xludf.DUMMYFUNCTION("""COMPUTED_VALUE"""),"SDS")</f>
        <v>SDS</v>
      </c>
      <c r="D794" s="42" t="str">
        <f ca="1">IFERROR(__xludf.DUMMYFUNCTION("""COMPUTED_VALUE"""),"DME")</f>
        <v>DME</v>
      </c>
      <c r="E794" s="44">
        <f ca="1">IFERROR(__xludf.DUMMYFUNCTION("""COMPUTED_VALUE"""),4)</f>
        <v>4</v>
      </c>
      <c r="F794" s="42" t="str">
        <f ca="1">IFERROR(__xludf.DUMMYFUNCTION("""COMPUTED_VALUE"""),"BIHAR STUDENT")</f>
        <v>BIHAR STUDENT</v>
      </c>
      <c r="G794" s="42" t="str">
        <f ca="1">IFERROR(__xludf.DUMMYFUNCTION("""COMPUTED_VALUE"""),"BIHAR STUDENT")</f>
        <v>BIHAR STUDENT</v>
      </c>
      <c r="H794" s="2" t="str">
        <f ca="1">IFERROR(__xludf.DUMMYFUNCTION("""COMPUTED_VALUE"""),"DME_2022-25")</f>
        <v>DME_2022-25</v>
      </c>
      <c r="I794" s="45"/>
      <c r="J794" s="46">
        <f ca="1">IFERROR(__xludf.DUMMYFUNCTION("""COMPUTED_VALUE"""),42500)</f>
        <v>42500</v>
      </c>
      <c r="K794" s="46">
        <f ca="1">IFERROR(__xludf.DUMMYFUNCTION("""COMPUTED_VALUE"""),0)</f>
        <v>0</v>
      </c>
      <c r="L794" s="46">
        <f ca="1">IFERROR(__xludf.DUMMYFUNCTION("""COMPUTED_VALUE"""),0)</f>
        <v>0</v>
      </c>
      <c r="M794" s="47">
        <f ca="1">IFERROR(__xludf.DUMMYFUNCTION("""COMPUTED_VALUE"""),0)</f>
        <v>0</v>
      </c>
      <c r="N794" s="46">
        <f ca="1">IFERROR(__xludf.DUMMYFUNCTION("""COMPUTED_VALUE"""),42500)</f>
        <v>42500</v>
      </c>
      <c r="O794" s="46">
        <f ca="1">IFERROR(__xludf.DUMMYFUNCTION("""COMPUTED_VALUE"""),0)</f>
        <v>0</v>
      </c>
      <c r="P794" s="46">
        <f ca="1">IFERROR(__xludf.DUMMYFUNCTION("""COMPUTED_VALUE"""),0)</f>
        <v>0</v>
      </c>
      <c r="Q794" s="47">
        <f ca="1">IFERROR(__xludf.DUMMYFUNCTION("""COMPUTED_VALUE"""),0)</f>
        <v>0</v>
      </c>
      <c r="R794" s="24">
        <f ca="1">IFERROR(__xludf.DUMMYFUNCTION("""COMPUTED_VALUE"""),0)</f>
        <v>0</v>
      </c>
      <c r="S794" s="23">
        <f ca="1">IFERROR(__xludf.DUMMYFUNCTION("""COMPUTED_VALUE"""),0)</f>
        <v>0</v>
      </c>
      <c r="T794" s="48">
        <f ca="1">IFERROR(__xludf.DUMMYFUNCTION("""COMPUTED_VALUE"""),0)</f>
        <v>0</v>
      </c>
      <c r="U794" s="47">
        <f ca="1">IFERROR(__xludf.DUMMYFUNCTION("""COMPUTED_VALUE"""),0)</f>
        <v>0</v>
      </c>
      <c r="V794" s="47">
        <f ca="1">IFERROR(__xludf.DUMMYFUNCTION("""COMPUTED_VALUE"""),0)</f>
        <v>0</v>
      </c>
      <c r="W794" s="47">
        <f ca="1">IFERROR(__xludf.DUMMYFUNCTION("""COMPUTED_VALUE"""),0)</f>
        <v>0</v>
      </c>
      <c r="X794" s="47">
        <f ca="1">IFERROR(__xludf.DUMMYFUNCTION("""COMPUTED_VALUE"""),0)</f>
        <v>0</v>
      </c>
      <c r="Y794" s="44">
        <f ca="1">IFERROR(__xludf.DUMMYFUNCTION("""COMPUTED_VALUE"""),0)</f>
        <v>0</v>
      </c>
      <c r="Z794" s="44">
        <f ca="1">IFERROR(__xludf.DUMMYFUNCTION("""COMPUTED_VALUE"""),0)</f>
        <v>0</v>
      </c>
      <c r="AA794" s="44">
        <f ca="1">IFERROR(__xludf.DUMMYFUNCTION("""COMPUTED_VALUE"""),0)</f>
        <v>0</v>
      </c>
      <c r="AB794" s="44">
        <f ca="1">IFERROR(__xludf.DUMMYFUNCTION("""COMPUTED_VALUE"""),0)</f>
        <v>0</v>
      </c>
      <c r="AC794" s="47">
        <f ca="1">IFERROR(__xludf.DUMMYFUNCTION("""COMPUTED_VALUE"""),0)</f>
        <v>0</v>
      </c>
      <c r="AD794" s="49"/>
      <c r="AE794" s="27"/>
    </row>
    <row r="795" spans="1:31" ht="14.3">
      <c r="A795" s="42" t="str">
        <f ca="1">IFERROR(__xludf.DUMMYFUNCTION("""COMPUTED_VALUE"""),"22SDSME01035")</f>
        <v>22SDSME01035</v>
      </c>
      <c r="B795" s="43" t="str">
        <f ca="1">IFERROR(__xludf.DUMMYFUNCTION("""COMPUTED_VALUE"""),"ADITYA KUMAR")</f>
        <v>ADITYA KUMAR</v>
      </c>
      <c r="C795" s="42" t="str">
        <f ca="1">IFERROR(__xludf.DUMMYFUNCTION("""COMPUTED_VALUE"""),"SDS")</f>
        <v>SDS</v>
      </c>
      <c r="D795" s="42" t="str">
        <f ca="1">IFERROR(__xludf.DUMMYFUNCTION("""COMPUTED_VALUE"""),"DME")</f>
        <v>DME</v>
      </c>
      <c r="E795" s="44">
        <f ca="1">IFERROR(__xludf.DUMMYFUNCTION("""COMPUTED_VALUE"""),4)</f>
        <v>4</v>
      </c>
      <c r="F795" s="42" t="str">
        <f ca="1">IFERROR(__xludf.DUMMYFUNCTION("""COMPUTED_VALUE"""),"BIHAR STUDENT")</f>
        <v>BIHAR STUDENT</v>
      </c>
      <c r="G795" s="42" t="str">
        <f ca="1">IFERROR(__xludf.DUMMYFUNCTION("""COMPUTED_VALUE"""),"BIHAR STUDENT")</f>
        <v>BIHAR STUDENT</v>
      </c>
      <c r="H795" s="2" t="str">
        <f ca="1">IFERROR(__xludf.DUMMYFUNCTION("""COMPUTED_VALUE"""),"DME_2022-25")</f>
        <v>DME_2022-25</v>
      </c>
      <c r="I795" s="45"/>
      <c r="J795" s="46">
        <f ca="1">IFERROR(__xludf.DUMMYFUNCTION("""COMPUTED_VALUE"""),42500)</f>
        <v>42500</v>
      </c>
      <c r="K795" s="46">
        <f ca="1">IFERROR(__xludf.DUMMYFUNCTION("""COMPUTED_VALUE"""),0)</f>
        <v>0</v>
      </c>
      <c r="L795" s="46">
        <f ca="1">IFERROR(__xludf.DUMMYFUNCTION("""COMPUTED_VALUE"""),0)</f>
        <v>0</v>
      </c>
      <c r="M795" s="47">
        <f ca="1">IFERROR(__xludf.DUMMYFUNCTION("""COMPUTED_VALUE"""),0)</f>
        <v>0</v>
      </c>
      <c r="N795" s="46">
        <f ca="1">IFERROR(__xludf.DUMMYFUNCTION("""COMPUTED_VALUE"""),42500)</f>
        <v>42500</v>
      </c>
      <c r="O795" s="46">
        <f ca="1">IFERROR(__xludf.DUMMYFUNCTION("""COMPUTED_VALUE"""),0)</f>
        <v>0</v>
      </c>
      <c r="P795" s="46">
        <f ca="1">IFERROR(__xludf.DUMMYFUNCTION("""COMPUTED_VALUE"""),0)</f>
        <v>0</v>
      </c>
      <c r="Q795" s="47">
        <f ca="1">IFERROR(__xludf.DUMMYFUNCTION("""COMPUTED_VALUE"""),0)</f>
        <v>0</v>
      </c>
      <c r="R795" s="24">
        <f ca="1">IFERROR(__xludf.DUMMYFUNCTION("""COMPUTED_VALUE"""),0)</f>
        <v>0</v>
      </c>
      <c r="S795" s="23">
        <f ca="1">IFERROR(__xludf.DUMMYFUNCTION("""COMPUTED_VALUE"""),0)</f>
        <v>0</v>
      </c>
      <c r="T795" s="48">
        <f ca="1">IFERROR(__xludf.DUMMYFUNCTION("""COMPUTED_VALUE"""),0)</f>
        <v>0</v>
      </c>
      <c r="U795" s="47">
        <f ca="1">IFERROR(__xludf.DUMMYFUNCTION("""COMPUTED_VALUE"""),0)</f>
        <v>0</v>
      </c>
      <c r="V795" s="47">
        <f ca="1">IFERROR(__xludf.DUMMYFUNCTION("""COMPUTED_VALUE"""),0)</f>
        <v>0</v>
      </c>
      <c r="W795" s="47">
        <f ca="1">IFERROR(__xludf.DUMMYFUNCTION("""COMPUTED_VALUE"""),0)</f>
        <v>0</v>
      </c>
      <c r="X795" s="47">
        <f ca="1">IFERROR(__xludf.DUMMYFUNCTION("""COMPUTED_VALUE"""),0)</f>
        <v>0</v>
      </c>
      <c r="Y795" s="44">
        <f ca="1">IFERROR(__xludf.DUMMYFUNCTION("""COMPUTED_VALUE"""),0)</f>
        <v>0</v>
      </c>
      <c r="Z795" s="44">
        <f ca="1">IFERROR(__xludf.DUMMYFUNCTION("""COMPUTED_VALUE"""),0)</f>
        <v>0</v>
      </c>
      <c r="AA795" s="44">
        <f ca="1">IFERROR(__xludf.DUMMYFUNCTION("""COMPUTED_VALUE"""),0)</f>
        <v>0</v>
      </c>
      <c r="AB795" s="44">
        <f ca="1">IFERROR(__xludf.DUMMYFUNCTION("""COMPUTED_VALUE"""),0)</f>
        <v>0</v>
      </c>
      <c r="AC795" s="47">
        <f ca="1">IFERROR(__xludf.DUMMYFUNCTION("""COMPUTED_VALUE"""),0)</f>
        <v>0</v>
      </c>
      <c r="AD795" s="49"/>
      <c r="AE795" s="27"/>
    </row>
    <row r="796" spans="1:31" ht="14.3">
      <c r="A796" s="42" t="str">
        <f ca="1">IFERROR(__xludf.DUMMYFUNCTION("""COMPUTED_VALUE"""),"22SDSME01036")</f>
        <v>22SDSME01036</v>
      </c>
      <c r="B796" s="43" t="str">
        <f ca="1">IFERROR(__xludf.DUMMYFUNCTION("""COMPUTED_VALUE"""),"BRAJESH KUMAR")</f>
        <v>BRAJESH KUMAR</v>
      </c>
      <c r="C796" s="42" t="str">
        <f ca="1">IFERROR(__xludf.DUMMYFUNCTION("""COMPUTED_VALUE"""),"SDS")</f>
        <v>SDS</v>
      </c>
      <c r="D796" s="42" t="str">
        <f ca="1">IFERROR(__xludf.DUMMYFUNCTION("""COMPUTED_VALUE"""),"DME")</f>
        <v>DME</v>
      </c>
      <c r="E796" s="44">
        <f ca="1">IFERROR(__xludf.DUMMYFUNCTION("""COMPUTED_VALUE"""),4)</f>
        <v>4</v>
      </c>
      <c r="F796" s="42" t="str">
        <f ca="1">IFERROR(__xludf.DUMMYFUNCTION("""COMPUTED_VALUE"""),"BIHAR STUDENT")</f>
        <v>BIHAR STUDENT</v>
      </c>
      <c r="G796" s="42" t="str">
        <f ca="1">IFERROR(__xludf.DUMMYFUNCTION("""COMPUTED_VALUE"""),"BIHAR STUDENT")</f>
        <v>BIHAR STUDENT</v>
      </c>
      <c r="H796" s="2" t="str">
        <f ca="1">IFERROR(__xludf.DUMMYFUNCTION("""COMPUTED_VALUE"""),"DME_2022-25")</f>
        <v>DME_2022-25</v>
      </c>
      <c r="I796" s="45"/>
      <c r="J796" s="46">
        <f ca="1">IFERROR(__xludf.DUMMYFUNCTION("""COMPUTED_VALUE"""),42500)</f>
        <v>42500</v>
      </c>
      <c r="K796" s="46">
        <f ca="1">IFERROR(__xludf.DUMMYFUNCTION("""COMPUTED_VALUE"""),0)</f>
        <v>0</v>
      </c>
      <c r="L796" s="46">
        <f ca="1">IFERROR(__xludf.DUMMYFUNCTION("""COMPUTED_VALUE"""),0)</f>
        <v>0</v>
      </c>
      <c r="M796" s="47">
        <f ca="1">IFERROR(__xludf.DUMMYFUNCTION("""COMPUTED_VALUE"""),0)</f>
        <v>0</v>
      </c>
      <c r="N796" s="46">
        <f ca="1">IFERROR(__xludf.DUMMYFUNCTION("""COMPUTED_VALUE"""),42500)</f>
        <v>42500</v>
      </c>
      <c r="O796" s="46">
        <f ca="1">IFERROR(__xludf.DUMMYFUNCTION("""COMPUTED_VALUE"""),0)</f>
        <v>0</v>
      </c>
      <c r="P796" s="46">
        <f ca="1">IFERROR(__xludf.DUMMYFUNCTION("""COMPUTED_VALUE"""),0)</f>
        <v>0</v>
      </c>
      <c r="Q796" s="47">
        <f ca="1">IFERROR(__xludf.DUMMYFUNCTION("""COMPUTED_VALUE"""),0)</f>
        <v>0</v>
      </c>
      <c r="R796" s="24">
        <f ca="1">IFERROR(__xludf.DUMMYFUNCTION("""COMPUTED_VALUE"""),0)</f>
        <v>0</v>
      </c>
      <c r="S796" s="23">
        <f ca="1">IFERROR(__xludf.DUMMYFUNCTION("""COMPUTED_VALUE"""),0)</f>
        <v>0</v>
      </c>
      <c r="T796" s="48">
        <f ca="1">IFERROR(__xludf.DUMMYFUNCTION("""COMPUTED_VALUE"""),0)</f>
        <v>0</v>
      </c>
      <c r="U796" s="47">
        <f ca="1">IFERROR(__xludf.DUMMYFUNCTION("""COMPUTED_VALUE"""),0)</f>
        <v>0</v>
      </c>
      <c r="V796" s="47">
        <f ca="1">IFERROR(__xludf.DUMMYFUNCTION("""COMPUTED_VALUE"""),0)</f>
        <v>0</v>
      </c>
      <c r="W796" s="47">
        <f ca="1">IFERROR(__xludf.DUMMYFUNCTION("""COMPUTED_VALUE"""),0)</f>
        <v>0</v>
      </c>
      <c r="X796" s="47">
        <f ca="1">IFERROR(__xludf.DUMMYFUNCTION("""COMPUTED_VALUE"""),0)</f>
        <v>0</v>
      </c>
      <c r="Y796" s="44">
        <f ca="1">IFERROR(__xludf.DUMMYFUNCTION("""COMPUTED_VALUE"""),0)</f>
        <v>0</v>
      </c>
      <c r="Z796" s="44">
        <f ca="1">IFERROR(__xludf.DUMMYFUNCTION("""COMPUTED_VALUE"""),0)</f>
        <v>0</v>
      </c>
      <c r="AA796" s="44">
        <f ca="1">IFERROR(__xludf.DUMMYFUNCTION("""COMPUTED_VALUE"""),0)</f>
        <v>0</v>
      </c>
      <c r="AB796" s="44">
        <f ca="1">IFERROR(__xludf.DUMMYFUNCTION("""COMPUTED_VALUE"""),0)</f>
        <v>0</v>
      </c>
      <c r="AC796" s="47">
        <f ca="1">IFERROR(__xludf.DUMMYFUNCTION("""COMPUTED_VALUE"""),0)</f>
        <v>0</v>
      </c>
      <c r="AD796" s="49"/>
      <c r="AE796" s="27"/>
    </row>
    <row r="797" spans="1:31" ht="14.3">
      <c r="A797" s="42" t="str">
        <f ca="1">IFERROR(__xludf.DUMMYFUNCTION("""COMPUTED_VALUE"""),"22SDSME01037")</f>
        <v>22SDSME01037</v>
      </c>
      <c r="B797" s="43" t="str">
        <f ca="1">IFERROR(__xludf.DUMMYFUNCTION("""COMPUTED_VALUE"""),"GOLU KUMAR")</f>
        <v>GOLU KUMAR</v>
      </c>
      <c r="C797" s="42" t="str">
        <f ca="1">IFERROR(__xludf.DUMMYFUNCTION("""COMPUTED_VALUE"""),"SDS")</f>
        <v>SDS</v>
      </c>
      <c r="D797" s="42" t="str">
        <f ca="1">IFERROR(__xludf.DUMMYFUNCTION("""COMPUTED_VALUE"""),"DME")</f>
        <v>DME</v>
      </c>
      <c r="E797" s="44">
        <f ca="1">IFERROR(__xludf.DUMMYFUNCTION("""COMPUTED_VALUE"""),4)</f>
        <v>4</v>
      </c>
      <c r="F797" s="42" t="str">
        <f ca="1">IFERROR(__xludf.DUMMYFUNCTION("""COMPUTED_VALUE"""),"BIHAR STUDENT")</f>
        <v>BIHAR STUDENT</v>
      </c>
      <c r="G797" s="42" t="str">
        <f ca="1">IFERROR(__xludf.DUMMYFUNCTION("""COMPUTED_VALUE"""),"BIHAR STUDENT")</f>
        <v>BIHAR STUDENT</v>
      </c>
      <c r="H797" s="2" t="str">
        <f ca="1">IFERROR(__xludf.DUMMYFUNCTION("""COMPUTED_VALUE"""),"DME_2022-25")</f>
        <v>DME_2022-25</v>
      </c>
      <c r="I797" s="45"/>
      <c r="J797" s="46">
        <f ca="1">IFERROR(__xludf.DUMMYFUNCTION("""COMPUTED_VALUE"""),42500)</f>
        <v>42500</v>
      </c>
      <c r="K797" s="46">
        <f ca="1">IFERROR(__xludf.DUMMYFUNCTION("""COMPUTED_VALUE"""),0)</f>
        <v>0</v>
      </c>
      <c r="L797" s="46">
        <f ca="1">IFERROR(__xludf.DUMMYFUNCTION("""COMPUTED_VALUE"""),0)</f>
        <v>0</v>
      </c>
      <c r="M797" s="47">
        <f ca="1">IFERROR(__xludf.DUMMYFUNCTION("""COMPUTED_VALUE"""),0)</f>
        <v>0</v>
      </c>
      <c r="N797" s="46">
        <f ca="1">IFERROR(__xludf.DUMMYFUNCTION("""COMPUTED_VALUE"""),42500)</f>
        <v>42500</v>
      </c>
      <c r="O797" s="46">
        <f ca="1">IFERROR(__xludf.DUMMYFUNCTION("""COMPUTED_VALUE"""),0)</f>
        <v>0</v>
      </c>
      <c r="P797" s="46">
        <f ca="1">IFERROR(__xludf.DUMMYFUNCTION("""COMPUTED_VALUE"""),0)</f>
        <v>0</v>
      </c>
      <c r="Q797" s="47">
        <f ca="1">IFERROR(__xludf.DUMMYFUNCTION("""COMPUTED_VALUE"""),0)</f>
        <v>0</v>
      </c>
      <c r="R797" s="24">
        <f ca="1">IFERROR(__xludf.DUMMYFUNCTION("""COMPUTED_VALUE"""),0)</f>
        <v>0</v>
      </c>
      <c r="S797" s="23">
        <f ca="1">IFERROR(__xludf.DUMMYFUNCTION("""COMPUTED_VALUE"""),0)</f>
        <v>0</v>
      </c>
      <c r="T797" s="48">
        <f ca="1">IFERROR(__xludf.DUMMYFUNCTION("""COMPUTED_VALUE"""),0)</f>
        <v>0</v>
      </c>
      <c r="U797" s="47">
        <f ca="1">IFERROR(__xludf.DUMMYFUNCTION("""COMPUTED_VALUE"""),0)</f>
        <v>0</v>
      </c>
      <c r="V797" s="47">
        <f ca="1">IFERROR(__xludf.DUMMYFUNCTION("""COMPUTED_VALUE"""),0)</f>
        <v>0</v>
      </c>
      <c r="W797" s="47">
        <f ca="1">IFERROR(__xludf.DUMMYFUNCTION("""COMPUTED_VALUE"""),0)</f>
        <v>0</v>
      </c>
      <c r="X797" s="47">
        <f ca="1">IFERROR(__xludf.DUMMYFUNCTION("""COMPUTED_VALUE"""),0)</f>
        <v>0</v>
      </c>
      <c r="Y797" s="44">
        <f ca="1">IFERROR(__xludf.DUMMYFUNCTION("""COMPUTED_VALUE"""),0)</f>
        <v>0</v>
      </c>
      <c r="Z797" s="44">
        <f ca="1">IFERROR(__xludf.DUMMYFUNCTION("""COMPUTED_VALUE"""),0)</f>
        <v>0</v>
      </c>
      <c r="AA797" s="44">
        <f ca="1">IFERROR(__xludf.DUMMYFUNCTION("""COMPUTED_VALUE"""),0)</f>
        <v>0</v>
      </c>
      <c r="AB797" s="44">
        <f ca="1">IFERROR(__xludf.DUMMYFUNCTION("""COMPUTED_VALUE"""),0)</f>
        <v>0</v>
      </c>
      <c r="AC797" s="47">
        <f ca="1">IFERROR(__xludf.DUMMYFUNCTION("""COMPUTED_VALUE"""),0)</f>
        <v>0</v>
      </c>
      <c r="AD797" s="49"/>
      <c r="AE797" s="27"/>
    </row>
    <row r="798" spans="1:31" ht="14.3">
      <c r="A798" s="42" t="str">
        <f ca="1">IFERROR(__xludf.DUMMYFUNCTION("""COMPUTED_VALUE"""),"22SDSME01039")</f>
        <v>22SDSME01039</v>
      </c>
      <c r="B798" s="43" t="str">
        <f ca="1">IFERROR(__xludf.DUMMYFUNCTION("""COMPUTED_VALUE"""),"MUKESH KUMAR")</f>
        <v>MUKESH KUMAR</v>
      </c>
      <c r="C798" s="42" t="str">
        <f ca="1">IFERROR(__xludf.DUMMYFUNCTION("""COMPUTED_VALUE"""),"SDS")</f>
        <v>SDS</v>
      </c>
      <c r="D798" s="42" t="str">
        <f ca="1">IFERROR(__xludf.DUMMYFUNCTION("""COMPUTED_VALUE"""),"DME")</f>
        <v>DME</v>
      </c>
      <c r="E798" s="44">
        <f ca="1">IFERROR(__xludf.DUMMYFUNCTION("""COMPUTED_VALUE"""),4)</f>
        <v>4</v>
      </c>
      <c r="F798" s="42" t="str">
        <f ca="1">IFERROR(__xludf.DUMMYFUNCTION("""COMPUTED_VALUE"""),"BIHAR STUDENT")</f>
        <v>BIHAR STUDENT</v>
      </c>
      <c r="G798" s="42" t="str">
        <f ca="1">IFERROR(__xludf.DUMMYFUNCTION("""COMPUTED_VALUE"""),"BIHAR STUDENT")</f>
        <v>BIHAR STUDENT</v>
      </c>
      <c r="H798" s="2" t="str">
        <f ca="1">IFERROR(__xludf.DUMMYFUNCTION("""COMPUTED_VALUE"""),"DME_2022-25")</f>
        <v>DME_2022-25</v>
      </c>
      <c r="I798" s="45"/>
      <c r="J798" s="46">
        <f ca="1">IFERROR(__xludf.DUMMYFUNCTION("""COMPUTED_VALUE"""),42500)</f>
        <v>42500</v>
      </c>
      <c r="K798" s="46">
        <f ca="1">IFERROR(__xludf.DUMMYFUNCTION("""COMPUTED_VALUE"""),0)</f>
        <v>0</v>
      </c>
      <c r="L798" s="46">
        <f ca="1">IFERROR(__xludf.DUMMYFUNCTION("""COMPUTED_VALUE"""),0)</f>
        <v>0</v>
      </c>
      <c r="M798" s="47">
        <f ca="1">IFERROR(__xludf.DUMMYFUNCTION("""COMPUTED_VALUE"""),0)</f>
        <v>0</v>
      </c>
      <c r="N798" s="46">
        <f ca="1">IFERROR(__xludf.DUMMYFUNCTION("""COMPUTED_VALUE"""),42500)</f>
        <v>42500</v>
      </c>
      <c r="O798" s="46">
        <f ca="1">IFERROR(__xludf.DUMMYFUNCTION("""COMPUTED_VALUE"""),0)</f>
        <v>0</v>
      </c>
      <c r="P798" s="46">
        <f ca="1">IFERROR(__xludf.DUMMYFUNCTION("""COMPUTED_VALUE"""),0)</f>
        <v>0</v>
      </c>
      <c r="Q798" s="47">
        <f ca="1">IFERROR(__xludf.DUMMYFUNCTION("""COMPUTED_VALUE"""),0)</f>
        <v>0</v>
      </c>
      <c r="R798" s="24">
        <f ca="1">IFERROR(__xludf.DUMMYFUNCTION("""COMPUTED_VALUE"""),0)</f>
        <v>0</v>
      </c>
      <c r="S798" s="23">
        <f ca="1">IFERROR(__xludf.DUMMYFUNCTION("""COMPUTED_VALUE"""),0)</f>
        <v>0</v>
      </c>
      <c r="T798" s="48">
        <f ca="1">IFERROR(__xludf.DUMMYFUNCTION("""COMPUTED_VALUE"""),0)</f>
        <v>0</v>
      </c>
      <c r="U798" s="47">
        <f ca="1">IFERROR(__xludf.DUMMYFUNCTION("""COMPUTED_VALUE"""),0)</f>
        <v>0</v>
      </c>
      <c r="V798" s="47">
        <f ca="1">IFERROR(__xludf.DUMMYFUNCTION("""COMPUTED_VALUE"""),0)</f>
        <v>0</v>
      </c>
      <c r="W798" s="47">
        <f ca="1">IFERROR(__xludf.DUMMYFUNCTION("""COMPUTED_VALUE"""),0)</f>
        <v>0</v>
      </c>
      <c r="X798" s="47">
        <f ca="1">IFERROR(__xludf.DUMMYFUNCTION("""COMPUTED_VALUE"""),0)</f>
        <v>0</v>
      </c>
      <c r="Y798" s="44">
        <f ca="1">IFERROR(__xludf.DUMMYFUNCTION("""COMPUTED_VALUE"""),0)</f>
        <v>0</v>
      </c>
      <c r="Z798" s="44">
        <f ca="1">IFERROR(__xludf.DUMMYFUNCTION("""COMPUTED_VALUE"""),0)</f>
        <v>0</v>
      </c>
      <c r="AA798" s="44">
        <f ca="1">IFERROR(__xludf.DUMMYFUNCTION("""COMPUTED_VALUE"""),0)</f>
        <v>0</v>
      </c>
      <c r="AB798" s="44">
        <f ca="1">IFERROR(__xludf.DUMMYFUNCTION("""COMPUTED_VALUE"""),0)</f>
        <v>0</v>
      </c>
      <c r="AC798" s="47">
        <f ca="1">IFERROR(__xludf.DUMMYFUNCTION("""COMPUTED_VALUE"""),0)</f>
        <v>0</v>
      </c>
      <c r="AD798" s="49"/>
      <c r="AE798" s="27"/>
    </row>
    <row r="799" spans="1:31" ht="14.3">
      <c r="A799" s="42" t="str">
        <f ca="1">IFERROR(__xludf.DUMMYFUNCTION("""COMPUTED_VALUE"""),"22SDSME01040")</f>
        <v>22SDSME01040</v>
      </c>
      <c r="B799" s="43" t="str">
        <f ca="1">IFERROR(__xludf.DUMMYFUNCTION("""COMPUTED_VALUE"""),"NAVIN KUMAR")</f>
        <v>NAVIN KUMAR</v>
      </c>
      <c r="C799" s="42" t="str">
        <f ca="1">IFERROR(__xludf.DUMMYFUNCTION("""COMPUTED_VALUE"""),"SDS")</f>
        <v>SDS</v>
      </c>
      <c r="D799" s="42" t="str">
        <f ca="1">IFERROR(__xludf.DUMMYFUNCTION("""COMPUTED_VALUE"""),"DME")</f>
        <v>DME</v>
      </c>
      <c r="E799" s="44">
        <f ca="1">IFERROR(__xludf.DUMMYFUNCTION("""COMPUTED_VALUE"""),4)</f>
        <v>4</v>
      </c>
      <c r="F799" s="42" t="str">
        <f ca="1">IFERROR(__xludf.DUMMYFUNCTION("""COMPUTED_VALUE"""),"BIHAR STUDENT")</f>
        <v>BIHAR STUDENT</v>
      </c>
      <c r="G799" s="42" t="str">
        <f ca="1">IFERROR(__xludf.DUMMYFUNCTION("""COMPUTED_VALUE"""),"BIHAR STUDENT")</f>
        <v>BIHAR STUDENT</v>
      </c>
      <c r="H799" s="2" t="str">
        <f ca="1">IFERROR(__xludf.DUMMYFUNCTION("""COMPUTED_VALUE"""),"DME_2022-25")</f>
        <v>DME_2022-25</v>
      </c>
      <c r="I799" s="45"/>
      <c r="J799" s="46">
        <f ca="1">IFERROR(__xludf.DUMMYFUNCTION("""COMPUTED_VALUE"""),42500)</f>
        <v>42500</v>
      </c>
      <c r="K799" s="46">
        <f ca="1">IFERROR(__xludf.DUMMYFUNCTION("""COMPUTED_VALUE"""),0)</f>
        <v>0</v>
      </c>
      <c r="L799" s="46">
        <f ca="1">IFERROR(__xludf.DUMMYFUNCTION("""COMPUTED_VALUE"""),0)</f>
        <v>0</v>
      </c>
      <c r="M799" s="47">
        <f ca="1">IFERROR(__xludf.DUMMYFUNCTION("""COMPUTED_VALUE"""),0)</f>
        <v>0</v>
      </c>
      <c r="N799" s="46">
        <f ca="1">IFERROR(__xludf.DUMMYFUNCTION("""COMPUTED_VALUE"""),42500)</f>
        <v>42500</v>
      </c>
      <c r="O799" s="46">
        <f ca="1">IFERROR(__xludf.DUMMYFUNCTION("""COMPUTED_VALUE"""),0)</f>
        <v>0</v>
      </c>
      <c r="P799" s="46">
        <f ca="1">IFERROR(__xludf.DUMMYFUNCTION("""COMPUTED_VALUE"""),0)</f>
        <v>0</v>
      </c>
      <c r="Q799" s="47">
        <f ca="1">IFERROR(__xludf.DUMMYFUNCTION("""COMPUTED_VALUE"""),0)</f>
        <v>0</v>
      </c>
      <c r="R799" s="24">
        <f ca="1">IFERROR(__xludf.DUMMYFUNCTION("""COMPUTED_VALUE"""),0)</f>
        <v>0</v>
      </c>
      <c r="S799" s="23">
        <f ca="1">IFERROR(__xludf.DUMMYFUNCTION("""COMPUTED_VALUE"""),0)</f>
        <v>0</v>
      </c>
      <c r="T799" s="48">
        <f ca="1">IFERROR(__xludf.DUMMYFUNCTION("""COMPUTED_VALUE"""),0)</f>
        <v>0</v>
      </c>
      <c r="U799" s="47">
        <f ca="1">IFERROR(__xludf.DUMMYFUNCTION("""COMPUTED_VALUE"""),0)</f>
        <v>0</v>
      </c>
      <c r="V799" s="47">
        <f ca="1">IFERROR(__xludf.DUMMYFUNCTION("""COMPUTED_VALUE"""),0)</f>
        <v>0</v>
      </c>
      <c r="W799" s="47">
        <f ca="1">IFERROR(__xludf.DUMMYFUNCTION("""COMPUTED_VALUE"""),0)</f>
        <v>0</v>
      </c>
      <c r="X799" s="47">
        <f ca="1">IFERROR(__xludf.DUMMYFUNCTION("""COMPUTED_VALUE"""),0)</f>
        <v>0</v>
      </c>
      <c r="Y799" s="44">
        <f ca="1">IFERROR(__xludf.DUMMYFUNCTION("""COMPUTED_VALUE"""),0)</f>
        <v>0</v>
      </c>
      <c r="Z799" s="44">
        <f ca="1">IFERROR(__xludf.DUMMYFUNCTION("""COMPUTED_VALUE"""),0)</f>
        <v>0</v>
      </c>
      <c r="AA799" s="44">
        <f ca="1">IFERROR(__xludf.DUMMYFUNCTION("""COMPUTED_VALUE"""),0)</f>
        <v>0</v>
      </c>
      <c r="AB799" s="44">
        <f ca="1">IFERROR(__xludf.DUMMYFUNCTION("""COMPUTED_VALUE"""),0)</f>
        <v>0</v>
      </c>
      <c r="AC799" s="47">
        <f ca="1">IFERROR(__xludf.DUMMYFUNCTION("""COMPUTED_VALUE"""),0)</f>
        <v>0</v>
      </c>
      <c r="AD799" s="49"/>
      <c r="AE799" s="27"/>
    </row>
    <row r="800" spans="1:31" ht="14.3">
      <c r="A800" s="42" t="str">
        <f ca="1">IFERROR(__xludf.DUMMYFUNCTION("""COMPUTED_VALUE"""),"22SDSME01041")</f>
        <v>22SDSME01041</v>
      </c>
      <c r="B800" s="43" t="str">
        <f ca="1">IFERROR(__xludf.DUMMYFUNCTION("""COMPUTED_VALUE"""),"PRASHANT KUMAR")</f>
        <v>PRASHANT KUMAR</v>
      </c>
      <c r="C800" s="42" t="str">
        <f ca="1">IFERROR(__xludf.DUMMYFUNCTION("""COMPUTED_VALUE"""),"SDS")</f>
        <v>SDS</v>
      </c>
      <c r="D800" s="42" t="str">
        <f ca="1">IFERROR(__xludf.DUMMYFUNCTION("""COMPUTED_VALUE"""),"DME")</f>
        <v>DME</v>
      </c>
      <c r="E800" s="44">
        <f ca="1">IFERROR(__xludf.DUMMYFUNCTION("""COMPUTED_VALUE"""),4)</f>
        <v>4</v>
      </c>
      <c r="F800" s="42" t="str">
        <f ca="1">IFERROR(__xludf.DUMMYFUNCTION("""COMPUTED_VALUE"""),"BIHAR STUDENT")</f>
        <v>BIHAR STUDENT</v>
      </c>
      <c r="G800" s="42" t="str">
        <f ca="1">IFERROR(__xludf.DUMMYFUNCTION("""COMPUTED_VALUE"""),"BIHAR STUDENT")</f>
        <v>BIHAR STUDENT</v>
      </c>
      <c r="H800" s="2" t="str">
        <f ca="1">IFERROR(__xludf.DUMMYFUNCTION("""COMPUTED_VALUE"""),"DME_2022-25")</f>
        <v>DME_2022-25</v>
      </c>
      <c r="I800" s="45"/>
      <c r="J800" s="46">
        <f ca="1">IFERROR(__xludf.DUMMYFUNCTION("""COMPUTED_VALUE"""),42500)</f>
        <v>42500</v>
      </c>
      <c r="K800" s="46">
        <f ca="1">IFERROR(__xludf.DUMMYFUNCTION("""COMPUTED_VALUE"""),0)</f>
        <v>0</v>
      </c>
      <c r="L800" s="46">
        <f ca="1">IFERROR(__xludf.DUMMYFUNCTION("""COMPUTED_VALUE"""),0)</f>
        <v>0</v>
      </c>
      <c r="M800" s="47">
        <f ca="1">IFERROR(__xludf.DUMMYFUNCTION("""COMPUTED_VALUE"""),0)</f>
        <v>0</v>
      </c>
      <c r="N800" s="46">
        <f ca="1">IFERROR(__xludf.DUMMYFUNCTION("""COMPUTED_VALUE"""),42500)</f>
        <v>42500</v>
      </c>
      <c r="O800" s="46">
        <f ca="1">IFERROR(__xludf.DUMMYFUNCTION("""COMPUTED_VALUE"""),0)</f>
        <v>0</v>
      </c>
      <c r="P800" s="46">
        <f ca="1">IFERROR(__xludf.DUMMYFUNCTION("""COMPUTED_VALUE"""),0)</f>
        <v>0</v>
      </c>
      <c r="Q800" s="47">
        <f ca="1">IFERROR(__xludf.DUMMYFUNCTION("""COMPUTED_VALUE"""),0)</f>
        <v>0</v>
      </c>
      <c r="R800" s="24">
        <f ca="1">IFERROR(__xludf.DUMMYFUNCTION("""COMPUTED_VALUE"""),0)</f>
        <v>0</v>
      </c>
      <c r="S800" s="23">
        <f ca="1">IFERROR(__xludf.DUMMYFUNCTION("""COMPUTED_VALUE"""),0)</f>
        <v>0</v>
      </c>
      <c r="T800" s="48">
        <f ca="1">IFERROR(__xludf.DUMMYFUNCTION("""COMPUTED_VALUE"""),0)</f>
        <v>0</v>
      </c>
      <c r="U800" s="47">
        <f ca="1">IFERROR(__xludf.DUMMYFUNCTION("""COMPUTED_VALUE"""),0)</f>
        <v>0</v>
      </c>
      <c r="V800" s="47">
        <f ca="1">IFERROR(__xludf.DUMMYFUNCTION("""COMPUTED_VALUE"""),0)</f>
        <v>0</v>
      </c>
      <c r="W800" s="47">
        <f ca="1">IFERROR(__xludf.DUMMYFUNCTION("""COMPUTED_VALUE"""),0)</f>
        <v>0</v>
      </c>
      <c r="X800" s="47">
        <f ca="1">IFERROR(__xludf.DUMMYFUNCTION("""COMPUTED_VALUE"""),0)</f>
        <v>0</v>
      </c>
      <c r="Y800" s="44">
        <f ca="1">IFERROR(__xludf.DUMMYFUNCTION("""COMPUTED_VALUE"""),0)</f>
        <v>0</v>
      </c>
      <c r="Z800" s="44">
        <f ca="1">IFERROR(__xludf.DUMMYFUNCTION("""COMPUTED_VALUE"""),0)</f>
        <v>0</v>
      </c>
      <c r="AA800" s="44">
        <f ca="1">IFERROR(__xludf.DUMMYFUNCTION("""COMPUTED_VALUE"""),0)</f>
        <v>0</v>
      </c>
      <c r="AB800" s="44">
        <f ca="1">IFERROR(__xludf.DUMMYFUNCTION("""COMPUTED_VALUE"""),0)</f>
        <v>0</v>
      </c>
      <c r="AC800" s="47">
        <f ca="1">IFERROR(__xludf.DUMMYFUNCTION("""COMPUTED_VALUE"""),0)</f>
        <v>0</v>
      </c>
      <c r="AD800" s="49"/>
      <c r="AE800" s="27"/>
    </row>
    <row r="801" spans="1:31" ht="14.3">
      <c r="A801" s="42" t="str">
        <f ca="1">IFERROR(__xludf.DUMMYFUNCTION("""COMPUTED_VALUE"""),"22SDSME01043")</f>
        <v>22SDSME01043</v>
      </c>
      <c r="B801" s="43" t="str">
        <f ca="1">IFERROR(__xludf.DUMMYFUNCTION("""COMPUTED_VALUE"""),"SAURABH KUMAR")</f>
        <v>SAURABH KUMAR</v>
      </c>
      <c r="C801" s="42" t="str">
        <f ca="1">IFERROR(__xludf.DUMMYFUNCTION("""COMPUTED_VALUE"""),"SDS")</f>
        <v>SDS</v>
      </c>
      <c r="D801" s="42" t="str">
        <f ca="1">IFERROR(__xludf.DUMMYFUNCTION("""COMPUTED_VALUE"""),"DME")</f>
        <v>DME</v>
      </c>
      <c r="E801" s="44">
        <f ca="1">IFERROR(__xludf.DUMMYFUNCTION("""COMPUTED_VALUE"""),4)</f>
        <v>4</v>
      </c>
      <c r="F801" s="42" t="str">
        <f ca="1">IFERROR(__xludf.DUMMYFUNCTION("""COMPUTED_VALUE"""),"BIHAR STUDENT")</f>
        <v>BIHAR STUDENT</v>
      </c>
      <c r="G801" s="42" t="str">
        <f ca="1">IFERROR(__xludf.DUMMYFUNCTION("""COMPUTED_VALUE"""),"BIHAR STUDENT")</f>
        <v>BIHAR STUDENT</v>
      </c>
      <c r="H801" s="2" t="str">
        <f ca="1">IFERROR(__xludf.DUMMYFUNCTION("""COMPUTED_VALUE"""),"DME_2022-25")</f>
        <v>DME_2022-25</v>
      </c>
      <c r="I801" s="45"/>
      <c r="J801" s="46">
        <f ca="1">IFERROR(__xludf.DUMMYFUNCTION("""COMPUTED_VALUE"""),42500)</f>
        <v>42500</v>
      </c>
      <c r="K801" s="46">
        <f ca="1">IFERROR(__xludf.DUMMYFUNCTION("""COMPUTED_VALUE"""),0)</f>
        <v>0</v>
      </c>
      <c r="L801" s="46">
        <f ca="1">IFERROR(__xludf.DUMMYFUNCTION("""COMPUTED_VALUE"""),0)</f>
        <v>0</v>
      </c>
      <c r="M801" s="47">
        <f ca="1">IFERROR(__xludf.DUMMYFUNCTION("""COMPUTED_VALUE"""),0)</f>
        <v>0</v>
      </c>
      <c r="N801" s="46">
        <f ca="1">IFERROR(__xludf.DUMMYFUNCTION("""COMPUTED_VALUE"""),42500)</f>
        <v>42500</v>
      </c>
      <c r="O801" s="46">
        <f ca="1">IFERROR(__xludf.DUMMYFUNCTION("""COMPUTED_VALUE"""),0)</f>
        <v>0</v>
      </c>
      <c r="P801" s="46">
        <f ca="1">IFERROR(__xludf.DUMMYFUNCTION("""COMPUTED_VALUE"""),0)</f>
        <v>0</v>
      </c>
      <c r="Q801" s="47">
        <f ca="1">IFERROR(__xludf.DUMMYFUNCTION("""COMPUTED_VALUE"""),0)</f>
        <v>0</v>
      </c>
      <c r="R801" s="24">
        <f ca="1">IFERROR(__xludf.DUMMYFUNCTION("""COMPUTED_VALUE"""),0)</f>
        <v>0</v>
      </c>
      <c r="S801" s="23">
        <f ca="1">IFERROR(__xludf.DUMMYFUNCTION("""COMPUTED_VALUE"""),0)</f>
        <v>0</v>
      </c>
      <c r="T801" s="48">
        <f ca="1">IFERROR(__xludf.DUMMYFUNCTION("""COMPUTED_VALUE"""),0)</f>
        <v>0</v>
      </c>
      <c r="U801" s="47">
        <f ca="1">IFERROR(__xludf.DUMMYFUNCTION("""COMPUTED_VALUE"""),0)</f>
        <v>0</v>
      </c>
      <c r="V801" s="47">
        <f ca="1">IFERROR(__xludf.DUMMYFUNCTION("""COMPUTED_VALUE"""),0)</f>
        <v>0</v>
      </c>
      <c r="W801" s="47">
        <f ca="1">IFERROR(__xludf.DUMMYFUNCTION("""COMPUTED_VALUE"""),0)</f>
        <v>0</v>
      </c>
      <c r="X801" s="47">
        <f ca="1">IFERROR(__xludf.DUMMYFUNCTION("""COMPUTED_VALUE"""),0)</f>
        <v>0</v>
      </c>
      <c r="Y801" s="44">
        <f ca="1">IFERROR(__xludf.DUMMYFUNCTION("""COMPUTED_VALUE"""),0)</f>
        <v>0</v>
      </c>
      <c r="Z801" s="44">
        <f ca="1">IFERROR(__xludf.DUMMYFUNCTION("""COMPUTED_VALUE"""),0)</f>
        <v>0</v>
      </c>
      <c r="AA801" s="44">
        <f ca="1">IFERROR(__xludf.DUMMYFUNCTION("""COMPUTED_VALUE"""),0)</f>
        <v>0</v>
      </c>
      <c r="AB801" s="44">
        <f ca="1">IFERROR(__xludf.DUMMYFUNCTION("""COMPUTED_VALUE"""),0)</f>
        <v>0</v>
      </c>
      <c r="AC801" s="47">
        <f ca="1">IFERROR(__xludf.DUMMYFUNCTION("""COMPUTED_VALUE"""),0)</f>
        <v>0</v>
      </c>
      <c r="AD801" s="49"/>
      <c r="AE801" s="27"/>
    </row>
    <row r="802" spans="1:31" ht="14.3">
      <c r="A802" s="42" t="str">
        <f ca="1">IFERROR(__xludf.DUMMYFUNCTION("""COMPUTED_VALUE"""),"22SDSME01044")</f>
        <v>22SDSME01044</v>
      </c>
      <c r="B802" s="43" t="str">
        <f ca="1">IFERROR(__xludf.DUMMYFUNCTION("""COMPUTED_VALUE"""),"SHRIOM KUMAR")</f>
        <v>SHRIOM KUMAR</v>
      </c>
      <c r="C802" s="42" t="str">
        <f ca="1">IFERROR(__xludf.DUMMYFUNCTION("""COMPUTED_VALUE"""),"SDS")</f>
        <v>SDS</v>
      </c>
      <c r="D802" s="42" t="str">
        <f ca="1">IFERROR(__xludf.DUMMYFUNCTION("""COMPUTED_VALUE"""),"DME")</f>
        <v>DME</v>
      </c>
      <c r="E802" s="44">
        <f ca="1">IFERROR(__xludf.DUMMYFUNCTION("""COMPUTED_VALUE"""),4)</f>
        <v>4</v>
      </c>
      <c r="F802" s="42" t="str">
        <f ca="1">IFERROR(__xludf.DUMMYFUNCTION("""COMPUTED_VALUE"""),"BIHAR STUDENT")</f>
        <v>BIHAR STUDENT</v>
      </c>
      <c r="G802" s="42" t="str">
        <f ca="1">IFERROR(__xludf.DUMMYFUNCTION("""COMPUTED_VALUE"""),"BIHAR STUDENT")</f>
        <v>BIHAR STUDENT</v>
      </c>
      <c r="H802" s="2" t="str">
        <f ca="1">IFERROR(__xludf.DUMMYFUNCTION("""COMPUTED_VALUE"""),"DME_2022-25")</f>
        <v>DME_2022-25</v>
      </c>
      <c r="I802" s="45"/>
      <c r="J802" s="46">
        <f ca="1">IFERROR(__xludf.DUMMYFUNCTION("""COMPUTED_VALUE"""),42500)</f>
        <v>42500</v>
      </c>
      <c r="K802" s="46">
        <f ca="1">IFERROR(__xludf.DUMMYFUNCTION("""COMPUTED_VALUE"""),42500)</f>
        <v>42500</v>
      </c>
      <c r="L802" s="46">
        <f ca="1">IFERROR(__xludf.DUMMYFUNCTION("""COMPUTED_VALUE"""),0)</f>
        <v>0</v>
      </c>
      <c r="M802" s="47">
        <f ca="1">IFERROR(__xludf.DUMMYFUNCTION("""COMPUTED_VALUE"""),0)</f>
        <v>0</v>
      </c>
      <c r="N802" s="46">
        <f ca="1">IFERROR(__xludf.DUMMYFUNCTION("""COMPUTED_VALUE"""),0)</f>
        <v>0</v>
      </c>
      <c r="O802" s="46">
        <f ca="1">IFERROR(__xludf.DUMMYFUNCTION("""COMPUTED_VALUE"""),0)</f>
        <v>0</v>
      </c>
      <c r="P802" s="46">
        <f ca="1">IFERROR(__xludf.DUMMYFUNCTION("""COMPUTED_VALUE"""),0)</f>
        <v>0</v>
      </c>
      <c r="Q802" s="47">
        <f ca="1">IFERROR(__xludf.DUMMYFUNCTION("""COMPUTED_VALUE"""),0)</f>
        <v>0</v>
      </c>
      <c r="R802" s="24">
        <f ca="1">IFERROR(__xludf.DUMMYFUNCTION("""COMPUTED_VALUE"""),0)</f>
        <v>0</v>
      </c>
      <c r="S802" s="23">
        <f ca="1">IFERROR(__xludf.DUMMYFUNCTION("""COMPUTED_VALUE"""),0)</f>
        <v>0</v>
      </c>
      <c r="T802" s="48">
        <f ca="1">IFERROR(__xludf.DUMMYFUNCTION("""COMPUTED_VALUE"""),0)</f>
        <v>0</v>
      </c>
      <c r="U802" s="47">
        <f ca="1">IFERROR(__xludf.DUMMYFUNCTION("""COMPUTED_VALUE"""),0)</f>
        <v>0</v>
      </c>
      <c r="V802" s="47">
        <f ca="1">IFERROR(__xludf.DUMMYFUNCTION("""COMPUTED_VALUE"""),0)</f>
        <v>0</v>
      </c>
      <c r="W802" s="47">
        <f ca="1">IFERROR(__xludf.DUMMYFUNCTION("""COMPUTED_VALUE"""),0)</f>
        <v>0</v>
      </c>
      <c r="X802" s="47">
        <f ca="1">IFERROR(__xludf.DUMMYFUNCTION("""COMPUTED_VALUE"""),0)</f>
        <v>0</v>
      </c>
      <c r="Y802" s="44">
        <f ca="1">IFERROR(__xludf.DUMMYFUNCTION("""COMPUTED_VALUE"""),0)</f>
        <v>0</v>
      </c>
      <c r="Z802" s="44">
        <f ca="1">IFERROR(__xludf.DUMMYFUNCTION("""COMPUTED_VALUE"""),0)</f>
        <v>0</v>
      </c>
      <c r="AA802" s="44">
        <f ca="1">IFERROR(__xludf.DUMMYFUNCTION("""COMPUTED_VALUE"""),0)</f>
        <v>0</v>
      </c>
      <c r="AB802" s="44">
        <f ca="1">IFERROR(__xludf.DUMMYFUNCTION("""COMPUTED_VALUE"""),0)</f>
        <v>0</v>
      </c>
      <c r="AC802" s="47">
        <f ca="1">IFERROR(__xludf.DUMMYFUNCTION("""COMPUTED_VALUE"""),0)</f>
        <v>0</v>
      </c>
      <c r="AD802" s="49"/>
      <c r="AE802" s="27"/>
    </row>
    <row r="803" spans="1:31" ht="14.3">
      <c r="A803" s="42" t="str">
        <f ca="1">IFERROR(__xludf.DUMMYFUNCTION("""COMPUTED_VALUE"""),"22SDSME01045")</f>
        <v>22SDSME01045</v>
      </c>
      <c r="B803" s="43" t="str">
        <f ca="1">IFERROR(__xludf.DUMMYFUNCTION("""COMPUTED_VALUE"""),"SHUBHAM KUMAR")</f>
        <v>SHUBHAM KUMAR</v>
      </c>
      <c r="C803" s="42" t="str">
        <f ca="1">IFERROR(__xludf.DUMMYFUNCTION("""COMPUTED_VALUE"""),"SDS")</f>
        <v>SDS</v>
      </c>
      <c r="D803" s="42" t="str">
        <f ca="1">IFERROR(__xludf.DUMMYFUNCTION("""COMPUTED_VALUE"""),"DME")</f>
        <v>DME</v>
      </c>
      <c r="E803" s="44">
        <f ca="1">IFERROR(__xludf.DUMMYFUNCTION("""COMPUTED_VALUE"""),4)</f>
        <v>4</v>
      </c>
      <c r="F803" s="42" t="str">
        <f ca="1">IFERROR(__xludf.DUMMYFUNCTION("""COMPUTED_VALUE"""),"BIHAR STUDENT")</f>
        <v>BIHAR STUDENT</v>
      </c>
      <c r="G803" s="42" t="str">
        <f ca="1">IFERROR(__xludf.DUMMYFUNCTION("""COMPUTED_VALUE"""),"BIHAR STUDENT")</f>
        <v>BIHAR STUDENT</v>
      </c>
      <c r="H803" s="2" t="str">
        <f ca="1">IFERROR(__xludf.DUMMYFUNCTION("""COMPUTED_VALUE"""),"DME_2022-25")</f>
        <v>DME_2022-25</v>
      </c>
      <c r="I803" s="45"/>
      <c r="J803" s="46">
        <f ca="1">IFERROR(__xludf.DUMMYFUNCTION("""COMPUTED_VALUE"""),42500)</f>
        <v>42500</v>
      </c>
      <c r="K803" s="46">
        <f ca="1">IFERROR(__xludf.DUMMYFUNCTION("""COMPUTED_VALUE"""),42500)</f>
        <v>42500</v>
      </c>
      <c r="L803" s="46">
        <f ca="1">IFERROR(__xludf.DUMMYFUNCTION("""COMPUTED_VALUE"""),0)</f>
        <v>0</v>
      </c>
      <c r="M803" s="47">
        <f ca="1">IFERROR(__xludf.DUMMYFUNCTION("""COMPUTED_VALUE"""),0)</f>
        <v>0</v>
      </c>
      <c r="N803" s="46">
        <f ca="1">IFERROR(__xludf.DUMMYFUNCTION("""COMPUTED_VALUE"""),0)</f>
        <v>0</v>
      </c>
      <c r="O803" s="46">
        <f ca="1">IFERROR(__xludf.DUMMYFUNCTION("""COMPUTED_VALUE"""),0)</f>
        <v>0</v>
      </c>
      <c r="P803" s="46">
        <f ca="1">IFERROR(__xludf.DUMMYFUNCTION("""COMPUTED_VALUE"""),0)</f>
        <v>0</v>
      </c>
      <c r="Q803" s="47">
        <f ca="1">IFERROR(__xludf.DUMMYFUNCTION("""COMPUTED_VALUE"""),0)</f>
        <v>0</v>
      </c>
      <c r="R803" s="24">
        <f ca="1">IFERROR(__xludf.DUMMYFUNCTION("""COMPUTED_VALUE"""),0)</f>
        <v>0</v>
      </c>
      <c r="S803" s="23">
        <f ca="1">IFERROR(__xludf.DUMMYFUNCTION("""COMPUTED_VALUE"""),0)</f>
        <v>0</v>
      </c>
      <c r="T803" s="48">
        <f ca="1">IFERROR(__xludf.DUMMYFUNCTION("""COMPUTED_VALUE"""),0)</f>
        <v>0</v>
      </c>
      <c r="U803" s="47">
        <f ca="1">IFERROR(__xludf.DUMMYFUNCTION("""COMPUTED_VALUE"""),0)</f>
        <v>0</v>
      </c>
      <c r="V803" s="47">
        <f ca="1">IFERROR(__xludf.DUMMYFUNCTION("""COMPUTED_VALUE"""),0)</f>
        <v>0</v>
      </c>
      <c r="W803" s="47">
        <f ca="1">IFERROR(__xludf.DUMMYFUNCTION("""COMPUTED_VALUE"""),0)</f>
        <v>0</v>
      </c>
      <c r="X803" s="47">
        <f ca="1">IFERROR(__xludf.DUMMYFUNCTION("""COMPUTED_VALUE"""),0)</f>
        <v>0</v>
      </c>
      <c r="Y803" s="44">
        <f ca="1">IFERROR(__xludf.DUMMYFUNCTION("""COMPUTED_VALUE"""),0)</f>
        <v>0</v>
      </c>
      <c r="Z803" s="44">
        <f ca="1">IFERROR(__xludf.DUMMYFUNCTION("""COMPUTED_VALUE"""),0)</f>
        <v>0</v>
      </c>
      <c r="AA803" s="44">
        <f ca="1">IFERROR(__xludf.DUMMYFUNCTION("""COMPUTED_VALUE"""),0)</f>
        <v>0</v>
      </c>
      <c r="AB803" s="44">
        <f ca="1">IFERROR(__xludf.DUMMYFUNCTION("""COMPUTED_VALUE"""),0)</f>
        <v>0</v>
      </c>
      <c r="AC803" s="47">
        <f ca="1">IFERROR(__xludf.DUMMYFUNCTION("""COMPUTED_VALUE"""),0)</f>
        <v>0</v>
      </c>
      <c r="AD803" s="49"/>
      <c r="AE803" s="27"/>
    </row>
    <row r="804" spans="1:31" ht="14.3">
      <c r="A804" s="42" t="str">
        <f ca="1">IFERROR(__xludf.DUMMYFUNCTION("""COMPUTED_VALUE"""),"22SDSME01046")</f>
        <v>22SDSME01046</v>
      </c>
      <c r="B804" s="43" t="str">
        <f ca="1">IFERROR(__xludf.DUMMYFUNCTION("""COMPUTED_VALUE"""),"SATYAJEET NIDHI")</f>
        <v>SATYAJEET NIDHI</v>
      </c>
      <c r="C804" s="42" t="str">
        <f ca="1">IFERROR(__xludf.DUMMYFUNCTION("""COMPUTED_VALUE"""),"SDS")</f>
        <v>SDS</v>
      </c>
      <c r="D804" s="42" t="str">
        <f ca="1">IFERROR(__xludf.DUMMYFUNCTION("""COMPUTED_VALUE"""),"DME")</f>
        <v>DME</v>
      </c>
      <c r="E804" s="44">
        <f ca="1">IFERROR(__xludf.DUMMYFUNCTION("""COMPUTED_VALUE"""),4)</f>
        <v>4</v>
      </c>
      <c r="F804" s="42" t="str">
        <f ca="1">IFERROR(__xludf.DUMMYFUNCTION("""COMPUTED_VALUE"""),"BIHAR STUDENT")</f>
        <v>BIHAR STUDENT</v>
      </c>
      <c r="G804" s="42" t="str">
        <f ca="1">IFERROR(__xludf.DUMMYFUNCTION("""COMPUTED_VALUE"""),"BIHAR STUDENT")</f>
        <v>BIHAR STUDENT</v>
      </c>
      <c r="H804" s="2" t="str">
        <f ca="1">IFERROR(__xludf.DUMMYFUNCTION("""COMPUTED_VALUE"""),"DME_2022-25")</f>
        <v>DME_2022-25</v>
      </c>
      <c r="I804" s="45"/>
      <c r="J804" s="46">
        <f ca="1">IFERROR(__xludf.DUMMYFUNCTION("""COMPUTED_VALUE"""),42500)</f>
        <v>42500</v>
      </c>
      <c r="K804" s="46">
        <f ca="1">IFERROR(__xludf.DUMMYFUNCTION("""COMPUTED_VALUE"""),42500)</f>
        <v>42500</v>
      </c>
      <c r="L804" s="46">
        <f ca="1">IFERROR(__xludf.DUMMYFUNCTION("""COMPUTED_VALUE"""),0)</f>
        <v>0</v>
      </c>
      <c r="M804" s="47">
        <f ca="1">IFERROR(__xludf.DUMMYFUNCTION("""COMPUTED_VALUE"""),0)</f>
        <v>0</v>
      </c>
      <c r="N804" s="46">
        <f ca="1">IFERROR(__xludf.DUMMYFUNCTION("""COMPUTED_VALUE"""),0)</f>
        <v>0</v>
      </c>
      <c r="O804" s="46">
        <f ca="1">IFERROR(__xludf.DUMMYFUNCTION("""COMPUTED_VALUE"""),0)</f>
        <v>0</v>
      </c>
      <c r="P804" s="46">
        <f ca="1">IFERROR(__xludf.DUMMYFUNCTION("""COMPUTED_VALUE"""),0)</f>
        <v>0</v>
      </c>
      <c r="Q804" s="47">
        <f ca="1">IFERROR(__xludf.DUMMYFUNCTION("""COMPUTED_VALUE"""),0)</f>
        <v>0</v>
      </c>
      <c r="R804" s="24">
        <f ca="1">IFERROR(__xludf.DUMMYFUNCTION("""COMPUTED_VALUE"""),0)</f>
        <v>0</v>
      </c>
      <c r="S804" s="23">
        <f ca="1">IFERROR(__xludf.DUMMYFUNCTION("""COMPUTED_VALUE"""),0)</f>
        <v>0</v>
      </c>
      <c r="T804" s="48">
        <f ca="1">IFERROR(__xludf.DUMMYFUNCTION("""COMPUTED_VALUE"""),0)</f>
        <v>0</v>
      </c>
      <c r="U804" s="47">
        <f ca="1">IFERROR(__xludf.DUMMYFUNCTION("""COMPUTED_VALUE"""),0)</f>
        <v>0</v>
      </c>
      <c r="V804" s="47">
        <f ca="1">IFERROR(__xludf.DUMMYFUNCTION("""COMPUTED_VALUE"""),0)</f>
        <v>0</v>
      </c>
      <c r="W804" s="47">
        <f ca="1">IFERROR(__xludf.DUMMYFUNCTION("""COMPUTED_VALUE"""),0)</f>
        <v>0</v>
      </c>
      <c r="X804" s="47">
        <f ca="1">IFERROR(__xludf.DUMMYFUNCTION("""COMPUTED_VALUE"""),0)</f>
        <v>0</v>
      </c>
      <c r="Y804" s="44">
        <f ca="1">IFERROR(__xludf.DUMMYFUNCTION("""COMPUTED_VALUE"""),0)</f>
        <v>0</v>
      </c>
      <c r="Z804" s="44">
        <f ca="1">IFERROR(__xludf.DUMMYFUNCTION("""COMPUTED_VALUE"""),0)</f>
        <v>0</v>
      </c>
      <c r="AA804" s="44">
        <f ca="1">IFERROR(__xludf.DUMMYFUNCTION("""COMPUTED_VALUE"""),0)</f>
        <v>0</v>
      </c>
      <c r="AB804" s="44">
        <f ca="1">IFERROR(__xludf.DUMMYFUNCTION("""COMPUTED_VALUE"""),0)</f>
        <v>0</v>
      </c>
      <c r="AC804" s="47">
        <f ca="1">IFERROR(__xludf.DUMMYFUNCTION("""COMPUTED_VALUE"""),0)</f>
        <v>0</v>
      </c>
      <c r="AD804" s="49"/>
      <c r="AE804" s="27"/>
    </row>
    <row r="805" spans="1:31" ht="14.3">
      <c r="A805" s="42" t="str">
        <f ca="1">IFERROR(__xludf.DUMMYFUNCTION("""COMPUTED_VALUE"""),"22SDSME01048")</f>
        <v>22SDSME01048</v>
      </c>
      <c r="B805" s="43" t="str">
        <f ca="1">IFERROR(__xludf.DUMMYFUNCTION("""COMPUTED_VALUE"""),"SHIVESH SATYAM")</f>
        <v>SHIVESH SATYAM</v>
      </c>
      <c r="C805" s="42" t="str">
        <f ca="1">IFERROR(__xludf.DUMMYFUNCTION("""COMPUTED_VALUE"""),"SDS")</f>
        <v>SDS</v>
      </c>
      <c r="D805" s="42" t="str">
        <f ca="1">IFERROR(__xludf.DUMMYFUNCTION("""COMPUTED_VALUE"""),"DME")</f>
        <v>DME</v>
      </c>
      <c r="E805" s="44">
        <f ca="1">IFERROR(__xludf.DUMMYFUNCTION("""COMPUTED_VALUE"""),4)</f>
        <v>4</v>
      </c>
      <c r="F805" s="42" t="str">
        <f ca="1">IFERROR(__xludf.DUMMYFUNCTION("""COMPUTED_VALUE"""),"BIHAR STUDENT")</f>
        <v>BIHAR STUDENT</v>
      </c>
      <c r="G805" s="42" t="str">
        <f ca="1">IFERROR(__xludf.DUMMYFUNCTION("""COMPUTED_VALUE"""),"BIHAR STUDENT")</f>
        <v>BIHAR STUDENT</v>
      </c>
      <c r="H805" s="2" t="str">
        <f ca="1">IFERROR(__xludf.DUMMYFUNCTION("""COMPUTED_VALUE"""),"DME_2022-25")</f>
        <v>DME_2022-25</v>
      </c>
      <c r="I805" s="45"/>
      <c r="J805" s="46">
        <f ca="1">IFERROR(__xludf.DUMMYFUNCTION("""COMPUTED_VALUE"""),42500)</f>
        <v>42500</v>
      </c>
      <c r="K805" s="46">
        <f ca="1">IFERROR(__xludf.DUMMYFUNCTION("""COMPUTED_VALUE"""),42500)</f>
        <v>42500</v>
      </c>
      <c r="L805" s="46">
        <f ca="1">IFERROR(__xludf.DUMMYFUNCTION("""COMPUTED_VALUE"""),0)</f>
        <v>0</v>
      </c>
      <c r="M805" s="47">
        <f ca="1">IFERROR(__xludf.DUMMYFUNCTION("""COMPUTED_VALUE"""),0)</f>
        <v>0</v>
      </c>
      <c r="N805" s="46">
        <f ca="1">IFERROR(__xludf.DUMMYFUNCTION("""COMPUTED_VALUE"""),0)</f>
        <v>0</v>
      </c>
      <c r="O805" s="46">
        <f ca="1">IFERROR(__xludf.DUMMYFUNCTION("""COMPUTED_VALUE"""),0)</f>
        <v>0</v>
      </c>
      <c r="P805" s="46">
        <f ca="1">IFERROR(__xludf.DUMMYFUNCTION("""COMPUTED_VALUE"""),0)</f>
        <v>0</v>
      </c>
      <c r="Q805" s="47">
        <f ca="1">IFERROR(__xludf.DUMMYFUNCTION("""COMPUTED_VALUE"""),0)</f>
        <v>0</v>
      </c>
      <c r="R805" s="24">
        <f ca="1">IFERROR(__xludf.DUMMYFUNCTION("""COMPUTED_VALUE"""),0)</f>
        <v>0</v>
      </c>
      <c r="S805" s="23">
        <f ca="1">IFERROR(__xludf.DUMMYFUNCTION("""COMPUTED_VALUE"""),0)</f>
        <v>0</v>
      </c>
      <c r="T805" s="48">
        <f ca="1">IFERROR(__xludf.DUMMYFUNCTION("""COMPUTED_VALUE"""),0)</f>
        <v>0</v>
      </c>
      <c r="U805" s="47">
        <f ca="1">IFERROR(__xludf.DUMMYFUNCTION("""COMPUTED_VALUE"""),0)</f>
        <v>0</v>
      </c>
      <c r="V805" s="47">
        <f ca="1">IFERROR(__xludf.DUMMYFUNCTION("""COMPUTED_VALUE"""),0)</f>
        <v>0</v>
      </c>
      <c r="W805" s="47">
        <f ca="1">IFERROR(__xludf.DUMMYFUNCTION("""COMPUTED_VALUE"""),0)</f>
        <v>0</v>
      </c>
      <c r="X805" s="47">
        <f ca="1">IFERROR(__xludf.DUMMYFUNCTION("""COMPUTED_VALUE"""),0)</f>
        <v>0</v>
      </c>
      <c r="Y805" s="44">
        <f ca="1">IFERROR(__xludf.DUMMYFUNCTION("""COMPUTED_VALUE"""),0)</f>
        <v>0</v>
      </c>
      <c r="Z805" s="44">
        <f ca="1">IFERROR(__xludf.DUMMYFUNCTION("""COMPUTED_VALUE"""),0)</f>
        <v>0</v>
      </c>
      <c r="AA805" s="44">
        <f ca="1">IFERROR(__xludf.DUMMYFUNCTION("""COMPUTED_VALUE"""),0)</f>
        <v>0</v>
      </c>
      <c r="AB805" s="44">
        <f ca="1">IFERROR(__xludf.DUMMYFUNCTION("""COMPUTED_VALUE"""),0)</f>
        <v>0</v>
      </c>
      <c r="AC805" s="47">
        <f ca="1">IFERROR(__xludf.DUMMYFUNCTION("""COMPUTED_VALUE"""),0)</f>
        <v>0</v>
      </c>
      <c r="AD805" s="49"/>
      <c r="AE805" s="27"/>
    </row>
    <row r="806" spans="1:31" ht="14.3">
      <c r="A806" s="42" t="str">
        <f ca="1">IFERROR(__xludf.DUMMYFUNCTION("""COMPUTED_VALUE"""),"22SDSME01049")</f>
        <v>22SDSME01049</v>
      </c>
      <c r="B806" s="43" t="str">
        <f ca="1">IFERROR(__xludf.DUMMYFUNCTION("""COMPUTED_VALUE"""),"BITTU KUMAR SINGH")</f>
        <v>BITTU KUMAR SINGH</v>
      </c>
      <c r="C806" s="42" t="str">
        <f ca="1">IFERROR(__xludf.DUMMYFUNCTION("""COMPUTED_VALUE"""),"SDS")</f>
        <v>SDS</v>
      </c>
      <c r="D806" s="42" t="str">
        <f ca="1">IFERROR(__xludf.DUMMYFUNCTION("""COMPUTED_VALUE"""),"DME")</f>
        <v>DME</v>
      </c>
      <c r="E806" s="44">
        <f ca="1">IFERROR(__xludf.DUMMYFUNCTION("""COMPUTED_VALUE"""),4)</f>
        <v>4</v>
      </c>
      <c r="F806" s="42" t="str">
        <f ca="1">IFERROR(__xludf.DUMMYFUNCTION("""COMPUTED_VALUE"""),"BIHAR STUDENT")</f>
        <v>BIHAR STUDENT</v>
      </c>
      <c r="G806" s="42" t="str">
        <f ca="1">IFERROR(__xludf.DUMMYFUNCTION("""COMPUTED_VALUE"""),"BIHAR STUDENT")</f>
        <v>BIHAR STUDENT</v>
      </c>
      <c r="H806" s="2" t="str">
        <f ca="1">IFERROR(__xludf.DUMMYFUNCTION("""COMPUTED_VALUE"""),"DME_2022-25")</f>
        <v>DME_2022-25</v>
      </c>
      <c r="I806" s="45"/>
      <c r="J806" s="46">
        <f ca="1">IFERROR(__xludf.DUMMYFUNCTION("""COMPUTED_VALUE"""),42500)</f>
        <v>42500</v>
      </c>
      <c r="K806" s="46">
        <f ca="1">IFERROR(__xludf.DUMMYFUNCTION("""COMPUTED_VALUE"""),0)</f>
        <v>0</v>
      </c>
      <c r="L806" s="46">
        <f ca="1">IFERROR(__xludf.DUMMYFUNCTION("""COMPUTED_VALUE"""),0)</f>
        <v>0</v>
      </c>
      <c r="M806" s="47">
        <f ca="1">IFERROR(__xludf.DUMMYFUNCTION("""COMPUTED_VALUE"""),0)</f>
        <v>0</v>
      </c>
      <c r="N806" s="46">
        <f ca="1">IFERROR(__xludf.DUMMYFUNCTION("""COMPUTED_VALUE"""),42500)</f>
        <v>42500</v>
      </c>
      <c r="O806" s="46">
        <f ca="1">IFERROR(__xludf.DUMMYFUNCTION("""COMPUTED_VALUE"""),0)</f>
        <v>0</v>
      </c>
      <c r="P806" s="46">
        <f ca="1">IFERROR(__xludf.DUMMYFUNCTION("""COMPUTED_VALUE"""),0)</f>
        <v>0</v>
      </c>
      <c r="Q806" s="47">
        <f ca="1">IFERROR(__xludf.DUMMYFUNCTION("""COMPUTED_VALUE"""),0)</f>
        <v>0</v>
      </c>
      <c r="R806" s="24">
        <f ca="1">IFERROR(__xludf.DUMMYFUNCTION("""COMPUTED_VALUE"""),0)</f>
        <v>0</v>
      </c>
      <c r="S806" s="23">
        <f ca="1">IFERROR(__xludf.DUMMYFUNCTION("""COMPUTED_VALUE"""),0)</f>
        <v>0</v>
      </c>
      <c r="T806" s="48">
        <f ca="1">IFERROR(__xludf.DUMMYFUNCTION("""COMPUTED_VALUE"""),0)</f>
        <v>0</v>
      </c>
      <c r="U806" s="47">
        <f ca="1">IFERROR(__xludf.DUMMYFUNCTION("""COMPUTED_VALUE"""),0)</f>
        <v>0</v>
      </c>
      <c r="V806" s="47">
        <f ca="1">IFERROR(__xludf.DUMMYFUNCTION("""COMPUTED_VALUE"""),0)</f>
        <v>0</v>
      </c>
      <c r="W806" s="47">
        <f ca="1">IFERROR(__xludf.DUMMYFUNCTION("""COMPUTED_VALUE"""),0)</f>
        <v>0</v>
      </c>
      <c r="X806" s="47">
        <f ca="1">IFERROR(__xludf.DUMMYFUNCTION("""COMPUTED_VALUE"""),0)</f>
        <v>0</v>
      </c>
      <c r="Y806" s="44">
        <f ca="1">IFERROR(__xludf.DUMMYFUNCTION("""COMPUTED_VALUE"""),0)</f>
        <v>0</v>
      </c>
      <c r="Z806" s="44">
        <f ca="1">IFERROR(__xludf.DUMMYFUNCTION("""COMPUTED_VALUE"""),0)</f>
        <v>0</v>
      </c>
      <c r="AA806" s="44">
        <f ca="1">IFERROR(__xludf.DUMMYFUNCTION("""COMPUTED_VALUE"""),0)</f>
        <v>0</v>
      </c>
      <c r="AB806" s="44">
        <f ca="1">IFERROR(__xludf.DUMMYFUNCTION("""COMPUTED_VALUE"""),0)</f>
        <v>0</v>
      </c>
      <c r="AC806" s="47">
        <f ca="1">IFERROR(__xludf.DUMMYFUNCTION("""COMPUTED_VALUE"""),0)</f>
        <v>0</v>
      </c>
      <c r="AD806" s="49"/>
      <c r="AE806" s="27"/>
    </row>
    <row r="807" spans="1:31" ht="14.3">
      <c r="A807" s="42" t="str">
        <f ca="1">IFERROR(__xludf.DUMMYFUNCTION("""COMPUTED_VALUE"""),"22SDSME01050")</f>
        <v>22SDSME01050</v>
      </c>
      <c r="B807" s="43" t="str">
        <f ca="1">IFERROR(__xludf.DUMMYFUNCTION("""COMPUTED_VALUE"""),"PRASHANT KUMAR SINGH")</f>
        <v>PRASHANT KUMAR SINGH</v>
      </c>
      <c r="C807" s="42" t="str">
        <f ca="1">IFERROR(__xludf.DUMMYFUNCTION("""COMPUTED_VALUE"""),"SDS")</f>
        <v>SDS</v>
      </c>
      <c r="D807" s="42" t="str">
        <f ca="1">IFERROR(__xludf.DUMMYFUNCTION("""COMPUTED_VALUE"""),"DME")</f>
        <v>DME</v>
      </c>
      <c r="E807" s="44">
        <f ca="1">IFERROR(__xludf.DUMMYFUNCTION("""COMPUTED_VALUE"""),4)</f>
        <v>4</v>
      </c>
      <c r="F807" s="42" t="str">
        <f ca="1">IFERROR(__xludf.DUMMYFUNCTION("""COMPUTED_VALUE"""),"BIHAR STUDENT")</f>
        <v>BIHAR STUDENT</v>
      </c>
      <c r="G807" s="42" t="str">
        <f ca="1">IFERROR(__xludf.DUMMYFUNCTION("""COMPUTED_VALUE"""),"BIHAR STUDENT")</f>
        <v>BIHAR STUDENT</v>
      </c>
      <c r="H807" s="2" t="str">
        <f ca="1">IFERROR(__xludf.DUMMYFUNCTION("""COMPUTED_VALUE"""),"DME_2022-25")</f>
        <v>DME_2022-25</v>
      </c>
      <c r="I807" s="45"/>
      <c r="J807" s="46">
        <f ca="1">IFERROR(__xludf.DUMMYFUNCTION("""COMPUTED_VALUE"""),42500)</f>
        <v>42500</v>
      </c>
      <c r="K807" s="46">
        <f ca="1">IFERROR(__xludf.DUMMYFUNCTION("""COMPUTED_VALUE"""),0)</f>
        <v>0</v>
      </c>
      <c r="L807" s="46">
        <f ca="1">IFERROR(__xludf.DUMMYFUNCTION("""COMPUTED_VALUE"""),0)</f>
        <v>0</v>
      </c>
      <c r="M807" s="47">
        <f ca="1">IFERROR(__xludf.DUMMYFUNCTION("""COMPUTED_VALUE"""),0)</f>
        <v>0</v>
      </c>
      <c r="N807" s="46">
        <f ca="1">IFERROR(__xludf.DUMMYFUNCTION("""COMPUTED_VALUE"""),42500)</f>
        <v>42500</v>
      </c>
      <c r="O807" s="46">
        <f ca="1">IFERROR(__xludf.DUMMYFUNCTION("""COMPUTED_VALUE"""),0)</f>
        <v>0</v>
      </c>
      <c r="P807" s="46">
        <f ca="1">IFERROR(__xludf.DUMMYFUNCTION("""COMPUTED_VALUE"""),0)</f>
        <v>0</v>
      </c>
      <c r="Q807" s="47">
        <f ca="1">IFERROR(__xludf.DUMMYFUNCTION("""COMPUTED_VALUE"""),0)</f>
        <v>0</v>
      </c>
      <c r="R807" s="24">
        <f ca="1">IFERROR(__xludf.DUMMYFUNCTION("""COMPUTED_VALUE"""),0)</f>
        <v>0</v>
      </c>
      <c r="S807" s="23">
        <f ca="1">IFERROR(__xludf.DUMMYFUNCTION("""COMPUTED_VALUE"""),0)</f>
        <v>0</v>
      </c>
      <c r="T807" s="48">
        <f ca="1">IFERROR(__xludf.DUMMYFUNCTION("""COMPUTED_VALUE"""),0)</f>
        <v>0</v>
      </c>
      <c r="U807" s="47">
        <f ca="1">IFERROR(__xludf.DUMMYFUNCTION("""COMPUTED_VALUE"""),0)</f>
        <v>0</v>
      </c>
      <c r="V807" s="47">
        <f ca="1">IFERROR(__xludf.DUMMYFUNCTION("""COMPUTED_VALUE"""),0)</f>
        <v>0</v>
      </c>
      <c r="W807" s="47">
        <f ca="1">IFERROR(__xludf.DUMMYFUNCTION("""COMPUTED_VALUE"""),0)</f>
        <v>0</v>
      </c>
      <c r="X807" s="47">
        <f ca="1">IFERROR(__xludf.DUMMYFUNCTION("""COMPUTED_VALUE"""),0)</f>
        <v>0</v>
      </c>
      <c r="Y807" s="44">
        <f ca="1">IFERROR(__xludf.DUMMYFUNCTION("""COMPUTED_VALUE"""),0)</f>
        <v>0</v>
      </c>
      <c r="Z807" s="44">
        <f ca="1">IFERROR(__xludf.DUMMYFUNCTION("""COMPUTED_VALUE"""),0)</f>
        <v>0</v>
      </c>
      <c r="AA807" s="44">
        <f ca="1">IFERROR(__xludf.DUMMYFUNCTION("""COMPUTED_VALUE"""),0)</f>
        <v>0</v>
      </c>
      <c r="AB807" s="44">
        <f ca="1">IFERROR(__xludf.DUMMYFUNCTION("""COMPUTED_VALUE"""),0)</f>
        <v>0</v>
      </c>
      <c r="AC807" s="47">
        <f ca="1">IFERROR(__xludf.DUMMYFUNCTION("""COMPUTED_VALUE"""),0)</f>
        <v>0</v>
      </c>
      <c r="AD807" s="49"/>
      <c r="AE807" s="27"/>
    </row>
    <row r="808" spans="1:31" ht="14.3">
      <c r="A808" s="42" t="str">
        <f ca="1">IFERROR(__xludf.DUMMYFUNCTION("""COMPUTED_VALUE"""),"22SDSME01052")</f>
        <v>22SDSME01052</v>
      </c>
      <c r="B808" s="43" t="str">
        <f ca="1">IFERROR(__xludf.DUMMYFUNCTION("""COMPUTED_VALUE"""),"RISHAB KUMAR SRIVASTAV")</f>
        <v>RISHAB KUMAR SRIVASTAV</v>
      </c>
      <c r="C808" s="42" t="str">
        <f ca="1">IFERROR(__xludf.DUMMYFUNCTION("""COMPUTED_VALUE"""),"SDS")</f>
        <v>SDS</v>
      </c>
      <c r="D808" s="42" t="str">
        <f ca="1">IFERROR(__xludf.DUMMYFUNCTION("""COMPUTED_VALUE"""),"DME")</f>
        <v>DME</v>
      </c>
      <c r="E808" s="44">
        <f ca="1">IFERROR(__xludf.DUMMYFUNCTION("""COMPUTED_VALUE"""),4)</f>
        <v>4</v>
      </c>
      <c r="F808" s="42" t="str">
        <f ca="1">IFERROR(__xludf.DUMMYFUNCTION("""COMPUTED_VALUE"""),"BIHAR STUDENT")</f>
        <v>BIHAR STUDENT</v>
      </c>
      <c r="G808" s="42" t="str">
        <f ca="1">IFERROR(__xludf.DUMMYFUNCTION("""COMPUTED_VALUE"""),"BIHAR STUDENT")</f>
        <v>BIHAR STUDENT</v>
      </c>
      <c r="H808" s="2" t="str">
        <f ca="1">IFERROR(__xludf.DUMMYFUNCTION("""COMPUTED_VALUE"""),"DME_2022-25")</f>
        <v>DME_2022-25</v>
      </c>
      <c r="I808" s="45"/>
      <c r="J808" s="46">
        <f ca="1">IFERROR(__xludf.DUMMYFUNCTION("""COMPUTED_VALUE"""),42500)</f>
        <v>42500</v>
      </c>
      <c r="K808" s="46">
        <f ca="1">IFERROR(__xludf.DUMMYFUNCTION("""COMPUTED_VALUE"""),42500)</f>
        <v>42500</v>
      </c>
      <c r="L808" s="46">
        <f ca="1">IFERROR(__xludf.DUMMYFUNCTION("""COMPUTED_VALUE"""),0)</f>
        <v>0</v>
      </c>
      <c r="M808" s="47">
        <f ca="1">IFERROR(__xludf.DUMMYFUNCTION("""COMPUTED_VALUE"""),0)</f>
        <v>0</v>
      </c>
      <c r="N808" s="46">
        <f ca="1">IFERROR(__xludf.DUMMYFUNCTION("""COMPUTED_VALUE"""),0)</f>
        <v>0</v>
      </c>
      <c r="O808" s="46">
        <f ca="1">IFERROR(__xludf.DUMMYFUNCTION("""COMPUTED_VALUE"""),0)</f>
        <v>0</v>
      </c>
      <c r="P808" s="46">
        <f ca="1">IFERROR(__xludf.DUMMYFUNCTION("""COMPUTED_VALUE"""),0)</f>
        <v>0</v>
      </c>
      <c r="Q808" s="47">
        <f ca="1">IFERROR(__xludf.DUMMYFUNCTION("""COMPUTED_VALUE"""),0)</f>
        <v>0</v>
      </c>
      <c r="R808" s="24">
        <f ca="1">IFERROR(__xludf.DUMMYFUNCTION("""COMPUTED_VALUE"""),0)</f>
        <v>0</v>
      </c>
      <c r="S808" s="23">
        <f ca="1">IFERROR(__xludf.DUMMYFUNCTION("""COMPUTED_VALUE"""),0)</f>
        <v>0</v>
      </c>
      <c r="T808" s="48">
        <f ca="1">IFERROR(__xludf.DUMMYFUNCTION("""COMPUTED_VALUE"""),0)</f>
        <v>0</v>
      </c>
      <c r="U808" s="47">
        <f ca="1">IFERROR(__xludf.DUMMYFUNCTION("""COMPUTED_VALUE"""),0)</f>
        <v>0</v>
      </c>
      <c r="V808" s="47">
        <f ca="1">IFERROR(__xludf.DUMMYFUNCTION("""COMPUTED_VALUE"""),0)</f>
        <v>0</v>
      </c>
      <c r="W808" s="47">
        <f ca="1">IFERROR(__xludf.DUMMYFUNCTION("""COMPUTED_VALUE"""),0)</f>
        <v>0</v>
      </c>
      <c r="X808" s="47">
        <f ca="1">IFERROR(__xludf.DUMMYFUNCTION("""COMPUTED_VALUE"""),0)</f>
        <v>0</v>
      </c>
      <c r="Y808" s="44">
        <f ca="1">IFERROR(__xludf.DUMMYFUNCTION("""COMPUTED_VALUE"""),0)</f>
        <v>0</v>
      </c>
      <c r="Z808" s="44">
        <f ca="1">IFERROR(__xludf.DUMMYFUNCTION("""COMPUTED_VALUE"""),0)</f>
        <v>0</v>
      </c>
      <c r="AA808" s="44">
        <f ca="1">IFERROR(__xludf.DUMMYFUNCTION("""COMPUTED_VALUE"""),0)</f>
        <v>0</v>
      </c>
      <c r="AB808" s="44">
        <f ca="1">IFERROR(__xludf.DUMMYFUNCTION("""COMPUTED_VALUE"""),0)</f>
        <v>0</v>
      </c>
      <c r="AC808" s="47">
        <f ca="1">IFERROR(__xludf.DUMMYFUNCTION("""COMPUTED_VALUE"""),0)</f>
        <v>0</v>
      </c>
      <c r="AD808" s="49"/>
      <c r="AE808" s="27"/>
    </row>
    <row r="809" spans="1:31" ht="14.3">
      <c r="A809" s="42" t="str">
        <f ca="1">IFERROR(__xludf.DUMMYFUNCTION("""COMPUTED_VALUE"""),"22SDSME01054")</f>
        <v>22SDSME01054</v>
      </c>
      <c r="B809" s="43" t="str">
        <f ca="1">IFERROR(__xludf.DUMMYFUNCTION("""COMPUTED_VALUE"""),"ZAFAR IMAM")</f>
        <v>ZAFAR IMAM</v>
      </c>
      <c r="C809" s="42" t="str">
        <f ca="1">IFERROR(__xludf.DUMMYFUNCTION("""COMPUTED_VALUE"""),"SDS")</f>
        <v>SDS</v>
      </c>
      <c r="D809" s="42" t="str">
        <f ca="1">IFERROR(__xludf.DUMMYFUNCTION("""COMPUTED_VALUE"""),"DME")</f>
        <v>DME</v>
      </c>
      <c r="E809" s="44">
        <f ca="1">IFERROR(__xludf.DUMMYFUNCTION("""COMPUTED_VALUE"""),4)</f>
        <v>4</v>
      </c>
      <c r="F809" s="42" t="str">
        <f ca="1">IFERROR(__xludf.DUMMYFUNCTION("""COMPUTED_VALUE"""),"BIHAR STUDENT")</f>
        <v>BIHAR STUDENT</v>
      </c>
      <c r="G809" s="42" t="str">
        <f ca="1">IFERROR(__xludf.DUMMYFUNCTION("""COMPUTED_VALUE"""),"BIHAR STUDENT")</f>
        <v>BIHAR STUDENT</v>
      </c>
      <c r="H809" s="2" t="str">
        <f ca="1">IFERROR(__xludf.DUMMYFUNCTION("""COMPUTED_VALUE"""),"DME_2022-25")</f>
        <v>DME_2022-25</v>
      </c>
      <c r="I809" s="45"/>
      <c r="J809" s="46">
        <f ca="1">IFERROR(__xludf.DUMMYFUNCTION("""COMPUTED_VALUE"""),42500)</f>
        <v>42500</v>
      </c>
      <c r="K809" s="46">
        <f ca="1">IFERROR(__xludf.DUMMYFUNCTION("""COMPUTED_VALUE"""),0)</f>
        <v>0</v>
      </c>
      <c r="L809" s="46">
        <f ca="1">IFERROR(__xludf.DUMMYFUNCTION("""COMPUTED_VALUE"""),0)</f>
        <v>0</v>
      </c>
      <c r="M809" s="47">
        <f ca="1">IFERROR(__xludf.DUMMYFUNCTION("""COMPUTED_VALUE"""),0)</f>
        <v>0</v>
      </c>
      <c r="N809" s="46">
        <f ca="1">IFERROR(__xludf.DUMMYFUNCTION("""COMPUTED_VALUE"""),42500)</f>
        <v>42500</v>
      </c>
      <c r="O809" s="46">
        <f ca="1">IFERROR(__xludf.DUMMYFUNCTION("""COMPUTED_VALUE"""),0)</f>
        <v>0</v>
      </c>
      <c r="P809" s="46">
        <f ca="1">IFERROR(__xludf.DUMMYFUNCTION("""COMPUTED_VALUE"""),0)</f>
        <v>0</v>
      </c>
      <c r="Q809" s="47">
        <f ca="1">IFERROR(__xludf.DUMMYFUNCTION("""COMPUTED_VALUE"""),0)</f>
        <v>0</v>
      </c>
      <c r="R809" s="24">
        <f ca="1">IFERROR(__xludf.DUMMYFUNCTION("""COMPUTED_VALUE"""),0)</f>
        <v>0</v>
      </c>
      <c r="S809" s="23">
        <f ca="1">IFERROR(__xludf.DUMMYFUNCTION("""COMPUTED_VALUE"""),0)</f>
        <v>0</v>
      </c>
      <c r="T809" s="48">
        <f ca="1">IFERROR(__xludf.DUMMYFUNCTION("""COMPUTED_VALUE"""),0)</f>
        <v>0</v>
      </c>
      <c r="U809" s="47">
        <f ca="1">IFERROR(__xludf.DUMMYFUNCTION("""COMPUTED_VALUE"""),0)</f>
        <v>0</v>
      </c>
      <c r="V809" s="47">
        <f ca="1">IFERROR(__xludf.DUMMYFUNCTION("""COMPUTED_VALUE"""),0)</f>
        <v>0</v>
      </c>
      <c r="W809" s="47">
        <f ca="1">IFERROR(__xludf.DUMMYFUNCTION("""COMPUTED_VALUE"""),0)</f>
        <v>0</v>
      </c>
      <c r="X809" s="47">
        <f ca="1">IFERROR(__xludf.DUMMYFUNCTION("""COMPUTED_VALUE"""),0)</f>
        <v>0</v>
      </c>
      <c r="Y809" s="44">
        <f ca="1">IFERROR(__xludf.DUMMYFUNCTION("""COMPUTED_VALUE"""),0)</f>
        <v>0</v>
      </c>
      <c r="Z809" s="44">
        <f ca="1">IFERROR(__xludf.DUMMYFUNCTION("""COMPUTED_VALUE"""),0)</f>
        <v>0</v>
      </c>
      <c r="AA809" s="44">
        <f ca="1">IFERROR(__xludf.DUMMYFUNCTION("""COMPUTED_VALUE"""),0)</f>
        <v>0</v>
      </c>
      <c r="AB809" s="44">
        <f ca="1">IFERROR(__xludf.DUMMYFUNCTION("""COMPUTED_VALUE"""),0)</f>
        <v>0</v>
      </c>
      <c r="AC809" s="47">
        <f ca="1">IFERROR(__xludf.DUMMYFUNCTION("""COMPUTED_VALUE"""),0)</f>
        <v>0</v>
      </c>
      <c r="AD809" s="49"/>
      <c r="AE809" s="27"/>
    </row>
    <row r="810" spans="1:31" ht="14.3">
      <c r="A810" s="42" t="str">
        <f ca="1">IFERROR(__xludf.DUMMYFUNCTION("""COMPUTED_VALUE"""),"22SDSME01055")</f>
        <v>22SDSME01055</v>
      </c>
      <c r="B810" s="43" t="str">
        <f ca="1">IFERROR(__xludf.DUMMYFUNCTION("""COMPUTED_VALUE"""),"SUSHANT KUMAR")</f>
        <v>SUSHANT KUMAR</v>
      </c>
      <c r="C810" s="42" t="str">
        <f ca="1">IFERROR(__xludf.DUMMYFUNCTION("""COMPUTED_VALUE"""),"SDS")</f>
        <v>SDS</v>
      </c>
      <c r="D810" s="42" t="str">
        <f ca="1">IFERROR(__xludf.DUMMYFUNCTION("""COMPUTED_VALUE"""),"DME")</f>
        <v>DME</v>
      </c>
      <c r="E810" s="44">
        <f ca="1">IFERROR(__xludf.DUMMYFUNCTION("""COMPUTED_VALUE"""),4)</f>
        <v>4</v>
      </c>
      <c r="F810" s="42" t="str">
        <f ca="1">IFERROR(__xludf.DUMMYFUNCTION("""COMPUTED_VALUE"""),"BIHAR STUDENT")</f>
        <v>BIHAR STUDENT</v>
      </c>
      <c r="G810" s="42" t="str">
        <f ca="1">IFERROR(__xludf.DUMMYFUNCTION("""COMPUTED_VALUE"""),"BIHAR STUDENT")</f>
        <v>BIHAR STUDENT</v>
      </c>
      <c r="H810" s="2" t="str">
        <f ca="1">IFERROR(__xludf.DUMMYFUNCTION("""COMPUTED_VALUE"""),"DME_2022-25")</f>
        <v>DME_2022-25</v>
      </c>
      <c r="I810" s="45"/>
      <c r="J810" s="46">
        <f ca="1">IFERROR(__xludf.DUMMYFUNCTION("""COMPUTED_VALUE"""),42500)</f>
        <v>42500</v>
      </c>
      <c r="K810" s="46">
        <f ca="1">IFERROR(__xludf.DUMMYFUNCTION("""COMPUTED_VALUE"""),0)</f>
        <v>0</v>
      </c>
      <c r="L810" s="46">
        <f ca="1">IFERROR(__xludf.DUMMYFUNCTION("""COMPUTED_VALUE"""),0)</f>
        <v>0</v>
      </c>
      <c r="M810" s="47">
        <f ca="1">IFERROR(__xludf.DUMMYFUNCTION("""COMPUTED_VALUE"""),0)</f>
        <v>0</v>
      </c>
      <c r="N810" s="46">
        <f ca="1">IFERROR(__xludf.DUMMYFUNCTION("""COMPUTED_VALUE"""),42500)</f>
        <v>42500</v>
      </c>
      <c r="O810" s="46">
        <f ca="1">IFERROR(__xludf.DUMMYFUNCTION("""COMPUTED_VALUE"""),0)</f>
        <v>0</v>
      </c>
      <c r="P810" s="46">
        <f ca="1">IFERROR(__xludf.DUMMYFUNCTION("""COMPUTED_VALUE"""),0)</f>
        <v>0</v>
      </c>
      <c r="Q810" s="47">
        <f ca="1">IFERROR(__xludf.DUMMYFUNCTION("""COMPUTED_VALUE"""),0)</f>
        <v>0</v>
      </c>
      <c r="R810" s="24">
        <f ca="1">IFERROR(__xludf.DUMMYFUNCTION("""COMPUTED_VALUE"""),0)</f>
        <v>0</v>
      </c>
      <c r="S810" s="23">
        <f ca="1">IFERROR(__xludf.DUMMYFUNCTION("""COMPUTED_VALUE"""),0)</f>
        <v>0</v>
      </c>
      <c r="T810" s="48">
        <f ca="1">IFERROR(__xludf.DUMMYFUNCTION("""COMPUTED_VALUE"""),0)</f>
        <v>0</v>
      </c>
      <c r="U810" s="47">
        <f ca="1">IFERROR(__xludf.DUMMYFUNCTION("""COMPUTED_VALUE"""),0)</f>
        <v>0</v>
      </c>
      <c r="V810" s="47">
        <f ca="1">IFERROR(__xludf.DUMMYFUNCTION("""COMPUTED_VALUE"""),0)</f>
        <v>0</v>
      </c>
      <c r="W810" s="47">
        <f ca="1">IFERROR(__xludf.DUMMYFUNCTION("""COMPUTED_VALUE"""),0)</f>
        <v>0</v>
      </c>
      <c r="X810" s="47">
        <f ca="1">IFERROR(__xludf.DUMMYFUNCTION("""COMPUTED_VALUE"""),0)</f>
        <v>0</v>
      </c>
      <c r="Y810" s="44">
        <f ca="1">IFERROR(__xludf.DUMMYFUNCTION("""COMPUTED_VALUE"""),0)</f>
        <v>0</v>
      </c>
      <c r="Z810" s="44">
        <f ca="1">IFERROR(__xludf.DUMMYFUNCTION("""COMPUTED_VALUE"""),0)</f>
        <v>0</v>
      </c>
      <c r="AA810" s="44">
        <f ca="1">IFERROR(__xludf.DUMMYFUNCTION("""COMPUTED_VALUE"""),0)</f>
        <v>0</v>
      </c>
      <c r="AB810" s="44">
        <f ca="1">IFERROR(__xludf.DUMMYFUNCTION("""COMPUTED_VALUE"""),0)</f>
        <v>0</v>
      </c>
      <c r="AC810" s="47">
        <f ca="1">IFERROR(__xludf.DUMMYFUNCTION("""COMPUTED_VALUE"""),0)</f>
        <v>0</v>
      </c>
      <c r="AD810" s="49"/>
      <c r="AE810" s="27"/>
    </row>
    <row r="811" spans="1:31" ht="14.3">
      <c r="A811" s="42" t="str">
        <f ca="1">IFERROR(__xludf.DUMMYFUNCTION("""COMPUTED_VALUE"""),"22SDSME01056")</f>
        <v>22SDSME01056</v>
      </c>
      <c r="B811" s="43" t="str">
        <f ca="1">IFERROR(__xludf.DUMMYFUNCTION("""COMPUTED_VALUE"""),"RAVI KUMAR RAM")</f>
        <v>RAVI KUMAR RAM</v>
      </c>
      <c r="C811" s="42" t="str">
        <f ca="1">IFERROR(__xludf.DUMMYFUNCTION("""COMPUTED_VALUE"""),"SDS")</f>
        <v>SDS</v>
      </c>
      <c r="D811" s="42" t="str">
        <f ca="1">IFERROR(__xludf.DUMMYFUNCTION("""COMPUTED_VALUE"""),"DME")</f>
        <v>DME</v>
      </c>
      <c r="E811" s="44">
        <f ca="1">IFERROR(__xludf.DUMMYFUNCTION("""COMPUTED_VALUE"""),4)</f>
        <v>4</v>
      </c>
      <c r="F811" s="42" t="str">
        <f ca="1">IFERROR(__xludf.DUMMYFUNCTION("""COMPUTED_VALUE"""),"BIHAR STUDENT")</f>
        <v>BIHAR STUDENT</v>
      </c>
      <c r="G811" s="42" t="str">
        <f ca="1">IFERROR(__xludf.DUMMYFUNCTION("""COMPUTED_VALUE"""),"BIHAR STUDENT")</f>
        <v>BIHAR STUDENT</v>
      </c>
      <c r="H811" s="2" t="str">
        <f ca="1">IFERROR(__xludf.DUMMYFUNCTION("""COMPUTED_VALUE"""),"DME_2022-25")</f>
        <v>DME_2022-25</v>
      </c>
      <c r="I811" s="45"/>
      <c r="J811" s="46">
        <f ca="1">IFERROR(__xludf.DUMMYFUNCTION("""COMPUTED_VALUE"""),42500)</f>
        <v>42500</v>
      </c>
      <c r="K811" s="46">
        <f ca="1">IFERROR(__xludf.DUMMYFUNCTION("""COMPUTED_VALUE"""),42500)</f>
        <v>42500</v>
      </c>
      <c r="L811" s="46">
        <f ca="1">IFERROR(__xludf.DUMMYFUNCTION("""COMPUTED_VALUE"""),0)</f>
        <v>0</v>
      </c>
      <c r="M811" s="47">
        <f ca="1">IFERROR(__xludf.DUMMYFUNCTION("""COMPUTED_VALUE"""),0)</f>
        <v>0</v>
      </c>
      <c r="N811" s="46">
        <f ca="1">IFERROR(__xludf.DUMMYFUNCTION("""COMPUTED_VALUE"""),0)</f>
        <v>0</v>
      </c>
      <c r="O811" s="46">
        <f ca="1">IFERROR(__xludf.DUMMYFUNCTION("""COMPUTED_VALUE"""),0)</f>
        <v>0</v>
      </c>
      <c r="P811" s="46">
        <f ca="1">IFERROR(__xludf.DUMMYFUNCTION("""COMPUTED_VALUE"""),0)</f>
        <v>0</v>
      </c>
      <c r="Q811" s="47">
        <f ca="1">IFERROR(__xludf.DUMMYFUNCTION("""COMPUTED_VALUE"""),0)</f>
        <v>0</v>
      </c>
      <c r="R811" s="24">
        <f ca="1">IFERROR(__xludf.DUMMYFUNCTION("""COMPUTED_VALUE"""),0)</f>
        <v>0</v>
      </c>
      <c r="S811" s="23">
        <f ca="1">IFERROR(__xludf.DUMMYFUNCTION("""COMPUTED_VALUE"""),0)</f>
        <v>0</v>
      </c>
      <c r="T811" s="48">
        <f ca="1">IFERROR(__xludf.DUMMYFUNCTION("""COMPUTED_VALUE"""),0)</f>
        <v>0</v>
      </c>
      <c r="U811" s="47">
        <f ca="1">IFERROR(__xludf.DUMMYFUNCTION("""COMPUTED_VALUE"""),0)</f>
        <v>0</v>
      </c>
      <c r="V811" s="47">
        <f ca="1">IFERROR(__xludf.DUMMYFUNCTION("""COMPUTED_VALUE"""),0)</f>
        <v>0</v>
      </c>
      <c r="W811" s="47">
        <f ca="1">IFERROR(__xludf.DUMMYFUNCTION("""COMPUTED_VALUE"""),0)</f>
        <v>0</v>
      </c>
      <c r="X811" s="47">
        <f ca="1">IFERROR(__xludf.DUMMYFUNCTION("""COMPUTED_VALUE"""),0)</f>
        <v>0</v>
      </c>
      <c r="Y811" s="44">
        <f ca="1">IFERROR(__xludf.DUMMYFUNCTION("""COMPUTED_VALUE"""),0)</f>
        <v>0</v>
      </c>
      <c r="Z811" s="44">
        <f ca="1">IFERROR(__xludf.DUMMYFUNCTION("""COMPUTED_VALUE"""),0)</f>
        <v>0</v>
      </c>
      <c r="AA811" s="44">
        <f ca="1">IFERROR(__xludf.DUMMYFUNCTION("""COMPUTED_VALUE"""),0)</f>
        <v>0</v>
      </c>
      <c r="AB811" s="44">
        <f ca="1">IFERROR(__xludf.DUMMYFUNCTION("""COMPUTED_VALUE"""),0)</f>
        <v>0</v>
      </c>
      <c r="AC811" s="47">
        <f ca="1">IFERROR(__xludf.DUMMYFUNCTION("""COMPUTED_VALUE"""),0)</f>
        <v>0</v>
      </c>
      <c r="AD811" s="49"/>
      <c r="AE811" s="27"/>
    </row>
    <row r="812" spans="1:31" ht="14.3">
      <c r="A812" s="42" t="str">
        <f ca="1">IFERROR(__xludf.DUMMYFUNCTION("""COMPUTED_VALUE"""),"22SDSME01058")</f>
        <v>22SDSME01058</v>
      </c>
      <c r="B812" s="43" t="str">
        <f ca="1">IFERROR(__xludf.DUMMYFUNCTION("""COMPUTED_VALUE"""),"SURAJ KUMAR")</f>
        <v>SURAJ KUMAR</v>
      </c>
      <c r="C812" s="42" t="str">
        <f ca="1">IFERROR(__xludf.DUMMYFUNCTION("""COMPUTED_VALUE"""),"SDS")</f>
        <v>SDS</v>
      </c>
      <c r="D812" s="42" t="str">
        <f ca="1">IFERROR(__xludf.DUMMYFUNCTION("""COMPUTED_VALUE"""),"DME")</f>
        <v>DME</v>
      </c>
      <c r="E812" s="44">
        <f ca="1">IFERROR(__xludf.DUMMYFUNCTION("""COMPUTED_VALUE"""),4)</f>
        <v>4</v>
      </c>
      <c r="F812" s="42" t="str">
        <f ca="1">IFERROR(__xludf.DUMMYFUNCTION("""COMPUTED_VALUE"""),"BIHAR STUDENT")</f>
        <v>BIHAR STUDENT</v>
      </c>
      <c r="G812" s="42" t="str">
        <f ca="1">IFERROR(__xludf.DUMMYFUNCTION("""COMPUTED_VALUE"""),"BIHAR STUDENT")</f>
        <v>BIHAR STUDENT</v>
      </c>
      <c r="H812" s="2" t="str">
        <f ca="1">IFERROR(__xludf.DUMMYFUNCTION("""COMPUTED_VALUE"""),"DME_2022-25")</f>
        <v>DME_2022-25</v>
      </c>
      <c r="I812" s="45"/>
      <c r="J812" s="46">
        <f ca="1">IFERROR(__xludf.DUMMYFUNCTION("""COMPUTED_VALUE"""),42500)</f>
        <v>42500</v>
      </c>
      <c r="K812" s="46">
        <f ca="1">IFERROR(__xludf.DUMMYFUNCTION("""COMPUTED_VALUE"""),0)</f>
        <v>0</v>
      </c>
      <c r="L812" s="46">
        <f ca="1">IFERROR(__xludf.DUMMYFUNCTION("""COMPUTED_VALUE"""),0)</f>
        <v>0</v>
      </c>
      <c r="M812" s="47">
        <f ca="1">IFERROR(__xludf.DUMMYFUNCTION("""COMPUTED_VALUE"""),0)</f>
        <v>0</v>
      </c>
      <c r="N812" s="46">
        <f ca="1">IFERROR(__xludf.DUMMYFUNCTION("""COMPUTED_VALUE"""),42500)</f>
        <v>42500</v>
      </c>
      <c r="O812" s="46">
        <f ca="1">IFERROR(__xludf.DUMMYFUNCTION("""COMPUTED_VALUE"""),0)</f>
        <v>0</v>
      </c>
      <c r="P812" s="46">
        <f ca="1">IFERROR(__xludf.DUMMYFUNCTION("""COMPUTED_VALUE"""),0)</f>
        <v>0</v>
      </c>
      <c r="Q812" s="47">
        <f ca="1">IFERROR(__xludf.DUMMYFUNCTION("""COMPUTED_VALUE"""),0)</f>
        <v>0</v>
      </c>
      <c r="R812" s="24">
        <f ca="1">IFERROR(__xludf.DUMMYFUNCTION("""COMPUTED_VALUE"""),0)</f>
        <v>0</v>
      </c>
      <c r="S812" s="23">
        <f ca="1">IFERROR(__xludf.DUMMYFUNCTION("""COMPUTED_VALUE"""),0)</f>
        <v>0</v>
      </c>
      <c r="T812" s="48">
        <f ca="1">IFERROR(__xludf.DUMMYFUNCTION("""COMPUTED_VALUE"""),0)</f>
        <v>0</v>
      </c>
      <c r="U812" s="47">
        <f ca="1">IFERROR(__xludf.DUMMYFUNCTION("""COMPUTED_VALUE"""),0)</f>
        <v>0</v>
      </c>
      <c r="V812" s="47">
        <f ca="1">IFERROR(__xludf.DUMMYFUNCTION("""COMPUTED_VALUE"""),0)</f>
        <v>0</v>
      </c>
      <c r="W812" s="47">
        <f ca="1">IFERROR(__xludf.DUMMYFUNCTION("""COMPUTED_VALUE"""),0)</f>
        <v>0</v>
      </c>
      <c r="X812" s="47">
        <f ca="1">IFERROR(__xludf.DUMMYFUNCTION("""COMPUTED_VALUE"""),0)</f>
        <v>0</v>
      </c>
      <c r="Y812" s="44">
        <f ca="1">IFERROR(__xludf.DUMMYFUNCTION("""COMPUTED_VALUE"""),0)</f>
        <v>0</v>
      </c>
      <c r="Z812" s="44">
        <f ca="1">IFERROR(__xludf.DUMMYFUNCTION("""COMPUTED_VALUE"""),0)</f>
        <v>0</v>
      </c>
      <c r="AA812" s="44">
        <f ca="1">IFERROR(__xludf.DUMMYFUNCTION("""COMPUTED_VALUE"""),0)</f>
        <v>0</v>
      </c>
      <c r="AB812" s="44">
        <f ca="1">IFERROR(__xludf.DUMMYFUNCTION("""COMPUTED_VALUE"""),0)</f>
        <v>0</v>
      </c>
      <c r="AC812" s="47">
        <f ca="1">IFERROR(__xludf.DUMMYFUNCTION("""COMPUTED_VALUE"""),0)</f>
        <v>0</v>
      </c>
      <c r="AD812" s="49"/>
      <c r="AE812" s="27"/>
    </row>
    <row r="813" spans="1:31" ht="14.3">
      <c r="A813" s="42" t="str">
        <f ca="1">IFERROR(__xludf.DUMMYFUNCTION("""COMPUTED_VALUE"""),"22SDSME01059")</f>
        <v>22SDSME01059</v>
      </c>
      <c r="B813" s="43" t="str">
        <f ca="1">IFERROR(__xludf.DUMMYFUNCTION("""COMPUTED_VALUE"""),"RISHU RAJ SINGH")</f>
        <v>RISHU RAJ SINGH</v>
      </c>
      <c r="C813" s="42" t="str">
        <f ca="1">IFERROR(__xludf.DUMMYFUNCTION("""COMPUTED_VALUE"""),"SDS")</f>
        <v>SDS</v>
      </c>
      <c r="D813" s="42" t="str">
        <f ca="1">IFERROR(__xludf.DUMMYFUNCTION("""COMPUTED_VALUE"""),"DME")</f>
        <v>DME</v>
      </c>
      <c r="E813" s="44">
        <f ca="1">IFERROR(__xludf.DUMMYFUNCTION("""COMPUTED_VALUE"""),4)</f>
        <v>4</v>
      </c>
      <c r="F813" s="42" t="str">
        <f ca="1">IFERROR(__xludf.DUMMYFUNCTION("""COMPUTED_VALUE"""),"BIHAR STUDENT")</f>
        <v>BIHAR STUDENT</v>
      </c>
      <c r="G813" s="42" t="str">
        <f ca="1">IFERROR(__xludf.DUMMYFUNCTION("""COMPUTED_VALUE"""),"BIHAR STUDENT")</f>
        <v>BIHAR STUDENT</v>
      </c>
      <c r="H813" s="2" t="str">
        <f ca="1">IFERROR(__xludf.DUMMYFUNCTION("""COMPUTED_VALUE"""),"DME_2022-25")</f>
        <v>DME_2022-25</v>
      </c>
      <c r="I813" s="45"/>
      <c r="J813" s="46">
        <f ca="1">IFERROR(__xludf.DUMMYFUNCTION("""COMPUTED_VALUE"""),42500)</f>
        <v>42500</v>
      </c>
      <c r="K813" s="46">
        <f ca="1">IFERROR(__xludf.DUMMYFUNCTION("""COMPUTED_VALUE"""),0)</f>
        <v>0</v>
      </c>
      <c r="L813" s="46">
        <f ca="1">IFERROR(__xludf.DUMMYFUNCTION("""COMPUTED_VALUE"""),0)</f>
        <v>0</v>
      </c>
      <c r="M813" s="47">
        <f ca="1">IFERROR(__xludf.DUMMYFUNCTION("""COMPUTED_VALUE"""),0)</f>
        <v>0</v>
      </c>
      <c r="N813" s="46">
        <f ca="1">IFERROR(__xludf.DUMMYFUNCTION("""COMPUTED_VALUE"""),42500)</f>
        <v>42500</v>
      </c>
      <c r="O813" s="46">
        <f ca="1">IFERROR(__xludf.DUMMYFUNCTION("""COMPUTED_VALUE"""),0)</f>
        <v>0</v>
      </c>
      <c r="P813" s="46">
        <f ca="1">IFERROR(__xludf.DUMMYFUNCTION("""COMPUTED_VALUE"""),0)</f>
        <v>0</v>
      </c>
      <c r="Q813" s="47">
        <f ca="1">IFERROR(__xludf.DUMMYFUNCTION("""COMPUTED_VALUE"""),0)</f>
        <v>0</v>
      </c>
      <c r="R813" s="24">
        <f ca="1">IFERROR(__xludf.DUMMYFUNCTION("""COMPUTED_VALUE"""),0)</f>
        <v>0</v>
      </c>
      <c r="S813" s="23">
        <f ca="1">IFERROR(__xludf.DUMMYFUNCTION("""COMPUTED_VALUE"""),0)</f>
        <v>0</v>
      </c>
      <c r="T813" s="48">
        <f ca="1">IFERROR(__xludf.DUMMYFUNCTION("""COMPUTED_VALUE"""),0)</f>
        <v>0</v>
      </c>
      <c r="U813" s="47">
        <f ca="1">IFERROR(__xludf.DUMMYFUNCTION("""COMPUTED_VALUE"""),0)</f>
        <v>0</v>
      </c>
      <c r="V813" s="47">
        <f ca="1">IFERROR(__xludf.DUMMYFUNCTION("""COMPUTED_VALUE"""),0)</f>
        <v>0</v>
      </c>
      <c r="W813" s="47">
        <f ca="1">IFERROR(__xludf.DUMMYFUNCTION("""COMPUTED_VALUE"""),0)</f>
        <v>0</v>
      </c>
      <c r="X813" s="47">
        <f ca="1">IFERROR(__xludf.DUMMYFUNCTION("""COMPUTED_VALUE"""),0)</f>
        <v>0</v>
      </c>
      <c r="Y813" s="44">
        <f ca="1">IFERROR(__xludf.DUMMYFUNCTION("""COMPUTED_VALUE"""),0)</f>
        <v>0</v>
      </c>
      <c r="Z813" s="44">
        <f ca="1">IFERROR(__xludf.DUMMYFUNCTION("""COMPUTED_VALUE"""),0)</f>
        <v>0</v>
      </c>
      <c r="AA813" s="44">
        <f ca="1">IFERROR(__xludf.DUMMYFUNCTION("""COMPUTED_VALUE"""),0)</f>
        <v>0</v>
      </c>
      <c r="AB813" s="44">
        <f ca="1">IFERROR(__xludf.DUMMYFUNCTION("""COMPUTED_VALUE"""),0)</f>
        <v>0</v>
      </c>
      <c r="AC813" s="47">
        <f ca="1">IFERROR(__xludf.DUMMYFUNCTION("""COMPUTED_VALUE"""),0)</f>
        <v>0</v>
      </c>
      <c r="AD813" s="49"/>
      <c r="AE813" s="27"/>
    </row>
    <row r="814" spans="1:31" ht="14.3">
      <c r="A814" s="42" t="str">
        <f ca="1">IFERROR(__xludf.DUMMYFUNCTION("""COMPUTED_VALUE"""),"22SDSME01060")</f>
        <v>22SDSME01060</v>
      </c>
      <c r="B814" s="43" t="str">
        <f ca="1">IFERROR(__xludf.DUMMYFUNCTION("""COMPUTED_VALUE"""),"VISHAL KUMAR")</f>
        <v>VISHAL KUMAR</v>
      </c>
      <c r="C814" s="42" t="str">
        <f ca="1">IFERROR(__xludf.DUMMYFUNCTION("""COMPUTED_VALUE"""),"SDS")</f>
        <v>SDS</v>
      </c>
      <c r="D814" s="42" t="str">
        <f ca="1">IFERROR(__xludf.DUMMYFUNCTION("""COMPUTED_VALUE"""),"DME")</f>
        <v>DME</v>
      </c>
      <c r="E814" s="44">
        <f ca="1">IFERROR(__xludf.DUMMYFUNCTION("""COMPUTED_VALUE"""),4)</f>
        <v>4</v>
      </c>
      <c r="F814" s="42" t="str">
        <f ca="1">IFERROR(__xludf.DUMMYFUNCTION("""COMPUTED_VALUE"""),"BIHAR STUDENT")</f>
        <v>BIHAR STUDENT</v>
      </c>
      <c r="G814" s="42" t="str">
        <f ca="1">IFERROR(__xludf.DUMMYFUNCTION("""COMPUTED_VALUE"""),"BIHAR STUDENT")</f>
        <v>BIHAR STUDENT</v>
      </c>
      <c r="H814" s="2" t="str">
        <f ca="1">IFERROR(__xludf.DUMMYFUNCTION("""COMPUTED_VALUE"""),"DME_2022-25")</f>
        <v>DME_2022-25</v>
      </c>
      <c r="I814" s="45"/>
      <c r="J814" s="46">
        <f ca="1">IFERROR(__xludf.DUMMYFUNCTION("""COMPUTED_VALUE"""),42500)</f>
        <v>42500</v>
      </c>
      <c r="K814" s="46">
        <f ca="1">IFERROR(__xludf.DUMMYFUNCTION("""COMPUTED_VALUE"""),42500)</f>
        <v>42500</v>
      </c>
      <c r="L814" s="46">
        <f ca="1">IFERROR(__xludf.DUMMYFUNCTION("""COMPUTED_VALUE"""),0)</f>
        <v>0</v>
      </c>
      <c r="M814" s="47">
        <f ca="1">IFERROR(__xludf.DUMMYFUNCTION("""COMPUTED_VALUE"""),0)</f>
        <v>0</v>
      </c>
      <c r="N814" s="46">
        <f ca="1">IFERROR(__xludf.DUMMYFUNCTION("""COMPUTED_VALUE"""),0)</f>
        <v>0</v>
      </c>
      <c r="O814" s="46">
        <f ca="1">IFERROR(__xludf.DUMMYFUNCTION("""COMPUTED_VALUE"""),0)</f>
        <v>0</v>
      </c>
      <c r="P814" s="46">
        <f ca="1">IFERROR(__xludf.DUMMYFUNCTION("""COMPUTED_VALUE"""),0)</f>
        <v>0</v>
      </c>
      <c r="Q814" s="47">
        <f ca="1">IFERROR(__xludf.DUMMYFUNCTION("""COMPUTED_VALUE"""),0)</f>
        <v>0</v>
      </c>
      <c r="R814" s="24">
        <f ca="1">IFERROR(__xludf.DUMMYFUNCTION("""COMPUTED_VALUE"""),0)</f>
        <v>0</v>
      </c>
      <c r="S814" s="23">
        <f ca="1">IFERROR(__xludf.DUMMYFUNCTION("""COMPUTED_VALUE"""),0)</f>
        <v>0</v>
      </c>
      <c r="T814" s="48">
        <f ca="1">IFERROR(__xludf.DUMMYFUNCTION("""COMPUTED_VALUE"""),0)</f>
        <v>0</v>
      </c>
      <c r="U814" s="47">
        <f ca="1">IFERROR(__xludf.DUMMYFUNCTION("""COMPUTED_VALUE"""),0)</f>
        <v>0</v>
      </c>
      <c r="V814" s="47">
        <f ca="1">IFERROR(__xludf.DUMMYFUNCTION("""COMPUTED_VALUE"""),0)</f>
        <v>0</v>
      </c>
      <c r="W814" s="47">
        <f ca="1">IFERROR(__xludf.DUMMYFUNCTION("""COMPUTED_VALUE"""),0)</f>
        <v>0</v>
      </c>
      <c r="X814" s="47">
        <f ca="1">IFERROR(__xludf.DUMMYFUNCTION("""COMPUTED_VALUE"""),0)</f>
        <v>0</v>
      </c>
      <c r="Y814" s="44">
        <f ca="1">IFERROR(__xludf.DUMMYFUNCTION("""COMPUTED_VALUE"""),0)</f>
        <v>0</v>
      </c>
      <c r="Z814" s="44">
        <f ca="1">IFERROR(__xludf.DUMMYFUNCTION("""COMPUTED_VALUE"""),0)</f>
        <v>0</v>
      </c>
      <c r="AA814" s="44">
        <f ca="1">IFERROR(__xludf.DUMMYFUNCTION("""COMPUTED_VALUE"""),0)</f>
        <v>0</v>
      </c>
      <c r="AB814" s="44">
        <f ca="1">IFERROR(__xludf.DUMMYFUNCTION("""COMPUTED_VALUE"""),0)</f>
        <v>0</v>
      </c>
      <c r="AC814" s="47">
        <f ca="1">IFERROR(__xludf.DUMMYFUNCTION("""COMPUTED_VALUE"""),0)</f>
        <v>0</v>
      </c>
      <c r="AD814" s="49"/>
      <c r="AE814" s="27"/>
    </row>
    <row r="815" spans="1:31" ht="14.3">
      <c r="A815" s="42" t="str">
        <f ca="1">IFERROR(__xludf.DUMMYFUNCTION("""COMPUTED_VALUE"""),"23SDSME03901")</f>
        <v>23SDSME03901</v>
      </c>
      <c r="B815" s="43" t="str">
        <f ca="1">IFERROR(__xludf.DUMMYFUNCTION("""COMPUTED_VALUE"""),"SAVALIYA JAINIL UPENDRABHAI")</f>
        <v>SAVALIYA JAINIL UPENDRABHAI</v>
      </c>
      <c r="C815" s="42" t="str">
        <f ca="1">IFERROR(__xludf.DUMMYFUNCTION("""COMPUTED_VALUE"""),"SDS")</f>
        <v>SDS</v>
      </c>
      <c r="D815" s="42" t="str">
        <f ca="1">IFERROR(__xludf.DUMMYFUNCTION("""COMPUTED_VALUE"""),"DME")</f>
        <v>DME</v>
      </c>
      <c r="E815" s="44">
        <f ca="1">IFERROR(__xludf.DUMMYFUNCTION("""COMPUTED_VALUE"""),4)</f>
        <v>4</v>
      </c>
      <c r="F815" s="42" t="str">
        <f ca="1">IFERROR(__xludf.DUMMYFUNCTION("""COMPUTED_VALUE"""),"9426604269
8200148419")</f>
        <v>9426604269
8200148419</v>
      </c>
      <c r="G815" s="42" t="str">
        <f ca="1">IFERROR(__xludf.DUMMYFUNCTION("""COMPUTED_VALUE"""),"9426604269
8200148419")</f>
        <v>9426604269
8200148419</v>
      </c>
      <c r="H815" s="2" t="str">
        <f ca="1">IFERROR(__xludf.DUMMYFUNCTION("""COMPUTED_VALUE"""),"DME_2022-25")</f>
        <v>DME_2022-25</v>
      </c>
      <c r="I815" s="45"/>
      <c r="J815" s="46">
        <f ca="1">IFERROR(__xludf.DUMMYFUNCTION("""COMPUTED_VALUE"""),25000)</f>
        <v>25000</v>
      </c>
      <c r="K815" s="46">
        <f ca="1">IFERROR(__xludf.DUMMYFUNCTION("""COMPUTED_VALUE"""),25000)</f>
        <v>25000</v>
      </c>
      <c r="L815" s="46">
        <f ca="1">IFERROR(__xludf.DUMMYFUNCTION("""COMPUTED_VALUE"""),0)</f>
        <v>0</v>
      </c>
      <c r="M815" s="47">
        <f ca="1">IFERROR(__xludf.DUMMYFUNCTION("""COMPUTED_VALUE"""),0)</f>
        <v>0</v>
      </c>
      <c r="N815" s="46">
        <f ca="1">IFERROR(__xludf.DUMMYFUNCTION("""COMPUTED_VALUE"""),0)</f>
        <v>0</v>
      </c>
      <c r="O815" s="46">
        <f ca="1">IFERROR(__xludf.DUMMYFUNCTION("""COMPUTED_VALUE"""),3000)</f>
        <v>3000</v>
      </c>
      <c r="P815" s="46">
        <f ca="1">IFERROR(__xludf.DUMMYFUNCTION("""COMPUTED_VALUE"""),3000)</f>
        <v>3000</v>
      </c>
      <c r="Q815" s="47">
        <f ca="1">IFERROR(__xludf.DUMMYFUNCTION("""COMPUTED_VALUE"""),0)</f>
        <v>0</v>
      </c>
      <c r="R815" s="24">
        <f ca="1">IFERROR(__xludf.DUMMYFUNCTION("""COMPUTED_VALUE"""),0)</f>
        <v>0</v>
      </c>
      <c r="S815" s="23">
        <f ca="1">IFERROR(__xludf.DUMMYFUNCTION("""COMPUTED_VALUE"""),0)</f>
        <v>0</v>
      </c>
      <c r="T815" s="48">
        <f ca="1">IFERROR(__xludf.DUMMYFUNCTION("""COMPUTED_VALUE"""),0)</f>
        <v>0</v>
      </c>
      <c r="U815" s="47">
        <f ca="1">IFERROR(__xludf.DUMMYFUNCTION("""COMPUTED_VALUE"""),0)</f>
        <v>0</v>
      </c>
      <c r="V815" s="47">
        <f ca="1">IFERROR(__xludf.DUMMYFUNCTION("""COMPUTED_VALUE"""),0)</f>
        <v>0</v>
      </c>
      <c r="W815" s="47">
        <f ca="1">IFERROR(__xludf.DUMMYFUNCTION("""COMPUTED_VALUE"""),0)</f>
        <v>0</v>
      </c>
      <c r="X815" s="47">
        <f ca="1">IFERROR(__xludf.DUMMYFUNCTION("""COMPUTED_VALUE"""),0)</f>
        <v>0</v>
      </c>
      <c r="Y815" s="44">
        <f ca="1">IFERROR(__xludf.DUMMYFUNCTION("""COMPUTED_VALUE"""),0)</f>
        <v>0</v>
      </c>
      <c r="Z815" s="44">
        <f ca="1">IFERROR(__xludf.DUMMYFUNCTION("""COMPUTED_VALUE"""),0)</f>
        <v>0</v>
      </c>
      <c r="AA815" s="44">
        <f ca="1">IFERROR(__xludf.DUMMYFUNCTION("""COMPUTED_VALUE"""),0)</f>
        <v>0</v>
      </c>
      <c r="AB815" s="44">
        <f ca="1">IFERROR(__xludf.DUMMYFUNCTION("""COMPUTED_VALUE"""),0)</f>
        <v>0</v>
      </c>
      <c r="AC815" s="47">
        <f ca="1">IFERROR(__xludf.DUMMYFUNCTION("""COMPUTED_VALUE"""),0)</f>
        <v>0</v>
      </c>
      <c r="AD815" s="49"/>
      <c r="AE815" s="27"/>
    </row>
    <row r="816" spans="1:31" ht="14.3">
      <c r="A816" s="42" t="str">
        <f ca="1">IFERROR(__xludf.DUMMYFUNCTION("""COMPUTED_VALUE"""),"21SDSME01002")</f>
        <v>21SDSME01002</v>
      </c>
      <c r="B816" s="43" t="str">
        <f ca="1">IFERROR(__xludf.DUMMYFUNCTION("""COMPUTED_VALUE"""),"AGRAVAT DIPKUMAR DINESHBHAI")</f>
        <v>AGRAVAT DIPKUMAR DINESHBHAI</v>
      </c>
      <c r="C816" s="42" t="str">
        <f ca="1">IFERROR(__xludf.DUMMYFUNCTION("""COMPUTED_VALUE"""),"SDS")</f>
        <v>SDS</v>
      </c>
      <c r="D816" s="42" t="str">
        <f ca="1">IFERROR(__xludf.DUMMYFUNCTION("""COMPUTED_VALUE"""),"DME")</f>
        <v>DME</v>
      </c>
      <c r="E816" s="44">
        <f ca="1">IFERROR(__xludf.DUMMYFUNCTION("""COMPUTED_VALUE"""),6)</f>
        <v>6</v>
      </c>
      <c r="F816" s="42" t="str">
        <f ca="1">IFERROR(__xludf.DUMMYFUNCTION("""COMPUTED_VALUE"""),"7984618772 9979079752")</f>
        <v>7984618772 9979079752</v>
      </c>
      <c r="G816" s="42" t="str">
        <f ca="1">IFERROR(__xludf.DUMMYFUNCTION("""COMPUTED_VALUE"""),"7984618772 9979079752")</f>
        <v>7984618772 9979079752</v>
      </c>
      <c r="H816" s="2" t="str">
        <f ca="1">IFERROR(__xludf.DUMMYFUNCTION("""COMPUTED_VALUE"""),"DME_2021-24")</f>
        <v>DME_2021-24</v>
      </c>
      <c r="I816" s="45" t="str">
        <f ca="1">IFERROR(__xludf.DUMMYFUNCTION("""COMPUTED_VALUE"""),"MYSY")</f>
        <v>MYSY</v>
      </c>
      <c r="J816" s="46">
        <f ca="1">IFERROR(__xludf.DUMMYFUNCTION("""COMPUTED_VALUE"""),25000)</f>
        <v>25000</v>
      </c>
      <c r="K816" s="46">
        <f ca="1">IFERROR(__xludf.DUMMYFUNCTION("""COMPUTED_VALUE"""),0)</f>
        <v>0</v>
      </c>
      <c r="L816" s="46">
        <f ca="1">IFERROR(__xludf.DUMMYFUNCTION("""COMPUTED_VALUE"""),0)</f>
        <v>0</v>
      </c>
      <c r="M816" s="47">
        <f ca="1">IFERROR(__xludf.DUMMYFUNCTION("""COMPUTED_VALUE"""),0)</f>
        <v>0</v>
      </c>
      <c r="N816" s="46">
        <f ca="1">IFERROR(__xludf.DUMMYFUNCTION("""COMPUTED_VALUE"""),25000)</f>
        <v>25000</v>
      </c>
      <c r="O816" s="46">
        <f ca="1">IFERROR(__xludf.DUMMYFUNCTION("""COMPUTED_VALUE"""),3750)</f>
        <v>3750</v>
      </c>
      <c r="P816" s="46">
        <f ca="1">IFERROR(__xludf.DUMMYFUNCTION("""COMPUTED_VALUE"""),3750)</f>
        <v>3750</v>
      </c>
      <c r="Q816" s="47">
        <f ca="1">IFERROR(__xludf.DUMMYFUNCTION("""COMPUTED_VALUE"""),0)</f>
        <v>0</v>
      </c>
      <c r="R816" s="24">
        <f ca="1">IFERROR(__xludf.DUMMYFUNCTION("""COMPUTED_VALUE"""),0)</f>
        <v>0</v>
      </c>
      <c r="S816" s="23">
        <f ca="1">IFERROR(__xludf.DUMMYFUNCTION("""COMPUTED_VALUE"""),0)</f>
        <v>0</v>
      </c>
      <c r="T816" s="48">
        <f ca="1">IFERROR(__xludf.DUMMYFUNCTION("""COMPUTED_VALUE"""),0)</f>
        <v>0</v>
      </c>
      <c r="U816" s="47">
        <f ca="1">IFERROR(__xludf.DUMMYFUNCTION("""COMPUTED_VALUE"""),0)</f>
        <v>0</v>
      </c>
      <c r="V816" s="47">
        <f ca="1">IFERROR(__xludf.DUMMYFUNCTION("""COMPUTED_VALUE"""),0)</f>
        <v>0</v>
      </c>
      <c r="W816" s="47">
        <f ca="1">IFERROR(__xludf.DUMMYFUNCTION("""COMPUTED_VALUE"""),0)</f>
        <v>0</v>
      </c>
      <c r="X816" s="47">
        <f ca="1">IFERROR(__xludf.DUMMYFUNCTION("""COMPUTED_VALUE"""),0)</f>
        <v>0</v>
      </c>
      <c r="Y816" s="44">
        <f ca="1">IFERROR(__xludf.DUMMYFUNCTION("""COMPUTED_VALUE"""),0)</f>
        <v>0</v>
      </c>
      <c r="Z816" s="44">
        <f ca="1">IFERROR(__xludf.DUMMYFUNCTION("""COMPUTED_VALUE"""),0)</f>
        <v>0</v>
      </c>
      <c r="AA816" s="44">
        <f ca="1">IFERROR(__xludf.DUMMYFUNCTION("""COMPUTED_VALUE"""),0)</f>
        <v>0</v>
      </c>
      <c r="AB816" s="44">
        <f ca="1">IFERROR(__xludf.DUMMYFUNCTION("""COMPUTED_VALUE"""),0)</f>
        <v>0</v>
      </c>
      <c r="AC816" s="47">
        <f ca="1">IFERROR(__xludf.DUMMYFUNCTION("""COMPUTED_VALUE"""),0)</f>
        <v>0</v>
      </c>
      <c r="AD816" s="49" t="str">
        <f ca="1">IFERROR(__xludf.DUMMYFUNCTION("""COMPUTED_VALUE"""),"MYSY(50%) + KSPS(50%)")</f>
        <v>MYSY(50%) + KSPS(50%)</v>
      </c>
      <c r="AE816" s="27"/>
    </row>
    <row r="817" spans="1:31" ht="14.3">
      <c r="A817" s="42" t="str">
        <f ca="1">IFERROR(__xludf.DUMMYFUNCTION("""COMPUTED_VALUE"""),"21SDSME01003")</f>
        <v>21SDSME01003</v>
      </c>
      <c r="B817" s="43" t="str">
        <f ca="1">IFERROR(__xludf.DUMMYFUNCTION("""COMPUTED_VALUE"""),"ASODARIYA VISHU NILESHBHAI")</f>
        <v>ASODARIYA VISHU NILESHBHAI</v>
      </c>
      <c r="C817" s="42" t="str">
        <f ca="1">IFERROR(__xludf.DUMMYFUNCTION("""COMPUTED_VALUE"""),"SDS")</f>
        <v>SDS</v>
      </c>
      <c r="D817" s="42" t="str">
        <f ca="1">IFERROR(__xludf.DUMMYFUNCTION("""COMPUTED_VALUE"""),"DME")</f>
        <v>DME</v>
      </c>
      <c r="E817" s="44">
        <f ca="1">IFERROR(__xludf.DUMMYFUNCTION("""COMPUTED_VALUE"""),6)</f>
        <v>6</v>
      </c>
      <c r="F817" s="42" t="str">
        <f ca="1">IFERROR(__xludf.DUMMYFUNCTION("""COMPUTED_VALUE"""),"9725187359 9727317749")</f>
        <v>9725187359 9727317749</v>
      </c>
      <c r="G817" s="42" t="str">
        <f ca="1">IFERROR(__xludf.DUMMYFUNCTION("""COMPUTED_VALUE"""),"9725187359 9727317749")</f>
        <v>9725187359 9727317749</v>
      </c>
      <c r="H817" s="2" t="str">
        <f ca="1">IFERROR(__xludf.DUMMYFUNCTION("""COMPUTED_VALUE"""),"DME_2021-24")</f>
        <v>DME_2021-24</v>
      </c>
      <c r="I817" s="45" t="str">
        <f ca="1">IFERROR(__xludf.DUMMYFUNCTION("""COMPUTED_VALUE"""),"MYSY")</f>
        <v>MYSY</v>
      </c>
      <c r="J817" s="46">
        <f ca="1">IFERROR(__xludf.DUMMYFUNCTION("""COMPUTED_VALUE"""),25000)</f>
        <v>25000</v>
      </c>
      <c r="K817" s="46">
        <f ca="1">IFERROR(__xludf.DUMMYFUNCTION("""COMPUTED_VALUE"""),0)</f>
        <v>0</v>
      </c>
      <c r="L817" s="46">
        <f ca="1">IFERROR(__xludf.DUMMYFUNCTION("""COMPUTED_VALUE"""),0)</f>
        <v>0</v>
      </c>
      <c r="M817" s="47">
        <f ca="1">IFERROR(__xludf.DUMMYFUNCTION("""COMPUTED_VALUE"""),0)</f>
        <v>0</v>
      </c>
      <c r="N817" s="46">
        <f ca="1">IFERROR(__xludf.DUMMYFUNCTION("""COMPUTED_VALUE"""),25000)</f>
        <v>25000</v>
      </c>
      <c r="O817" s="46">
        <f ca="1">IFERROR(__xludf.DUMMYFUNCTION("""COMPUTED_VALUE"""),3750)</f>
        <v>3750</v>
      </c>
      <c r="P817" s="46">
        <f ca="1">IFERROR(__xludf.DUMMYFUNCTION("""COMPUTED_VALUE"""),3750)</f>
        <v>3750</v>
      </c>
      <c r="Q817" s="47">
        <f ca="1">IFERROR(__xludf.DUMMYFUNCTION("""COMPUTED_VALUE"""),0)</f>
        <v>0</v>
      </c>
      <c r="R817" s="24">
        <f ca="1">IFERROR(__xludf.DUMMYFUNCTION("""COMPUTED_VALUE"""),0)</f>
        <v>0</v>
      </c>
      <c r="S817" s="23">
        <f ca="1">IFERROR(__xludf.DUMMYFUNCTION("""COMPUTED_VALUE"""),0)</f>
        <v>0</v>
      </c>
      <c r="T817" s="48">
        <f ca="1">IFERROR(__xludf.DUMMYFUNCTION("""COMPUTED_VALUE"""),0)</f>
        <v>0</v>
      </c>
      <c r="U817" s="47">
        <f ca="1">IFERROR(__xludf.DUMMYFUNCTION("""COMPUTED_VALUE"""),0)</f>
        <v>0</v>
      </c>
      <c r="V817" s="47">
        <f ca="1">IFERROR(__xludf.DUMMYFUNCTION("""COMPUTED_VALUE"""),0)</f>
        <v>0</v>
      </c>
      <c r="W817" s="47">
        <f ca="1">IFERROR(__xludf.DUMMYFUNCTION("""COMPUTED_VALUE"""),0)</f>
        <v>0</v>
      </c>
      <c r="X817" s="47">
        <f ca="1">IFERROR(__xludf.DUMMYFUNCTION("""COMPUTED_VALUE"""),0)</f>
        <v>0</v>
      </c>
      <c r="Y817" s="44">
        <f ca="1">IFERROR(__xludf.DUMMYFUNCTION("""COMPUTED_VALUE"""),0)</f>
        <v>0</v>
      </c>
      <c r="Z817" s="44">
        <f ca="1">IFERROR(__xludf.DUMMYFUNCTION("""COMPUTED_VALUE"""),0)</f>
        <v>0</v>
      </c>
      <c r="AA817" s="44">
        <f ca="1">IFERROR(__xludf.DUMMYFUNCTION("""COMPUTED_VALUE"""),0)</f>
        <v>0</v>
      </c>
      <c r="AB817" s="44">
        <f ca="1">IFERROR(__xludf.DUMMYFUNCTION("""COMPUTED_VALUE"""),0)</f>
        <v>0</v>
      </c>
      <c r="AC817" s="47">
        <f ca="1">IFERROR(__xludf.DUMMYFUNCTION("""COMPUTED_VALUE"""),0)</f>
        <v>0</v>
      </c>
      <c r="AD817" s="49" t="str">
        <f ca="1">IFERROR(__xludf.DUMMYFUNCTION("""COMPUTED_VALUE"""),"KSPS(25%) + MYSY(50%)")</f>
        <v>KSPS(25%) + MYSY(50%)</v>
      </c>
      <c r="AE817" s="27"/>
    </row>
    <row r="818" spans="1:31" ht="14.3">
      <c r="A818" s="42" t="str">
        <f ca="1">IFERROR(__xludf.DUMMYFUNCTION("""COMPUTED_VALUE"""),"21SDSME01004")</f>
        <v>21SDSME01004</v>
      </c>
      <c r="B818" s="43" t="str">
        <f ca="1">IFERROR(__xludf.DUMMYFUNCTION("""COMPUTED_VALUE"""),"BHAMBHI RUDRA PRATAPBHAI")</f>
        <v>BHAMBHI RUDRA PRATAPBHAI</v>
      </c>
      <c r="C818" s="42" t="str">
        <f ca="1">IFERROR(__xludf.DUMMYFUNCTION("""COMPUTED_VALUE"""),"SDS")</f>
        <v>SDS</v>
      </c>
      <c r="D818" s="42" t="str">
        <f ca="1">IFERROR(__xludf.DUMMYFUNCTION("""COMPUTED_VALUE"""),"DME")</f>
        <v>DME</v>
      </c>
      <c r="E818" s="44">
        <f ca="1">IFERROR(__xludf.DUMMYFUNCTION("""COMPUTED_VALUE"""),6)</f>
        <v>6</v>
      </c>
      <c r="F818" s="42" t="str">
        <f ca="1">IFERROR(__xludf.DUMMYFUNCTION("""COMPUTED_VALUE"""),"9409258323 9879359123")</f>
        <v>9409258323 9879359123</v>
      </c>
      <c r="G818" s="42" t="str">
        <f ca="1">IFERROR(__xludf.DUMMYFUNCTION("""COMPUTED_VALUE"""),"9409258323 9879359123")</f>
        <v>9409258323 9879359123</v>
      </c>
      <c r="H818" s="2" t="str">
        <f ca="1">IFERROR(__xludf.DUMMYFUNCTION("""COMPUTED_VALUE"""),"DME_2021-24")</f>
        <v>DME_2021-24</v>
      </c>
      <c r="I818" s="45"/>
      <c r="J818" s="46">
        <f ca="1">IFERROR(__xludf.DUMMYFUNCTION("""COMPUTED_VALUE"""),25000)</f>
        <v>25000</v>
      </c>
      <c r="K818" s="46">
        <f ca="1">IFERROR(__xludf.DUMMYFUNCTION("""COMPUTED_VALUE"""),25000)</f>
        <v>25000</v>
      </c>
      <c r="L818" s="46">
        <f ca="1">IFERROR(__xludf.DUMMYFUNCTION("""COMPUTED_VALUE"""),0)</f>
        <v>0</v>
      </c>
      <c r="M818" s="47">
        <f ca="1">IFERROR(__xludf.DUMMYFUNCTION("""COMPUTED_VALUE"""),0)</f>
        <v>0</v>
      </c>
      <c r="N818" s="46">
        <f ca="1">IFERROR(__xludf.DUMMYFUNCTION("""COMPUTED_VALUE"""),0)</f>
        <v>0</v>
      </c>
      <c r="O818" s="46">
        <f ca="1">IFERROR(__xludf.DUMMYFUNCTION("""COMPUTED_VALUE"""),3750)</f>
        <v>3750</v>
      </c>
      <c r="P818" s="46">
        <f ca="1">IFERROR(__xludf.DUMMYFUNCTION("""COMPUTED_VALUE"""),3750)</f>
        <v>3750</v>
      </c>
      <c r="Q818" s="47">
        <f ca="1">IFERROR(__xludf.DUMMYFUNCTION("""COMPUTED_VALUE"""),0)</f>
        <v>0</v>
      </c>
      <c r="R818" s="24">
        <f ca="1">IFERROR(__xludf.DUMMYFUNCTION("""COMPUTED_VALUE"""),0)</f>
        <v>0</v>
      </c>
      <c r="S818" s="23">
        <f ca="1">IFERROR(__xludf.DUMMYFUNCTION("""COMPUTED_VALUE"""),0)</f>
        <v>0</v>
      </c>
      <c r="T818" s="48">
        <f ca="1">IFERROR(__xludf.DUMMYFUNCTION("""COMPUTED_VALUE"""),0)</f>
        <v>0</v>
      </c>
      <c r="U818" s="47">
        <f ca="1">IFERROR(__xludf.DUMMYFUNCTION("""COMPUTED_VALUE"""),0)</f>
        <v>0</v>
      </c>
      <c r="V818" s="47">
        <f ca="1">IFERROR(__xludf.DUMMYFUNCTION("""COMPUTED_VALUE"""),0)</f>
        <v>0</v>
      </c>
      <c r="W818" s="47">
        <f ca="1">IFERROR(__xludf.DUMMYFUNCTION("""COMPUTED_VALUE"""),0)</f>
        <v>0</v>
      </c>
      <c r="X818" s="47">
        <f ca="1">IFERROR(__xludf.DUMMYFUNCTION("""COMPUTED_VALUE"""),0)</f>
        <v>0</v>
      </c>
      <c r="Y818" s="44">
        <f ca="1">IFERROR(__xludf.DUMMYFUNCTION("""COMPUTED_VALUE"""),0)</f>
        <v>0</v>
      </c>
      <c r="Z818" s="44">
        <f ca="1">IFERROR(__xludf.DUMMYFUNCTION("""COMPUTED_VALUE"""),0)</f>
        <v>0</v>
      </c>
      <c r="AA818" s="44">
        <f ca="1">IFERROR(__xludf.DUMMYFUNCTION("""COMPUTED_VALUE"""),0)</f>
        <v>0</v>
      </c>
      <c r="AB818" s="44">
        <f ca="1">IFERROR(__xludf.DUMMYFUNCTION("""COMPUTED_VALUE"""),0)</f>
        <v>0</v>
      </c>
      <c r="AC818" s="47">
        <f ca="1">IFERROR(__xludf.DUMMYFUNCTION("""COMPUTED_VALUE"""),0)</f>
        <v>0</v>
      </c>
      <c r="AD818" s="49"/>
      <c r="AE818" s="27"/>
    </row>
    <row r="819" spans="1:31" ht="14.3">
      <c r="A819" s="42" t="str">
        <f ca="1">IFERROR(__xludf.DUMMYFUNCTION("""COMPUTED_VALUE"""),"21SDSME01006")</f>
        <v>21SDSME01006</v>
      </c>
      <c r="B819" s="43" t="str">
        <f ca="1">IFERROR(__xludf.DUMMYFUNCTION("""COMPUTED_VALUE"""),"CHANDAVANIYA SAVANKUMAR SURESHBHAI")</f>
        <v>CHANDAVANIYA SAVANKUMAR SURESHBHAI</v>
      </c>
      <c r="C819" s="42" t="str">
        <f ca="1">IFERROR(__xludf.DUMMYFUNCTION("""COMPUTED_VALUE"""),"SDS")</f>
        <v>SDS</v>
      </c>
      <c r="D819" s="42" t="str">
        <f ca="1">IFERROR(__xludf.DUMMYFUNCTION("""COMPUTED_VALUE"""),"DME")</f>
        <v>DME</v>
      </c>
      <c r="E819" s="44">
        <f ca="1">IFERROR(__xludf.DUMMYFUNCTION("""COMPUTED_VALUE"""),6)</f>
        <v>6</v>
      </c>
      <c r="F819" s="42" t="str">
        <f ca="1">IFERROR(__xludf.DUMMYFUNCTION("""COMPUTED_VALUE"""),"8140755401 9904938009")</f>
        <v>8140755401 9904938009</v>
      </c>
      <c r="G819" s="42" t="str">
        <f ca="1">IFERROR(__xludf.DUMMYFUNCTION("""COMPUTED_VALUE"""),"8140755401 9904938009")</f>
        <v>8140755401 9904938009</v>
      </c>
      <c r="H819" s="2" t="str">
        <f ca="1">IFERROR(__xludf.DUMMYFUNCTION("""COMPUTED_VALUE"""),"DME_2021-24")</f>
        <v>DME_2021-24</v>
      </c>
      <c r="I819" s="45" t="str">
        <f ca="1">IFERROR(__xludf.DUMMYFUNCTION("""COMPUTED_VALUE"""),"MYSY")</f>
        <v>MYSY</v>
      </c>
      <c r="J819" s="46">
        <f ca="1">IFERROR(__xludf.DUMMYFUNCTION("""COMPUTED_VALUE"""),25000)</f>
        <v>25000</v>
      </c>
      <c r="K819" s="46">
        <f ca="1">IFERROR(__xludf.DUMMYFUNCTION("""COMPUTED_VALUE"""),0)</f>
        <v>0</v>
      </c>
      <c r="L819" s="46">
        <f ca="1">IFERROR(__xludf.DUMMYFUNCTION("""COMPUTED_VALUE"""),0)</f>
        <v>0</v>
      </c>
      <c r="M819" s="47">
        <f ca="1">IFERROR(__xludf.DUMMYFUNCTION("""COMPUTED_VALUE"""),0)</f>
        <v>0</v>
      </c>
      <c r="N819" s="46">
        <f ca="1">IFERROR(__xludf.DUMMYFUNCTION("""COMPUTED_VALUE"""),25000)</f>
        <v>25000</v>
      </c>
      <c r="O819" s="46">
        <f ca="1">IFERROR(__xludf.DUMMYFUNCTION("""COMPUTED_VALUE"""),3750)</f>
        <v>3750</v>
      </c>
      <c r="P819" s="46">
        <f ca="1">IFERROR(__xludf.DUMMYFUNCTION("""COMPUTED_VALUE"""),3750)</f>
        <v>3750</v>
      </c>
      <c r="Q819" s="47">
        <f ca="1">IFERROR(__xludf.DUMMYFUNCTION("""COMPUTED_VALUE"""),0)</f>
        <v>0</v>
      </c>
      <c r="R819" s="24">
        <f ca="1">IFERROR(__xludf.DUMMYFUNCTION("""COMPUTED_VALUE"""),0)</f>
        <v>0</v>
      </c>
      <c r="S819" s="23">
        <f ca="1">IFERROR(__xludf.DUMMYFUNCTION("""COMPUTED_VALUE"""),0)</f>
        <v>0</v>
      </c>
      <c r="T819" s="48">
        <f ca="1">IFERROR(__xludf.DUMMYFUNCTION("""COMPUTED_VALUE"""),0)</f>
        <v>0</v>
      </c>
      <c r="U819" s="47">
        <f ca="1">IFERROR(__xludf.DUMMYFUNCTION("""COMPUTED_VALUE"""),0)</f>
        <v>0</v>
      </c>
      <c r="V819" s="47">
        <f ca="1">IFERROR(__xludf.DUMMYFUNCTION("""COMPUTED_VALUE"""),0)</f>
        <v>0</v>
      </c>
      <c r="W819" s="47">
        <f ca="1">IFERROR(__xludf.DUMMYFUNCTION("""COMPUTED_VALUE"""),0)</f>
        <v>0</v>
      </c>
      <c r="X819" s="47">
        <f ca="1">IFERROR(__xludf.DUMMYFUNCTION("""COMPUTED_VALUE"""),0)</f>
        <v>0</v>
      </c>
      <c r="Y819" s="44">
        <f ca="1">IFERROR(__xludf.DUMMYFUNCTION("""COMPUTED_VALUE"""),0)</f>
        <v>0</v>
      </c>
      <c r="Z819" s="44">
        <f ca="1">IFERROR(__xludf.DUMMYFUNCTION("""COMPUTED_VALUE"""),0)</f>
        <v>0</v>
      </c>
      <c r="AA819" s="44">
        <f ca="1">IFERROR(__xludf.DUMMYFUNCTION("""COMPUTED_VALUE"""),0)</f>
        <v>0</v>
      </c>
      <c r="AB819" s="44">
        <f ca="1">IFERROR(__xludf.DUMMYFUNCTION("""COMPUTED_VALUE"""),0)</f>
        <v>0</v>
      </c>
      <c r="AC819" s="47">
        <f ca="1">IFERROR(__xludf.DUMMYFUNCTION("""COMPUTED_VALUE"""),0)</f>
        <v>0</v>
      </c>
      <c r="AD819" s="49" t="str">
        <f ca="1">IFERROR(__xludf.DUMMYFUNCTION("""COMPUTED_VALUE"""),"MYSY(50%) + KSPS(50%)")</f>
        <v>MYSY(50%) + KSPS(50%)</v>
      </c>
      <c r="AE819" s="27"/>
    </row>
    <row r="820" spans="1:31" ht="23.1">
      <c r="A820" s="42" t="str">
        <f ca="1">IFERROR(__xludf.DUMMYFUNCTION("""COMPUTED_VALUE"""),"21SDSME01007")</f>
        <v>21SDSME01007</v>
      </c>
      <c r="B820" s="43" t="str">
        <f ca="1">IFERROR(__xludf.DUMMYFUNCTION("""COMPUTED_VALUE"""),"CHAUHAN CHIRAG ASHOKBHAI")</f>
        <v>CHAUHAN CHIRAG ASHOKBHAI</v>
      </c>
      <c r="C820" s="42" t="str">
        <f ca="1">IFERROR(__xludf.DUMMYFUNCTION("""COMPUTED_VALUE"""),"SDS")</f>
        <v>SDS</v>
      </c>
      <c r="D820" s="42" t="str">
        <f ca="1">IFERROR(__xludf.DUMMYFUNCTION("""COMPUTED_VALUE"""),"DME")</f>
        <v>DME</v>
      </c>
      <c r="E820" s="44">
        <f ca="1">IFERROR(__xludf.DUMMYFUNCTION("""COMPUTED_VALUE"""),6)</f>
        <v>6</v>
      </c>
      <c r="F820" s="42" t="str">
        <f ca="1">IFERROR(__xludf.DUMMYFUNCTION("""COMPUTED_VALUE"""),"9104862254 7096237552 9228889314")</f>
        <v>9104862254 7096237552 9228889314</v>
      </c>
      <c r="G820" s="42" t="str">
        <f ca="1">IFERROR(__xludf.DUMMYFUNCTION("""COMPUTED_VALUE"""),"9104862254 7096237552 9228889314")</f>
        <v>9104862254 7096237552 9228889314</v>
      </c>
      <c r="H820" s="2" t="str">
        <f ca="1">IFERROR(__xludf.DUMMYFUNCTION("""COMPUTED_VALUE"""),"DME_2021-24")</f>
        <v>DME_2021-24</v>
      </c>
      <c r="I820" s="45" t="str">
        <f ca="1">IFERROR(__xludf.DUMMYFUNCTION("""COMPUTED_VALUE"""),"KSP")</f>
        <v>KSP</v>
      </c>
      <c r="J820" s="46">
        <f ca="1">IFERROR(__xludf.DUMMYFUNCTION("""COMPUTED_VALUE"""),25000)</f>
        <v>25000</v>
      </c>
      <c r="K820" s="46">
        <f ca="1">IFERROR(__xludf.DUMMYFUNCTION("""COMPUTED_VALUE"""),12500)</f>
        <v>12500</v>
      </c>
      <c r="L820" s="46">
        <f ca="1">IFERROR(__xludf.DUMMYFUNCTION("""COMPUTED_VALUE"""),0)</f>
        <v>0</v>
      </c>
      <c r="M820" s="47">
        <f ca="1">IFERROR(__xludf.DUMMYFUNCTION("""COMPUTED_VALUE"""),12500)</f>
        <v>12500</v>
      </c>
      <c r="N820" s="46">
        <f ca="1">IFERROR(__xludf.DUMMYFUNCTION("""COMPUTED_VALUE"""),0)</f>
        <v>0</v>
      </c>
      <c r="O820" s="46">
        <f ca="1">IFERROR(__xludf.DUMMYFUNCTION("""COMPUTED_VALUE"""),3750)</f>
        <v>3750</v>
      </c>
      <c r="P820" s="46">
        <f ca="1">IFERROR(__xludf.DUMMYFUNCTION("""COMPUTED_VALUE"""),3750)</f>
        <v>3750</v>
      </c>
      <c r="Q820" s="47">
        <f ca="1">IFERROR(__xludf.DUMMYFUNCTION("""COMPUTED_VALUE"""),0)</f>
        <v>0</v>
      </c>
      <c r="R820" s="24">
        <f ca="1">IFERROR(__xludf.DUMMYFUNCTION("""COMPUTED_VALUE"""),0)</f>
        <v>0</v>
      </c>
      <c r="S820" s="23">
        <f ca="1">IFERROR(__xludf.DUMMYFUNCTION("""COMPUTED_VALUE"""),0)</f>
        <v>0</v>
      </c>
      <c r="T820" s="48">
        <f ca="1">IFERROR(__xludf.DUMMYFUNCTION("""COMPUTED_VALUE"""),0)</f>
        <v>0</v>
      </c>
      <c r="U820" s="47">
        <f ca="1">IFERROR(__xludf.DUMMYFUNCTION("""COMPUTED_VALUE"""),0)</f>
        <v>0</v>
      </c>
      <c r="V820" s="47">
        <f ca="1">IFERROR(__xludf.DUMMYFUNCTION("""COMPUTED_VALUE"""),0)</f>
        <v>0</v>
      </c>
      <c r="W820" s="47">
        <f ca="1">IFERROR(__xludf.DUMMYFUNCTION("""COMPUTED_VALUE"""),0)</f>
        <v>0</v>
      </c>
      <c r="X820" s="47">
        <f ca="1">IFERROR(__xludf.DUMMYFUNCTION("""COMPUTED_VALUE"""),0)</f>
        <v>0</v>
      </c>
      <c r="Y820" s="44">
        <f ca="1">IFERROR(__xludf.DUMMYFUNCTION("""COMPUTED_VALUE"""),0)</f>
        <v>0</v>
      </c>
      <c r="Z820" s="44">
        <f ca="1">IFERROR(__xludf.DUMMYFUNCTION("""COMPUTED_VALUE"""),0)</f>
        <v>0</v>
      </c>
      <c r="AA820" s="44">
        <f ca="1">IFERROR(__xludf.DUMMYFUNCTION("""COMPUTED_VALUE"""),0)</f>
        <v>0</v>
      </c>
      <c r="AB820" s="44">
        <f ca="1">IFERROR(__xludf.DUMMYFUNCTION("""COMPUTED_VALUE"""),0)</f>
        <v>0</v>
      </c>
      <c r="AC820" s="47">
        <f ca="1">IFERROR(__xludf.DUMMYFUNCTION("""COMPUTED_VALUE"""),0)</f>
        <v>0</v>
      </c>
      <c r="AD820" s="49" t="str">
        <f ca="1">IFERROR(__xludf.DUMMYFUNCTION("""COMPUTED_VALUE"""),"RS 12500 PER SEM SCHPLARSHIP")</f>
        <v>RS 12500 PER SEM SCHPLARSHIP</v>
      </c>
      <c r="AE820" s="27"/>
    </row>
    <row r="821" spans="1:31" ht="14.3">
      <c r="A821" s="42" t="str">
        <f ca="1">IFERROR(__xludf.DUMMYFUNCTION("""COMPUTED_VALUE"""),"21SDSME01008")</f>
        <v>21SDSME01008</v>
      </c>
      <c r="B821" s="43" t="str">
        <f ca="1">IFERROR(__xludf.DUMMYFUNCTION("""COMPUTED_VALUE"""),"CHAUHAN NIKHIL CHETANBHAI")</f>
        <v>CHAUHAN NIKHIL CHETANBHAI</v>
      </c>
      <c r="C821" s="42" t="str">
        <f ca="1">IFERROR(__xludf.DUMMYFUNCTION("""COMPUTED_VALUE"""),"SDS")</f>
        <v>SDS</v>
      </c>
      <c r="D821" s="42" t="str">
        <f ca="1">IFERROR(__xludf.DUMMYFUNCTION("""COMPUTED_VALUE"""),"DME")</f>
        <v>DME</v>
      </c>
      <c r="E821" s="44">
        <f ca="1">IFERROR(__xludf.DUMMYFUNCTION("""COMPUTED_VALUE"""),6)</f>
        <v>6</v>
      </c>
      <c r="F821" s="42" t="str">
        <f ca="1">IFERROR(__xludf.DUMMYFUNCTION("""COMPUTED_VALUE"""),"9979164669 9727060322 9033500077")</f>
        <v>9979164669 9727060322 9033500077</v>
      </c>
      <c r="G821" s="42" t="str">
        <f ca="1">IFERROR(__xludf.DUMMYFUNCTION("""COMPUTED_VALUE"""),"9979164669 9727060322 9033500077")</f>
        <v>9979164669 9727060322 9033500077</v>
      </c>
      <c r="H821" s="2" t="str">
        <f ca="1">IFERROR(__xludf.DUMMYFUNCTION("""COMPUTED_VALUE"""),"DME_2021-24")</f>
        <v>DME_2021-24</v>
      </c>
      <c r="I821" s="45" t="str">
        <f ca="1">IFERROR(__xludf.DUMMYFUNCTION("""COMPUTED_VALUE"""),"MYSY")</f>
        <v>MYSY</v>
      </c>
      <c r="J821" s="46">
        <f ca="1">IFERROR(__xludf.DUMMYFUNCTION("""COMPUTED_VALUE"""),25000)</f>
        <v>25000</v>
      </c>
      <c r="K821" s="46">
        <f ca="1">IFERROR(__xludf.DUMMYFUNCTION("""COMPUTED_VALUE"""),0)</f>
        <v>0</v>
      </c>
      <c r="L821" s="46">
        <f ca="1">IFERROR(__xludf.DUMMYFUNCTION("""COMPUTED_VALUE"""),0)</f>
        <v>0</v>
      </c>
      <c r="M821" s="47">
        <f ca="1">IFERROR(__xludf.DUMMYFUNCTION("""COMPUTED_VALUE"""),0)</f>
        <v>0</v>
      </c>
      <c r="N821" s="46">
        <f ca="1">IFERROR(__xludf.DUMMYFUNCTION("""COMPUTED_VALUE"""),25000)</f>
        <v>25000</v>
      </c>
      <c r="O821" s="46">
        <f ca="1">IFERROR(__xludf.DUMMYFUNCTION("""COMPUTED_VALUE"""),3750)</f>
        <v>3750</v>
      </c>
      <c r="P821" s="46">
        <f ca="1">IFERROR(__xludf.DUMMYFUNCTION("""COMPUTED_VALUE"""),3750)</f>
        <v>3750</v>
      </c>
      <c r="Q821" s="47">
        <f ca="1">IFERROR(__xludf.DUMMYFUNCTION("""COMPUTED_VALUE"""),0)</f>
        <v>0</v>
      </c>
      <c r="R821" s="24">
        <f ca="1">IFERROR(__xludf.DUMMYFUNCTION("""COMPUTED_VALUE"""),0)</f>
        <v>0</v>
      </c>
      <c r="S821" s="23">
        <f ca="1">IFERROR(__xludf.DUMMYFUNCTION("""COMPUTED_VALUE"""),0)</f>
        <v>0</v>
      </c>
      <c r="T821" s="48">
        <f ca="1">IFERROR(__xludf.DUMMYFUNCTION("""COMPUTED_VALUE"""),0)</f>
        <v>0</v>
      </c>
      <c r="U821" s="47">
        <f ca="1">IFERROR(__xludf.DUMMYFUNCTION("""COMPUTED_VALUE"""),0)</f>
        <v>0</v>
      </c>
      <c r="V821" s="47">
        <f ca="1">IFERROR(__xludf.DUMMYFUNCTION("""COMPUTED_VALUE"""),0)</f>
        <v>0</v>
      </c>
      <c r="W821" s="47">
        <f ca="1">IFERROR(__xludf.DUMMYFUNCTION("""COMPUTED_VALUE"""),0)</f>
        <v>0</v>
      </c>
      <c r="X821" s="47">
        <f ca="1">IFERROR(__xludf.DUMMYFUNCTION("""COMPUTED_VALUE"""),0)</f>
        <v>0</v>
      </c>
      <c r="Y821" s="44">
        <f ca="1">IFERROR(__xludf.DUMMYFUNCTION("""COMPUTED_VALUE"""),0)</f>
        <v>0</v>
      </c>
      <c r="Z821" s="44">
        <f ca="1">IFERROR(__xludf.DUMMYFUNCTION("""COMPUTED_VALUE"""),0)</f>
        <v>0</v>
      </c>
      <c r="AA821" s="44">
        <f ca="1">IFERROR(__xludf.DUMMYFUNCTION("""COMPUTED_VALUE"""),0)</f>
        <v>0</v>
      </c>
      <c r="AB821" s="44">
        <f ca="1">IFERROR(__xludf.DUMMYFUNCTION("""COMPUTED_VALUE"""),0)</f>
        <v>0</v>
      </c>
      <c r="AC821" s="47">
        <f ca="1">IFERROR(__xludf.DUMMYFUNCTION("""COMPUTED_VALUE"""),0)</f>
        <v>0</v>
      </c>
      <c r="AD821" s="49" t="str">
        <f ca="1">IFERROR(__xludf.DUMMYFUNCTION("""COMPUTED_VALUE"""),"KSPS(25%) + MYSY(50%)")</f>
        <v>KSPS(25%) + MYSY(50%)</v>
      </c>
      <c r="AE821" s="27"/>
    </row>
    <row r="822" spans="1:31" ht="14.3">
      <c r="A822" s="42" t="str">
        <f ca="1">IFERROR(__xludf.DUMMYFUNCTION("""COMPUTED_VALUE"""),"21SDSME01009")</f>
        <v>21SDSME01009</v>
      </c>
      <c r="B822" s="43" t="str">
        <f ca="1">IFERROR(__xludf.DUMMYFUNCTION("""COMPUTED_VALUE"""),"CHOVATIYA PARTH UMESHBHAI")</f>
        <v>CHOVATIYA PARTH UMESHBHAI</v>
      </c>
      <c r="C822" s="42" t="str">
        <f ca="1">IFERROR(__xludf.DUMMYFUNCTION("""COMPUTED_VALUE"""),"SDS")</f>
        <v>SDS</v>
      </c>
      <c r="D822" s="42" t="str">
        <f ca="1">IFERROR(__xludf.DUMMYFUNCTION("""COMPUTED_VALUE"""),"DME")</f>
        <v>DME</v>
      </c>
      <c r="E822" s="44">
        <f ca="1">IFERROR(__xludf.DUMMYFUNCTION("""COMPUTED_VALUE"""),6)</f>
        <v>6</v>
      </c>
      <c r="F822" s="42" t="str">
        <f ca="1">IFERROR(__xludf.DUMMYFUNCTION("""COMPUTED_VALUE"""),"9016491391
9016491391")</f>
        <v>9016491391
9016491391</v>
      </c>
      <c r="G822" s="42" t="str">
        <f ca="1">IFERROR(__xludf.DUMMYFUNCTION("""COMPUTED_VALUE"""),"9016491391
9016491391")</f>
        <v>9016491391
9016491391</v>
      </c>
      <c r="H822" s="2" t="str">
        <f ca="1">IFERROR(__xludf.DUMMYFUNCTION("""COMPUTED_VALUE"""),"DME_2021-24")</f>
        <v>DME_2021-24</v>
      </c>
      <c r="I822" s="45" t="str">
        <f ca="1">IFERROR(__xludf.DUMMYFUNCTION("""COMPUTED_VALUE"""),"KSP")</f>
        <v>KSP</v>
      </c>
      <c r="J822" s="46">
        <f ca="1">IFERROR(__xludf.DUMMYFUNCTION("""COMPUTED_VALUE"""),25000)</f>
        <v>25000</v>
      </c>
      <c r="K822" s="46">
        <f ca="1">IFERROR(__xludf.DUMMYFUNCTION("""COMPUTED_VALUE"""),12500)</f>
        <v>12500</v>
      </c>
      <c r="L822" s="46">
        <f ca="1">IFERROR(__xludf.DUMMYFUNCTION("""COMPUTED_VALUE"""),0)</f>
        <v>0</v>
      </c>
      <c r="M822" s="47">
        <f ca="1">IFERROR(__xludf.DUMMYFUNCTION("""COMPUTED_VALUE"""),12500)</f>
        <v>12500</v>
      </c>
      <c r="N822" s="46">
        <f ca="1">IFERROR(__xludf.DUMMYFUNCTION("""COMPUTED_VALUE"""),0)</f>
        <v>0</v>
      </c>
      <c r="O822" s="46">
        <f ca="1">IFERROR(__xludf.DUMMYFUNCTION("""COMPUTED_VALUE"""),3750)</f>
        <v>3750</v>
      </c>
      <c r="P822" s="46">
        <f ca="1">IFERROR(__xludf.DUMMYFUNCTION("""COMPUTED_VALUE"""),3750)</f>
        <v>3750</v>
      </c>
      <c r="Q822" s="47">
        <f ca="1">IFERROR(__xludf.DUMMYFUNCTION("""COMPUTED_VALUE"""),0)</f>
        <v>0</v>
      </c>
      <c r="R822" s="24">
        <f ca="1">IFERROR(__xludf.DUMMYFUNCTION("""COMPUTED_VALUE"""),0)</f>
        <v>0</v>
      </c>
      <c r="S822" s="23">
        <f ca="1">IFERROR(__xludf.DUMMYFUNCTION("""COMPUTED_VALUE"""),0)</f>
        <v>0</v>
      </c>
      <c r="T822" s="48">
        <f ca="1">IFERROR(__xludf.DUMMYFUNCTION("""COMPUTED_VALUE"""),0)</f>
        <v>0</v>
      </c>
      <c r="U822" s="47">
        <f ca="1">IFERROR(__xludf.DUMMYFUNCTION("""COMPUTED_VALUE"""),0)</f>
        <v>0</v>
      </c>
      <c r="V822" s="47">
        <f ca="1">IFERROR(__xludf.DUMMYFUNCTION("""COMPUTED_VALUE"""),0)</f>
        <v>0</v>
      </c>
      <c r="W822" s="47">
        <f ca="1">IFERROR(__xludf.DUMMYFUNCTION("""COMPUTED_VALUE"""),0)</f>
        <v>0</v>
      </c>
      <c r="X822" s="47">
        <f ca="1">IFERROR(__xludf.DUMMYFUNCTION("""COMPUTED_VALUE"""),0)</f>
        <v>0</v>
      </c>
      <c r="Y822" s="44">
        <f ca="1">IFERROR(__xludf.DUMMYFUNCTION("""COMPUTED_VALUE"""),0)</f>
        <v>0</v>
      </c>
      <c r="Z822" s="44">
        <f ca="1">IFERROR(__xludf.DUMMYFUNCTION("""COMPUTED_VALUE"""),0)</f>
        <v>0</v>
      </c>
      <c r="AA822" s="44">
        <f ca="1">IFERROR(__xludf.DUMMYFUNCTION("""COMPUTED_VALUE"""),0)</f>
        <v>0</v>
      </c>
      <c r="AB822" s="44">
        <f ca="1">IFERROR(__xludf.DUMMYFUNCTION("""COMPUTED_VALUE"""),0)</f>
        <v>0</v>
      </c>
      <c r="AC822" s="47">
        <f ca="1">IFERROR(__xludf.DUMMYFUNCTION("""COMPUTED_VALUE"""),0)</f>
        <v>0</v>
      </c>
      <c r="AD822" s="49" t="str">
        <f ca="1">IFERROR(__xludf.DUMMYFUNCTION("""COMPUTED_VALUE"""),"KSPS(50%)")</f>
        <v>KSPS(50%)</v>
      </c>
      <c r="AE822" s="27"/>
    </row>
    <row r="823" spans="1:31" ht="14.3">
      <c r="A823" s="42" t="str">
        <f ca="1">IFERROR(__xludf.DUMMYFUNCTION("""COMPUTED_VALUE"""),"21SDSME01012")</f>
        <v>21SDSME01012</v>
      </c>
      <c r="B823" s="43" t="str">
        <f ca="1">IFERROR(__xludf.DUMMYFUNCTION("""COMPUTED_VALUE"""),"DONGA DEV RAJESHBHAI")</f>
        <v>DONGA DEV RAJESHBHAI</v>
      </c>
      <c r="C823" s="42" t="str">
        <f ca="1">IFERROR(__xludf.DUMMYFUNCTION("""COMPUTED_VALUE"""),"SDS")</f>
        <v>SDS</v>
      </c>
      <c r="D823" s="42" t="str">
        <f ca="1">IFERROR(__xludf.DUMMYFUNCTION("""COMPUTED_VALUE"""),"DME")</f>
        <v>DME</v>
      </c>
      <c r="E823" s="44">
        <f ca="1">IFERROR(__xludf.DUMMYFUNCTION("""COMPUTED_VALUE"""),6)</f>
        <v>6</v>
      </c>
      <c r="F823" s="42" t="str">
        <f ca="1">IFERROR(__xludf.DUMMYFUNCTION("""COMPUTED_VALUE"""),"9106168444 9924567937")</f>
        <v>9106168444 9924567937</v>
      </c>
      <c r="G823" s="42" t="str">
        <f ca="1">IFERROR(__xludf.DUMMYFUNCTION("""COMPUTED_VALUE"""),"9106168444 9924567937")</f>
        <v>9106168444 9924567937</v>
      </c>
      <c r="H823" s="2" t="str">
        <f ca="1">IFERROR(__xludf.DUMMYFUNCTION("""COMPUTED_VALUE"""),"DME_2021-24")</f>
        <v>DME_2021-24</v>
      </c>
      <c r="I823" s="45"/>
      <c r="J823" s="46">
        <f ca="1">IFERROR(__xludf.DUMMYFUNCTION("""COMPUTED_VALUE"""),25000)</f>
        <v>25000</v>
      </c>
      <c r="K823" s="46">
        <f ca="1">IFERROR(__xludf.DUMMYFUNCTION("""COMPUTED_VALUE"""),25000)</f>
        <v>25000</v>
      </c>
      <c r="L823" s="46">
        <f ca="1">IFERROR(__xludf.DUMMYFUNCTION("""COMPUTED_VALUE"""),0)</f>
        <v>0</v>
      </c>
      <c r="M823" s="47">
        <f ca="1">IFERROR(__xludf.DUMMYFUNCTION("""COMPUTED_VALUE"""),0)</f>
        <v>0</v>
      </c>
      <c r="N823" s="46">
        <f ca="1">IFERROR(__xludf.DUMMYFUNCTION("""COMPUTED_VALUE"""),0)</f>
        <v>0</v>
      </c>
      <c r="O823" s="46">
        <f ca="1">IFERROR(__xludf.DUMMYFUNCTION("""COMPUTED_VALUE"""),3750)</f>
        <v>3750</v>
      </c>
      <c r="P823" s="46">
        <f ca="1">IFERROR(__xludf.DUMMYFUNCTION("""COMPUTED_VALUE"""),3750)</f>
        <v>3750</v>
      </c>
      <c r="Q823" s="47">
        <f ca="1">IFERROR(__xludf.DUMMYFUNCTION("""COMPUTED_VALUE"""),0)</f>
        <v>0</v>
      </c>
      <c r="R823" s="24">
        <f ca="1">IFERROR(__xludf.DUMMYFUNCTION("""COMPUTED_VALUE"""),0)</f>
        <v>0</v>
      </c>
      <c r="S823" s="23">
        <f ca="1">IFERROR(__xludf.DUMMYFUNCTION("""COMPUTED_VALUE"""),0)</f>
        <v>0</v>
      </c>
      <c r="T823" s="48">
        <f ca="1">IFERROR(__xludf.DUMMYFUNCTION("""COMPUTED_VALUE"""),0)</f>
        <v>0</v>
      </c>
      <c r="U823" s="47">
        <f ca="1">IFERROR(__xludf.DUMMYFUNCTION("""COMPUTED_VALUE"""),0)</f>
        <v>0</v>
      </c>
      <c r="V823" s="47">
        <f ca="1">IFERROR(__xludf.DUMMYFUNCTION("""COMPUTED_VALUE"""),0)</f>
        <v>0</v>
      </c>
      <c r="W823" s="47">
        <f ca="1">IFERROR(__xludf.DUMMYFUNCTION("""COMPUTED_VALUE"""),0)</f>
        <v>0</v>
      </c>
      <c r="X823" s="47">
        <f ca="1">IFERROR(__xludf.DUMMYFUNCTION("""COMPUTED_VALUE"""),0)</f>
        <v>0</v>
      </c>
      <c r="Y823" s="44">
        <f ca="1">IFERROR(__xludf.DUMMYFUNCTION("""COMPUTED_VALUE"""),0)</f>
        <v>0</v>
      </c>
      <c r="Z823" s="44">
        <f ca="1">IFERROR(__xludf.DUMMYFUNCTION("""COMPUTED_VALUE"""),0)</f>
        <v>0</v>
      </c>
      <c r="AA823" s="44">
        <f ca="1">IFERROR(__xludf.DUMMYFUNCTION("""COMPUTED_VALUE"""),0)</f>
        <v>0</v>
      </c>
      <c r="AB823" s="44">
        <f ca="1">IFERROR(__xludf.DUMMYFUNCTION("""COMPUTED_VALUE"""),0)</f>
        <v>0</v>
      </c>
      <c r="AC823" s="47">
        <f ca="1">IFERROR(__xludf.DUMMYFUNCTION("""COMPUTED_VALUE"""),0)</f>
        <v>0</v>
      </c>
      <c r="AD823" s="49"/>
      <c r="AE823" s="27"/>
    </row>
    <row r="824" spans="1:31" ht="14.3">
      <c r="A824" s="42" t="str">
        <f ca="1">IFERROR(__xludf.DUMMYFUNCTION("""COMPUTED_VALUE"""),"21SDSME01024")</f>
        <v>21SDSME01024</v>
      </c>
      <c r="B824" s="43" t="str">
        <f ca="1">IFERROR(__xludf.DUMMYFUNCTION("""COMPUTED_VALUE"""),"MUNGAPARA PRINCE MAHENDRABHAI")</f>
        <v>MUNGAPARA PRINCE MAHENDRABHAI</v>
      </c>
      <c r="C824" s="42" t="str">
        <f ca="1">IFERROR(__xludf.DUMMYFUNCTION("""COMPUTED_VALUE"""),"SDS")</f>
        <v>SDS</v>
      </c>
      <c r="D824" s="42" t="str">
        <f ca="1">IFERROR(__xludf.DUMMYFUNCTION("""COMPUTED_VALUE"""),"DME")</f>
        <v>DME</v>
      </c>
      <c r="E824" s="44">
        <f ca="1">IFERROR(__xludf.DUMMYFUNCTION("""COMPUTED_VALUE"""),6)</f>
        <v>6</v>
      </c>
      <c r="F824" s="42" t="str">
        <f ca="1">IFERROR(__xludf.DUMMYFUNCTION("""COMPUTED_VALUE"""),"9067418958 9925609680")</f>
        <v>9067418958 9925609680</v>
      </c>
      <c r="G824" s="42" t="str">
        <f ca="1">IFERROR(__xludf.DUMMYFUNCTION("""COMPUTED_VALUE"""),"9067418958 9925609680")</f>
        <v>9067418958 9925609680</v>
      </c>
      <c r="H824" s="2" t="str">
        <f ca="1">IFERROR(__xludf.DUMMYFUNCTION("""COMPUTED_VALUE"""),"DME_2021-24")</f>
        <v>DME_2021-24</v>
      </c>
      <c r="I824" s="45" t="str">
        <f ca="1">IFERROR(__xludf.DUMMYFUNCTION("""COMPUTED_VALUE"""),"MYSY")</f>
        <v>MYSY</v>
      </c>
      <c r="J824" s="46">
        <f ca="1">IFERROR(__xludf.DUMMYFUNCTION("""COMPUTED_VALUE"""),25000)</f>
        <v>25000</v>
      </c>
      <c r="K824" s="46">
        <f ca="1">IFERROR(__xludf.DUMMYFUNCTION("""COMPUTED_VALUE"""),0)</f>
        <v>0</v>
      </c>
      <c r="L824" s="46">
        <f ca="1">IFERROR(__xludf.DUMMYFUNCTION("""COMPUTED_VALUE"""),0)</f>
        <v>0</v>
      </c>
      <c r="M824" s="47">
        <f ca="1">IFERROR(__xludf.DUMMYFUNCTION("""COMPUTED_VALUE"""),0)</f>
        <v>0</v>
      </c>
      <c r="N824" s="46">
        <f ca="1">IFERROR(__xludf.DUMMYFUNCTION("""COMPUTED_VALUE"""),25000)</f>
        <v>25000</v>
      </c>
      <c r="O824" s="46">
        <f ca="1">IFERROR(__xludf.DUMMYFUNCTION("""COMPUTED_VALUE"""),3750)</f>
        <v>3750</v>
      </c>
      <c r="P824" s="46">
        <f ca="1">IFERROR(__xludf.DUMMYFUNCTION("""COMPUTED_VALUE"""),3750)</f>
        <v>3750</v>
      </c>
      <c r="Q824" s="47">
        <f ca="1">IFERROR(__xludf.DUMMYFUNCTION("""COMPUTED_VALUE"""),0)</f>
        <v>0</v>
      </c>
      <c r="R824" s="24">
        <f ca="1">IFERROR(__xludf.DUMMYFUNCTION("""COMPUTED_VALUE"""),0)</f>
        <v>0</v>
      </c>
      <c r="S824" s="23">
        <f ca="1">IFERROR(__xludf.DUMMYFUNCTION("""COMPUTED_VALUE"""),0)</f>
        <v>0</v>
      </c>
      <c r="T824" s="48">
        <f ca="1">IFERROR(__xludf.DUMMYFUNCTION("""COMPUTED_VALUE"""),0)</f>
        <v>0</v>
      </c>
      <c r="U824" s="47">
        <f ca="1">IFERROR(__xludf.DUMMYFUNCTION("""COMPUTED_VALUE"""),0)</f>
        <v>0</v>
      </c>
      <c r="V824" s="47">
        <f ca="1">IFERROR(__xludf.DUMMYFUNCTION("""COMPUTED_VALUE"""),0)</f>
        <v>0</v>
      </c>
      <c r="W824" s="47">
        <f ca="1">IFERROR(__xludf.DUMMYFUNCTION("""COMPUTED_VALUE"""),0)</f>
        <v>0</v>
      </c>
      <c r="X824" s="47">
        <f ca="1">IFERROR(__xludf.DUMMYFUNCTION("""COMPUTED_VALUE"""),0)</f>
        <v>0</v>
      </c>
      <c r="Y824" s="44">
        <f ca="1">IFERROR(__xludf.DUMMYFUNCTION("""COMPUTED_VALUE"""),0)</f>
        <v>0</v>
      </c>
      <c r="Z824" s="44">
        <f ca="1">IFERROR(__xludf.DUMMYFUNCTION("""COMPUTED_VALUE"""),0)</f>
        <v>0</v>
      </c>
      <c r="AA824" s="44">
        <f ca="1">IFERROR(__xludf.DUMMYFUNCTION("""COMPUTED_VALUE"""),0)</f>
        <v>0</v>
      </c>
      <c r="AB824" s="44">
        <f ca="1">IFERROR(__xludf.DUMMYFUNCTION("""COMPUTED_VALUE"""),0)</f>
        <v>0</v>
      </c>
      <c r="AC824" s="47">
        <f ca="1">IFERROR(__xludf.DUMMYFUNCTION("""COMPUTED_VALUE"""),0)</f>
        <v>0</v>
      </c>
      <c r="AD824" s="49" t="str">
        <f ca="1">IFERROR(__xludf.DUMMYFUNCTION("""COMPUTED_VALUE"""),"MYSY(50%) + KSPS(50%)")</f>
        <v>MYSY(50%) + KSPS(50%)</v>
      </c>
      <c r="AE824" s="27"/>
    </row>
    <row r="825" spans="1:31" ht="14.3">
      <c r="A825" s="42" t="str">
        <f ca="1">IFERROR(__xludf.DUMMYFUNCTION("""COMPUTED_VALUE"""),"21SDSME01025")</f>
        <v>21SDSME01025</v>
      </c>
      <c r="B825" s="43" t="str">
        <f ca="1">IFERROR(__xludf.DUMMYFUNCTION("""COMPUTED_VALUE"""),"PAMBHAR BRIJ RAJESHBHAI")</f>
        <v>PAMBHAR BRIJ RAJESHBHAI</v>
      </c>
      <c r="C825" s="42" t="str">
        <f ca="1">IFERROR(__xludf.DUMMYFUNCTION("""COMPUTED_VALUE"""),"SDS")</f>
        <v>SDS</v>
      </c>
      <c r="D825" s="42" t="str">
        <f ca="1">IFERROR(__xludf.DUMMYFUNCTION("""COMPUTED_VALUE"""),"DME")</f>
        <v>DME</v>
      </c>
      <c r="E825" s="44">
        <f ca="1">IFERROR(__xludf.DUMMYFUNCTION("""COMPUTED_VALUE"""),6)</f>
        <v>6</v>
      </c>
      <c r="F825" s="42" t="str">
        <f ca="1">IFERROR(__xludf.DUMMYFUNCTION("""COMPUTED_VALUE"""),"9328381409 9909093941")</f>
        <v>9328381409 9909093941</v>
      </c>
      <c r="G825" s="42" t="str">
        <f ca="1">IFERROR(__xludf.DUMMYFUNCTION("""COMPUTED_VALUE"""),"9328381409 9909093941")</f>
        <v>9328381409 9909093941</v>
      </c>
      <c r="H825" s="2" t="str">
        <f ca="1">IFERROR(__xludf.DUMMYFUNCTION("""COMPUTED_VALUE"""),"DME_2021-24")</f>
        <v>DME_2021-24</v>
      </c>
      <c r="I825" s="45" t="str">
        <f ca="1">IFERROR(__xludf.DUMMYFUNCTION("""COMPUTED_VALUE"""),"MYSY")</f>
        <v>MYSY</v>
      </c>
      <c r="J825" s="46">
        <f ca="1">IFERROR(__xludf.DUMMYFUNCTION("""COMPUTED_VALUE"""),25000)</f>
        <v>25000</v>
      </c>
      <c r="K825" s="46">
        <f ca="1">IFERROR(__xludf.DUMMYFUNCTION("""COMPUTED_VALUE"""),0)</f>
        <v>0</v>
      </c>
      <c r="L825" s="46">
        <f ca="1">IFERROR(__xludf.DUMMYFUNCTION("""COMPUTED_VALUE"""),0)</f>
        <v>0</v>
      </c>
      <c r="M825" s="47">
        <f ca="1">IFERROR(__xludf.DUMMYFUNCTION("""COMPUTED_VALUE"""),0)</f>
        <v>0</v>
      </c>
      <c r="N825" s="46">
        <f ca="1">IFERROR(__xludf.DUMMYFUNCTION("""COMPUTED_VALUE"""),25000)</f>
        <v>25000</v>
      </c>
      <c r="O825" s="46">
        <f ca="1">IFERROR(__xludf.DUMMYFUNCTION("""COMPUTED_VALUE"""),3750)</f>
        <v>3750</v>
      </c>
      <c r="P825" s="46">
        <f ca="1">IFERROR(__xludf.DUMMYFUNCTION("""COMPUTED_VALUE"""),3750)</f>
        <v>3750</v>
      </c>
      <c r="Q825" s="47">
        <f ca="1">IFERROR(__xludf.DUMMYFUNCTION("""COMPUTED_VALUE"""),0)</f>
        <v>0</v>
      </c>
      <c r="R825" s="24">
        <f ca="1">IFERROR(__xludf.DUMMYFUNCTION("""COMPUTED_VALUE"""),0)</f>
        <v>0</v>
      </c>
      <c r="S825" s="23">
        <f ca="1">IFERROR(__xludf.DUMMYFUNCTION("""COMPUTED_VALUE"""),0)</f>
        <v>0</v>
      </c>
      <c r="T825" s="48">
        <f ca="1">IFERROR(__xludf.DUMMYFUNCTION("""COMPUTED_VALUE"""),0)</f>
        <v>0</v>
      </c>
      <c r="U825" s="47">
        <f ca="1">IFERROR(__xludf.DUMMYFUNCTION("""COMPUTED_VALUE"""),0)</f>
        <v>0</v>
      </c>
      <c r="V825" s="47">
        <f ca="1">IFERROR(__xludf.DUMMYFUNCTION("""COMPUTED_VALUE"""),0)</f>
        <v>0</v>
      </c>
      <c r="W825" s="47">
        <f ca="1">IFERROR(__xludf.DUMMYFUNCTION("""COMPUTED_VALUE"""),0)</f>
        <v>0</v>
      </c>
      <c r="X825" s="47">
        <f ca="1">IFERROR(__xludf.DUMMYFUNCTION("""COMPUTED_VALUE"""),0)</f>
        <v>0</v>
      </c>
      <c r="Y825" s="44">
        <f ca="1">IFERROR(__xludf.DUMMYFUNCTION("""COMPUTED_VALUE"""),0)</f>
        <v>0</v>
      </c>
      <c r="Z825" s="44">
        <f ca="1">IFERROR(__xludf.DUMMYFUNCTION("""COMPUTED_VALUE"""),0)</f>
        <v>0</v>
      </c>
      <c r="AA825" s="44">
        <f ca="1">IFERROR(__xludf.DUMMYFUNCTION("""COMPUTED_VALUE"""),0)</f>
        <v>0</v>
      </c>
      <c r="AB825" s="44">
        <f ca="1">IFERROR(__xludf.DUMMYFUNCTION("""COMPUTED_VALUE"""),0)</f>
        <v>0</v>
      </c>
      <c r="AC825" s="47">
        <f ca="1">IFERROR(__xludf.DUMMYFUNCTION("""COMPUTED_VALUE"""),0)</f>
        <v>0</v>
      </c>
      <c r="AD825" s="49" t="str">
        <f ca="1">IFERROR(__xludf.DUMMYFUNCTION("""COMPUTED_VALUE"""),"MYSY(50%) + KSPS(50%)")</f>
        <v>MYSY(50%) + KSPS(50%)</v>
      </c>
      <c r="AE825" s="27"/>
    </row>
    <row r="826" spans="1:31" ht="14.3">
      <c r="A826" s="42" t="str">
        <f ca="1">IFERROR(__xludf.DUMMYFUNCTION("""COMPUTED_VALUE"""),"21SDSME01027")</f>
        <v>21SDSME01027</v>
      </c>
      <c r="B826" s="43" t="str">
        <f ca="1">IFERROR(__xludf.DUMMYFUNCTION("""COMPUTED_VALUE"""),"RADADIYA VIVEK MANSHUKHBHAI")</f>
        <v>RADADIYA VIVEK MANSHUKHBHAI</v>
      </c>
      <c r="C826" s="42" t="str">
        <f ca="1">IFERROR(__xludf.DUMMYFUNCTION("""COMPUTED_VALUE"""),"SDS")</f>
        <v>SDS</v>
      </c>
      <c r="D826" s="42" t="str">
        <f ca="1">IFERROR(__xludf.DUMMYFUNCTION("""COMPUTED_VALUE"""),"DME")</f>
        <v>DME</v>
      </c>
      <c r="E826" s="44">
        <f ca="1">IFERROR(__xludf.DUMMYFUNCTION("""COMPUTED_VALUE"""),6)</f>
        <v>6</v>
      </c>
      <c r="F826" s="42" t="str">
        <f ca="1">IFERROR(__xludf.DUMMYFUNCTION("""COMPUTED_VALUE"""),"9664681724 9106685880")</f>
        <v>9664681724 9106685880</v>
      </c>
      <c r="G826" s="42" t="str">
        <f ca="1">IFERROR(__xludf.DUMMYFUNCTION("""COMPUTED_VALUE"""),"9664681724 9106685880")</f>
        <v>9664681724 9106685880</v>
      </c>
      <c r="H826" s="2" t="str">
        <f ca="1">IFERROR(__xludf.DUMMYFUNCTION("""COMPUTED_VALUE"""),"DME_2021-24")</f>
        <v>DME_2021-24</v>
      </c>
      <c r="I826" s="45" t="str">
        <f ca="1">IFERROR(__xludf.DUMMYFUNCTION("""COMPUTED_VALUE"""),"MYSY")</f>
        <v>MYSY</v>
      </c>
      <c r="J826" s="46">
        <f ca="1">IFERROR(__xludf.DUMMYFUNCTION("""COMPUTED_VALUE"""),25000)</f>
        <v>25000</v>
      </c>
      <c r="K826" s="46">
        <f ca="1">IFERROR(__xludf.DUMMYFUNCTION("""COMPUTED_VALUE"""),25000)</f>
        <v>25000</v>
      </c>
      <c r="L826" s="46">
        <f ca="1">IFERROR(__xludf.DUMMYFUNCTION("""COMPUTED_VALUE"""),0)</f>
        <v>0</v>
      </c>
      <c r="M826" s="47">
        <f ca="1">IFERROR(__xludf.DUMMYFUNCTION("""COMPUTED_VALUE"""),0)</f>
        <v>0</v>
      </c>
      <c r="N826" s="46">
        <f ca="1">IFERROR(__xludf.DUMMYFUNCTION("""COMPUTED_VALUE"""),0)</f>
        <v>0</v>
      </c>
      <c r="O826" s="46">
        <f ca="1">IFERROR(__xludf.DUMMYFUNCTION("""COMPUTED_VALUE"""),3750)</f>
        <v>3750</v>
      </c>
      <c r="P826" s="46">
        <f ca="1">IFERROR(__xludf.DUMMYFUNCTION("""COMPUTED_VALUE"""),3750)</f>
        <v>3750</v>
      </c>
      <c r="Q826" s="47">
        <f ca="1">IFERROR(__xludf.DUMMYFUNCTION("""COMPUTED_VALUE"""),0)</f>
        <v>0</v>
      </c>
      <c r="R826" s="24">
        <f ca="1">IFERROR(__xludf.DUMMYFUNCTION("""COMPUTED_VALUE"""),0)</f>
        <v>0</v>
      </c>
      <c r="S826" s="23">
        <f ca="1">IFERROR(__xludf.DUMMYFUNCTION("""COMPUTED_VALUE"""),0)</f>
        <v>0</v>
      </c>
      <c r="T826" s="48">
        <f ca="1">IFERROR(__xludf.DUMMYFUNCTION("""COMPUTED_VALUE"""),0)</f>
        <v>0</v>
      </c>
      <c r="U826" s="47">
        <f ca="1">IFERROR(__xludf.DUMMYFUNCTION("""COMPUTED_VALUE"""),0)</f>
        <v>0</v>
      </c>
      <c r="V826" s="47">
        <f ca="1">IFERROR(__xludf.DUMMYFUNCTION("""COMPUTED_VALUE"""),0)</f>
        <v>0</v>
      </c>
      <c r="W826" s="47">
        <f ca="1">IFERROR(__xludf.DUMMYFUNCTION("""COMPUTED_VALUE"""),0)</f>
        <v>0</v>
      </c>
      <c r="X826" s="47">
        <f ca="1">IFERROR(__xludf.DUMMYFUNCTION("""COMPUTED_VALUE"""),0)</f>
        <v>0</v>
      </c>
      <c r="Y826" s="44">
        <f ca="1">IFERROR(__xludf.DUMMYFUNCTION("""COMPUTED_VALUE"""),0)</f>
        <v>0</v>
      </c>
      <c r="Z826" s="44">
        <f ca="1">IFERROR(__xludf.DUMMYFUNCTION("""COMPUTED_VALUE"""),0)</f>
        <v>0</v>
      </c>
      <c r="AA826" s="44">
        <f ca="1">IFERROR(__xludf.DUMMYFUNCTION("""COMPUTED_VALUE"""),0)</f>
        <v>0</v>
      </c>
      <c r="AB826" s="44">
        <f ca="1">IFERROR(__xludf.DUMMYFUNCTION("""COMPUTED_VALUE"""),0)</f>
        <v>0</v>
      </c>
      <c r="AC826" s="47">
        <f ca="1">IFERROR(__xludf.DUMMYFUNCTION("""COMPUTED_VALUE"""),0)</f>
        <v>0</v>
      </c>
      <c r="AD826" s="49" t="str">
        <f ca="1">IFERROR(__xludf.DUMMYFUNCTION("""COMPUTED_VALUE"""),"MYSY(50%) + KSPS(50%)")</f>
        <v>MYSY(50%) + KSPS(50%)</v>
      </c>
      <c r="AE826" s="27"/>
    </row>
    <row r="827" spans="1:31" ht="23.1">
      <c r="A827" s="42" t="str">
        <f ca="1">IFERROR(__xludf.DUMMYFUNCTION("""COMPUTED_VALUE"""),"21SDSME01029")</f>
        <v>21SDSME01029</v>
      </c>
      <c r="B827" s="43" t="str">
        <f ca="1">IFERROR(__xludf.DUMMYFUNCTION("""COMPUTED_VALUE"""),"RATHOD AMAN ASHWINBHAI")</f>
        <v>RATHOD AMAN ASHWINBHAI</v>
      </c>
      <c r="C827" s="42" t="str">
        <f ca="1">IFERROR(__xludf.DUMMYFUNCTION("""COMPUTED_VALUE"""),"SDS")</f>
        <v>SDS</v>
      </c>
      <c r="D827" s="42" t="str">
        <f ca="1">IFERROR(__xludf.DUMMYFUNCTION("""COMPUTED_VALUE"""),"DME")</f>
        <v>DME</v>
      </c>
      <c r="E827" s="44">
        <f ca="1">IFERROR(__xludf.DUMMYFUNCTION("""COMPUTED_VALUE"""),6)</f>
        <v>6</v>
      </c>
      <c r="F827" s="42" t="str">
        <f ca="1">IFERROR(__xludf.DUMMYFUNCTION("""COMPUTED_VALUE"""),"9904021717 9924411717")</f>
        <v>9904021717 9924411717</v>
      </c>
      <c r="G827" s="42" t="str">
        <f ca="1">IFERROR(__xludf.DUMMYFUNCTION("""COMPUTED_VALUE"""),"9904021717 9924411717")</f>
        <v>9904021717 9924411717</v>
      </c>
      <c r="H827" s="2" t="str">
        <f ca="1">IFERROR(__xludf.DUMMYFUNCTION("""COMPUTED_VALUE"""),"DME_2021-24")</f>
        <v>DME_2021-24</v>
      </c>
      <c r="I827" s="45" t="str">
        <f ca="1">IFERROR(__xludf.DUMMYFUNCTION("""COMPUTED_VALUE"""),"KSP")</f>
        <v>KSP</v>
      </c>
      <c r="J827" s="46">
        <f ca="1">IFERROR(__xludf.DUMMYFUNCTION("""COMPUTED_VALUE"""),25000)</f>
        <v>25000</v>
      </c>
      <c r="K827" s="46">
        <f ca="1">IFERROR(__xludf.DUMMYFUNCTION("""COMPUTED_VALUE"""),12500)</f>
        <v>12500</v>
      </c>
      <c r="L827" s="46">
        <f ca="1">IFERROR(__xludf.DUMMYFUNCTION("""COMPUTED_VALUE"""),0)</f>
        <v>0</v>
      </c>
      <c r="M827" s="47">
        <f ca="1">IFERROR(__xludf.DUMMYFUNCTION("""COMPUTED_VALUE"""),12500)</f>
        <v>12500</v>
      </c>
      <c r="N827" s="46">
        <f ca="1">IFERROR(__xludf.DUMMYFUNCTION("""COMPUTED_VALUE"""),0)</f>
        <v>0</v>
      </c>
      <c r="O827" s="46">
        <f ca="1">IFERROR(__xludf.DUMMYFUNCTION("""COMPUTED_VALUE"""),3750)</f>
        <v>3750</v>
      </c>
      <c r="P827" s="46">
        <f ca="1">IFERROR(__xludf.DUMMYFUNCTION("""COMPUTED_VALUE"""),3750)</f>
        <v>3750</v>
      </c>
      <c r="Q827" s="47">
        <f ca="1">IFERROR(__xludf.DUMMYFUNCTION("""COMPUTED_VALUE"""),0)</f>
        <v>0</v>
      </c>
      <c r="R827" s="24">
        <f ca="1">IFERROR(__xludf.DUMMYFUNCTION("""COMPUTED_VALUE"""),0)</f>
        <v>0</v>
      </c>
      <c r="S827" s="23">
        <f ca="1">IFERROR(__xludf.DUMMYFUNCTION("""COMPUTED_VALUE"""),0)</f>
        <v>0</v>
      </c>
      <c r="T827" s="48">
        <f ca="1">IFERROR(__xludf.DUMMYFUNCTION("""COMPUTED_VALUE"""),0)</f>
        <v>0</v>
      </c>
      <c r="U827" s="47">
        <f ca="1">IFERROR(__xludf.DUMMYFUNCTION("""COMPUTED_VALUE"""),0)</f>
        <v>0</v>
      </c>
      <c r="V827" s="47">
        <f ca="1">IFERROR(__xludf.DUMMYFUNCTION("""COMPUTED_VALUE"""),0)</f>
        <v>0</v>
      </c>
      <c r="W827" s="47">
        <f ca="1">IFERROR(__xludf.DUMMYFUNCTION("""COMPUTED_VALUE"""),0)</f>
        <v>0</v>
      </c>
      <c r="X827" s="47">
        <f ca="1">IFERROR(__xludf.DUMMYFUNCTION("""COMPUTED_VALUE"""),0)</f>
        <v>0</v>
      </c>
      <c r="Y827" s="44">
        <f ca="1">IFERROR(__xludf.DUMMYFUNCTION("""COMPUTED_VALUE"""),0)</f>
        <v>0</v>
      </c>
      <c r="Z827" s="44">
        <f ca="1">IFERROR(__xludf.DUMMYFUNCTION("""COMPUTED_VALUE"""),0)</f>
        <v>0</v>
      </c>
      <c r="AA827" s="44">
        <f ca="1">IFERROR(__xludf.DUMMYFUNCTION("""COMPUTED_VALUE"""),0)</f>
        <v>0</v>
      </c>
      <c r="AB827" s="44">
        <f ca="1">IFERROR(__xludf.DUMMYFUNCTION("""COMPUTED_VALUE"""),0)</f>
        <v>0</v>
      </c>
      <c r="AC827" s="47">
        <f ca="1">IFERROR(__xludf.DUMMYFUNCTION("""COMPUTED_VALUE"""),0)</f>
        <v>0</v>
      </c>
      <c r="AD827" s="49" t="str">
        <f ca="1">IFERROR(__xludf.DUMMYFUNCTION("""COMPUTED_VALUE"""),"RS 12500 PER SEM SCHOLARSHIP")</f>
        <v>RS 12500 PER SEM SCHOLARSHIP</v>
      </c>
      <c r="AE827" s="27"/>
    </row>
    <row r="828" spans="1:31" ht="14.3">
      <c r="A828" s="42" t="str">
        <f ca="1">IFERROR(__xludf.DUMMYFUNCTION("""COMPUTED_VALUE"""),"22SDSME03601")</f>
        <v>22SDSME03601</v>
      </c>
      <c r="B828" s="43" t="str">
        <f ca="1">IFERROR(__xludf.DUMMYFUNCTION("""COMPUTED_VALUE"""),"HEM BHADHUR MONGAR")</f>
        <v>HEM BHADHUR MONGAR</v>
      </c>
      <c r="C828" s="42" t="str">
        <f ca="1">IFERROR(__xludf.DUMMYFUNCTION("""COMPUTED_VALUE"""),"SDS")</f>
        <v>SDS</v>
      </c>
      <c r="D828" s="42" t="str">
        <f ca="1">IFERROR(__xludf.DUMMYFUNCTION("""COMPUTED_VALUE"""),"DME")</f>
        <v>DME</v>
      </c>
      <c r="E828" s="44">
        <f ca="1">IFERROR(__xludf.DUMMYFUNCTION("""COMPUTED_VALUE"""),6)</f>
        <v>6</v>
      </c>
      <c r="F828" s="42" t="str">
        <f ca="1">IFERROR(__xludf.DUMMYFUNCTION("""COMPUTED_VALUE"""),"INTERNATIONAL")</f>
        <v>INTERNATIONAL</v>
      </c>
      <c r="G828" s="42" t="str">
        <f ca="1">IFERROR(__xludf.DUMMYFUNCTION("""COMPUTED_VALUE"""),"INR FEE STUDENT")</f>
        <v>INR FEE STUDENT</v>
      </c>
      <c r="H828" s="2" t="str">
        <f ca="1">IFERROR(__xludf.DUMMYFUNCTION("""COMPUTED_VALUE"""),"DCE_2022-23")</f>
        <v>DCE_2022-23</v>
      </c>
      <c r="I828" s="45"/>
      <c r="J828" s="46">
        <f ca="1">IFERROR(__xludf.DUMMYFUNCTION("""COMPUTED_VALUE"""),37500)</f>
        <v>37500</v>
      </c>
      <c r="K828" s="46">
        <f ca="1">IFERROR(__xludf.DUMMYFUNCTION("""COMPUTED_VALUE"""),37500)</f>
        <v>37500</v>
      </c>
      <c r="L828" s="46">
        <f ca="1">IFERROR(__xludf.DUMMYFUNCTION("""COMPUTED_VALUE"""),0)</f>
        <v>0</v>
      </c>
      <c r="M828" s="47">
        <f ca="1">IFERROR(__xludf.DUMMYFUNCTION("""COMPUTED_VALUE"""),0)</f>
        <v>0</v>
      </c>
      <c r="N828" s="46">
        <f ca="1">IFERROR(__xludf.DUMMYFUNCTION("""COMPUTED_VALUE"""),0)</f>
        <v>0</v>
      </c>
      <c r="O828" s="46">
        <f ca="1">IFERROR(__xludf.DUMMYFUNCTION("""COMPUTED_VALUE"""),1250)</f>
        <v>1250</v>
      </c>
      <c r="P828" s="46">
        <f ca="1">IFERROR(__xludf.DUMMYFUNCTION("""COMPUTED_VALUE"""),0)</f>
        <v>0</v>
      </c>
      <c r="Q828" s="47">
        <f ca="1">IFERROR(__xludf.DUMMYFUNCTION("""COMPUTED_VALUE"""),0)</f>
        <v>0</v>
      </c>
      <c r="R828" s="24">
        <f ca="1">IFERROR(__xludf.DUMMYFUNCTION("""COMPUTED_VALUE"""),0)</f>
        <v>0</v>
      </c>
      <c r="S828" s="23">
        <f ca="1">IFERROR(__xludf.DUMMYFUNCTION("""COMPUTED_VALUE"""),1250)</f>
        <v>1250</v>
      </c>
      <c r="T828" s="48">
        <f ca="1">IFERROR(__xludf.DUMMYFUNCTION("""COMPUTED_VALUE"""),0)</f>
        <v>0</v>
      </c>
      <c r="U828" s="47">
        <f ca="1">IFERROR(__xludf.DUMMYFUNCTION("""COMPUTED_VALUE"""),0)</f>
        <v>0</v>
      </c>
      <c r="V828" s="47">
        <f ca="1">IFERROR(__xludf.DUMMYFUNCTION("""COMPUTED_VALUE"""),0)</f>
        <v>0</v>
      </c>
      <c r="W828" s="47">
        <f ca="1">IFERROR(__xludf.DUMMYFUNCTION("""COMPUTED_VALUE"""),0)</f>
        <v>0</v>
      </c>
      <c r="X828" s="47">
        <f ca="1">IFERROR(__xludf.DUMMYFUNCTION("""COMPUTED_VALUE"""),0)</f>
        <v>0</v>
      </c>
      <c r="Y828" s="44">
        <f ca="1">IFERROR(__xludf.DUMMYFUNCTION("""COMPUTED_VALUE"""),0)</f>
        <v>0</v>
      </c>
      <c r="Z828" s="44">
        <f ca="1">IFERROR(__xludf.DUMMYFUNCTION("""COMPUTED_VALUE"""),0)</f>
        <v>0</v>
      </c>
      <c r="AA828" s="44">
        <f ca="1">IFERROR(__xludf.DUMMYFUNCTION("""COMPUTED_VALUE"""),0)</f>
        <v>0</v>
      </c>
      <c r="AB828" s="44">
        <f ca="1">IFERROR(__xludf.DUMMYFUNCTION("""COMPUTED_VALUE"""),0)</f>
        <v>0</v>
      </c>
      <c r="AC828" s="47">
        <f ca="1">IFERROR(__xludf.DUMMYFUNCTION("""COMPUTED_VALUE"""),0)</f>
        <v>0</v>
      </c>
      <c r="AD828" s="49"/>
      <c r="AE828" s="27"/>
    </row>
    <row r="829" spans="1:31" ht="14.3">
      <c r="A829" s="42" t="str">
        <f ca="1">IFERROR(__xludf.DUMMYFUNCTION("""COMPUTED_VALUE"""),"21SDSME01019")</f>
        <v>21SDSME01019</v>
      </c>
      <c r="B829" s="43" t="str">
        <f ca="1">IFERROR(__xludf.DUMMYFUNCTION("""COMPUTED_VALUE"""),"KAPURIYA KEVIN")</f>
        <v>KAPURIYA KEVIN</v>
      </c>
      <c r="C829" s="42" t="str">
        <f ca="1">IFERROR(__xludf.DUMMYFUNCTION("""COMPUTED_VALUE"""),"SDS")</f>
        <v>SDS</v>
      </c>
      <c r="D829" s="42" t="str">
        <f ca="1">IFERROR(__xludf.DUMMYFUNCTION("""COMPUTED_VALUE"""),"DME")</f>
        <v>DME</v>
      </c>
      <c r="E829" s="44">
        <f ca="1">IFERROR(__xludf.DUMMYFUNCTION("""COMPUTED_VALUE"""),6)</f>
        <v>6</v>
      </c>
      <c r="F829" s="42" t="str">
        <f ca="1">IFERROR(__xludf.DUMMYFUNCTION("""COMPUTED_VALUE"""),"9016629904
9824457054")</f>
        <v>9016629904
9824457054</v>
      </c>
      <c r="G829" s="42" t="str">
        <f ca="1">IFERROR(__xludf.DUMMYFUNCTION("""COMPUTED_VALUE"""),"9016629904
9824457054")</f>
        <v>9016629904
9824457054</v>
      </c>
      <c r="H829" s="2" t="str">
        <f ca="1">IFERROR(__xludf.DUMMYFUNCTION("""COMPUTED_VALUE"""),"DME_2021-24")</f>
        <v>DME_2021-24</v>
      </c>
      <c r="I829" s="45"/>
      <c r="J829" s="46">
        <f ca="1">IFERROR(__xludf.DUMMYFUNCTION("""COMPUTED_VALUE"""),25000)</f>
        <v>25000</v>
      </c>
      <c r="K829" s="46">
        <f ca="1">IFERROR(__xludf.DUMMYFUNCTION("""COMPUTED_VALUE"""),25000)</f>
        <v>25000</v>
      </c>
      <c r="L829" s="46">
        <f ca="1">IFERROR(__xludf.DUMMYFUNCTION("""COMPUTED_VALUE"""),0)</f>
        <v>0</v>
      </c>
      <c r="M829" s="47">
        <f ca="1">IFERROR(__xludf.DUMMYFUNCTION("""COMPUTED_VALUE"""),0)</f>
        <v>0</v>
      </c>
      <c r="N829" s="46">
        <f ca="1">IFERROR(__xludf.DUMMYFUNCTION("""COMPUTED_VALUE"""),0)</f>
        <v>0</v>
      </c>
      <c r="O829" s="46">
        <f ca="1">IFERROR(__xludf.DUMMYFUNCTION("""COMPUTED_VALUE"""),3750)</f>
        <v>3750</v>
      </c>
      <c r="P829" s="46">
        <f ca="1">IFERROR(__xludf.DUMMYFUNCTION("""COMPUTED_VALUE"""),3750)</f>
        <v>3750</v>
      </c>
      <c r="Q829" s="47">
        <f ca="1">IFERROR(__xludf.DUMMYFUNCTION("""COMPUTED_VALUE"""),0)</f>
        <v>0</v>
      </c>
      <c r="R829" s="24">
        <f ca="1">IFERROR(__xludf.DUMMYFUNCTION("""COMPUTED_VALUE"""),0)</f>
        <v>0</v>
      </c>
      <c r="S829" s="23">
        <f ca="1">IFERROR(__xludf.DUMMYFUNCTION("""COMPUTED_VALUE"""),0)</f>
        <v>0</v>
      </c>
      <c r="T829" s="48">
        <f ca="1">IFERROR(__xludf.DUMMYFUNCTION("""COMPUTED_VALUE"""),0)</f>
        <v>0</v>
      </c>
      <c r="U829" s="47">
        <f ca="1">IFERROR(__xludf.DUMMYFUNCTION("""COMPUTED_VALUE"""),0)</f>
        <v>0</v>
      </c>
      <c r="V829" s="47">
        <f ca="1">IFERROR(__xludf.DUMMYFUNCTION("""COMPUTED_VALUE"""),0)</f>
        <v>0</v>
      </c>
      <c r="W829" s="47">
        <f ca="1">IFERROR(__xludf.DUMMYFUNCTION("""COMPUTED_VALUE"""),0)</f>
        <v>0</v>
      </c>
      <c r="X829" s="47">
        <f ca="1">IFERROR(__xludf.DUMMYFUNCTION("""COMPUTED_VALUE"""),0)</f>
        <v>0</v>
      </c>
      <c r="Y829" s="44">
        <f ca="1">IFERROR(__xludf.DUMMYFUNCTION("""COMPUTED_VALUE"""),0)</f>
        <v>0</v>
      </c>
      <c r="Z829" s="44">
        <f ca="1">IFERROR(__xludf.DUMMYFUNCTION("""COMPUTED_VALUE"""),0)</f>
        <v>0</v>
      </c>
      <c r="AA829" s="44">
        <f ca="1">IFERROR(__xludf.DUMMYFUNCTION("""COMPUTED_VALUE"""),0)</f>
        <v>0</v>
      </c>
      <c r="AB829" s="44">
        <f ca="1">IFERROR(__xludf.DUMMYFUNCTION("""COMPUTED_VALUE"""),0)</f>
        <v>0</v>
      </c>
      <c r="AC829" s="47">
        <f ca="1">IFERROR(__xludf.DUMMYFUNCTION("""COMPUTED_VALUE"""),0)</f>
        <v>0</v>
      </c>
      <c r="AD829" s="49" t="str">
        <f ca="1">IFERROR(__xludf.DUMMYFUNCTION("""COMPUTED_VALUE"""),"10000 PER SEM SCHOLARSHIP")</f>
        <v>10000 PER SEM SCHOLARSHIP</v>
      </c>
      <c r="AE829" s="27"/>
    </row>
    <row r="830" spans="1:31" ht="14.3">
      <c r="A830" s="42"/>
      <c r="B830" s="43"/>
      <c r="C830" s="42"/>
      <c r="D830" s="42"/>
      <c r="E830" s="44"/>
      <c r="F830" s="42"/>
      <c r="G830" s="42"/>
      <c r="H830" s="2"/>
      <c r="I830" s="45"/>
      <c r="J830" s="2"/>
      <c r="K830" s="46"/>
      <c r="L830" s="46"/>
      <c r="M830" s="44"/>
      <c r="N830" s="2"/>
      <c r="O830" s="46"/>
      <c r="P830" s="46"/>
      <c r="Q830" s="44"/>
      <c r="R830" s="40"/>
      <c r="S830" s="25"/>
      <c r="T830" s="50"/>
      <c r="U830" s="44"/>
      <c r="V830" s="44"/>
      <c r="W830" s="44"/>
      <c r="X830" s="44"/>
      <c r="Y830" s="44"/>
      <c r="Z830" s="44"/>
      <c r="AA830" s="44"/>
      <c r="AB830" s="44"/>
      <c r="AC830" s="44"/>
      <c r="AD830" s="49"/>
      <c r="AE830" s="27"/>
    </row>
    <row r="831" spans="1:31" ht="14.3">
      <c r="A831" s="42"/>
      <c r="B831" s="43"/>
      <c r="C831" s="42"/>
      <c r="D831" s="42"/>
      <c r="E831" s="44"/>
      <c r="F831" s="42"/>
      <c r="G831" s="42"/>
      <c r="H831" s="2"/>
      <c r="I831" s="45"/>
      <c r="J831" s="2"/>
      <c r="K831" s="46"/>
      <c r="L831" s="46"/>
      <c r="M831" s="44"/>
      <c r="N831" s="2"/>
      <c r="O831" s="46"/>
      <c r="P831" s="46"/>
      <c r="Q831" s="44"/>
      <c r="R831" s="40"/>
      <c r="S831" s="25"/>
      <c r="T831" s="50"/>
      <c r="U831" s="44"/>
      <c r="V831" s="44"/>
      <c r="W831" s="44"/>
      <c r="X831" s="44"/>
      <c r="Y831" s="44"/>
      <c r="Z831" s="44"/>
      <c r="AA831" s="44"/>
      <c r="AB831" s="44"/>
      <c r="AC831" s="44"/>
      <c r="AD831" s="49"/>
      <c r="AE831" s="27"/>
    </row>
    <row r="832" spans="1:31" ht="14.3">
      <c r="A832" s="42"/>
      <c r="B832" s="43"/>
      <c r="C832" s="42"/>
      <c r="D832" s="42"/>
      <c r="E832" s="44"/>
      <c r="F832" s="42"/>
      <c r="G832" s="42"/>
      <c r="H832" s="2"/>
      <c r="I832" s="45"/>
      <c r="J832" s="2"/>
      <c r="K832" s="46"/>
      <c r="L832" s="46"/>
      <c r="M832" s="44"/>
      <c r="N832" s="2"/>
      <c r="O832" s="46"/>
      <c r="P832" s="46"/>
      <c r="Q832" s="44"/>
      <c r="R832" s="40"/>
      <c r="S832" s="25"/>
      <c r="T832" s="50"/>
      <c r="U832" s="44"/>
      <c r="V832" s="44"/>
      <c r="W832" s="44"/>
      <c r="X832" s="44"/>
      <c r="Y832" s="44"/>
      <c r="Z832" s="44"/>
      <c r="AA832" s="44"/>
      <c r="AB832" s="44"/>
      <c r="AC832" s="44"/>
      <c r="AD832" s="49"/>
      <c r="AE832" s="27"/>
    </row>
    <row r="833" spans="1:31" ht="14.3">
      <c r="A833" s="42"/>
      <c r="B833" s="43"/>
      <c r="C833" s="42"/>
      <c r="D833" s="42"/>
      <c r="E833" s="44"/>
      <c r="F833" s="42"/>
      <c r="G833" s="42"/>
      <c r="H833" s="2"/>
      <c r="I833" s="45"/>
      <c r="J833" s="2"/>
      <c r="K833" s="46"/>
      <c r="L833" s="46"/>
      <c r="M833" s="44"/>
      <c r="N833" s="2"/>
      <c r="O833" s="46"/>
      <c r="P833" s="46"/>
      <c r="Q833" s="44"/>
      <c r="R833" s="40"/>
      <c r="S833" s="25"/>
      <c r="T833" s="50"/>
      <c r="U833" s="44"/>
      <c r="V833" s="44"/>
      <c r="W833" s="44"/>
      <c r="X833" s="44"/>
      <c r="Y833" s="44"/>
      <c r="Z833" s="44"/>
      <c r="AA833" s="44"/>
      <c r="AB833" s="44"/>
      <c r="AC833" s="44"/>
      <c r="AD833" s="49"/>
      <c r="AE833" s="27"/>
    </row>
    <row r="834" spans="1:31" ht="14.3">
      <c r="A834" s="42"/>
      <c r="B834" s="43"/>
      <c r="C834" s="42"/>
      <c r="D834" s="42"/>
      <c r="E834" s="44"/>
      <c r="F834" s="42"/>
      <c r="G834" s="42"/>
      <c r="H834" s="2"/>
      <c r="I834" s="45"/>
      <c r="J834" s="2"/>
      <c r="K834" s="46"/>
      <c r="L834" s="46"/>
      <c r="M834" s="44"/>
      <c r="N834" s="2"/>
      <c r="O834" s="46"/>
      <c r="P834" s="46"/>
      <c r="Q834" s="44"/>
      <c r="R834" s="40"/>
      <c r="S834" s="25"/>
      <c r="T834" s="50"/>
      <c r="U834" s="44"/>
      <c r="V834" s="44"/>
      <c r="W834" s="44"/>
      <c r="X834" s="44"/>
      <c r="Y834" s="44"/>
      <c r="Z834" s="44"/>
      <c r="AA834" s="44"/>
      <c r="AB834" s="44"/>
      <c r="AC834" s="44"/>
      <c r="AD834" s="49"/>
      <c r="AE834" s="27"/>
    </row>
    <row r="835" spans="1:31" ht="14.3">
      <c r="A835" s="42"/>
      <c r="B835" s="43"/>
      <c r="C835" s="42"/>
      <c r="D835" s="42"/>
      <c r="E835" s="44"/>
      <c r="F835" s="42"/>
      <c r="G835" s="42"/>
      <c r="H835" s="2"/>
      <c r="I835" s="45"/>
      <c r="J835" s="2"/>
      <c r="K835" s="46"/>
      <c r="L835" s="46"/>
      <c r="M835" s="44"/>
      <c r="N835" s="2"/>
      <c r="O835" s="46"/>
      <c r="P835" s="46"/>
      <c r="Q835" s="44"/>
      <c r="R835" s="40"/>
      <c r="S835" s="25"/>
      <c r="T835" s="50"/>
      <c r="U835" s="44"/>
      <c r="V835" s="44"/>
      <c r="W835" s="44"/>
      <c r="X835" s="44"/>
      <c r="Y835" s="44"/>
      <c r="Z835" s="44"/>
      <c r="AA835" s="44"/>
      <c r="AB835" s="44"/>
      <c r="AC835" s="44"/>
      <c r="AD835" s="49"/>
      <c r="AE835" s="27"/>
    </row>
    <row r="836" spans="1:31" ht="14.3">
      <c r="A836" s="42"/>
      <c r="B836" s="43"/>
      <c r="C836" s="42"/>
      <c r="D836" s="42"/>
      <c r="E836" s="44"/>
      <c r="F836" s="42"/>
      <c r="G836" s="42"/>
      <c r="H836" s="2"/>
      <c r="I836" s="45"/>
      <c r="J836" s="2"/>
      <c r="K836" s="46"/>
      <c r="L836" s="46"/>
      <c r="M836" s="44"/>
      <c r="N836" s="2"/>
      <c r="O836" s="46"/>
      <c r="P836" s="46"/>
      <c r="Q836" s="44"/>
      <c r="R836" s="40"/>
      <c r="S836" s="25"/>
      <c r="T836" s="50"/>
      <c r="U836" s="44"/>
      <c r="V836" s="44"/>
      <c r="W836" s="44"/>
      <c r="X836" s="44"/>
      <c r="Y836" s="44"/>
      <c r="Z836" s="44"/>
      <c r="AA836" s="44"/>
      <c r="AB836" s="44"/>
      <c r="AC836" s="44"/>
      <c r="AD836" s="49"/>
      <c r="AE836" s="27"/>
    </row>
    <row r="837" spans="1:31" ht="14.3">
      <c r="A837" s="42"/>
      <c r="B837" s="43"/>
      <c r="C837" s="42"/>
      <c r="D837" s="42"/>
      <c r="E837" s="44"/>
      <c r="F837" s="42"/>
      <c r="G837" s="42"/>
      <c r="H837" s="2"/>
      <c r="I837" s="45"/>
      <c r="J837" s="2"/>
      <c r="K837" s="46"/>
      <c r="L837" s="46"/>
      <c r="M837" s="44"/>
      <c r="N837" s="2"/>
      <c r="O837" s="46"/>
      <c r="P837" s="46"/>
      <c r="Q837" s="44"/>
      <c r="R837" s="40"/>
      <c r="S837" s="25"/>
      <c r="T837" s="50"/>
      <c r="U837" s="44"/>
      <c r="V837" s="44"/>
      <c r="W837" s="44"/>
      <c r="X837" s="44"/>
      <c r="Y837" s="44"/>
      <c r="Z837" s="44"/>
      <c r="AA837" s="44"/>
      <c r="AB837" s="44"/>
      <c r="AC837" s="44"/>
      <c r="AD837" s="49"/>
      <c r="AE837" s="27"/>
    </row>
    <row r="838" spans="1:31" ht="14.3">
      <c r="A838" s="42"/>
      <c r="B838" s="43"/>
      <c r="C838" s="42"/>
      <c r="D838" s="42"/>
      <c r="E838" s="44"/>
      <c r="F838" s="42"/>
      <c r="G838" s="42"/>
      <c r="H838" s="2"/>
      <c r="I838" s="45"/>
      <c r="J838" s="2"/>
      <c r="K838" s="46"/>
      <c r="L838" s="46"/>
      <c r="M838" s="44"/>
      <c r="N838" s="2"/>
      <c r="O838" s="46"/>
      <c r="P838" s="46"/>
      <c r="Q838" s="44"/>
      <c r="R838" s="40"/>
      <c r="S838" s="25"/>
      <c r="T838" s="50"/>
      <c r="U838" s="44"/>
      <c r="V838" s="44"/>
      <c r="W838" s="44"/>
      <c r="X838" s="44"/>
      <c r="Y838" s="44"/>
      <c r="Z838" s="44"/>
      <c r="AA838" s="44"/>
      <c r="AB838" s="44"/>
      <c r="AC838" s="44"/>
      <c r="AD838" s="49"/>
      <c r="AE838" s="27"/>
    </row>
    <row r="839" spans="1:31" ht="14.3">
      <c r="A839" s="42"/>
      <c r="B839" s="43"/>
      <c r="C839" s="42"/>
      <c r="D839" s="42"/>
      <c r="E839" s="44"/>
      <c r="F839" s="42"/>
      <c r="G839" s="42"/>
      <c r="H839" s="2"/>
      <c r="I839" s="45"/>
      <c r="J839" s="2"/>
      <c r="K839" s="46"/>
      <c r="L839" s="46"/>
      <c r="M839" s="44"/>
      <c r="N839" s="2"/>
      <c r="O839" s="46"/>
      <c r="P839" s="46"/>
      <c r="Q839" s="44"/>
      <c r="R839" s="40"/>
      <c r="S839" s="25"/>
      <c r="T839" s="50"/>
      <c r="U839" s="44"/>
      <c r="V839" s="44"/>
      <c r="W839" s="44"/>
      <c r="X839" s="44"/>
      <c r="Y839" s="44"/>
      <c r="Z839" s="44"/>
      <c r="AA839" s="44"/>
      <c r="AB839" s="44"/>
      <c r="AC839" s="44"/>
      <c r="AD839" s="49"/>
      <c r="AE839" s="27"/>
    </row>
    <row r="840" spans="1:31" ht="14.3">
      <c r="A840" s="42"/>
      <c r="B840" s="43"/>
      <c r="C840" s="42"/>
      <c r="D840" s="42"/>
      <c r="E840" s="44"/>
      <c r="F840" s="42"/>
      <c r="G840" s="42"/>
      <c r="H840" s="2"/>
      <c r="I840" s="45"/>
      <c r="J840" s="2"/>
      <c r="K840" s="46"/>
      <c r="L840" s="46"/>
      <c r="M840" s="44"/>
      <c r="N840" s="2"/>
      <c r="O840" s="46"/>
      <c r="P840" s="46"/>
      <c r="Q840" s="44"/>
      <c r="R840" s="40"/>
      <c r="S840" s="25"/>
      <c r="T840" s="50"/>
      <c r="U840" s="44"/>
      <c r="V840" s="44"/>
      <c r="W840" s="44"/>
      <c r="X840" s="44"/>
      <c r="Y840" s="44"/>
      <c r="Z840" s="44"/>
      <c r="AA840" s="44"/>
      <c r="AB840" s="44"/>
      <c r="AC840" s="44"/>
      <c r="AD840" s="49"/>
      <c r="AE840" s="27"/>
    </row>
    <row r="841" spans="1:31" ht="14.3">
      <c r="A841" s="42"/>
      <c r="B841" s="43"/>
      <c r="C841" s="42"/>
      <c r="D841" s="42"/>
      <c r="E841" s="44"/>
      <c r="F841" s="42"/>
      <c r="G841" s="42"/>
      <c r="H841" s="2"/>
      <c r="I841" s="45"/>
      <c r="J841" s="2"/>
      <c r="K841" s="46"/>
      <c r="L841" s="46"/>
      <c r="M841" s="44"/>
      <c r="N841" s="2"/>
      <c r="O841" s="46"/>
      <c r="P841" s="46"/>
      <c r="Q841" s="44"/>
      <c r="R841" s="40"/>
      <c r="S841" s="25"/>
      <c r="T841" s="50"/>
      <c r="U841" s="44"/>
      <c r="V841" s="44"/>
      <c r="W841" s="44"/>
      <c r="X841" s="44"/>
      <c r="Y841" s="44"/>
      <c r="Z841" s="44"/>
      <c r="AA841" s="44"/>
      <c r="AB841" s="44"/>
      <c r="AC841" s="44"/>
      <c r="AD841" s="49"/>
      <c r="AE841" s="27"/>
    </row>
    <row r="842" spans="1:31" ht="14.3">
      <c r="A842" s="42"/>
      <c r="B842" s="43"/>
      <c r="C842" s="42"/>
      <c r="D842" s="42"/>
      <c r="E842" s="44"/>
      <c r="F842" s="42"/>
      <c r="G842" s="42"/>
      <c r="H842" s="2"/>
      <c r="I842" s="45"/>
      <c r="J842" s="2"/>
      <c r="K842" s="46"/>
      <c r="L842" s="46"/>
      <c r="M842" s="44"/>
      <c r="N842" s="2"/>
      <c r="O842" s="46"/>
      <c r="P842" s="46"/>
      <c r="Q842" s="44"/>
      <c r="R842" s="40"/>
      <c r="S842" s="25"/>
      <c r="T842" s="50"/>
      <c r="U842" s="44"/>
      <c r="V842" s="44"/>
      <c r="W842" s="44"/>
      <c r="X842" s="44"/>
      <c r="Y842" s="44"/>
      <c r="Z842" s="44"/>
      <c r="AA842" s="44"/>
      <c r="AB842" s="44"/>
      <c r="AC842" s="44"/>
      <c r="AD842" s="49"/>
      <c r="AE842" s="27"/>
    </row>
    <row r="843" spans="1:31" ht="14.3">
      <c r="A843" s="42"/>
      <c r="B843" s="43"/>
      <c r="C843" s="42"/>
      <c r="D843" s="42"/>
      <c r="E843" s="44"/>
      <c r="F843" s="42"/>
      <c r="G843" s="42"/>
      <c r="H843" s="2"/>
      <c r="I843" s="45"/>
      <c r="J843" s="2"/>
      <c r="K843" s="46"/>
      <c r="L843" s="46"/>
      <c r="M843" s="44"/>
      <c r="N843" s="2"/>
      <c r="O843" s="46"/>
      <c r="P843" s="46"/>
      <c r="Q843" s="44"/>
      <c r="R843" s="40"/>
      <c r="S843" s="25"/>
      <c r="T843" s="50"/>
      <c r="U843" s="44"/>
      <c r="V843" s="44"/>
      <c r="W843" s="44"/>
      <c r="X843" s="44"/>
      <c r="Y843" s="44"/>
      <c r="Z843" s="44"/>
      <c r="AA843" s="44"/>
      <c r="AB843" s="44"/>
      <c r="AC843" s="44"/>
      <c r="AD843" s="49"/>
      <c r="AE843" s="27"/>
    </row>
    <row r="844" spans="1:31" ht="14.3">
      <c r="A844" s="42"/>
      <c r="B844" s="43"/>
      <c r="C844" s="42"/>
      <c r="D844" s="42"/>
      <c r="E844" s="44"/>
      <c r="F844" s="42"/>
      <c r="G844" s="42"/>
      <c r="H844" s="2"/>
      <c r="I844" s="45"/>
      <c r="J844" s="2"/>
      <c r="K844" s="46"/>
      <c r="L844" s="46"/>
      <c r="M844" s="44"/>
      <c r="N844" s="2"/>
      <c r="O844" s="46"/>
      <c r="P844" s="46"/>
      <c r="Q844" s="44"/>
      <c r="R844" s="40"/>
      <c r="S844" s="25"/>
      <c r="T844" s="50"/>
      <c r="U844" s="44"/>
      <c r="V844" s="44"/>
      <c r="W844" s="44"/>
      <c r="X844" s="44"/>
      <c r="Y844" s="44"/>
      <c r="Z844" s="44"/>
      <c r="AA844" s="44"/>
      <c r="AB844" s="44"/>
      <c r="AC844" s="44"/>
      <c r="AD844" s="49"/>
      <c r="AE844" s="27"/>
    </row>
    <row r="845" spans="1:31" ht="14.3">
      <c r="A845" s="42"/>
      <c r="B845" s="43"/>
      <c r="C845" s="42"/>
      <c r="D845" s="42"/>
      <c r="E845" s="44"/>
      <c r="F845" s="42"/>
      <c r="G845" s="42"/>
      <c r="H845" s="2"/>
      <c r="I845" s="45"/>
      <c r="J845" s="2"/>
      <c r="K845" s="46"/>
      <c r="L845" s="46"/>
      <c r="M845" s="44"/>
      <c r="N845" s="2"/>
      <c r="O845" s="46"/>
      <c r="P845" s="46"/>
      <c r="Q845" s="44"/>
      <c r="R845" s="40"/>
      <c r="S845" s="25"/>
      <c r="T845" s="50"/>
      <c r="U845" s="44"/>
      <c r="V845" s="44"/>
      <c r="W845" s="44"/>
      <c r="X845" s="44"/>
      <c r="Y845" s="44"/>
      <c r="Z845" s="44"/>
      <c r="AA845" s="44"/>
      <c r="AB845" s="44"/>
      <c r="AC845" s="44"/>
      <c r="AD845" s="49"/>
      <c r="AE845" s="27"/>
    </row>
    <row r="846" spans="1:31" ht="14.3">
      <c r="A846" s="42"/>
      <c r="B846" s="43"/>
      <c r="C846" s="42"/>
      <c r="D846" s="42"/>
      <c r="E846" s="44"/>
      <c r="F846" s="42"/>
      <c r="G846" s="42"/>
      <c r="H846" s="2"/>
      <c r="I846" s="45"/>
      <c r="J846" s="2"/>
      <c r="K846" s="46"/>
      <c r="L846" s="46"/>
      <c r="M846" s="44"/>
      <c r="N846" s="2"/>
      <c r="O846" s="46"/>
      <c r="P846" s="46"/>
      <c r="Q846" s="44"/>
      <c r="R846" s="40"/>
      <c r="S846" s="25"/>
      <c r="T846" s="50"/>
      <c r="U846" s="44"/>
      <c r="V846" s="44"/>
      <c r="W846" s="44"/>
      <c r="X846" s="44"/>
      <c r="Y846" s="44"/>
      <c r="Z846" s="44"/>
      <c r="AA846" s="44"/>
      <c r="AB846" s="44"/>
      <c r="AC846" s="44"/>
      <c r="AD846" s="49"/>
      <c r="AE846" s="27"/>
    </row>
    <row r="847" spans="1:31" ht="14.3">
      <c r="A847" s="42"/>
      <c r="B847" s="43"/>
      <c r="C847" s="42"/>
      <c r="D847" s="42"/>
      <c r="E847" s="44"/>
      <c r="F847" s="42"/>
      <c r="G847" s="42"/>
      <c r="H847" s="2"/>
      <c r="I847" s="45"/>
      <c r="J847" s="2"/>
      <c r="K847" s="46"/>
      <c r="L847" s="46"/>
      <c r="M847" s="44"/>
      <c r="N847" s="2"/>
      <c r="O847" s="46"/>
      <c r="P847" s="46"/>
      <c r="Q847" s="44"/>
      <c r="R847" s="40"/>
      <c r="S847" s="25"/>
      <c r="T847" s="50"/>
      <c r="U847" s="44"/>
      <c r="V847" s="44"/>
      <c r="W847" s="44"/>
      <c r="X847" s="44"/>
      <c r="Y847" s="44"/>
      <c r="Z847" s="44"/>
      <c r="AA847" s="44"/>
      <c r="AB847" s="44"/>
      <c r="AC847" s="44"/>
      <c r="AD847" s="49"/>
      <c r="AE847" s="27"/>
    </row>
    <row r="848" spans="1:31" ht="14.3">
      <c r="A848" s="42"/>
      <c r="B848" s="43"/>
      <c r="C848" s="42"/>
      <c r="D848" s="42"/>
      <c r="E848" s="44"/>
      <c r="F848" s="42"/>
      <c r="G848" s="42"/>
      <c r="H848" s="2"/>
      <c r="I848" s="45"/>
      <c r="J848" s="2"/>
      <c r="K848" s="46"/>
      <c r="L848" s="46"/>
      <c r="M848" s="44"/>
      <c r="N848" s="2"/>
      <c r="O848" s="46"/>
      <c r="P848" s="46"/>
      <c r="Q848" s="44"/>
      <c r="R848" s="40"/>
      <c r="S848" s="25"/>
      <c r="T848" s="50"/>
      <c r="U848" s="44"/>
      <c r="V848" s="44"/>
      <c r="W848" s="44"/>
      <c r="X848" s="44"/>
      <c r="Y848" s="44"/>
      <c r="Z848" s="44"/>
      <c r="AA848" s="44"/>
      <c r="AB848" s="44"/>
      <c r="AC848" s="44"/>
      <c r="AD848" s="49"/>
      <c r="AE848" s="27"/>
    </row>
    <row r="849" spans="1:31" ht="14.3">
      <c r="A849" s="42"/>
      <c r="B849" s="43"/>
      <c r="C849" s="42"/>
      <c r="D849" s="42"/>
      <c r="E849" s="44"/>
      <c r="F849" s="42"/>
      <c r="G849" s="42"/>
      <c r="H849" s="2"/>
      <c r="I849" s="45"/>
      <c r="J849" s="2"/>
      <c r="K849" s="46"/>
      <c r="L849" s="46"/>
      <c r="M849" s="44"/>
      <c r="N849" s="2"/>
      <c r="O849" s="46"/>
      <c r="P849" s="46"/>
      <c r="Q849" s="44"/>
      <c r="R849" s="40"/>
      <c r="S849" s="25"/>
      <c r="T849" s="50"/>
      <c r="U849" s="44"/>
      <c r="V849" s="44"/>
      <c r="W849" s="44"/>
      <c r="X849" s="44"/>
      <c r="Y849" s="44"/>
      <c r="Z849" s="44"/>
      <c r="AA849" s="44"/>
      <c r="AB849" s="44"/>
      <c r="AC849" s="44"/>
      <c r="AD849" s="49"/>
      <c r="AE849" s="27"/>
    </row>
    <row r="850" spans="1:31" ht="14.3">
      <c r="A850" s="42"/>
      <c r="B850" s="43"/>
      <c r="C850" s="42"/>
      <c r="D850" s="42"/>
      <c r="E850" s="44"/>
      <c r="F850" s="42"/>
      <c r="G850" s="42"/>
      <c r="H850" s="2"/>
      <c r="I850" s="45"/>
      <c r="J850" s="2"/>
      <c r="K850" s="46"/>
      <c r="L850" s="46"/>
      <c r="M850" s="44"/>
      <c r="N850" s="2"/>
      <c r="O850" s="46"/>
      <c r="P850" s="46"/>
      <c r="Q850" s="44"/>
      <c r="R850" s="40"/>
      <c r="S850" s="25"/>
      <c r="T850" s="50"/>
      <c r="U850" s="44"/>
      <c r="V850" s="44"/>
      <c r="W850" s="44"/>
      <c r="X850" s="44"/>
      <c r="Y850" s="44"/>
      <c r="Z850" s="44"/>
      <c r="AA850" s="44"/>
      <c r="AB850" s="44"/>
      <c r="AC850" s="44"/>
      <c r="AD850" s="49"/>
      <c r="AE850" s="27"/>
    </row>
    <row r="851" spans="1:31" ht="14.3">
      <c r="A851" s="42"/>
      <c r="B851" s="43"/>
      <c r="C851" s="42"/>
      <c r="D851" s="42"/>
      <c r="E851" s="44"/>
      <c r="F851" s="42"/>
      <c r="G851" s="42"/>
      <c r="H851" s="2"/>
      <c r="I851" s="45"/>
      <c r="J851" s="2"/>
      <c r="K851" s="46"/>
      <c r="L851" s="46"/>
      <c r="M851" s="44"/>
      <c r="N851" s="2"/>
      <c r="O851" s="46"/>
      <c r="P851" s="46"/>
      <c r="Q851" s="44"/>
      <c r="R851" s="40"/>
      <c r="S851" s="25"/>
      <c r="T851" s="50"/>
      <c r="U851" s="44"/>
      <c r="V851" s="44"/>
      <c r="W851" s="44"/>
      <c r="X851" s="44"/>
      <c r="Y851" s="44"/>
      <c r="Z851" s="44"/>
      <c r="AA851" s="44"/>
      <c r="AB851" s="44"/>
      <c r="AC851" s="44"/>
      <c r="AD851" s="49"/>
      <c r="AE851" s="27"/>
    </row>
    <row r="852" spans="1:31" ht="14.3">
      <c r="A852" s="42"/>
      <c r="B852" s="43"/>
      <c r="C852" s="42"/>
      <c r="D852" s="42"/>
      <c r="E852" s="44"/>
      <c r="F852" s="42"/>
      <c r="G852" s="42"/>
      <c r="H852" s="2"/>
      <c r="I852" s="45"/>
      <c r="J852" s="2"/>
      <c r="K852" s="46"/>
      <c r="L852" s="46"/>
      <c r="M852" s="44"/>
      <c r="N852" s="2"/>
      <c r="O852" s="46"/>
      <c r="P852" s="46"/>
      <c r="Q852" s="44"/>
      <c r="R852" s="40"/>
      <c r="S852" s="25"/>
      <c r="T852" s="50"/>
      <c r="U852" s="44"/>
      <c r="V852" s="44"/>
      <c r="W852" s="44"/>
      <c r="X852" s="44"/>
      <c r="Y852" s="44"/>
      <c r="Z852" s="44"/>
      <c r="AA852" s="44"/>
      <c r="AB852" s="44"/>
      <c r="AC852" s="44"/>
      <c r="AD852" s="49"/>
      <c r="AE852" s="27"/>
    </row>
    <row r="853" spans="1:31" ht="14.3">
      <c r="A853" s="42"/>
      <c r="B853" s="43"/>
      <c r="C853" s="42"/>
      <c r="D853" s="42"/>
      <c r="E853" s="44"/>
      <c r="F853" s="42"/>
      <c r="G853" s="42"/>
      <c r="H853" s="2"/>
      <c r="I853" s="45"/>
      <c r="J853" s="2"/>
      <c r="K853" s="46"/>
      <c r="L853" s="46"/>
      <c r="M853" s="44"/>
      <c r="N853" s="2"/>
      <c r="O853" s="46"/>
      <c r="P853" s="46"/>
      <c r="Q853" s="44"/>
      <c r="R853" s="40"/>
      <c r="S853" s="25"/>
      <c r="T853" s="50"/>
      <c r="U853" s="44"/>
      <c r="V853" s="44"/>
      <c r="W853" s="44"/>
      <c r="X853" s="44"/>
      <c r="Y853" s="44"/>
      <c r="Z853" s="44"/>
      <c r="AA853" s="44"/>
      <c r="AB853" s="44"/>
      <c r="AC853" s="44"/>
      <c r="AD853" s="49"/>
      <c r="AE853" s="27"/>
    </row>
    <row r="854" spans="1:31" ht="14.3">
      <c r="A854" s="42"/>
      <c r="B854" s="43"/>
      <c r="C854" s="42"/>
      <c r="D854" s="42"/>
      <c r="E854" s="44"/>
      <c r="F854" s="42"/>
      <c r="G854" s="42"/>
      <c r="H854" s="2"/>
      <c r="I854" s="45"/>
      <c r="J854" s="2"/>
      <c r="K854" s="46"/>
      <c r="L854" s="46"/>
      <c r="M854" s="44"/>
      <c r="N854" s="2"/>
      <c r="O854" s="46"/>
      <c r="P854" s="46"/>
      <c r="Q854" s="44"/>
      <c r="R854" s="40"/>
      <c r="S854" s="25"/>
      <c r="T854" s="50"/>
      <c r="U854" s="44"/>
      <c r="V854" s="44"/>
      <c r="W854" s="44"/>
      <c r="X854" s="44"/>
      <c r="Y854" s="44"/>
      <c r="Z854" s="44"/>
      <c r="AA854" s="44"/>
      <c r="AB854" s="44"/>
      <c r="AC854" s="44"/>
      <c r="AD854" s="49"/>
      <c r="AE854" s="27"/>
    </row>
    <row r="855" spans="1:31" ht="14.3">
      <c r="A855" s="42"/>
      <c r="B855" s="43"/>
      <c r="C855" s="42"/>
      <c r="D855" s="42"/>
      <c r="E855" s="44"/>
      <c r="F855" s="42"/>
      <c r="G855" s="42"/>
      <c r="H855" s="2"/>
      <c r="I855" s="45"/>
      <c r="J855" s="2"/>
      <c r="K855" s="46"/>
      <c r="L855" s="46"/>
      <c r="M855" s="44"/>
      <c r="N855" s="2"/>
      <c r="O855" s="46"/>
      <c r="P855" s="46"/>
      <c r="Q855" s="44"/>
      <c r="R855" s="40"/>
      <c r="S855" s="25"/>
      <c r="T855" s="50"/>
      <c r="U855" s="44"/>
      <c r="V855" s="44"/>
      <c r="W855" s="44"/>
      <c r="X855" s="44"/>
      <c r="Y855" s="44"/>
      <c r="Z855" s="44"/>
      <c r="AA855" s="44"/>
      <c r="AB855" s="44"/>
      <c r="AC855" s="44"/>
      <c r="AD855" s="49"/>
      <c r="AE855" s="27"/>
    </row>
    <row r="856" spans="1:31" ht="14.3">
      <c r="A856" s="42"/>
      <c r="B856" s="43"/>
      <c r="C856" s="42"/>
      <c r="D856" s="42"/>
      <c r="E856" s="44"/>
      <c r="F856" s="42"/>
      <c r="G856" s="42"/>
      <c r="H856" s="2"/>
      <c r="I856" s="45"/>
      <c r="J856" s="2"/>
      <c r="K856" s="46"/>
      <c r="L856" s="46"/>
      <c r="M856" s="44"/>
      <c r="N856" s="2"/>
      <c r="O856" s="46"/>
      <c r="P856" s="46"/>
      <c r="Q856" s="44"/>
      <c r="R856" s="40"/>
      <c r="S856" s="25"/>
      <c r="T856" s="50"/>
      <c r="U856" s="44"/>
      <c r="V856" s="44"/>
      <c r="W856" s="44"/>
      <c r="X856" s="44"/>
      <c r="Y856" s="44"/>
      <c r="Z856" s="44"/>
      <c r="AA856" s="44"/>
      <c r="AB856" s="44"/>
      <c r="AC856" s="44"/>
      <c r="AD856" s="49"/>
      <c r="AE856" s="27"/>
    </row>
    <row r="857" spans="1:31" ht="14.3">
      <c r="A857" s="42"/>
      <c r="B857" s="43"/>
      <c r="C857" s="42"/>
      <c r="D857" s="42"/>
      <c r="E857" s="44"/>
      <c r="F857" s="42"/>
      <c r="G857" s="42"/>
      <c r="H857" s="2"/>
      <c r="I857" s="45"/>
      <c r="J857" s="2"/>
      <c r="K857" s="46"/>
      <c r="L857" s="46"/>
      <c r="M857" s="44"/>
      <c r="N857" s="2"/>
      <c r="O857" s="46"/>
      <c r="P857" s="46"/>
      <c r="Q857" s="44"/>
      <c r="R857" s="40"/>
      <c r="S857" s="25"/>
      <c r="T857" s="50"/>
      <c r="U857" s="44"/>
      <c r="V857" s="44"/>
      <c r="W857" s="44"/>
      <c r="X857" s="44"/>
      <c r="Y857" s="44"/>
      <c r="Z857" s="44"/>
      <c r="AA857" s="44"/>
      <c r="AB857" s="44"/>
      <c r="AC857" s="44"/>
      <c r="AD857" s="49"/>
      <c r="AE857" s="27"/>
    </row>
    <row r="858" spans="1:31" ht="14.3">
      <c r="A858" s="42"/>
      <c r="B858" s="43"/>
      <c r="C858" s="42"/>
      <c r="D858" s="42"/>
      <c r="E858" s="44"/>
      <c r="F858" s="42"/>
      <c r="G858" s="42"/>
      <c r="H858" s="2"/>
      <c r="I858" s="45"/>
      <c r="J858" s="2"/>
      <c r="K858" s="46"/>
      <c r="L858" s="46"/>
      <c r="M858" s="44"/>
      <c r="N858" s="2"/>
      <c r="O858" s="46"/>
      <c r="P858" s="46"/>
      <c r="Q858" s="44"/>
      <c r="R858" s="40"/>
      <c r="S858" s="25"/>
      <c r="T858" s="50"/>
      <c r="U858" s="44"/>
      <c r="V858" s="44"/>
      <c r="W858" s="44"/>
      <c r="X858" s="44"/>
      <c r="Y858" s="44"/>
      <c r="Z858" s="44"/>
      <c r="AA858" s="44"/>
      <c r="AB858" s="44"/>
      <c r="AC858" s="44"/>
      <c r="AD858" s="49"/>
      <c r="AE858" s="27"/>
    </row>
    <row r="859" spans="1:31" ht="14.3">
      <c r="A859" s="42"/>
      <c r="B859" s="43"/>
      <c r="C859" s="42"/>
      <c r="D859" s="42"/>
      <c r="E859" s="44"/>
      <c r="F859" s="42"/>
      <c r="G859" s="42"/>
      <c r="H859" s="2"/>
      <c r="I859" s="45"/>
      <c r="J859" s="2"/>
      <c r="K859" s="46"/>
      <c r="L859" s="46"/>
      <c r="M859" s="44"/>
      <c r="N859" s="2"/>
      <c r="O859" s="46"/>
      <c r="P859" s="46"/>
      <c r="Q859" s="44"/>
      <c r="R859" s="40"/>
      <c r="S859" s="25"/>
      <c r="T859" s="50"/>
      <c r="U859" s="44"/>
      <c r="V859" s="44"/>
      <c r="W859" s="44"/>
      <c r="X859" s="44"/>
      <c r="Y859" s="44"/>
      <c r="Z859" s="44"/>
      <c r="AA859" s="44"/>
      <c r="AB859" s="44"/>
      <c r="AC859" s="44"/>
      <c r="AD859" s="49"/>
      <c r="AE859" s="27"/>
    </row>
    <row r="860" spans="1:31" ht="14.3">
      <c r="A860" s="42"/>
      <c r="B860" s="43"/>
      <c r="C860" s="42"/>
      <c r="D860" s="42"/>
      <c r="E860" s="44"/>
      <c r="F860" s="42"/>
      <c r="G860" s="42"/>
      <c r="H860" s="2"/>
      <c r="I860" s="45"/>
      <c r="J860" s="2"/>
      <c r="K860" s="46"/>
      <c r="L860" s="46"/>
      <c r="M860" s="44"/>
      <c r="N860" s="2"/>
      <c r="O860" s="46"/>
      <c r="P860" s="46"/>
      <c r="Q860" s="44"/>
      <c r="R860" s="40"/>
      <c r="S860" s="25"/>
      <c r="T860" s="50"/>
      <c r="U860" s="44"/>
      <c r="V860" s="44"/>
      <c r="W860" s="44"/>
      <c r="X860" s="44"/>
      <c r="Y860" s="44"/>
      <c r="Z860" s="44"/>
      <c r="AA860" s="44"/>
      <c r="AB860" s="44"/>
      <c r="AC860" s="44"/>
      <c r="AD860" s="49"/>
      <c r="AE860" s="27"/>
    </row>
    <row r="861" spans="1:31" ht="14.3">
      <c r="A861" s="42"/>
      <c r="B861" s="43"/>
      <c r="C861" s="42"/>
      <c r="D861" s="42"/>
      <c r="E861" s="44"/>
      <c r="F861" s="42"/>
      <c r="G861" s="42"/>
      <c r="H861" s="2"/>
      <c r="I861" s="45"/>
      <c r="J861" s="2"/>
      <c r="K861" s="46"/>
      <c r="L861" s="46"/>
      <c r="M861" s="44"/>
      <c r="N861" s="2"/>
      <c r="O861" s="46"/>
      <c r="P861" s="46"/>
      <c r="Q861" s="44"/>
      <c r="R861" s="40"/>
      <c r="S861" s="25"/>
      <c r="T861" s="50"/>
      <c r="U861" s="44"/>
      <c r="V861" s="44"/>
      <c r="W861" s="44"/>
      <c r="X861" s="44"/>
      <c r="Y861" s="44"/>
      <c r="Z861" s="44"/>
      <c r="AA861" s="44"/>
      <c r="AB861" s="44"/>
      <c r="AC861" s="44"/>
      <c r="AD861" s="49"/>
      <c r="AE861" s="27"/>
    </row>
    <row r="862" spans="1:31" ht="14.3">
      <c r="A862" s="42"/>
      <c r="B862" s="43"/>
      <c r="C862" s="42"/>
      <c r="D862" s="42"/>
      <c r="E862" s="44"/>
      <c r="F862" s="42"/>
      <c r="G862" s="42"/>
      <c r="H862" s="2"/>
      <c r="I862" s="45"/>
      <c r="J862" s="2"/>
      <c r="K862" s="46"/>
      <c r="L862" s="46"/>
      <c r="M862" s="44"/>
      <c r="N862" s="2"/>
      <c r="O862" s="46"/>
      <c r="P862" s="46"/>
      <c r="Q862" s="44"/>
      <c r="R862" s="40"/>
      <c r="S862" s="25"/>
      <c r="T862" s="50"/>
      <c r="U862" s="44"/>
      <c r="V862" s="44"/>
      <c r="W862" s="44"/>
      <c r="X862" s="44"/>
      <c r="Y862" s="44"/>
      <c r="Z862" s="44"/>
      <c r="AA862" s="44"/>
      <c r="AB862" s="44"/>
      <c r="AC862" s="44"/>
      <c r="AD862" s="49"/>
      <c r="AE862" s="27"/>
    </row>
    <row r="863" spans="1:31" ht="14.3">
      <c r="A863" s="42"/>
      <c r="B863" s="43"/>
      <c r="C863" s="42"/>
      <c r="D863" s="42"/>
      <c r="E863" s="44"/>
      <c r="F863" s="42"/>
      <c r="G863" s="42"/>
      <c r="H863" s="2"/>
      <c r="I863" s="45"/>
      <c r="J863" s="2"/>
      <c r="K863" s="46"/>
      <c r="L863" s="46"/>
      <c r="M863" s="44"/>
      <c r="N863" s="2"/>
      <c r="O863" s="46"/>
      <c r="P863" s="46"/>
      <c r="Q863" s="44"/>
      <c r="R863" s="40"/>
      <c r="S863" s="25"/>
      <c r="T863" s="50"/>
      <c r="U863" s="44"/>
      <c r="V863" s="44"/>
      <c r="W863" s="44"/>
      <c r="X863" s="44"/>
      <c r="Y863" s="44"/>
      <c r="Z863" s="44"/>
      <c r="AA863" s="44"/>
      <c r="AB863" s="44"/>
      <c r="AC863" s="44"/>
      <c r="AD863" s="49"/>
      <c r="AE863" s="27"/>
    </row>
    <row r="864" spans="1:31" ht="14.3">
      <c r="A864" s="42"/>
      <c r="B864" s="43"/>
      <c r="C864" s="42"/>
      <c r="D864" s="42"/>
      <c r="E864" s="44"/>
      <c r="F864" s="42"/>
      <c r="G864" s="42"/>
      <c r="H864" s="2"/>
      <c r="I864" s="45"/>
      <c r="J864" s="2"/>
      <c r="K864" s="46"/>
      <c r="L864" s="46"/>
      <c r="M864" s="44"/>
      <c r="N864" s="2"/>
      <c r="O864" s="46"/>
      <c r="P864" s="46"/>
      <c r="Q864" s="44"/>
      <c r="R864" s="40"/>
      <c r="S864" s="25"/>
      <c r="T864" s="50"/>
      <c r="U864" s="44"/>
      <c r="V864" s="44"/>
      <c r="W864" s="44"/>
      <c r="X864" s="44"/>
      <c r="Y864" s="44"/>
      <c r="Z864" s="44"/>
      <c r="AA864" s="44"/>
      <c r="AB864" s="44"/>
      <c r="AC864" s="44"/>
      <c r="AD864" s="49"/>
      <c r="AE864" s="27"/>
    </row>
    <row r="865" spans="1:31" ht="14.3">
      <c r="A865" s="42"/>
      <c r="B865" s="43"/>
      <c r="C865" s="42"/>
      <c r="D865" s="42"/>
      <c r="E865" s="44"/>
      <c r="F865" s="42"/>
      <c r="G865" s="42"/>
      <c r="H865" s="2"/>
      <c r="I865" s="45"/>
      <c r="J865" s="2"/>
      <c r="K865" s="46"/>
      <c r="L865" s="46"/>
      <c r="M865" s="44"/>
      <c r="N865" s="2"/>
      <c r="O865" s="46"/>
      <c r="P865" s="46"/>
      <c r="Q865" s="44"/>
      <c r="R865" s="40"/>
      <c r="S865" s="25"/>
      <c r="T865" s="50"/>
      <c r="U865" s="44"/>
      <c r="V865" s="44"/>
      <c r="W865" s="44"/>
      <c r="X865" s="44"/>
      <c r="Y865" s="44"/>
      <c r="Z865" s="44"/>
      <c r="AA865" s="44"/>
      <c r="AB865" s="44"/>
      <c r="AC865" s="44"/>
      <c r="AD865" s="49"/>
      <c r="AE865" s="27"/>
    </row>
    <row r="866" spans="1:31" ht="14.3">
      <c r="A866" s="42"/>
      <c r="B866" s="43"/>
      <c r="C866" s="42"/>
      <c r="D866" s="42"/>
      <c r="E866" s="44"/>
      <c r="F866" s="42"/>
      <c r="G866" s="42"/>
      <c r="H866" s="2"/>
      <c r="I866" s="45"/>
      <c r="J866" s="2"/>
      <c r="K866" s="46"/>
      <c r="L866" s="46"/>
      <c r="M866" s="44"/>
      <c r="N866" s="2"/>
      <c r="O866" s="46"/>
      <c r="P866" s="46"/>
      <c r="Q866" s="44"/>
      <c r="R866" s="40"/>
      <c r="S866" s="25"/>
      <c r="T866" s="50"/>
      <c r="U866" s="44"/>
      <c r="V866" s="44"/>
      <c r="W866" s="44"/>
      <c r="X866" s="44"/>
      <c r="Y866" s="44"/>
      <c r="Z866" s="44"/>
      <c r="AA866" s="44"/>
      <c r="AB866" s="44"/>
      <c r="AC866" s="44"/>
      <c r="AD866" s="49"/>
      <c r="AE866" s="27"/>
    </row>
    <row r="867" spans="1:31" ht="14.3">
      <c r="A867" s="42"/>
      <c r="B867" s="43"/>
      <c r="C867" s="42"/>
      <c r="D867" s="42"/>
      <c r="E867" s="44"/>
      <c r="F867" s="42"/>
      <c r="G867" s="42"/>
      <c r="H867" s="2"/>
      <c r="I867" s="45"/>
      <c r="J867" s="2"/>
      <c r="K867" s="46"/>
      <c r="L867" s="46"/>
      <c r="M867" s="44"/>
      <c r="N867" s="2"/>
      <c r="O867" s="46"/>
      <c r="P867" s="46"/>
      <c r="Q867" s="44"/>
      <c r="R867" s="40"/>
      <c r="S867" s="25"/>
      <c r="T867" s="50"/>
      <c r="U867" s="44"/>
      <c r="V867" s="44"/>
      <c r="W867" s="44"/>
      <c r="X867" s="44"/>
      <c r="Y867" s="44"/>
      <c r="Z867" s="44"/>
      <c r="AA867" s="44"/>
      <c r="AB867" s="44"/>
      <c r="AC867" s="44"/>
      <c r="AD867" s="49"/>
      <c r="AE867" s="27"/>
    </row>
    <row r="868" spans="1:31" ht="14.3">
      <c r="A868" s="42"/>
      <c r="B868" s="43"/>
      <c r="C868" s="42"/>
      <c r="D868" s="42"/>
      <c r="E868" s="44"/>
      <c r="F868" s="42"/>
      <c r="G868" s="42"/>
      <c r="H868" s="2"/>
      <c r="I868" s="45"/>
      <c r="J868" s="2"/>
      <c r="K868" s="46"/>
      <c r="L868" s="46"/>
      <c r="M868" s="44"/>
      <c r="N868" s="2"/>
      <c r="O868" s="46"/>
      <c r="P868" s="46"/>
      <c r="Q868" s="44"/>
      <c r="R868" s="40"/>
      <c r="S868" s="25"/>
      <c r="T868" s="50"/>
      <c r="U868" s="44"/>
      <c r="V868" s="44"/>
      <c r="W868" s="44"/>
      <c r="X868" s="44"/>
      <c r="Y868" s="44"/>
      <c r="Z868" s="44"/>
      <c r="AA868" s="44"/>
      <c r="AB868" s="44"/>
      <c r="AC868" s="44"/>
      <c r="AD868" s="49"/>
      <c r="AE868" s="27"/>
    </row>
    <row r="869" spans="1:31" ht="14.3">
      <c r="A869" s="42"/>
      <c r="B869" s="43"/>
      <c r="C869" s="42"/>
      <c r="D869" s="42"/>
      <c r="E869" s="44"/>
      <c r="F869" s="42"/>
      <c r="G869" s="42"/>
      <c r="H869" s="2"/>
      <c r="I869" s="45"/>
      <c r="J869" s="2"/>
      <c r="K869" s="46"/>
      <c r="L869" s="46"/>
      <c r="M869" s="44"/>
      <c r="N869" s="2"/>
      <c r="O869" s="46"/>
      <c r="P869" s="46"/>
      <c r="Q869" s="44"/>
      <c r="R869" s="40"/>
      <c r="S869" s="25"/>
      <c r="T869" s="50"/>
      <c r="U869" s="44"/>
      <c r="V869" s="44"/>
      <c r="W869" s="44"/>
      <c r="X869" s="44"/>
      <c r="Y869" s="44"/>
      <c r="Z869" s="44"/>
      <c r="AA869" s="44"/>
      <c r="AB869" s="44"/>
      <c r="AC869" s="44"/>
      <c r="AD869" s="49"/>
      <c r="AE869" s="27"/>
    </row>
    <row r="870" spans="1:31" ht="14.3">
      <c r="A870" s="42"/>
      <c r="B870" s="43"/>
      <c r="C870" s="42"/>
      <c r="D870" s="42"/>
      <c r="E870" s="44"/>
      <c r="F870" s="42"/>
      <c r="G870" s="42"/>
      <c r="H870" s="2"/>
      <c r="I870" s="45"/>
      <c r="J870" s="2"/>
      <c r="K870" s="46"/>
      <c r="L870" s="46"/>
      <c r="M870" s="44"/>
      <c r="N870" s="2"/>
      <c r="O870" s="46"/>
      <c r="P870" s="46"/>
      <c r="Q870" s="44"/>
      <c r="R870" s="40"/>
      <c r="S870" s="25"/>
      <c r="T870" s="50"/>
      <c r="U870" s="44"/>
      <c r="V870" s="44"/>
      <c r="W870" s="44"/>
      <c r="X870" s="44"/>
      <c r="Y870" s="44"/>
      <c r="Z870" s="44"/>
      <c r="AA870" s="44"/>
      <c r="AB870" s="44"/>
      <c r="AC870" s="44"/>
      <c r="AD870" s="49"/>
      <c r="AE870" s="27"/>
    </row>
    <row r="871" spans="1:31" ht="14.3">
      <c r="A871" s="42"/>
      <c r="B871" s="43"/>
      <c r="C871" s="42"/>
      <c r="D871" s="42"/>
      <c r="E871" s="44"/>
      <c r="F871" s="42"/>
      <c r="G871" s="42"/>
      <c r="H871" s="2"/>
      <c r="I871" s="45"/>
      <c r="J871" s="2"/>
      <c r="K871" s="46"/>
      <c r="L871" s="46"/>
      <c r="M871" s="44"/>
      <c r="N871" s="2"/>
      <c r="O871" s="46"/>
      <c r="P871" s="46"/>
      <c r="Q871" s="44"/>
      <c r="R871" s="40"/>
      <c r="S871" s="25"/>
      <c r="T871" s="50"/>
      <c r="U871" s="44"/>
      <c r="V871" s="44"/>
      <c r="W871" s="44"/>
      <c r="X871" s="44"/>
      <c r="Y871" s="44"/>
      <c r="Z871" s="44"/>
      <c r="AA871" s="44"/>
      <c r="AB871" s="44"/>
      <c r="AC871" s="44"/>
      <c r="AD871" s="49"/>
      <c r="AE871" s="27"/>
    </row>
    <row r="872" spans="1:31" ht="14.3">
      <c r="A872" s="42"/>
      <c r="B872" s="43"/>
      <c r="C872" s="42"/>
      <c r="D872" s="42"/>
      <c r="E872" s="44"/>
      <c r="F872" s="42"/>
      <c r="G872" s="42"/>
      <c r="H872" s="2"/>
      <c r="I872" s="45"/>
      <c r="J872" s="2"/>
      <c r="K872" s="46"/>
      <c r="L872" s="46"/>
      <c r="M872" s="44"/>
      <c r="N872" s="2"/>
      <c r="O872" s="46"/>
      <c r="P872" s="46"/>
      <c r="Q872" s="44"/>
      <c r="R872" s="40"/>
      <c r="S872" s="25"/>
      <c r="T872" s="50"/>
      <c r="U872" s="44"/>
      <c r="V872" s="44"/>
      <c r="W872" s="44"/>
      <c r="X872" s="44"/>
      <c r="Y872" s="44"/>
      <c r="Z872" s="44"/>
      <c r="AA872" s="44"/>
      <c r="AB872" s="44"/>
      <c r="AC872" s="44"/>
      <c r="AD872" s="49"/>
      <c r="AE872" s="27"/>
    </row>
    <row r="873" spans="1:31" ht="14.3">
      <c r="A873" s="42"/>
      <c r="B873" s="43"/>
      <c r="C873" s="42"/>
      <c r="D873" s="42"/>
      <c r="E873" s="44"/>
      <c r="F873" s="42"/>
      <c r="G873" s="42"/>
      <c r="H873" s="2"/>
      <c r="I873" s="45"/>
      <c r="J873" s="2"/>
      <c r="K873" s="46"/>
      <c r="L873" s="46"/>
      <c r="M873" s="44"/>
      <c r="N873" s="2"/>
      <c r="O873" s="46"/>
      <c r="P873" s="46"/>
      <c r="Q873" s="44"/>
      <c r="R873" s="40"/>
      <c r="S873" s="25"/>
      <c r="T873" s="50"/>
      <c r="U873" s="44"/>
      <c r="V873" s="44"/>
      <c r="W873" s="44"/>
      <c r="X873" s="44"/>
      <c r="Y873" s="44"/>
      <c r="Z873" s="44"/>
      <c r="AA873" s="44"/>
      <c r="AB873" s="44"/>
      <c r="AC873" s="44"/>
      <c r="AD873" s="49"/>
      <c r="AE873" s="27"/>
    </row>
    <row r="874" spans="1:31" ht="14.3">
      <c r="A874" s="42"/>
      <c r="B874" s="43"/>
      <c r="C874" s="42"/>
      <c r="D874" s="42"/>
      <c r="E874" s="44"/>
      <c r="F874" s="42"/>
      <c r="G874" s="42"/>
      <c r="H874" s="2"/>
      <c r="I874" s="45"/>
      <c r="J874" s="2"/>
      <c r="K874" s="46"/>
      <c r="L874" s="46"/>
      <c r="M874" s="44"/>
      <c r="N874" s="2"/>
      <c r="O874" s="46"/>
      <c r="P874" s="46"/>
      <c r="Q874" s="44"/>
      <c r="R874" s="40"/>
      <c r="S874" s="25"/>
      <c r="T874" s="50"/>
      <c r="U874" s="44"/>
      <c r="V874" s="44"/>
      <c r="W874" s="44"/>
      <c r="X874" s="44"/>
      <c r="Y874" s="44"/>
      <c r="Z874" s="44"/>
      <c r="AA874" s="44"/>
      <c r="AB874" s="44"/>
      <c r="AC874" s="44"/>
      <c r="AD874" s="49"/>
      <c r="AE874" s="27"/>
    </row>
    <row r="875" spans="1:31" ht="14.3">
      <c r="A875" s="42"/>
      <c r="B875" s="43"/>
      <c r="C875" s="42"/>
      <c r="D875" s="42"/>
      <c r="E875" s="44"/>
      <c r="F875" s="42"/>
      <c r="G875" s="42"/>
      <c r="H875" s="2"/>
      <c r="I875" s="45"/>
      <c r="J875" s="2"/>
      <c r="K875" s="46"/>
      <c r="L875" s="46"/>
      <c r="M875" s="44"/>
      <c r="N875" s="2"/>
      <c r="O875" s="46"/>
      <c r="P875" s="46"/>
      <c r="Q875" s="44"/>
      <c r="R875" s="40"/>
      <c r="S875" s="25"/>
      <c r="T875" s="50"/>
      <c r="U875" s="44"/>
      <c r="V875" s="44"/>
      <c r="W875" s="44"/>
      <c r="X875" s="44"/>
      <c r="Y875" s="44"/>
      <c r="Z875" s="44"/>
      <c r="AA875" s="44"/>
      <c r="AB875" s="44"/>
      <c r="AC875" s="44"/>
      <c r="AD875" s="49"/>
      <c r="AE875" s="27"/>
    </row>
    <row r="876" spans="1:31" ht="14.3">
      <c r="A876" s="42"/>
      <c r="B876" s="43"/>
      <c r="C876" s="42"/>
      <c r="D876" s="42"/>
      <c r="E876" s="44"/>
      <c r="F876" s="42"/>
      <c r="G876" s="42"/>
      <c r="H876" s="2"/>
      <c r="I876" s="45"/>
      <c r="J876" s="2"/>
      <c r="K876" s="46"/>
      <c r="L876" s="46"/>
      <c r="M876" s="44"/>
      <c r="N876" s="2"/>
      <c r="O876" s="46"/>
      <c r="P876" s="46"/>
      <c r="Q876" s="44"/>
      <c r="R876" s="40"/>
      <c r="S876" s="25"/>
      <c r="T876" s="50"/>
      <c r="U876" s="44"/>
      <c r="V876" s="44"/>
      <c r="W876" s="44"/>
      <c r="X876" s="44"/>
      <c r="Y876" s="44"/>
      <c r="Z876" s="44"/>
      <c r="AA876" s="44"/>
      <c r="AB876" s="44"/>
      <c r="AC876" s="44"/>
      <c r="AD876" s="49"/>
      <c r="AE876" s="27"/>
    </row>
    <row r="877" spans="1:31" ht="14.3">
      <c r="A877" s="42"/>
      <c r="B877" s="43"/>
      <c r="C877" s="42"/>
      <c r="D877" s="42"/>
      <c r="E877" s="44"/>
      <c r="F877" s="42"/>
      <c r="G877" s="42"/>
      <c r="H877" s="2"/>
      <c r="I877" s="45"/>
      <c r="J877" s="2"/>
      <c r="K877" s="46"/>
      <c r="L877" s="46"/>
      <c r="M877" s="44"/>
      <c r="N877" s="2"/>
      <c r="O877" s="46"/>
      <c r="P877" s="46"/>
      <c r="Q877" s="44"/>
      <c r="R877" s="40"/>
      <c r="S877" s="25"/>
      <c r="T877" s="50"/>
      <c r="U877" s="44"/>
      <c r="V877" s="44"/>
      <c r="W877" s="44"/>
      <c r="X877" s="44"/>
      <c r="Y877" s="44"/>
      <c r="Z877" s="44"/>
      <c r="AA877" s="44"/>
      <c r="AB877" s="44"/>
      <c r="AC877" s="44"/>
      <c r="AD877" s="49"/>
      <c r="AE877" s="27"/>
    </row>
    <row r="878" spans="1:31" ht="14.3">
      <c r="A878" s="42"/>
      <c r="B878" s="43"/>
      <c r="C878" s="42"/>
      <c r="D878" s="42"/>
      <c r="E878" s="44"/>
      <c r="F878" s="42"/>
      <c r="G878" s="42"/>
      <c r="H878" s="2"/>
      <c r="I878" s="45"/>
      <c r="J878" s="2"/>
      <c r="K878" s="46"/>
      <c r="L878" s="46"/>
      <c r="M878" s="44"/>
      <c r="N878" s="2"/>
      <c r="O878" s="46"/>
      <c r="P878" s="46"/>
      <c r="Q878" s="44"/>
      <c r="R878" s="40"/>
      <c r="S878" s="25"/>
      <c r="T878" s="50"/>
      <c r="U878" s="44"/>
      <c r="V878" s="44"/>
      <c r="W878" s="44"/>
      <c r="X878" s="44"/>
      <c r="Y878" s="44"/>
      <c r="Z878" s="44"/>
      <c r="AA878" s="44"/>
      <c r="AB878" s="44"/>
      <c r="AC878" s="44"/>
      <c r="AD878" s="49"/>
      <c r="AE878" s="27"/>
    </row>
    <row r="879" spans="1:31" ht="14.3">
      <c r="A879" s="42"/>
      <c r="B879" s="43"/>
      <c r="C879" s="42"/>
      <c r="D879" s="42"/>
      <c r="E879" s="44"/>
      <c r="F879" s="42"/>
      <c r="G879" s="42"/>
      <c r="H879" s="2"/>
      <c r="I879" s="45"/>
      <c r="J879" s="2"/>
      <c r="K879" s="46"/>
      <c r="L879" s="46"/>
      <c r="M879" s="44"/>
      <c r="N879" s="2"/>
      <c r="O879" s="46"/>
      <c r="P879" s="46"/>
      <c r="Q879" s="44"/>
      <c r="R879" s="40"/>
      <c r="S879" s="25"/>
      <c r="T879" s="50"/>
      <c r="U879" s="44"/>
      <c r="V879" s="44"/>
      <c r="W879" s="44"/>
      <c r="X879" s="44"/>
      <c r="Y879" s="44"/>
      <c r="Z879" s="44"/>
      <c r="AA879" s="44"/>
      <c r="AB879" s="44"/>
      <c r="AC879" s="44"/>
      <c r="AD879" s="49"/>
      <c r="AE879" s="27"/>
    </row>
    <row r="880" spans="1:31" ht="14.3">
      <c r="A880" s="42"/>
      <c r="B880" s="43"/>
      <c r="C880" s="42"/>
      <c r="D880" s="42"/>
      <c r="E880" s="44"/>
      <c r="F880" s="42"/>
      <c r="G880" s="42"/>
      <c r="H880" s="2"/>
      <c r="I880" s="45"/>
      <c r="J880" s="2"/>
      <c r="K880" s="46"/>
      <c r="L880" s="46"/>
      <c r="M880" s="44"/>
      <c r="N880" s="2"/>
      <c r="O880" s="46"/>
      <c r="P880" s="46"/>
      <c r="Q880" s="44"/>
      <c r="R880" s="40"/>
      <c r="S880" s="25"/>
      <c r="T880" s="50"/>
      <c r="U880" s="44"/>
      <c r="V880" s="44"/>
      <c r="W880" s="44"/>
      <c r="X880" s="44"/>
      <c r="Y880" s="44"/>
      <c r="Z880" s="44"/>
      <c r="AA880" s="44"/>
      <c r="AB880" s="44"/>
      <c r="AC880" s="44"/>
      <c r="AD880" s="49"/>
      <c r="AE880" s="27"/>
    </row>
    <row r="881" spans="1:31" ht="14.3">
      <c r="A881" s="42"/>
      <c r="B881" s="43"/>
      <c r="C881" s="42"/>
      <c r="D881" s="42"/>
      <c r="E881" s="44"/>
      <c r="F881" s="42"/>
      <c r="G881" s="42"/>
      <c r="H881" s="2"/>
      <c r="I881" s="45"/>
      <c r="J881" s="2"/>
      <c r="K881" s="46"/>
      <c r="L881" s="46"/>
      <c r="M881" s="44"/>
      <c r="N881" s="2"/>
      <c r="O881" s="46"/>
      <c r="P881" s="46"/>
      <c r="Q881" s="44"/>
      <c r="R881" s="40"/>
      <c r="S881" s="25"/>
      <c r="T881" s="50"/>
      <c r="U881" s="44"/>
      <c r="V881" s="44"/>
      <c r="W881" s="44"/>
      <c r="X881" s="44"/>
      <c r="Y881" s="44"/>
      <c r="Z881" s="44"/>
      <c r="AA881" s="44"/>
      <c r="AB881" s="44"/>
      <c r="AC881" s="44"/>
      <c r="AD881" s="49"/>
      <c r="AE881" s="27"/>
    </row>
    <row r="882" spans="1:31" ht="14.3">
      <c r="A882" s="42"/>
      <c r="B882" s="43"/>
      <c r="C882" s="42"/>
      <c r="D882" s="42"/>
      <c r="E882" s="44"/>
      <c r="F882" s="42"/>
      <c r="G882" s="42"/>
      <c r="H882" s="2"/>
      <c r="I882" s="45"/>
      <c r="J882" s="2"/>
      <c r="K882" s="46"/>
      <c r="L882" s="46"/>
      <c r="M882" s="44"/>
      <c r="N882" s="2"/>
      <c r="O882" s="46"/>
      <c r="P882" s="46"/>
      <c r="Q882" s="44"/>
      <c r="R882" s="40"/>
      <c r="S882" s="25"/>
      <c r="T882" s="50"/>
      <c r="U882" s="44"/>
      <c r="V882" s="44"/>
      <c r="W882" s="44"/>
      <c r="X882" s="44"/>
      <c r="Y882" s="44"/>
      <c r="Z882" s="44"/>
      <c r="AA882" s="44"/>
      <c r="AB882" s="44"/>
      <c r="AC882" s="44"/>
      <c r="AD882" s="49"/>
      <c r="AE882" s="27"/>
    </row>
    <row r="883" spans="1:31" ht="14.3">
      <c r="A883" s="42"/>
      <c r="B883" s="43"/>
      <c r="C883" s="42"/>
      <c r="D883" s="42"/>
      <c r="E883" s="44"/>
      <c r="F883" s="42"/>
      <c r="G883" s="42"/>
      <c r="H883" s="2"/>
      <c r="I883" s="45"/>
      <c r="J883" s="2"/>
      <c r="K883" s="46"/>
      <c r="L883" s="46"/>
      <c r="M883" s="44"/>
      <c r="N883" s="2"/>
      <c r="O883" s="46"/>
      <c r="P883" s="46"/>
      <c r="Q883" s="44"/>
      <c r="R883" s="40"/>
      <c r="S883" s="25"/>
      <c r="T883" s="50"/>
      <c r="U883" s="44"/>
      <c r="V883" s="44"/>
      <c r="W883" s="44"/>
      <c r="X883" s="44"/>
      <c r="Y883" s="44"/>
      <c r="Z883" s="44"/>
      <c r="AA883" s="44"/>
      <c r="AB883" s="44"/>
      <c r="AC883" s="44"/>
      <c r="AD883" s="49"/>
      <c r="AE883" s="27"/>
    </row>
    <row r="884" spans="1:31" ht="14.3">
      <c r="A884" s="42"/>
      <c r="B884" s="43"/>
      <c r="C884" s="42"/>
      <c r="D884" s="42"/>
      <c r="E884" s="44"/>
      <c r="F884" s="42"/>
      <c r="G884" s="42"/>
      <c r="H884" s="2"/>
      <c r="I884" s="45"/>
      <c r="J884" s="2"/>
      <c r="K884" s="46"/>
      <c r="L884" s="46"/>
      <c r="M884" s="44"/>
      <c r="N884" s="2"/>
      <c r="O884" s="46"/>
      <c r="P884" s="46"/>
      <c r="Q884" s="44"/>
      <c r="R884" s="40"/>
      <c r="S884" s="25"/>
      <c r="T884" s="50"/>
      <c r="U884" s="44"/>
      <c r="V884" s="44"/>
      <c r="W884" s="44"/>
      <c r="X884" s="44"/>
      <c r="Y884" s="44"/>
      <c r="Z884" s="44"/>
      <c r="AA884" s="44"/>
      <c r="AB884" s="44"/>
      <c r="AC884" s="44"/>
      <c r="AD884" s="49"/>
      <c r="AE884" s="27"/>
    </row>
    <row r="885" spans="1:31" ht="14.3">
      <c r="A885" s="42"/>
      <c r="B885" s="43"/>
      <c r="C885" s="42"/>
      <c r="D885" s="42"/>
      <c r="E885" s="44"/>
      <c r="F885" s="42"/>
      <c r="G885" s="42"/>
      <c r="H885" s="2"/>
      <c r="I885" s="45"/>
      <c r="J885" s="2"/>
      <c r="K885" s="46"/>
      <c r="L885" s="46"/>
      <c r="M885" s="44"/>
      <c r="N885" s="2"/>
      <c r="O885" s="46"/>
      <c r="P885" s="46"/>
      <c r="Q885" s="44"/>
      <c r="R885" s="40"/>
      <c r="S885" s="25"/>
      <c r="T885" s="50"/>
      <c r="U885" s="44"/>
      <c r="V885" s="44"/>
      <c r="W885" s="44"/>
      <c r="X885" s="44"/>
      <c r="Y885" s="44"/>
      <c r="Z885" s="44"/>
      <c r="AA885" s="44"/>
      <c r="AB885" s="44"/>
      <c r="AC885" s="44"/>
      <c r="AD885" s="49"/>
      <c r="AE885" s="27"/>
    </row>
    <row r="886" spans="1:31" ht="14.3">
      <c r="A886" s="42"/>
      <c r="B886" s="43"/>
      <c r="C886" s="42"/>
      <c r="D886" s="42"/>
      <c r="E886" s="44"/>
      <c r="F886" s="42"/>
      <c r="G886" s="42"/>
      <c r="H886" s="2"/>
      <c r="I886" s="45"/>
      <c r="J886" s="2"/>
      <c r="K886" s="46"/>
      <c r="L886" s="46"/>
      <c r="M886" s="44"/>
      <c r="N886" s="2"/>
      <c r="O886" s="46"/>
      <c r="P886" s="46"/>
      <c r="Q886" s="44"/>
      <c r="R886" s="40"/>
      <c r="S886" s="25"/>
      <c r="T886" s="50"/>
      <c r="U886" s="44"/>
      <c r="V886" s="44"/>
      <c r="W886" s="44"/>
      <c r="X886" s="44"/>
      <c r="Y886" s="44"/>
      <c r="Z886" s="44"/>
      <c r="AA886" s="44"/>
      <c r="AB886" s="44"/>
      <c r="AC886" s="44"/>
      <c r="AD886" s="49"/>
      <c r="AE886" s="27"/>
    </row>
    <row r="887" spans="1:31" ht="14.3">
      <c r="A887" s="42"/>
      <c r="B887" s="43"/>
      <c r="C887" s="42"/>
      <c r="D887" s="42"/>
      <c r="E887" s="44"/>
      <c r="F887" s="42"/>
      <c r="G887" s="42"/>
      <c r="H887" s="2"/>
      <c r="I887" s="45"/>
      <c r="J887" s="2"/>
      <c r="K887" s="46"/>
      <c r="L887" s="46"/>
      <c r="M887" s="44"/>
      <c r="N887" s="2"/>
      <c r="O887" s="46"/>
      <c r="P887" s="46"/>
      <c r="Q887" s="44"/>
      <c r="R887" s="40"/>
      <c r="S887" s="25"/>
      <c r="T887" s="50"/>
      <c r="U887" s="44"/>
      <c r="V887" s="44"/>
      <c r="W887" s="44"/>
      <c r="X887" s="44"/>
      <c r="Y887" s="44"/>
      <c r="Z887" s="44"/>
      <c r="AA887" s="44"/>
      <c r="AB887" s="44"/>
      <c r="AC887" s="44"/>
      <c r="AD887" s="49"/>
      <c r="AE887" s="27"/>
    </row>
    <row r="888" spans="1:31" ht="14.3">
      <c r="A888" s="42"/>
      <c r="B888" s="43"/>
      <c r="C888" s="42"/>
      <c r="D888" s="42"/>
      <c r="E888" s="44"/>
      <c r="F888" s="42"/>
      <c r="G888" s="42"/>
      <c r="H888" s="2"/>
      <c r="I888" s="45"/>
      <c r="J888" s="2"/>
      <c r="K888" s="46"/>
      <c r="L888" s="46"/>
      <c r="M888" s="44"/>
      <c r="N888" s="2"/>
      <c r="O888" s="46"/>
      <c r="P888" s="46"/>
      <c r="Q888" s="44"/>
      <c r="R888" s="40"/>
      <c r="S888" s="25"/>
      <c r="T888" s="50"/>
      <c r="U888" s="44"/>
      <c r="V888" s="44"/>
      <c r="W888" s="44"/>
      <c r="X888" s="44"/>
      <c r="Y888" s="44"/>
      <c r="Z888" s="44"/>
      <c r="AA888" s="44"/>
      <c r="AB888" s="44"/>
      <c r="AC888" s="44"/>
      <c r="AD888" s="49"/>
      <c r="AE888" s="27"/>
    </row>
    <row r="889" spans="1:31" ht="14.3">
      <c r="A889" s="42"/>
      <c r="B889" s="43"/>
      <c r="C889" s="42"/>
      <c r="D889" s="42"/>
      <c r="E889" s="44"/>
      <c r="F889" s="42"/>
      <c r="G889" s="42"/>
      <c r="H889" s="2"/>
      <c r="I889" s="45"/>
      <c r="J889" s="2"/>
      <c r="K889" s="46"/>
      <c r="L889" s="46"/>
      <c r="M889" s="44"/>
      <c r="N889" s="2"/>
      <c r="O889" s="46"/>
      <c r="P889" s="46"/>
      <c r="Q889" s="44"/>
      <c r="R889" s="40"/>
      <c r="S889" s="25"/>
      <c r="T889" s="50"/>
      <c r="U889" s="44"/>
      <c r="V889" s="44"/>
      <c r="W889" s="44"/>
      <c r="X889" s="44"/>
      <c r="Y889" s="44"/>
      <c r="Z889" s="44"/>
      <c r="AA889" s="44"/>
      <c r="AB889" s="44"/>
      <c r="AC889" s="44"/>
      <c r="AD889" s="49"/>
      <c r="AE889" s="27"/>
    </row>
    <row r="890" spans="1:31" ht="14.3">
      <c r="A890" s="42"/>
      <c r="B890" s="43"/>
      <c r="C890" s="42"/>
      <c r="D890" s="42"/>
      <c r="E890" s="44"/>
      <c r="F890" s="42"/>
      <c r="G890" s="42"/>
      <c r="H890" s="2"/>
      <c r="I890" s="45"/>
      <c r="J890" s="2"/>
      <c r="K890" s="46"/>
      <c r="L890" s="46"/>
      <c r="M890" s="44"/>
      <c r="N890" s="2"/>
      <c r="O890" s="46"/>
      <c r="P890" s="46"/>
      <c r="Q890" s="44"/>
      <c r="R890" s="40"/>
      <c r="S890" s="25"/>
      <c r="T890" s="50"/>
      <c r="U890" s="44"/>
      <c r="V890" s="44"/>
      <c r="W890" s="44"/>
      <c r="X890" s="44"/>
      <c r="Y890" s="44"/>
      <c r="Z890" s="44"/>
      <c r="AA890" s="44"/>
      <c r="AB890" s="44"/>
      <c r="AC890" s="44"/>
      <c r="AD890" s="49"/>
      <c r="AE890" s="27"/>
    </row>
    <row r="891" spans="1:31" ht="14.3">
      <c r="A891" s="42"/>
      <c r="B891" s="43"/>
      <c r="C891" s="42"/>
      <c r="D891" s="42"/>
      <c r="E891" s="44"/>
      <c r="F891" s="42"/>
      <c r="G891" s="42"/>
      <c r="H891" s="2"/>
      <c r="I891" s="45"/>
      <c r="J891" s="2"/>
      <c r="K891" s="46"/>
      <c r="L891" s="46"/>
      <c r="M891" s="44"/>
      <c r="N891" s="2"/>
      <c r="O891" s="46"/>
      <c r="P891" s="46"/>
      <c r="Q891" s="44"/>
      <c r="R891" s="40"/>
      <c r="S891" s="25"/>
      <c r="T891" s="50"/>
      <c r="U891" s="44"/>
      <c r="V891" s="44"/>
      <c r="W891" s="44"/>
      <c r="X891" s="44"/>
      <c r="Y891" s="44"/>
      <c r="Z891" s="44"/>
      <c r="AA891" s="44"/>
      <c r="AB891" s="44"/>
      <c r="AC891" s="44"/>
      <c r="AD891" s="49"/>
      <c r="AE891" s="27"/>
    </row>
    <row r="892" spans="1:31" ht="14.3">
      <c r="A892" s="42"/>
      <c r="B892" s="43"/>
      <c r="C892" s="42"/>
      <c r="D892" s="42"/>
      <c r="E892" s="44"/>
      <c r="F892" s="42"/>
      <c r="G892" s="42"/>
      <c r="H892" s="2"/>
      <c r="I892" s="45"/>
      <c r="J892" s="2"/>
      <c r="K892" s="46"/>
      <c r="L892" s="46"/>
      <c r="M892" s="44"/>
      <c r="N892" s="2"/>
      <c r="O892" s="46"/>
      <c r="P892" s="46"/>
      <c r="Q892" s="44"/>
      <c r="R892" s="40"/>
      <c r="S892" s="25"/>
      <c r="T892" s="50"/>
      <c r="U892" s="44"/>
      <c r="V892" s="44"/>
      <c r="W892" s="44"/>
      <c r="X892" s="44"/>
      <c r="Y892" s="44"/>
      <c r="Z892" s="44"/>
      <c r="AA892" s="44"/>
      <c r="AB892" s="44"/>
      <c r="AC892" s="44"/>
      <c r="AD892" s="49"/>
      <c r="AE892" s="27"/>
    </row>
    <row r="893" spans="1:31" ht="14.3">
      <c r="A893" s="42"/>
      <c r="B893" s="43"/>
      <c r="C893" s="42"/>
      <c r="D893" s="42"/>
      <c r="E893" s="44"/>
      <c r="F893" s="42"/>
      <c r="G893" s="42"/>
      <c r="H893" s="2"/>
      <c r="I893" s="45"/>
      <c r="J893" s="2"/>
      <c r="K893" s="46"/>
      <c r="L893" s="46"/>
      <c r="M893" s="44"/>
      <c r="N893" s="2"/>
      <c r="O893" s="46"/>
      <c r="P893" s="46"/>
      <c r="Q893" s="44"/>
      <c r="R893" s="40"/>
      <c r="S893" s="25"/>
      <c r="T893" s="50"/>
      <c r="U893" s="44"/>
      <c r="V893" s="44"/>
      <c r="W893" s="44"/>
      <c r="X893" s="44"/>
      <c r="Y893" s="44"/>
      <c r="Z893" s="44"/>
      <c r="AA893" s="44"/>
      <c r="AB893" s="44"/>
      <c r="AC893" s="44"/>
      <c r="AD893" s="49"/>
      <c r="AE893" s="27"/>
    </row>
    <row r="894" spans="1:31" ht="14.3">
      <c r="A894" s="42"/>
      <c r="B894" s="43"/>
      <c r="C894" s="42"/>
      <c r="D894" s="42"/>
      <c r="E894" s="44"/>
      <c r="F894" s="42"/>
      <c r="G894" s="42"/>
      <c r="H894" s="2"/>
      <c r="I894" s="45"/>
      <c r="J894" s="2"/>
      <c r="K894" s="46"/>
      <c r="L894" s="46"/>
      <c r="M894" s="44"/>
      <c r="N894" s="2"/>
      <c r="O894" s="46"/>
      <c r="P894" s="46"/>
      <c r="Q894" s="44"/>
      <c r="R894" s="40"/>
      <c r="S894" s="25"/>
      <c r="T894" s="50"/>
      <c r="U894" s="44"/>
      <c r="V894" s="44"/>
      <c r="W894" s="44"/>
      <c r="X894" s="44"/>
      <c r="Y894" s="44"/>
      <c r="Z894" s="44"/>
      <c r="AA894" s="44"/>
      <c r="AB894" s="44"/>
      <c r="AC894" s="44"/>
      <c r="AD894" s="49"/>
      <c r="AE894" s="27"/>
    </row>
    <row r="895" spans="1:31" ht="14.3">
      <c r="A895" s="42"/>
      <c r="B895" s="43"/>
      <c r="C895" s="42"/>
      <c r="D895" s="42"/>
      <c r="E895" s="44"/>
      <c r="F895" s="42"/>
      <c r="G895" s="42"/>
      <c r="H895" s="2"/>
      <c r="I895" s="45"/>
      <c r="J895" s="2"/>
      <c r="K895" s="46"/>
      <c r="L895" s="46"/>
      <c r="M895" s="44"/>
      <c r="N895" s="2"/>
      <c r="O895" s="46"/>
      <c r="P895" s="46"/>
      <c r="Q895" s="44"/>
      <c r="R895" s="40"/>
      <c r="S895" s="25"/>
      <c r="T895" s="50"/>
      <c r="U895" s="44"/>
      <c r="V895" s="44"/>
      <c r="W895" s="44"/>
      <c r="X895" s="44"/>
      <c r="Y895" s="44"/>
      <c r="Z895" s="44"/>
      <c r="AA895" s="44"/>
      <c r="AB895" s="44"/>
      <c r="AC895" s="44"/>
      <c r="AD895" s="49"/>
      <c r="AE895" s="27"/>
    </row>
    <row r="896" spans="1:31" ht="14.3">
      <c r="A896" s="42"/>
      <c r="B896" s="43"/>
      <c r="C896" s="42"/>
      <c r="D896" s="42"/>
      <c r="E896" s="44"/>
      <c r="F896" s="42"/>
      <c r="G896" s="42"/>
      <c r="H896" s="2"/>
      <c r="I896" s="45"/>
      <c r="J896" s="2"/>
      <c r="K896" s="46"/>
      <c r="L896" s="46"/>
      <c r="M896" s="44"/>
      <c r="N896" s="2"/>
      <c r="O896" s="46"/>
      <c r="P896" s="46"/>
      <c r="Q896" s="44"/>
      <c r="R896" s="40"/>
      <c r="S896" s="25"/>
      <c r="T896" s="50"/>
      <c r="U896" s="44"/>
      <c r="V896" s="44"/>
      <c r="W896" s="44"/>
      <c r="X896" s="44"/>
      <c r="Y896" s="44"/>
      <c r="Z896" s="44"/>
      <c r="AA896" s="44"/>
      <c r="AB896" s="44"/>
      <c r="AC896" s="44"/>
      <c r="AD896" s="49"/>
      <c r="AE896" s="27"/>
    </row>
    <row r="897" spans="1:31" ht="14.3">
      <c r="A897" s="42"/>
      <c r="B897" s="43"/>
      <c r="C897" s="42"/>
      <c r="D897" s="42"/>
      <c r="E897" s="44"/>
      <c r="F897" s="42"/>
      <c r="G897" s="42"/>
      <c r="H897" s="2"/>
      <c r="I897" s="45"/>
      <c r="J897" s="2"/>
      <c r="K897" s="46"/>
      <c r="L897" s="46"/>
      <c r="M897" s="44"/>
      <c r="N897" s="2"/>
      <c r="O897" s="46"/>
      <c r="P897" s="46"/>
      <c r="Q897" s="44"/>
      <c r="R897" s="40"/>
      <c r="S897" s="25"/>
      <c r="T897" s="50"/>
      <c r="U897" s="44"/>
      <c r="V897" s="44"/>
      <c r="W897" s="44"/>
      <c r="X897" s="44"/>
      <c r="Y897" s="44"/>
      <c r="Z897" s="44"/>
      <c r="AA897" s="44"/>
      <c r="AB897" s="44"/>
      <c r="AC897" s="44"/>
      <c r="AD897" s="49"/>
      <c r="AE897" s="27"/>
    </row>
    <row r="898" spans="1:31" ht="14.3">
      <c r="A898" s="42"/>
      <c r="B898" s="43"/>
      <c r="C898" s="42"/>
      <c r="D898" s="42"/>
      <c r="E898" s="44"/>
      <c r="F898" s="42"/>
      <c r="G898" s="42"/>
      <c r="H898" s="2"/>
      <c r="I898" s="45"/>
      <c r="J898" s="2"/>
      <c r="K898" s="46"/>
      <c r="L898" s="46"/>
      <c r="M898" s="44"/>
      <c r="N898" s="2"/>
      <c r="O898" s="46"/>
      <c r="P898" s="46"/>
      <c r="Q898" s="44"/>
      <c r="R898" s="40"/>
      <c r="S898" s="25"/>
      <c r="T898" s="50"/>
      <c r="U898" s="44"/>
      <c r="V898" s="44"/>
      <c r="W898" s="44"/>
      <c r="X898" s="44"/>
      <c r="Y898" s="44"/>
      <c r="Z898" s="44"/>
      <c r="AA898" s="44"/>
      <c r="AB898" s="44"/>
      <c r="AC898" s="44"/>
      <c r="AD898" s="49"/>
      <c r="AE898" s="27"/>
    </row>
    <row r="899" spans="1:31" ht="14.3">
      <c r="A899" s="42"/>
      <c r="B899" s="43"/>
      <c r="C899" s="42"/>
      <c r="D899" s="42"/>
      <c r="E899" s="44"/>
      <c r="F899" s="42"/>
      <c r="G899" s="42"/>
      <c r="H899" s="2"/>
      <c r="I899" s="45"/>
      <c r="J899" s="2"/>
      <c r="K899" s="46"/>
      <c r="L899" s="46"/>
      <c r="M899" s="44"/>
      <c r="N899" s="2"/>
      <c r="O899" s="46"/>
      <c r="P899" s="46"/>
      <c r="Q899" s="44"/>
      <c r="R899" s="40"/>
      <c r="S899" s="25"/>
      <c r="T899" s="50"/>
      <c r="U899" s="44"/>
      <c r="V899" s="44"/>
      <c r="W899" s="44"/>
      <c r="X899" s="44"/>
      <c r="Y899" s="44"/>
      <c r="Z899" s="44"/>
      <c r="AA899" s="44"/>
      <c r="AB899" s="44"/>
      <c r="AC899" s="44"/>
      <c r="AD899" s="49"/>
      <c r="AE899" s="27"/>
    </row>
    <row r="900" spans="1:31" ht="14.3">
      <c r="A900" s="42"/>
      <c r="B900" s="43"/>
      <c r="C900" s="42"/>
      <c r="D900" s="42"/>
      <c r="E900" s="44"/>
      <c r="F900" s="42"/>
      <c r="G900" s="42"/>
      <c r="H900" s="2"/>
      <c r="I900" s="45"/>
      <c r="J900" s="2"/>
      <c r="K900" s="46"/>
      <c r="L900" s="46"/>
      <c r="M900" s="44"/>
      <c r="N900" s="2"/>
      <c r="O900" s="46"/>
      <c r="P900" s="46"/>
      <c r="Q900" s="44"/>
      <c r="R900" s="40"/>
      <c r="S900" s="25"/>
      <c r="T900" s="50"/>
      <c r="U900" s="44"/>
      <c r="V900" s="44"/>
      <c r="W900" s="44"/>
      <c r="X900" s="44"/>
      <c r="Y900" s="44"/>
      <c r="Z900" s="44"/>
      <c r="AA900" s="44"/>
      <c r="AB900" s="44"/>
      <c r="AC900" s="44"/>
      <c r="AD900" s="49"/>
      <c r="AE900" s="27"/>
    </row>
    <row r="901" spans="1:31" ht="14.3">
      <c r="A901" s="42"/>
      <c r="B901" s="43"/>
      <c r="C901" s="42"/>
      <c r="D901" s="42"/>
      <c r="E901" s="44"/>
      <c r="F901" s="42"/>
      <c r="G901" s="42"/>
      <c r="H901" s="2"/>
      <c r="I901" s="45"/>
      <c r="J901" s="2"/>
      <c r="K901" s="46"/>
      <c r="L901" s="46"/>
      <c r="M901" s="44"/>
      <c r="N901" s="2"/>
      <c r="O901" s="46"/>
      <c r="P901" s="46"/>
      <c r="Q901" s="44"/>
      <c r="R901" s="40"/>
      <c r="S901" s="25"/>
      <c r="T901" s="50"/>
      <c r="U901" s="44"/>
      <c r="V901" s="44"/>
      <c r="W901" s="44"/>
      <c r="X901" s="44"/>
      <c r="Y901" s="44"/>
      <c r="Z901" s="44"/>
      <c r="AA901" s="44"/>
      <c r="AB901" s="44"/>
      <c r="AC901" s="44"/>
      <c r="AD901" s="49"/>
      <c r="AE901" s="27"/>
    </row>
    <row r="902" spans="1:31" ht="14.3">
      <c r="A902" s="42"/>
      <c r="B902" s="43"/>
      <c r="C902" s="42"/>
      <c r="D902" s="42"/>
      <c r="E902" s="44"/>
      <c r="F902" s="42"/>
      <c r="G902" s="42"/>
      <c r="H902" s="2"/>
      <c r="I902" s="45"/>
      <c r="J902" s="2"/>
      <c r="K902" s="46"/>
      <c r="L902" s="46"/>
      <c r="M902" s="44"/>
      <c r="N902" s="2"/>
      <c r="O902" s="46"/>
      <c r="P902" s="46"/>
      <c r="Q902" s="44"/>
      <c r="R902" s="40"/>
      <c r="S902" s="25"/>
      <c r="T902" s="50"/>
      <c r="U902" s="44"/>
      <c r="V902" s="44"/>
      <c r="W902" s="44"/>
      <c r="X902" s="44"/>
      <c r="Y902" s="44"/>
      <c r="Z902" s="44"/>
      <c r="AA902" s="44"/>
      <c r="AB902" s="44"/>
      <c r="AC902" s="44"/>
      <c r="AD902" s="49"/>
      <c r="AE902" s="27"/>
    </row>
    <row r="903" spans="1:31" ht="14.3">
      <c r="A903" s="42"/>
      <c r="B903" s="43"/>
      <c r="C903" s="42"/>
      <c r="D903" s="42"/>
      <c r="E903" s="44"/>
      <c r="F903" s="42"/>
      <c r="G903" s="42"/>
      <c r="H903" s="2"/>
      <c r="I903" s="45"/>
      <c r="J903" s="2"/>
      <c r="K903" s="46"/>
      <c r="L903" s="46"/>
      <c r="M903" s="44"/>
      <c r="N903" s="2"/>
      <c r="O903" s="46"/>
      <c r="P903" s="46"/>
      <c r="Q903" s="44"/>
      <c r="R903" s="40"/>
      <c r="S903" s="25"/>
      <c r="T903" s="50"/>
      <c r="U903" s="44"/>
      <c r="V903" s="44"/>
      <c r="W903" s="44"/>
      <c r="X903" s="44"/>
      <c r="Y903" s="44"/>
      <c r="Z903" s="44"/>
      <c r="AA903" s="44"/>
      <c r="AB903" s="44"/>
      <c r="AC903" s="44"/>
      <c r="AD903" s="49"/>
      <c r="AE903" s="27"/>
    </row>
    <row r="904" spans="1:31" ht="14.3">
      <c r="A904" s="42"/>
      <c r="B904" s="43"/>
      <c r="C904" s="42"/>
      <c r="D904" s="42"/>
      <c r="E904" s="44"/>
      <c r="F904" s="42"/>
      <c r="G904" s="42"/>
      <c r="H904" s="2"/>
      <c r="I904" s="45"/>
      <c r="J904" s="2"/>
      <c r="K904" s="46"/>
      <c r="L904" s="46"/>
      <c r="M904" s="44"/>
      <c r="N904" s="2"/>
      <c r="O904" s="46"/>
      <c r="P904" s="46"/>
      <c r="Q904" s="44"/>
      <c r="R904" s="40"/>
      <c r="S904" s="25"/>
      <c r="T904" s="50"/>
      <c r="U904" s="44"/>
      <c r="V904" s="44"/>
      <c r="W904" s="44"/>
      <c r="X904" s="44"/>
      <c r="Y904" s="44"/>
      <c r="Z904" s="44"/>
      <c r="AA904" s="44"/>
      <c r="AB904" s="44"/>
      <c r="AC904" s="44"/>
      <c r="AD904" s="49"/>
      <c r="AE904" s="27"/>
    </row>
    <row r="905" spans="1:31" ht="14.3">
      <c r="A905" s="42"/>
      <c r="B905" s="43"/>
      <c r="C905" s="42"/>
      <c r="D905" s="42"/>
      <c r="E905" s="44"/>
      <c r="F905" s="42"/>
      <c r="G905" s="42"/>
      <c r="H905" s="2"/>
      <c r="I905" s="45"/>
      <c r="J905" s="2"/>
      <c r="K905" s="46"/>
      <c r="L905" s="46"/>
      <c r="M905" s="44"/>
      <c r="N905" s="2"/>
      <c r="O905" s="46"/>
      <c r="P905" s="46"/>
      <c r="Q905" s="44"/>
      <c r="R905" s="40"/>
      <c r="S905" s="25"/>
      <c r="T905" s="50"/>
      <c r="U905" s="44"/>
      <c r="V905" s="44"/>
      <c r="W905" s="44"/>
      <c r="X905" s="44"/>
      <c r="Y905" s="44"/>
      <c r="Z905" s="44"/>
      <c r="AA905" s="44"/>
      <c r="AB905" s="44"/>
      <c r="AC905" s="44"/>
      <c r="AD905" s="49"/>
      <c r="AE905" s="27"/>
    </row>
    <row r="906" spans="1:31" ht="14.3">
      <c r="A906" s="42"/>
      <c r="B906" s="43"/>
      <c r="C906" s="42"/>
      <c r="D906" s="42"/>
      <c r="E906" s="44"/>
      <c r="F906" s="42"/>
      <c r="G906" s="42"/>
      <c r="H906" s="2"/>
      <c r="I906" s="45"/>
      <c r="J906" s="2"/>
      <c r="K906" s="46"/>
      <c r="L906" s="46"/>
      <c r="M906" s="44"/>
      <c r="N906" s="2"/>
      <c r="O906" s="46"/>
      <c r="P906" s="46"/>
      <c r="Q906" s="44"/>
      <c r="R906" s="40"/>
      <c r="S906" s="25"/>
      <c r="T906" s="50"/>
      <c r="U906" s="44"/>
      <c r="V906" s="44"/>
      <c r="W906" s="44"/>
      <c r="X906" s="44"/>
      <c r="Y906" s="44"/>
      <c r="Z906" s="44"/>
      <c r="AA906" s="44"/>
      <c r="AB906" s="44"/>
      <c r="AC906" s="44"/>
      <c r="AD906" s="49"/>
      <c r="AE906" s="27"/>
    </row>
    <row r="907" spans="1:31" ht="14.3">
      <c r="A907" s="42"/>
      <c r="B907" s="43"/>
      <c r="C907" s="42"/>
      <c r="D907" s="42"/>
      <c r="E907" s="44"/>
      <c r="F907" s="42"/>
      <c r="G907" s="42"/>
      <c r="H907" s="2"/>
      <c r="I907" s="45"/>
      <c r="J907" s="2"/>
      <c r="K907" s="46"/>
      <c r="L907" s="46"/>
      <c r="M907" s="44"/>
      <c r="N907" s="2"/>
      <c r="O907" s="46"/>
      <c r="P907" s="46"/>
      <c r="Q907" s="44"/>
      <c r="R907" s="40"/>
      <c r="S907" s="25"/>
      <c r="T907" s="50"/>
      <c r="U907" s="44"/>
      <c r="V907" s="44"/>
      <c r="W907" s="44"/>
      <c r="X907" s="44"/>
      <c r="Y907" s="44"/>
      <c r="Z907" s="44"/>
      <c r="AA907" s="44"/>
      <c r="AB907" s="44"/>
      <c r="AC907" s="44"/>
      <c r="AD907" s="49"/>
      <c r="AE907" s="27"/>
    </row>
    <row r="908" spans="1:31" ht="14.3">
      <c r="A908" s="42"/>
      <c r="B908" s="43"/>
      <c r="C908" s="42"/>
      <c r="D908" s="42"/>
      <c r="E908" s="44"/>
      <c r="F908" s="42"/>
      <c r="G908" s="42"/>
      <c r="H908" s="2"/>
      <c r="I908" s="45"/>
      <c r="J908" s="2"/>
      <c r="K908" s="46"/>
      <c r="L908" s="46"/>
      <c r="M908" s="44"/>
      <c r="N908" s="2"/>
      <c r="O908" s="46"/>
      <c r="P908" s="46"/>
      <c r="Q908" s="44"/>
      <c r="R908" s="40"/>
      <c r="S908" s="25"/>
      <c r="T908" s="50"/>
      <c r="U908" s="44"/>
      <c r="V908" s="44"/>
      <c r="W908" s="44"/>
      <c r="X908" s="44"/>
      <c r="Y908" s="44"/>
      <c r="Z908" s="44"/>
      <c r="AA908" s="44"/>
      <c r="AB908" s="44"/>
      <c r="AC908" s="44"/>
      <c r="AD908" s="49"/>
      <c r="AE908" s="27"/>
    </row>
    <row r="909" spans="1:31" ht="14.3">
      <c r="A909" s="42"/>
      <c r="B909" s="43"/>
      <c r="C909" s="42"/>
      <c r="D909" s="42"/>
      <c r="E909" s="44"/>
      <c r="F909" s="42"/>
      <c r="G909" s="42"/>
      <c r="H909" s="2"/>
      <c r="I909" s="45"/>
      <c r="J909" s="2"/>
      <c r="K909" s="46"/>
      <c r="L909" s="46"/>
      <c r="M909" s="44"/>
      <c r="N909" s="2"/>
      <c r="O909" s="46"/>
      <c r="P909" s="46"/>
      <c r="Q909" s="44"/>
      <c r="R909" s="40"/>
      <c r="S909" s="25"/>
      <c r="T909" s="50"/>
      <c r="U909" s="44"/>
      <c r="V909" s="44"/>
      <c r="W909" s="44"/>
      <c r="X909" s="44"/>
      <c r="Y909" s="44"/>
      <c r="Z909" s="44"/>
      <c r="AA909" s="44"/>
      <c r="AB909" s="44"/>
      <c r="AC909" s="44"/>
      <c r="AD909" s="49"/>
      <c r="AE909" s="27"/>
    </row>
    <row r="910" spans="1:31" ht="14.3">
      <c r="A910" s="42"/>
      <c r="B910" s="43"/>
      <c r="C910" s="42"/>
      <c r="D910" s="42"/>
      <c r="E910" s="44"/>
      <c r="F910" s="42"/>
      <c r="G910" s="42"/>
      <c r="H910" s="2"/>
      <c r="I910" s="45"/>
      <c r="J910" s="2"/>
      <c r="K910" s="46"/>
      <c r="L910" s="46"/>
      <c r="M910" s="44"/>
      <c r="N910" s="2"/>
      <c r="O910" s="46"/>
      <c r="P910" s="46"/>
      <c r="Q910" s="44"/>
      <c r="R910" s="40"/>
      <c r="S910" s="25"/>
      <c r="T910" s="50"/>
      <c r="U910" s="44"/>
      <c r="V910" s="44"/>
      <c r="W910" s="44"/>
      <c r="X910" s="44"/>
      <c r="Y910" s="44"/>
      <c r="Z910" s="44"/>
      <c r="AA910" s="44"/>
      <c r="AB910" s="44"/>
      <c r="AC910" s="44"/>
      <c r="AD910" s="49"/>
      <c r="AE910" s="27"/>
    </row>
    <row r="911" spans="1:31" ht="14.3">
      <c r="A911" s="42"/>
      <c r="B911" s="43"/>
      <c r="C911" s="42"/>
      <c r="D911" s="42"/>
      <c r="E911" s="44"/>
      <c r="F911" s="42"/>
      <c r="G911" s="42"/>
      <c r="H911" s="2"/>
      <c r="I911" s="45"/>
      <c r="J911" s="2"/>
      <c r="K911" s="46"/>
      <c r="L911" s="46"/>
      <c r="M911" s="44"/>
      <c r="N911" s="2"/>
      <c r="O911" s="46"/>
      <c r="P911" s="46"/>
      <c r="Q911" s="44"/>
      <c r="R911" s="40"/>
      <c r="S911" s="25"/>
      <c r="T911" s="50"/>
      <c r="U911" s="44"/>
      <c r="V911" s="44"/>
      <c r="W911" s="44"/>
      <c r="X911" s="44"/>
      <c r="Y911" s="44"/>
      <c r="Z911" s="44"/>
      <c r="AA911" s="44"/>
      <c r="AB911" s="44"/>
      <c r="AC911" s="44"/>
      <c r="AD911" s="49"/>
      <c r="AE911" s="27"/>
    </row>
    <row r="912" spans="1:31" ht="14.3">
      <c r="A912" s="42"/>
      <c r="B912" s="43"/>
      <c r="C912" s="42"/>
      <c r="D912" s="42"/>
      <c r="E912" s="44"/>
      <c r="F912" s="42"/>
      <c r="G912" s="42"/>
      <c r="H912" s="2"/>
      <c r="I912" s="45"/>
      <c r="J912" s="2"/>
      <c r="K912" s="46"/>
      <c r="L912" s="46"/>
      <c r="M912" s="44"/>
      <c r="N912" s="2"/>
      <c r="O912" s="46"/>
      <c r="P912" s="46"/>
      <c r="Q912" s="44"/>
      <c r="R912" s="40"/>
      <c r="S912" s="25"/>
      <c r="T912" s="50"/>
      <c r="U912" s="44"/>
      <c r="V912" s="44"/>
      <c r="W912" s="44"/>
      <c r="X912" s="44"/>
      <c r="Y912" s="44"/>
      <c r="Z912" s="44"/>
      <c r="AA912" s="44"/>
      <c r="AB912" s="44"/>
      <c r="AC912" s="44"/>
      <c r="AD912" s="49"/>
      <c r="AE912" s="27"/>
    </row>
    <row r="913" spans="1:31" ht="14.3">
      <c r="A913" s="42"/>
      <c r="B913" s="43"/>
      <c r="C913" s="42"/>
      <c r="D913" s="42"/>
      <c r="E913" s="44"/>
      <c r="F913" s="42"/>
      <c r="G913" s="42"/>
      <c r="H913" s="2"/>
      <c r="I913" s="45"/>
      <c r="J913" s="2"/>
      <c r="K913" s="46"/>
      <c r="L913" s="46"/>
      <c r="M913" s="44"/>
      <c r="N913" s="2"/>
      <c r="O913" s="46"/>
      <c r="P913" s="46"/>
      <c r="Q913" s="44"/>
      <c r="R913" s="40"/>
      <c r="S913" s="25"/>
      <c r="T913" s="50"/>
      <c r="U913" s="44"/>
      <c r="V913" s="44"/>
      <c r="W913" s="44"/>
      <c r="X913" s="44"/>
      <c r="Y913" s="44"/>
      <c r="Z913" s="44"/>
      <c r="AA913" s="44"/>
      <c r="AB913" s="44"/>
      <c r="AC913" s="44"/>
      <c r="AD913" s="49"/>
      <c r="AE913" s="27"/>
    </row>
    <row r="914" spans="1:31" ht="14.3">
      <c r="A914" s="42"/>
      <c r="B914" s="43"/>
      <c r="C914" s="42"/>
      <c r="D914" s="42"/>
      <c r="E914" s="44"/>
      <c r="F914" s="42"/>
      <c r="G914" s="42"/>
      <c r="H914" s="2"/>
      <c r="I914" s="45"/>
      <c r="J914" s="2"/>
      <c r="K914" s="46"/>
      <c r="L914" s="46"/>
      <c r="M914" s="44"/>
      <c r="N914" s="2"/>
      <c r="O914" s="46"/>
      <c r="P914" s="46"/>
      <c r="Q914" s="44"/>
      <c r="R914" s="40"/>
      <c r="S914" s="25"/>
      <c r="T914" s="50"/>
      <c r="U914" s="44"/>
      <c r="V914" s="44"/>
      <c r="W914" s="44"/>
      <c r="X914" s="44"/>
      <c r="Y914" s="44"/>
      <c r="Z914" s="44"/>
      <c r="AA914" s="44"/>
      <c r="AB914" s="44"/>
      <c r="AC914" s="44"/>
      <c r="AD914" s="49"/>
      <c r="AE914" s="27"/>
    </row>
    <row r="915" spans="1:31" ht="14.3">
      <c r="A915" s="42"/>
      <c r="B915" s="43"/>
      <c r="C915" s="42"/>
      <c r="D915" s="42"/>
      <c r="E915" s="44"/>
      <c r="F915" s="42"/>
      <c r="G915" s="42"/>
      <c r="H915" s="2"/>
      <c r="I915" s="45"/>
      <c r="J915" s="2"/>
      <c r="K915" s="46"/>
      <c r="L915" s="46"/>
      <c r="M915" s="44"/>
      <c r="N915" s="2"/>
      <c r="O915" s="46"/>
      <c r="P915" s="46"/>
      <c r="Q915" s="44"/>
      <c r="R915" s="40"/>
      <c r="S915" s="25"/>
      <c r="T915" s="50"/>
      <c r="U915" s="44"/>
      <c r="V915" s="44"/>
      <c r="W915" s="44"/>
      <c r="X915" s="44"/>
      <c r="Y915" s="44"/>
      <c r="Z915" s="44"/>
      <c r="AA915" s="44"/>
      <c r="AB915" s="44"/>
      <c r="AC915" s="44"/>
      <c r="AD915" s="49"/>
      <c r="AE915" s="27"/>
    </row>
    <row r="916" spans="1:31" ht="14.3">
      <c r="A916" s="42"/>
      <c r="B916" s="43"/>
      <c r="C916" s="42"/>
      <c r="D916" s="42"/>
      <c r="E916" s="44"/>
      <c r="F916" s="42"/>
      <c r="G916" s="42"/>
      <c r="H916" s="2"/>
      <c r="I916" s="45"/>
      <c r="J916" s="2"/>
      <c r="K916" s="46"/>
      <c r="L916" s="46"/>
      <c r="M916" s="44"/>
      <c r="N916" s="2"/>
      <c r="O916" s="46"/>
      <c r="P916" s="46"/>
      <c r="Q916" s="44"/>
      <c r="R916" s="40"/>
      <c r="S916" s="25"/>
      <c r="T916" s="50"/>
      <c r="U916" s="44"/>
      <c r="V916" s="44"/>
      <c r="W916" s="44"/>
      <c r="X916" s="44"/>
      <c r="Y916" s="44"/>
      <c r="Z916" s="44"/>
      <c r="AA916" s="44"/>
      <c r="AB916" s="44"/>
      <c r="AC916" s="44"/>
      <c r="AD916" s="49"/>
      <c r="AE916" s="27"/>
    </row>
    <row r="917" spans="1:31" ht="14.3">
      <c r="A917" s="42"/>
      <c r="B917" s="43"/>
      <c r="C917" s="42"/>
      <c r="D917" s="42"/>
      <c r="E917" s="44"/>
      <c r="F917" s="42"/>
      <c r="G917" s="42"/>
      <c r="H917" s="2"/>
      <c r="I917" s="45"/>
      <c r="J917" s="2"/>
      <c r="K917" s="46"/>
      <c r="L917" s="46"/>
      <c r="M917" s="44"/>
      <c r="N917" s="2"/>
      <c r="O917" s="46"/>
      <c r="P917" s="46"/>
      <c r="Q917" s="44"/>
      <c r="R917" s="40"/>
      <c r="S917" s="25"/>
      <c r="T917" s="50"/>
      <c r="U917" s="44"/>
      <c r="V917" s="44"/>
      <c r="W917" s="44"/>
      <c r="X917" s="44"/>
      <c r="Y917" s="44"/>
      <c r="Z917" s="44"/>
      <c r="AA917" s="44"/>
      <c r="AB917" s="44"/>
      <c r="AC917" s="44"/>
      <c r="AD917" s="49"/>
      <c r="AE917" s="27"/>
    </row>
    <row r="918" spans="1:31" ht="14.3">
      <c r="A918" s="42"/>
      <c r="B918" s="43"/>
      <c r="C918" s="42"/>
      <c r="D918" s="42"/>
      <c r="E918" s="44"/>
      <c r="F918" s="42"/>
      <c r="G918" s="42"/>
      <c r="H918" s="2"/>
      <c r="I918" s="45"/>
      <c r="J918" s="2"/>
      <c r="K918" s="46"/>
      <c r="L918" s="46"/>
      <c r="M918" s="44"/>
      <c r="N918" s="2"/>
      <c r="O918" s="46"/>
      <c r="P918" s="46"/>
      <c r="Q918" s="44"/>
      <c r="R918" s="40"/>
      <c r="S918" s="25"/>
      <c r="T918" s="50"/>
      <c r="U918" s="44"/>
      <c r="V918" s="44"/>
      <c r="W918" s="44"/>
      <c r="X918" s="44"/>
      <c r="Y918" s="44"/>
      <c r="Z918" s="44"/>
      <c r="AA918" s="44"/>
      <c r="AB918" s="44"/>
      <c r="AC918" s="44"/>
      <c r="AD918" s="49"/>
      <c r="AE918" s="27"/>
    </row>
    <row r="919" spans="1:31" ht="14.3">
      <c r="A919" s="42"/>
      <c r="B919" s="43"/>
      <c r="C919" s="42"/>
      <c r="D919" s="42"/>
      <c r="E919" s="44"/>
      <c r="F919" s="42"/>
      <c r="G919" s="42"/>
      <c r="H919" s="2"/>
      <c r="I919" s="45"/>
      <c r="J919" s="2"/>
      <c r="K919" s="46"/>
      <c r="L919" s="46"/>
      <c r="M919" s="44"/>
      <c r="N919" s="2"/>
      <c r="O919" s="46"/>
      <c r="P919" s="46"/>
      <c r="Q919" s="44"/>
      <c r="R919" s="40"/>
      <c r="S919" s="25"/>
      <c r="T919" s="50"/>
      <c r="U919" s="44"/>
      <c r="V919" s="44"/>
      <c r="W919" s="44"/>
      <c r="X919" s="44"/>
      <c r="Y919" s="44"/>
      <c r="Z919" s="44"/>
      <c r="AA919" s="44"/>
      <c r="AB919" s="44"/>
      <c r="AC919" s="44"/>
      <c r="AD919" s="49"/>
      <c r="AE919" s="27"/>
    </row>
  </sheetData>
  <mergeCells count="8">
    <mergeCell ref="B1:H1"/>
    <mergeCell ref="J1:N1"/>
    <mergeCell ref="O1:S1"/>
    <mergeCell ref="T1:X1"/>
    <mergeCell ref="Y1:AC1"/>
    <mergeCell ref="B2:H2"/>
    <mergeCell ref="J2:M2"/>
    <mergeCell ref="N2:Q2"/>
  </mergeCells>
  <dataValidations count="1">
    <dataValidation type="list" allowBlank="1" showErrorMessage="1" sqref="I4:I919" xr:uid="{67122C60-4CA6-4D11-BBA9-3E584B43A40C}">
      <formula1>"TFW,MYSY,KSP,FREESHIP CARD,SC/ST,OTHER"</formula1>
    </dataValidation>
  </dataValidations>
  <pageMargins left="0.7" right="0.7" top="0.75" bottom="0.75" header="0.3" footer="0.3"/>
  <tableParts count="3">
    <tablePart r:id="rId1"/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71E86-7CD4-450F-89C0-954F7ACBA34A}">
  <dimension ref="A1:D70"/>
  <sheetViews>
    <sheetView topLeftCell="A18" workbookViewId="0">
      <selection activeCell="D42" sqref="D42"/>
    </sheetView>
  </sheetViews>
  <sheetFormatPr defaultRowHeight="12.9"/>
  <cols>
    <col min="1" max="1" width="15.5" customWidth="1"/>
    <col min="2" max="2" width="36.875" customWidth="1"/>
  </cols>
  <sheetData>
    <row r="1" spans="1:4" ht="13.6" thickBot="1">
      <c r="A1" s="117" t="s">
        <v>95</v>
      </c>
      <c r="B1" s="117" t="s">
        <v>95</v>
      </c>
    </row>
    <row r="2" spans="1:4" ht="14.95" thickBot="1">
      <c r="A2" s="109" t="s">
        <v>102</v>
      </c>
      <c r="B2" s="110" t="s">
        <v>103</v>
      </c>
      <c r="C2" t="s">
        <v>102</v>
      </c>
      <c r="D2" t="s">
        <v>103</v>
      </c>
    </row>
    <row r="3" spans="1:4" ht="14.95" thickBot="1">
      <c r="A3" s="111" t="s">
        <v>13</v>
      </c>
      <c r="B3" s="114" t="s">
        <v>161</v>
      </c>
      <c r="C3" t="s">
        <v>13</v>
      </c>
      <c r="D3" t="s">
        <v>161</v>
      </c>
    </row>
    <row r="4" spans="1:4" ht="14.95" thickBot="1">
      <c r="A4" s="111" t="s">
        <v>15</v>
      </c>
      <c r="B4" s="112" t="s">
        <v>106</v>
      </c>
      <c r="C4" t="s">
        <v>15</v>
      </c>
      <c r="D4" t="s">
        <v>106</v>
      </c>
    </row>
    <row r="5" spans="1:4" ht="14.95" thickBot="1">
      <c r="A5" s="111" t="s">
        <v>17</v>
      </c>
      <c r="B5" s="112" t="s">
        <v>110</v>
      </c>
      <c r="C5" t="s">
        <v>17</v>
      </c>
      <c r="D5" t="s">
        <v>110</v>
      </c>
    </row>
    <row r="6" spans="1:4" ht="14.95" thickBot="1">
      <c r="A6" s="111" t="s">
        <v>18</v>
      </c>
      <c r="B6" s="113" t="s">
        <v>111</v>
      </c>
      <c r="C6" t="s">
        <v>18</v>
      </c>
      <c r="D6" t="s">
        <v>111</v>
      </c>
    </row>
    <row r="7" spans="1:4" ht="14.95" thickBot="1">
      <c r="A7" s="111" t="s">
        <v>19</v>
      </c>
      <c r="B7" s="112" t="s">
        <v>112</v>
      </c>
      <c r="C7" t="s">
        <v>19</v>
      </c>
      <c r="D7" t="s">
        <v>112</v>
      </c>
    </row>
    <row r="8" spans="1:4" ht="14.95" thickBot="1">
      <c r="A8" s="111" t="s">
        <v>20</v>
      </c>
      <c r="B8" s="112" t="s">
        <v>113</v>
      </c>
      <c r="C8" t="s">
        <v>20</v>
      </c>
      <c r="D8" t="s">
        <v>113</v>
      </c>
    </row>
    <row r="9" spans="1:4" ht="14.95" thickBot="1">
      <c r="A9" s="111" t="s">
        <v>23</v>
      </c>
      <c r="B9" s="112" t="s">
        <v>115</v>
      </c>
      <c r="C9" t="s">
        <v>23</v>
      </c>
      <c r="D9" t="s">
        <v>115</v>
      </c>
    </row>
    <row r="10" spans="1:4" ht="14.95" thickBot="1">
      <c r="A10" s="111" t="s">
        <v>32</v>
      </c>
      <c r="B10" s="112" t="s">
        <v>116</v>
      </c>
      <c r="C10" t="s">
        <v>32</v>
      </c>
      <c r="D10" t="s">
        <v>116</v>
      </c>
    </row>
    <row r="11" spans="1:4" ht="14.95" thickBot="1">
      <c r="A11" s="111" t="s">
        <v>33</v>
      </c>
      <c r="B11" s="112" t="s">
        <v>117</v>
      </c>
      <c r="C11" t="s">
        <v>33</v>
      </c>
      <c r="D11" t="s">
        <v>117</v>
      </c>
    </row>
    <row r="12" spans="1:4" ht="14.95" thickBot="1">
      <c r="A12" s="111" t="s">
        <v>34</v>
      </c>
      <c r="B12" s="112" t="s">
        <v>157</v>
      </c>
      <c r="C12" t="s">
        <v>34</v>
      </c>
      <c r="D12" t="s">
        <v>157</v>
      </c>
    </row>
    <row r="13" spans="1:4" ht="14.95" thickBot="1">
      <c r="A13" s="111" t="s">
        <v>35</v>
      </c>
      <c r="B13" s="112" t="s">
        <v>118</v>
      </c>
      <c r="C13" t="s">
        <v>35</v>
      </c>
      <c r="D13" t="s">
        <v>118</v>
      </c>
    </row>
    <row r="14" spans="1:4" ht="14.95" thickBot="1">
      <c r="A14" s="111" t="s">
        <v>36</v>
      </c>
      <c r="B14" s="112" t="s">
        <v>119</v>
      </c>
      <c r="C14" t="s">
        <v>36</v>
      </c>
      <c r="D14" t="s">
        <v>119</v>
      </c>
    </row>
    <row r="15" spans="1:4" ht="14.95" thickBot="1">
      <c r="A15" s="111" t="s">
        <v>37</v>
      </c>
      <c r="B15" s="112" t="s">
        <v>121</v>
      </c>
      <c r="C15" t="s">
        <v>37</v>
      </c>
      <c r="D15" t="s">
        <v>121</v>
      </c>
    </row>
    <row r="16" spans="1:4" ht="14.95" thickBot="1">
      <c r="A16" s="111" t="s">
        <v>38</v>
      </c>
      <c r="B16" s="112" t="s">
        <v>122</v>
      </c>
      <c r="C16" t="s">
        <v>38</v>
      </c>
      <c r="D16" t="s">
        <v>122</v>
      </c>
    </row>
    <row r="17" spans="1:4" ht="14.95" thickBot="1">
      <c r="A17" s="111" t="s">
        <v>40</v>
      </c>
      <c r="B17" s="113" t="s">
        <v>148</v>
      </c>
      <c r="C17" t="s">
        <v>40</v>
      </c>
      <c r="D17" t="s">
        <v>148</v>
      </c>
    </row>
    <row r="18" spans="1:4" ht="14.95" thickBot="1">
      <c r="A18" s="111" t="s">
        <v>41</v>
      </c>
      <c r="B18" s="112" t="s">
        <v>162</v>
      </c>
      <c r="C18" t="s">
        <v>41</v>
      </c>
      <c r="D18" t="s">
        <v>162</v>
      </c>
    </row>
    <row r="19" spans="1:4" ht="14.95" thickBot="1">
      <c r="A19" s="111" t="s">
        <v>42</v>
      </c>
      <c r="B19" s="112" t="s">
        <v>126</v>
      </c>
      <c r="C19" t="s">
        <v>42</v>
      </c>
      <c r="D19" t="s">
        <v>126</v>
      </c>
    </row>
    <row r="20" spans="1:4" ht="14.95" thickBot="1">
      <c r="A20" s="111" t="s">
        <v>43</v>
      </c>
      <c r="B20" s="112" t="s">
        <v>128</v>
      </c>
      <c r="C20" t="s">
        <v>43</v>
      </c>
      <c r="D20" t="s">
        <v>128</v>
      </c>
    </row>
    <row r="21" spans="1:4" ht="14.95" thickBot="1">
      <c r="A21" s="111" t="s">
        <v>44</v>
      </c>
      <c r="B21" s="112" t="s">
        <v>130</v>
      </c>
      <c r="C21" t="s">
        <v>44</v>
      </c>
      <c r="D21" t="s">
        <v>130</v>
      </c>
    </row>
    <row r="22" spans="1:4" ht="14.95" thickBot="1">
      <c r="A22" s="111" t="s">
        <v>45</v>
      </c>
      <c r="B22" s="112" t="s">
        <v>132</v>
      </c>
      <c r="C22" t="s">
        <v>45</v>
      </c>
      <c r="D22" t="s">
        <v>132</v>
      </c>
    </row>
    <row r="23" spans="1:4" ht="14.95" thickBot="1">
      <c r="A23" s="111" t="s">
        <v>46</v>
      </c>
      <c r="B23" s="113" t="s">
        <v>136</v>
      </c>
      <c r="C23" t="s">
        <v>46</v>
      </c>
      <c r="D23" t="s">
        <v>136</v>
      </c>
    </row>
    <row r="24" spans="1:4" ht="14.95" thickBot="1">
      <c r="A24" s="111" t="s">
        <v>47</v>
      </c>
      <c r="B24" s="112" t="s">
        <v>137</v>
      </c>
      <c r="C24" t="s">
        <v>47</v>
      </c>
      <c r="D24" t="s">
        <v>137</v>
      </c>
    </row>
    <row r="25" spans="1:4" ht="14.95" thickBot="1">
      <c r="A25" s="111" t="s">
        <v>48</v>
      </c>
      <c r="B25" s="112" t="s">
        <v>139</v>
      </c>
      <c r="C25" t="s">
        <v>48</v>
      </c>
      <c r="D25" t="s">
        <v>139</v>
      </c>
    </row>
    <row r="26" spans="1:4" ht="14.95" thickBot="1">
      <c r="A26" s="111" t="s">
        <v>49</v>
      </c>
      <c r="B26" s="112" t="s">
        <v>140</v>
      </c>
      <c r="C26" t="s">
        <v>49</v>
      </c>
      <c r="D26" t="s">
        <v>140</v>
      </c>
    </row>
    <row r="27" spans="1:4" ht="14.95" thickBot="1">
      <c r="A27" s="111" t="s">
        <v>50</v>
      </c>
      <c r="B27" s="112" t="s">
        <v>141</v>
      </c>
      <c r="C27" t="s">
        <v>50</v>
      </c>
      <c r="D27" t="s">
        <v>172</v>
      </c>
    </row>
    <row r="28" spans="1:4" ht="14.95" thickBot="1">
      <c r="A28" s="111" t="s">
        <v>51</v>
      </c>
      <c r="B28" s="112" t="s">
        <v>142</v>
      </c>
      <c r="C28" t="s">
        <v>51</v>
      </c>
      <c r="D28" t="s">
        <v>173</v>
      </c>
    </row>
    <row r="29" spans="1:4" ht="14.95" thickBot="1">
      <c r="A29" s="111" t="s">
        <v>52</v>
      </c>
      <c r="B29" s="112" t="s">
        <v>143</v>
      </c>
      <c r="C29" t="s">
        <v>52</v>
      </c>
      <c r="D29" t="s">
        <v>143</v>
      </c>
    </row>
    <row r="30" spans="1:4" ht="14.95" thickBot="1">
      <c r="A30" s="111" t="s">
        <v>53</v>
      </c>
      <c r="B30" s="112" t="s">
        <v>144</v>
      </c>
      <c r="C30" t="s">
        <v>53</v>
      </c>
      <c r="D30" t="s">
        <v>144</v>
      </c>
    </row>
    <row r="31" spans="1:4" ht="14.95" thickBot="1">
      <c r="A31" s="111" t="s">
        <v>54</v>
      </c>
      <c r="B31" s="112" t="s">
        <v>129</v>
      </c>
      <c r="C31" t="s">
        <v>54</v>
      </c>
      <c r="D31" t="s">
        <v>129</v>
      </c>
    </row>
    <row r="32" spans="1:4" ht="14.95" thickBot="1">
      <c r="A32" s="111" t="s">
        <v>55</v>
      </c>
      <c r="B32" s="112" t="s">
        <v>146</v>
      </c>
      <c r="C32" t="s">
        <v>55</v>
      </c>
      <c r="D32" t="s">
        <v>146</v>
      </c>
    </row>
    <row r="33" spans="1:4" ht="14.95" thickBot="1">
      <c r="A33" s="111" t="s">
        <v>56</v>
      </c>
      <c r="B33" s="112" t="s">
        <v>149</v>
      </c>
      <c r="C33" t="s">
        <v>56</v>
      </c>
      <c r="D33" t="s">
        <v>149</v>
      </c>
    </row>
    <row r="34" spans="1:4" ht="14.95" thickBot="1">
      <c r="A34" s="111" t="s">
        <v>57</v>
      </c>
      <c r="B34" s="112" t="s">
        <v>150</v>
      </c>
      <c r="C34" t="s">
        <v>57</v>
      </c>
      <c r="D34" t="s">
        <v>150</v>
      </c>
    </row>
    <row r="35" spans="1:4" ht="14.95" thickBot="1">
      <c r="A35" s="111" t="s">
        <v>58</v>
      </c>
      <c r="B35" s="112" t="s">
        <v>163</v>
      </c>
      <c r="C35" t="s">
        <v>58</v>
      </c>
      <c r="D35" t="s">
        <v>174</v>
      </c>
    </row>
    <row r="36" spans="1:4" ht="14.95" thickBot="1">
      <c r="A36" s="111" t="s">
        <v>59</v>
      </c>
      <c r="B36" s="112" t="s">
        <v>158</v>
      </c>
      <c r="C36" t="s">
        <v>59</v>
      </c>
      <c r="D36" t="s">
        <v>158</v>
      </c>
    </row>
    <row r="37" spans="1:4" ht="14.95" thickBot="1">
      <c r="A37" s="111" t="s">
        <v>60</v>
      </c>
      <c r="B37" s="112" t="s">
        <v>152</v>
      </c>
      <c r="C37" t="s">
        <v>60</v>
      </c>
      <c r="D37" t="s">
        <v>152</v>
      </c>
    </row>
    <row r="38" spans="1:4" ht="14.95" thickBot="1">
      <c r="A38" s="111" t="s">
        <v>61</v>
      </c>
      <c r="B38" s="112" t="s">
        <v>153</v>
      </c>
      <c r="C38" t="s">
        <v>61</v>
      </c>
      <c r="D38" t="s">
        <v>153</v>
      </c>
    </row>
    <row r="39" spans="1:4" ht="14.95" thickBot="1">
      <c r="A39" s="111" t="s">
        <v>62</v>
      </c>
      <c r="B39" s="112" t="s">
        <v>159</v>
      </c>
      <c r="C39" t="s">
        <v>62</v>
      </c>
      <c r="D39" t="s">
        <v>159</v>
      </c>
    </row>
    <row r="40" spans="1:4" ht="14.95" thickBot="1">
      <c r="A40" s="111" t="s">
        <v>63</v>
      </c>
      <c r="B40" s="112" t="s">
        <v>156</v>
      </c>
      <c r="C40" t="s">
        <v>63</v>
      </c>
      <c r="D40" t="s">
        <v>156</v>
      </c>
    </row>
    <row r="41" spans="1:4" ht="14.95" thickBot="1">
      <c r="A41" s="111" t="s">
        <v>64</v>
      </c>
      <c r="B41" s="113" t="s">
        <v>160</v>
      </c>
      <c r="C41" t="s">
        <v>64</v>
      </c>
      <c r="D41" t="s">
        <v>160</v>
      </c>
    </row>
    <row r="42" spans="1:4" ht="14.95" thickBot="1">
      <c r="A42" s="111" t="s">
        <v>88</v>
      </c>
      <c r="B42" s="112" t="s">
        <v>166</v>
      </c>
      <c r="C42" t="s">
        <v>65</v>
      </c>
      <c r="D42" t="s">
        <v>104</v>
      </c>
    </row>
    <row r="43" spans="1:4" ht="14.95" thickBot="1">
      <c r="A43" s="111" t="s">
        <v>65</v>
      </c>
      <c r="B43" s="112" t="s">
        <v>104</v>
      </c>
      <c r="C43" t="s">
        <v>66</v>
      </c>
      <c r="D43" t="s">
        <v>105</v>
      </c>
    </row>
    <row r="44" spans="1:4" ht="14.95" thickBot="1">
      <c r="A44" s="111" t="s">
        <v>66</v>
      </c>
      <c r="B44" s="112" t="s">
        <v>105</v>
      </c>
      <c r="C44" t="s">
        <v>67</v>
      </c>
      <c r="D44" t="s">
        <v>107</v>
      </c>
    </row>
    <row r="45" spans="1:4" ht="14.95" thickBot="1">
      <c r="A45" s="111" t="s">
        <v>67</v>
      </c>
      <c r="B45" s="112" t="s">
        <v>107</v>
      </c>
      <c r="C45" t="s">
        <v>68</v>
      </c>
      <c r="D45" t="s">
        <v>108</v>
      </c>
    </row>
    <row r="46" spans="1:4" ht="14.95" thickBot="1">
      <c r="A46" s="111" t="s">
        <v>68</v>
      </c>
      <c r="B46" s="112" t="s">
        <v>108</v>
      </c>
      <c r="C46" t="s">
        <v>69</v>
      </c>
      <c r="D46" t="s">
        <v>109</v>
      </c>
    </row>
    <row r="47" spans="1:4" ht="14.95" thickBot="1">
      <c r="A47" s="111" t="s">
        <v>69</v>
      </c>
      <c r="B47" s="112" t="s">
        <v>109</v>
      </c>
      <c r="C47" t="s">
        <v>70</v>
      </c>
      <c r="D47" t="s">
        <v>114</v>
      </c>
    </row>
    <row r="48" spans="1:4" ht="14.95" thickBot="1">
      <c r="A48" s="111" t="s">
        <v>70</v>
      </c>
      <c r="B48" s="112" t="s">
        <v>114</v>
      </c>
      <c r="C48" t="s">
        <v>71</v>
      </c>
      <c r="D48" t="s">
        <v>120</v>
      </c>
    </row>
    <row r="49" spans="1:4" ht="14.95" thickBot="1">
      <c r="A49" s="111" t="s">
        <v>71</v>
      </c>
      <c r="B49" s="112" t="s">
        <v>120</v>
      </c>
      <c r="C49" t="s">
        <v>72</v>
      </c>
      <c r="D49" t="s">
        <v>123</v>
      </c>
    </row>
    <row r="50" spans="1:4" ht="14.95" thickBot="1">
      <c r="A50" s="111" t="s">
        <v>72</v>
      </c>
      <c r="B50" s="112" t="s">
        <v>123</v>
      </c>
      <c r="C50" t="s">
        <v>73</v>
      </c>
      <c r="D50" t="s">
        <v>175</v>
      </c>
    </row>
    <row r="51" spans="1:4" ht="14.95" thickBot="1">
      <c r="A51" s="111" t="s">
        <v>73</v>
      </c>
      <c r="B51" s="112" t="s">
        <v>124</v>
      </c>
      <c r="C51" t="s">
        <v>74</v>
      </c>
      <c r="D51" t="s">
        <v>125</v>
      </c>
    </row>
    <row r="52" spans="1:4" ht="14.95" thickBot="1">
      <c r="A52" s="111" t="s">
        <v>74</v>
      </c>
      <c r="B52" s="112" t="s">
        <v>125</v>
      </c>
      <c r="C52" t="s">
        <v>75</v>
      </c>
      <c r="D52" t="s">
        <v>131</v>
      </c>
    </row>
    <row r="53" spans="1:4" ht="14.95" thickBot="1">
      <c r="A53" s="111" t="s">
        <v>75</v>
      </c>
      <c r="B53" s="112" t="s">
        <v>131</v>
      </c>
      <c r="C53" t="s">
        <v>76</v>
      </c>
      <c r="D53" t="s">
        <v>133</v>
      </c>
    </row>
    <row r="54" spans="1:4" ht="14.95" thickBot="1">
      <c r="A54" s="111" t="s">
        <v>76</v>
      </c>
      <c r="B54" s="112" t="s">
        <v>133</v>
      </c>
      <c r="C54" t="s">
        <v>77</v>
      </c>
      <c r="D54" t="s">
        <v>134</v>
      </c>
    </row>
    <row r="55" spans="1:4" ht="14.95" thickBot="1">
      <c r="A55" s="111" t="s">
        <v>77</v>
      </c>
      <c r="B55" s="112" t="s">
        <v>134</v>
      </c>
      <c r="C55" t="s">
        <v>78</v>
      </c>
      <c r="D55" t="s">
        <v>176</v>
      </c>
    </row>
    <row r="56" spans="1:4" ht="14.95" thickBot="1">
      <c r="A56" s="111" t="s">
        <v>78</v>
      </c>
      <c r="B56" s="112" t="s">
        <v>135</v>
      </c>
      <c r="C56" t="s">
        <v>79</v>
      </c>
      <c r="D56" t="s">
        <v>177</v>
      </c>
    </row>
    <row r="57" spans="1:4" ht="14.95" thickBot="1">
      <c r="A57" s="111" t="s">
        <v>79</v>
      </c>
      <c r="B57" s="114" t="s">
        <v>164</v>
      </c>
      <c r="C57" t="s">
        <v>80</v>
      </c>
      <c r="D57" t="s">
        <v>145</v>
      </c>
    </row>
    <row r="58" spans="1:4" ht="14.95" thickBot="1">
      <c r="A58" s="111" t="s">
        <v>80</v>
      </c>
      <c r="B58" s="112" t="s">
        <v>145</v>
      </c>
      <c r="C58" t="s">
        <v>81</v>
      </c>
      <c r="D58" t="s">
        <v>147</v>
      </c>
    </row>
    <row r="59" spans="1:4" ht="14.95" thickBot="1">
      <c r="A59" s="111" t="s">
        <v>81</v>
      </c>
      <c r="B59" s="112" t="s">
        <v>147</v>
      </c>
      <c r="C59" t="s">
        <v>82</v>
      </c>
      <c r="D59" t="s">
        <v>138</v>
      </c>
    </row>
    <row r="60" spans="1:4" ht="14.95" thickBot="1">
      <c r="A60" s="111" t="s">
        <v>82</v>
      </c>
      <c r="B60" s="112" t="s">
        <v>138</v>
      </c>
      <c r="C60" t="s">
        <v>83</v>
      </c>
      <c r="D60" t="s">
        <v>151</v>
      </c>
    </row>
    <row r="61" spans="1:4" ht="14.95" thickBot="1">
      <c r="A61" s="111" t="s">
        <v>83</v>
      </c>
      <c r="B61" s="112" t="s">
        <v>151</v>
      </c>
      <c r="C61" t="s">
        <v>84</v>
      </c>
      <c r="D61" t="s">
        <v>154</v>
      </c>
    </row>
    <row r="62" spans="1:4" ht="14.95" thickBot="1">
      <c r="A62" s="111" t="s">
        <v>84</v>
      </c>
      <c r="B62" s="112" t="s">
        <v>154</v>
      </c>
      <c r="C62" t="s">
        <v>85</v>
      </c>
      <c r="D62" t="s">
        <v>155</v>
      </c>
    </row>
    <row r="63" spans="1:4" ht="14.95" thickBot="1">
      <c r="A63" s="111" t="s">
        <v>85</v>
      </c>
      <c r="B63" s="112" t="s">
        <v>155</v>
      </c>
      <c r="C63" t="s">
        <v>86</v>
      </c>
      <c r="D63" t="s">
        <v>127</v>
      </c>
    </row>
    <row r="64" spans="1:4" ht="14.95" thickBot="1">
      <c r="A64" s="111" t="s">
        <v>86</v>
      </c>
      <c r="B64" s="112" t="s">
        <v>127</v>
      </c>
    </row>
    <row r="65" spans="1:2" ht="14.95" thickBot="1">
      <c r="A65" s="111" t="s">
        <v>87</v>
      </c>
      <c r="B65" s="112" t="s">
        <v>165</v>
      </c>
    </row>
    <row r="66" spans="1:2" ht="14.95" thickBot="1">
      <c r="A66" s="111" t="s">
        <v>89</v>
      </c>
      <c r="B66" s="112" t="s">
        <v>167</v>
      </c>
    </row>
    <row r="67" spans="1:2" ht="14.95" thickBot="1">
      <c r="A67" s="111" t="s">
        <v>90</v>
      </c>
      <c r="B67" s="112" t="s">
        <v>168</v>
      </c>
    </row>
    <row r="68" spans="1:2" ht="14.95" thickBot="1">
      <c r="A68" s="111" t="s">
        <v>91</v>
      </c>
      <c r="B68" s="112" t="s">
        <v>169</v>
      </c>
    </row>
    <row r="69" spans="1:2" ht="14.95" thickBot="1">
      <c r="A69" s="115" t="s">
        <v>92</v>
      </c>
      <c r="B69" s="116" t="s">
        <v>170</v>
      </c>
    </row>
    <row r="70" spans="1:2" ht="14.95" thickBot="1">
      <c r="A70" s="111" t="s">
        <v>93</v>
      </c>
      <c r="B70" s="112" t="s">
        <v>171</v>
      </c>
    </row>
  </sheetData>
  <autoFilter ref="A1:U248" xr:uid="{33671E86-7CD4-450F-89C0-954F7ACBA34A}">
    <sortState xmlns:xlrd2="http://schemas.microsoft.com/office/spreadsheetml/2017/richdata2" ref="A2:U248">
      <sortCondition ref="A1:A248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Y1131"/>
  <sheetViews>
    <sheetView workbookViewId="0"/>
  </sheetViews>
  <sheetFormatPr defaultColWidth="12.625" defaultRowHeight="15.8" customHeight="1"/>
  <cols>
    <col min="2" max="11" width="8" customWidth="1"/>
    <col min="12" max="18" width="9.75" customWidth="1"/>
    <col min="20" max="20" width="12.625" hidden="1"/>
    <col min="21" max="21" width="4.75" hidden="1" customWidth="1"/>
    <col min="22" max="23" width="1.875" hidden="1" customWidth="1"/>
    <col min="24" max="24" width="7.75" hidden="1" customWidth="1"/>
  </cols>
  <sheetData>
    <row r="1" spans="1:25" ht="15.8" customHeight="1">
      <c r="B1" s="89" t="s">
        <v>0</v>
      </c>
      <c r="C1" s="84"/>
      <c r="D1" s="84"/>
      <c r="E1" s="84"/>
      <c r="F1" s="85"/>
      <c r="G1" s="90" t="s">
        <v>1</v>
      </c>
      <c r="H1" s="82"/>
      <c r="I1" s="82"/>
      <c r="J1" s="82"/>
      <c r="K1" s="82"/>
    </row>
    <row r="2" spans="1:25" ht="15.8" customHeight="1">
      <c r="A2" s="92"/>
      <c r="B2" s="93" t="s">
        <v>94</v>
      </c>
      <c r="C2" s="94"/>
      <c r="D2" s="94"/>
      <c r="E2" s="94"/>
      <c r="F2" s="94"/>
      <c r="G2" s="94"/>
      <c r="H2" s="94"/>
      <c r="I2" s="94"/>
      <c r="J2" s="94"/>
      <c r="K2" s="95"/>
      <c r="L2" s="52" t="s">
        <v>8</v>
      </c>
      <c r="M2" s="53" t="s">
        <v>9</v>
      </c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</row>
    <row r="3" spans="1:25">
      <c r="A3" s="93" t="s">
        <v>2</v>
      </c>
      <c r="B3" s="92" t="s">
        <v>3</v>
      </c>
      <c r="C3" s="96" t="s">
        <v>4</v>
      </c>
      <c r="D3" s="96" t="s">
        <v>5</v>
      </c>
      <c r="E3" s="96" t="s">
        <v>6</v>
      </c>
      <c r="F3" s="96" t="s">
        <v>7</v>
      </c>
      <c r="G3" s="96" t="s">
        <v>3</v>
      </c>
      <c r="H3" s="96" t="s">
        <v>4</v>
      </c>
      <c r="I3" s="96" t="s">
        <v>5</v>
      </c>
      <c r="J3" s="96" t="s">
        <v>6</v>
      </c>
      <c r="K3" s="97" t="s">
        <v>7</v>
      </c>
      <c r="L3" s="54" t="e">
        <f>SUMIFS('Student Fee Data'!$H$4:$H330,'Student Fee Data'!$C$4:$C330,"FREESHIP CARD",'Student Fee Data'!#REF!,A3)</f>
        <v>#REF!</v>
      </c>
      <c r="M3" s="55" t="e">
        <f t="shared" ref="M3:M6" si="0">F3-L3</f>
        <v>#VALUE!</v>
      </c>
    </row>
    <row r="4" spans="1:25">
      <c r="A4" s="92" t="s">
        <v>10</v>
      </c>
      <c r="B4" s="98">
        <v>16381000</v>
      </c>
      <c r="C4" s="99">
        <v>9468850</v>
      </c>
      <c r="D4" s="99">
        <v>126250</v>
      </c>
      <c r="E4" s="99">
        <v>1017500</v>
      </c>
      <c r="F4" s="99">
        <v>5894650</v>
      </c>
      <c r="G4" s="99">
        <v>1663250</v>
      </c>
      <c r="H4" s="99">
        <v>1389750</v>
      </c>
      <c r="I4" s="99">
        <v>6000</v>
      </c>
      <c r="J4" s="99">
        <v>0</v>
      </c>
      <c r="K4" s="100">
        <v>273500</v>
      </c>
      <c r="L4" s="54" t="e">
        <f>SUMIFS('Student Fee Data'!$H$4:$H330,'Student Fee Data'!$C$4:$C330,"FREESHIP CARD",'Student Fee Data'!#REF!,A4)</f>
        <v>#REF!</v>
      </c>
      <c r="M4" s="55" t="e">
        <f t="shared" si="0"/>
        <v>#REF!</v>
      </c>
      <c r="T4" s="56" t="str">
        <f t="array" ref="T4:T919" ca="1">'Student Fee Data'!A4:A330</f>
        <v>23SDSCE01006</v>
      </c>
      <c r="U4" s="56" t="e">
        <f t="array" ref="U4:U919">'Student Fee Data'!#REF!</f>
        <v>#REF!</v>
      </c>
      <c r="V4" s="57" t="e">
        <f t="array" ref="V4:V919">'Student Fee Data'!#REF!</f>
        <v>#REF!</v>
      </c>
      <c r="W4" s="58">
        <f t="array" ref="W4:W919" ca="1">'Student Fee Data'!F4:F330</f>
        <v>0</v>
      </c>
      <c r="X4" s="56" t="str">
        <f t="array" ref="X4:X1131" ca="1">IF(T4:T1131&lt;&gt;"",IF('Student Fee Data'!D4:D330-'Student Fee Data'!G4:G330='Student Fee Data'!H4:H330,"FULL",IF('Student Fee Data'!H4:H330=0,"NIL","PARTIAL")),"")</f>
        <v>FULL</v>
      </c>
    </row>
    <row r="5" spans="1:25">
      <c r="A5" s="101" t="s">
        <v>11</v>
      </c>
      <c r="B5" s="102">
        <v>2167500</v>
      </c>
      <c r="C5" s="103">
        <v>843250</v>
      </c>
      <c r="D5" s="103">
        <v>40500</v>
      </c>
      <c r="E5" s="103">
        <v>43750</v>
      </c>
      <c r="F5" s="103">
        <v>1280500</v>
      </c>
      <c r="G5" s="103">
        <v>139750</v>
      </c>
      <c r="H5" s="103">
        <v>107500</v>
      </c>
      <c r="I5" s="103">
        <v>3750</v>
      </c>
      <c r="J5" s="103">
        <v>0</v>
      </c>
      <c r="K5" s="104">
        <v>32250</v>
      </c>
      <c r="L5" s="54" t="e">
        <f>SUMIFS('Student Fee Data'!$H$4:$H330,'Student Fee Data'!$C$4:$C330,"FREESHIP CARD",'Student Fee Data'!#REF!,A5)</f>
        <v>#REF!</v>
      </c>
      <c r="M5" s="55" t="e">
        <f t="shared" si="0"/>
        <v>#REF!</v>
      </c>
      <c r="T5" s="56" t="str">
        <f ca="1"/>
        <v>23SDSCE01007</v>
      </c>
      <c r="U5" s="56" t="e">
        <v>#REF!</v>
      </c>
      <c r="V5" s="57" t="e">
        <v>#REF!</v>
      </c>
      <c r="W5" s="58">
        <f ca="1"/>
        <v>0</v>
      </c>
      <c r="X5" s="56" t="str">
        <f ca="1"/>
        <v>FULL</v>
      </c>
    </row>
    <row r="6" spans="1:25">
      <c r="A6" s="101" t="s">
        <v>12</v>
      </c>
      <c r="B6" s="102">
        <v>2140000</v>
      </c>
      <c r="C6" s="103">
        <v>926250</v>
      </c>
      <c r="D6" s="103">
        <v>25000</v>
      </c>
      <c r="E6" s="103">
        <v>87500</v>
      </c>
      <c r="F6" s="103">
        <v>1126250</v>
      </c>
      <c r="G6" s="103">
        <v>90250</v>
      </c>
      <c r="H6" s="103">
        <v>60000</v>
      </c>
      <c r="I6" s="103">
        <v>3000</v>
      </c>
      <c r="J6" s="103">
        <v>0</v>
      </c>
      <c r="K6" s="104">
        <v>30250</v>
      </c>
      <c r="L6" s="54" t="e">
        <f>SUMIFS('Student Fee Data'!$H$4:$H330,'Student Fee Data'!$C$4:$C330,"FREESHIP CARD",'Student Fee Data'!#REF!,A6)</f>
        <v>#REF!</v>
      </c>
      <c r="M6" s="55" t="e">
        <f t="shared" si="0"/>
        <v>#REF!</v>
      </c>
      <c r="T6" s="56" t="str">
        <f ca="1"/>
        <v>23SDSCE01008</v>
      </c>
      <c r="U6" s="56" t="e">
        <v>#REF!</v>
      </c>
      <c r="V6" s="57" t="e">
        <v>#REF!</v>
      </c>
      <c r="W6" s="58">
        <f ca="1"/>
        <v>0</v>
      </c>
      <c r="X6" s="56" t="str">
        <f ca="1"/>
        <v>FULL</v>
      </c>
    </row>
    <row r="7" spans="1:25">
      <c r="A7" s="101" t="s">
        <v>14</v>
      </c>
      <c r="B7" s="102">
        <v>2647500</v>
      </c>
      <c r="C7" s="103">
        <v>1293750</v>
      </c>
      <c r="D7" s="103">
        <v>0</v>
      </c>
      <c r="E7" s="103">
        <v>183750</v>
      </c>
      <c r="F7" s="103">
        <v>1170000</v>
      </c>
      <c r="G7" s="103">
        <v>179000</v>
      </c>
      <c r="H7" s="103">
        <v>171750</v>
      </c>
      <c r="I7" s="103">
        <v>0</v>
      </c>
      <c r="J7" s="103">
        <v>0</v>
      </c>
      <c r="K7" s="104">
        <v>7250</v>
      </c>
      <c r="T7" s="56" t="str">
        <f ca="1"/>
        <v>23SDSCE01009</v>
      </c>
      <c r="U7" s="56" t="e">
        <v>#REF!</v>
      </c>
      <c r="V7" s="57" t="e">
        <v>#REF!</v>
      </c>
      <c r="W7" s="58">
        <f ca="1"/>
        <v>0</v>
      </c>
      <c r="X7" s="56" t="str">
        <f ca="1"/>
        <v>FULL</v>
      </c>
    </row>
    <row r="8" spans="1:25">
      <c r="A8" s="105" t="s">
        <v>16</v>
      </c>
      <c r="B8" s="106">
        <v>23336000</v>
      </c>
      <c r="C8" s="107">
        <v>12532100</v>
      </c>
      <c r="D8" s="107">
        <v>191750</v>
      </c>
      <c r="E8" s="107">
        <v>1332500</v>
      </c>
      <c r="F8" s="107">
        <v>9471400</v>
      </c>
      <c r="G8" s="107">
        <v>2072250</v>
      </c>
      <c r="H8" s="107">
        <v>1729000</v>
      </c>
      <c r="I8" s="107">
        <v>12750</v>
      </c>
      <c r="J8" s="107">
        <v>0</v>
      </c>
      <c r="K8" s="108">
        <v>343250</v>
      </c>
      <c r="T8" s="56" t="str">
        <f ca="1"/>
        <v>23SDSCE01010</v>
      </c>
      <c r="U8" s="56" t="e">
        <v>#REF!</v>
      </c>
      <c r="V8" s="57" t="e">
        <v>#REF!</v>
      </c>
      <c r="W8" s="58">
        <f ca="1"/>
        <v>0</v>
      </c>
      <c r="X8" s="56" t="str">
        <f ca="1"/>
        <v>FULL</v>
      </c>
    </row>
    <row r="9" spans="1:25">
      <c r="T9" s="56" t="str">
        <f ca="1"/>
        <v>23SDSCE01012</v>
      </c>
      <c r="U9" s="56" t="e">
        <v>#REF!</v>
      </c>
      <c r="V9" s="57" t="e">
        <v>#REF!</v>
      </c>
      <c r="W9" s="58">
        <f ca="1"/>
        <v>0</v>
      </c>
      <c r="X9" s="56" t="str">
        <f ca="1"/>
        <v>FULL</v>
      </c>
    </row>
    <row r="10" spans="1:25">
      <c r="T10" s="56" t="str">
        <f ca="1"/>
        <v>23SDSCE01013</v>
      </c>
      <c r="U10" s="56" t="e">
        <v>#REF!</v>
      </c>
      <c r="V10" s="57" t="e">
        <v>#REF!</v>
      </c>
      <c r="W10" s="58">
        <f ca="1"/>
        <v>0</v>
      </c>
      <c r="X10" s="56" t="str">
        <f ca="1"/>
        <v>FULL</v>
      </c>
    </row>
    <row r="11" spans="1:25" ht="15.8" customHeight="1">
      <c r="A11" s="91" t="s">
        <v>21</v>
      </c>
      <c r="B11" s="84"/>
      <c r="C11" s="84"/>
      <c r="D11" s="84"/>
      <c r="E11" s="84"/>
      <c r="F11" s="84"/>
      <c r="G11" s="84"/>
      <c r="H11" s="84"/>
      <c r="I11" s="85"/>
      <c r="J11" s="91" t="s">
        <v>22</v>
      </c>
      <c r="K11" s="84"/>
      <c r="L11" s="84"/>
      <c r="M11" s="84"/>
      <c r="N11" s="84"/>
      <c r="O11" s="84"/>
      <c r="P11" s="84"/>
      <c r="Q11" s="84"/>
      <c r="R11" s="85"/>
      <c r="T11" s="56" t="str">
        <f ca="1"/>
        <v>23SDSCE01014</v>
      </c>
      <c r="U11" s="56" t="e">
        <v>#REF!</v>
      </c>
      <c r="V11" s="57" t="e">
        <v>#REF!</v>
      </c>
      <c r="W11" s="58">
        <f ca="1"/>
        <v>0</v>
      </c>
      <c r="X11" s="56" t="str">
        <f ca="1"/>
        <v>FULL</v>
      </c>
    </row>
    <row r="12" spans="1:25" ht="15.8" customHeight="1">
      <c r="A12" s="60"/>
      <c r="B12" s="61" t="s">
        <v>24</v>
      </c>
      <c r="C12" s="61" t="s">
        <v>25</v>
      </c>
      <c r="D12" s="61" t="s">
        <v>26</v>
      </c>
      <c r="E12" s="61" t="s">
        <v>27</v>
      </c>
      <c r="F12" s="61" t="s">
        <v>28</v>
      </c>
      <c r="G12" s="61" t="s">
        <v>29</v>
      </c>
      <c r="H12" s="61" t="s">
        <v>30</v>
      </c>
      <c r="I12" s="61" t="s">
        <v>31</v>
      </c>
      <c r="J12" s="62"/>
      <c r="K12" s="63" t="s">
        <v>24</v>
      </c>
      <c r="L12" s="63" t="s">
        <v>25</v>
      </c>
      <c r="M12" s="63" t="s">
        <v>26</v>
      </c>
      <c r="N12" s="63" t="s">
        <v>27</v>
      </c>
      <c r="O12" s="63" t="s">
        <v>28</v>
      </c>
      <c r="P12" s="63" t="s">
        <v>29</v>
      </c>
      <c r="Q12" s="63" t="s">
        <v>30</v>
      </c>
      <c r="R12" s="63" t="s">
        <v>31</v>
      </c>
      <c r="T12" s="56" t="str">
        <f ca="1"/>
        <v>23SDSCE01018</v>
      </c>
      <c r="U12" s="56" t="e">
        <v>#REF!</v>
      </c>
      <c r="V12" s="57" t="e">
        <v>#REF!</v>
      </c>
      <c r="W12" s="58">
        <f ca="1"/>
        <v>0</v>
      </c>
      <c r="X12" s="56" t="str">
        <f ca="1"/>
        <v>FULL</v>
      </c>
    </row>
    <row r="13" spans="1:25" ht="15.8" customHeight="1">
      <c r="A13" s="64" t="str">
        <f ca="1">IFERROR(__xludf.DUMMYFUNCTION("UNIQUE('Student Fee Data'!$D$4:$D1131)"),"DCE")</f>
        <v>DCE</v>
      </c>
      <c r="B13" s="65" t="e">
        <f ca="1">COUNTIFS('Student Fee Data'!$C$4:$C330,"=Freeship Card",'Student Fee Data'!#REF!,A13,'Student Fee Data'!#REF!,RIGHT($A$11,1))</f>
        <v>#REF!</v>
      </c>
      <c r="C13" s="65">
        <f t="shared" ref="C13:C16" ca="1" si="1">COUNTIFS($U$4:$U1131,A13,$V$4:$V1131,RIGHT($A$11,1), $X$4:$X1131,"NIL")</f>
        <v>0</v>
      </c>
      <c r="D13" s="65">
        <f t="shared" ref="D13:D16" ca="1" si="2">COUNTIFS($U$4:$U1131,A13,$V$4:$V1131,RIGHT($A$11,1), $X$4:$X1131,"PARTIAL")</f>
        <v>0</v>
      </c>
      <c r="E13" s="65">
        <f t="shared" ref="E13:E16" ca="1" si="3">COUNTIFS($U$4:$U1131,A13,$V$4:$V1131,RIGHT($A$11,1),$W$4:$W1131,"&gt;0")</f>
        <v>0</v>
      </c>
      <c r="F13" s="65">
        <f t="shared" ref="F13:F16" ca="1" si="4">COUNTIFS($U$4:$U1131,A13,$V$4:$V1131,RIGHT($A$11,1), $X$4:$X1131,"FULL")</f>
        <v>0</v>
      </c>
      <c r="G13" s="65" t="e">
        <f ca="1">COUNTIFS('Student Fee Data'!$C$4:$C330,"=TFW",'Student Fee Data'!#REF!,A13,'Student Fee Data'!#REF!,RIGHT($A$11,1))</f>
        <v>#REF!</v>
      </c>
      <c r="H13" s="65" t="e">
        <f ca="1">COUNTIFS('Student Fee Data'!$C$4:$C330,"=MYSY",'Student Fee Data'!#REF!,A13,'Student Fee Data'!#REF!,RIGHT($A$11,1))</f>
        <v>#REF!</v>
      </c>
      <c r="I13" s="65" t="e">
        <f ca="1">COUNTIFS('Student Fee Data'!#REF!,A13,'Student Fee Data'!#REF!,RIGHT($A$11,1))</f>
        <v>#REF!</v>
      </c>
      <c r="J13" s="66" t="str">
        <f ca="1">IFERROR(__xludf.DUMMYFUNCTION("UNIQUE('Student Fee Data'!$D$4:$D1131)"),"DCE")</f>
        <v>DCE</v>
      </c>
      <c r="K13" s="67" t="e">
        <f ca="1">COUNTIFS('Student Fee Data'!$C$4:$C330,"=Freeship Card",'Student Fee Data'!#REF!,J13,'Student Fee Data'!#REF!,RIGHT($J$11,1))</f>
        <v>#REF!</v>
      </c>
      <c r="L13" s="67">
        <f t="shared" ref="L13:L16" ca="1" si="5">COUNTIFS($U$4:$U1131,J13,$V$4:$V1131,RIGHT($J$11,1), $X$4:$X1131,"NIL")</f>
        <v>0</v>
      </c>
      <c r="M13" s="67">
        <f t="shared" ref="M13:M16" ca="1" si="6">COUNTIFS($U$4:$U1131,J13,$V$4:$V1131,RIGHT($J$11,1), $X$4:$X1131,"PARTIAL")</f>
        <v>0</v>
      </c>
      <c r="N13" s="67">
        <f t="shared" ref="N13:N16" ca="1" si="7">COUNTIFS($U$4:$U1131,J13,$V$4:$V1131,RIGHT($J$11,1),$W$4:$W1131,"&gt;0")</f>
        <v>0</v>
      </c>
      <c r="O13" s="67">
        <f t="shared" ref="O13:O16" ca="1" si="8">COUNTIFS($U$4:$U1131,J13,$V$4:$V1131,RIGHT($J$11,1), $X$4:$X1131,"FULL")</f>
        <v>0</v>
      </c>
      <c r="P13" s="67" t="e">
        <f ca="1">COUNTIFS('Student Fee Data'!$C$4:$C330,"=TFW",'Student Fee Data'!#REF!,J13,'Student Fee Data'!#REF!,RIGHT($J$11,1))</f>
        <v>#REF!</v>
      </c>
      <c r="Q13" s="67" t="e">
        <f ca="1">COUNTIFS('Student Fee Data'!$C$4:$C330,"=MYSY",'Student Fee Data'!#REF!,J13,'Student Fee Data'!#REF!,RIGHT($J$11,1))</f>
        <v>#REF!</v>
      </c>
      <c r="R13" s="67" t="e">
        <f ca="1">COUNTIFS('Student Fee Data'!#REF!,J13,'Student Fee Data'!#REF!,RIGHT($J$11,1))</f>
        <v>#REF!</v>
      </c>
      <c r="T13" s="56">
        <v>0</v>
      </c>
      <c r="U13" s="56" t="e">
        <v>#REF!</v>
      </c>
      <c r="V13" s="57" t="e">
        <v>#REF!</v>
      </c>
      <c r="W13" s="58">
        <v>0</v>
      </c>
      <c r="X13" s="56" t="str">
        <v>FULL</v>
      </c>
    </row>
    <row r="14" spans="1:25" ht="15.8" customHeight="1">
      <c r="A14" s="64" t="str">
        <f ca="1">IFERROR(__xludf.DUMMYFUNCTION("""COMPUTED_VALUE"""),"DCV")</f>
        <v>DCV</v>
      </c>
      <c r="B14" s="65" t="e">
        <f ca="1">COUNTIFS('Student Fee Data'!$C$4:$C330,"=Freeship Card",'Student Fee Data'!#REF!,A14,'Student Fee Data'!#REF!,RIGHT($A$11,1))</f>
        <v>#REF!</v>
      </c>
      <c r="C14" s="65">
        <f t="shared" ca="1" si="1"/>
        <v>0</v>
      </c>
      <c r="D14" s="65">
        <f t="shared" ca="1" si="2"/>
        <v>0</v>
      </c>
      <c r="E14" s="65">
        <f t="shared" ca="1" si="3"/>
        <v>0</v>
      </c>
      <c r="F14" s="65">
        <f t="shared" ca="1" si="4"/>
        <v>0</v>
      </c>
      <c r="G14" s="65" t="e">
        <f ca="1">COUNTIFS('Student Fee Data'!$C$4:$C330,"=TFW",'Student Fee Data'!#REF!,A14,'Student Fee Data'!#REF!,RIGHT($A$11,1))</f>
        <v>#REF!</v>
      </c>
      <c r="H14" s="65" t="e">
        <f ca="1">COUNTIFS('Student Fee Data'!$C$4:$C330,"=MYSY",'Student Fee Data'!#REF!,A14,'Student Fee Data'!#REF!,RIGHT($A$11,1))</f>
        <v>#REF!</v>
      </c>
      <c r="I14" s="65" t="e">
        <f ca="1">COUNTIFS('Student Fee Data'!#REF!,A14,'Student Fee Data'!#REF!,RIGHT($A$11,1))</f>
        <v>#REF!</v>
      </c>
      <c r="J14" s="66" t="str">
        <f ca="1">IFERROR(__xludf.DUMMYFUNCTION("""COMPUTED_VALUE"""),"DCV")</f>
        <v>DCV</v>
      </c>
      <c r="K14" s="67" t="e">
        <f ca="1">COUNTIFS('Student Fee Data'!$C$4:$C330,"=Freeship Card",'Student Fee Data'!#REF!,J14,'Student Fee Data'!#REF!,RIGHT($J$11,1))</f>
        <v>#REF!</v>
      </c>
      <c r="L14" s="67">
        <f t="shared" ca="1" si="5"/>
        <v>0</v>
      </c>
      <c r="M14" s="67">
        <f t="shared" ca="1" si="6"/>
        <v>0</v>
      </c>
      <c r="N14" s="67">
        <f t="shared" ca="1" si="7"/>
        <v>0</v>
      </c>
      <c r="O14" s="67">
        <f t="shared" ca="1" si="8"/>
        <v>0</v>
      </c>
      <c r="P14" s="67" t="e">
        <f ca="1">COUNTIFS('Student Fee Data'!$C$4:$C330,"=TFW",'Student Fee Data'!#REF!,J14,'Student Fee Data'!#REF!,RIGHT($J$11,1))</f>
        <v>#REF!</v>
      </c>
      <c r="Q14" s="67" t="e">
        <f ca="1">COUNTIFS('Student Fee Data'!$C$4:$C330,"=MYSY",'Student Fee Data'!#REF!,J14,'Student Fee Data'!#REF!,RIGHT($J$11,1))</f>
        <v>#REF!</v>
      </c>
      <c r="R14" s="67" t="e">
        <f ca="1">COUNTIFS('Student Fee Data'!#REF!,J14,'Student Fee Data'!#REF!,RIGHT($J$11,1))</f>
        <v>#REF!</v>
      </c>
      <c r="T14" s="56" t="str">
        <f ca="1"/>
        <v>23SDSCE01021</v>
      </c>
      <c r="U14" s="56" t="e">
        <v>#REF!</v>
      </c>
      <c r="V14" s="57" t="e">
        <v>#REF!</v>
      </c>
      <c r="W14" s="58">
        <f ca="1"/>
        <v>0</v>
      </c>
      <c r="X14" s="56" t="str">
        <f ca="1"/>
        <v>FULL</v>
      </c>
    </row>
    <row r="15" spans="1:25" ht="15.8" customHeight="1">
      <c r="A15" s="64" t="str">
        <f ca="1">IFERROR(__xludf.DUMMYFUNCTION("""COMPUTED_VALUE"""),"DEE")</f>
        <v>DEE</v>
      </c>
      <c r="B15" s="65" t="e">
        <f ca="1">COUNTIFS('Student Fee Data'!$C$4:$C330,"=Freeship Card",'Student Fee Data'!#REF!,A15,'Student Fee Data'!#REF!,RIGHT($A$11,1))</f>
        <v>#REF!</v>
      </c>
      <c r="C15" s="65">
        <f t="shared" ca="1" si="1"/>
        <v>0</v>
      </c>
      <c r="D15" s="65">
        <f t="shared" ca="1" si="2"/>
        <v>0</v>
      </c>
      <c r="E15" s="65">
        <f t="shared" ca="1" si="3"/>
        <v>0</v>
      </c>
      <c r="F15" s="65">
        <f t="shared" ca="1" si="4"/>
        <v>0</v>
      </c>
      <c r="G15" s="65" t="e">
        <f ca="1">COUNTIFS('Student Fee Data'!$C$4:$C330,"=TFW",'Student Fee Data'!#REF!,A15,'Student Fee Data'!#REF!,RIGHT($A$11,1))</f>
        <v>#REF!</v>
      </c>
      <c r="H15" s="65" t="e">
        <f ca="1">COUNTIFS('Student Fee Data'!$C$4:$C330,"=MYSY",'Student Fee Data'!#REF!,A15,'Student Fee Data'!#REF!,RIGHT($A$11,1))</f>
        <v>#REF!</v>
      </c>
      <c r="I15" s="65" t="e">
        <f ca="1">COUNTIFS('Student Fee Data'!#REF!,A15,'Student Fee Data'!#REF!,RIGHT($A$11,1))</f>
        <v>#REF!</v>
      </c>
      <c r="J15" s="66" t="str">
        <f ca="1">IFERROR(__xludf.DUMMYFUNCTION("""COMPUTED_VALUE"""),"DEE")</f>
        <v>DEE</v>
      </c>
      <c r="K15" s="67" t="e">
        <f ca="1">COUNTIFS('Student Fee Data'!$C$4:$C330,"=Freeship Card",'Student Fee Data'!#REF!,J15,'Student Fee Data'!#REF!,RIGHT($J$11,1))</f>
        <v>#REF!</v>
      </c>
      <c r="L15" s="67">
        <f t="shared" ca="1" si="5"/>
        <v>0</v>
      </c>
      <c r="M15" s="67">
        <f t="shared" ca="1" si="6"/>
        <v>0</v>
      </c>
      <c r="N15" s="67">
        <f t="shared" ca="1" si="7"/>
        <v>0</v>
      </c>
      <c r="O15" s="67">
        <f t="shared" ca="1" si="8"/>
        <v>0</v>
      </c>
      <c r="P15" s="67" t="e">
        <f ca="1">COUNTIFS('Student Fee Data'!$C$4:$C330,"=TFW",'Student Fee Data'!#REF!,J15,'Student Fee Data'!#REF!,RIGHT($J$11,1))</f>
        <v>#REF!</v>
      </c>
      <c r="Q15" s="67" t="e">
        <f ca="1">COUNTIFS('Student Fee Data'!$C$4:$C330,"=MYSY",'Student Fee Data'!#REF!,J15,'Student Fee Data'!#REF!,RIGHT($J$11,1))</f>
        <v>#REF!</v>
      </c>
      <c r="R15" s="67" t="e">
        <f ca="1">COUNTIFS('Student Fee Data'!#REF!,J15,'Student Fee Data'!#REF!,RIGHT($J$11,1))</f>
        <v>#REF!</v>
      </c>
      <c r="T15" s="56">
        <v>0</v>
      </c>
      <c r="U15" s="56" t="e">
        <v>#REF!</v>
      </c>
      <c r="V15" s="57" t="e">
        <v>#REF!</v>
      </c>
      <c r="W15" s="58">
        <v>0</v>
      </c>
      <c r="X15" s="56" t="str">
        <v>FULL</v>
      </c>
    </row>
    <row r="16" spans="1:25" ht="15.8" customHeight="1">
      <c r="A16" s="64" t="str">
        <f ca="1">IFERROR(__xludf.DUMMYFUNCTION("""COMPUTED_VALUE"""),"DME")</f>
        <v>DME</v>
      </c>
      <c r="B16" s="65" t="e">
        <f ca="1">COUNTIFS('Student Fee Data'!$C$4:$C330,"=Freeship Card",'Student Fee Data'!#REF!,A16,'Student Fee Data'!#REF!,RIGHT($A$11,1))</f>
        <v>#REF!</v>
      </c>
      <c r="C16" s="65">
        <f t="shared" ca="1" si="1"/>
        <v>0</v>
      </c>
      <c r="D16" s="65">
        <f t="shared" ca="1" si="2"/>
        <v>0</v>
      </c>
      <c r="E16" s="65">
        <f t="shared" ca="1" si="3"/>
        <v>0</v>
      </c>
      <c r="F16" s="65">
        <f t="shared" ca="1" si="4"/>
        <v>0</v>
      </c>
      <c r="G16" s="65" t="e">
        <f ca="1">COUNTIFS('Student Fee Data'!$C$4:$C330,"=TFW",'Student Fee Data'!#REF!,A16,'Student Fee Data'!#REF!,RIGHT($A$11,1))</f>
        <v>#REF!</v>
      </c>
      <c r="H16" s="65" t="e">
        <f ca="1">COUNTIFS('Student Fee Data'!$C$4:$C330,"=MYSY",'Student Fee Data'!#REF!,A16,'Student Fee Data'!#REF!,RIGHT($A$11,1))</f>
        <v>#REF!</v>
      </c>
      <c r="I16" s="65" t="e">
        <f ca="1">COUNTIFS('Student Fee Data'!#REF!,A16,'Student Fee Data'!#REF!,RIGHT($A$11,1))</f>
        <v>#REF!</v>
      </c>
      <c r="J16" s="66" t="str">
        <f ca="1">IFERROR(__xludf.DUMMYFUNCTION("""COMPUTED_VALUE"""),"DME")</f>
        <v>DME</v>
      </c>
      <c r="K16" s="67" t="e">
        <f ca="1">COUNTIFS('Student Fee Data'!$C$4:$C330,"=Freeship Card",'Student Fee Data'!#REF!,J16,'Student Fee Data'!#REF!,RIGHT($J$11,1))</f>
        <v>#REF!</v>
      </c>
      <c r="L16" s="67">
        <f t="shared" ca="1" si="5"/>
        <v>0</v>
      </c>
      <c r="M16" s="67">
        <f t="shared" ca="1" si="6"/>
        <v>0</v>
      </c>
      <c r="N16" s="67">
        <f t="shared" ca="1" si="7"/>
        <v>0</v>
      </c>
      <c r="O16" s="67">
        <f t="shared" ca="1" si="8"/>
        <v>0</v>
      </c>
      <c r="P16" s="67" t="e">
        <f ca="1">COUNTIFS('Student Fee Data'!$C$4:$C330,"=TFW",'Student Fee Data'!#REF!,J16,'Student Fee Data'!#REF!,RIGHT($J$11,1))</f>
        <v>#REF!</v>
      </c>
      <c r="Q16" s="67" t="e">
        <f ca="1">COUNTIFS('Student Fee Data'!$C$4:$C330,"=MYSY",'Student Fee Data'!#REF!,J16,'Student Fee Data'!#REF!,RIGHT($J$11,1))</f>
        <v>#REF!</v>
      </c>
      <c r="R16" s="67" t="e">
        <f ca="1">COUNTIFS('Student Fee Data'!#REF!,J16,'Student Fee Data'!#REF!,RIGHT($J$11,1))</f>
        <v>#REF!</v>
      </c>
      <c r="T16" s="56">
        <v>0</v>
      </c>
      <c r="U16" s="56" t="e">
        <v>#REF!</v>
      </c>
      <c r="V16" s="57" t="e">
        <v>#REF!</v>
      </c>
      <c r="W16" s="58">
        <v>0</v>
      </c>
      <c r="X16" s="56" t="str">
        <v>FULL</v>
      </c>
    </row>
    <row r="17" spans="1:24">
      <c r="A17" s="59"/>
      <c r="J17" s="59"/>
      <c r="T17" s="56" t="str">
        <f ca="1"/>
        <v>23SDSCE01024</v>
      </c>
      <c r="U17" s="56" t="e">
        <v>#REF!</v>
      </c>
      <c r="V17" s="57" t="e">
        <v>#REF!</v>
      </c>
      <c r="W17" s="58">
        <f ca="1"/>
        <v>0</v>
      </c>
      <c r="X17" s="56" t="str">
        <f ca="1"/>
        <v>FULL</v>
      </c>
    </row>
    <row r="18" spans="1:24">
      <c r="T18" s="56">
        <v>0</v>
      </c>
      <c r="U18" s="56" t="e">
        <v>#REF!</v>
      </c>
      <c r="V18" s="57" t="e">
        <v>#REF!</v>
      </c>
      <c r="W18" s="58">
        <v>0</v>
      </c>
      <c r="X18" s="56" t="str">
        <v>FULL</v>
      </c>
    </row>
    <row r="19" spans="1:24" ht="15.8" customHeight="1">
      <c r="A19" s="91" t="s">
        <v>39</v>
      </c>
      <c r="B19" s="84"/>
      <c r="C19" s="84"/>
      <c r="D19" s="84"/>
      <c r="E19" s="84"/>
      <c r="F19" s="84"/>
      <c r="G19" s="84"/>
      <c r="H19" s="84"/>
      <c r="I19" s="85"/>
      <c r="T19" s="56" t="str">
        <f ca="1"/>
        <v>23SDSCE01026</v>
      </c>
      <c r="U19" s="56" t="e">
        <v>#REF!</v>
      </c>
      <c r="V19" s="57" t="e">
        <v>#REF!</v>
      </c>
      <c r="W19" s="58">
        <f ca="1"/>
        <v>0</v>
      </c>
      <c r="X19" s="56" t="str">
        <f ca="1"/>
        <v>FULL</v>
      </c>
    </row>
    <row r="20" spans="1:24" ht="15.8" customHeight="1">
      <c r="A20" s="60"/>
      <c r="B20" s="61" t="s">
        <v>24</v>
      </c>
      <c r="C20" s="61" t="s">
        <v>25</v>
      </c>
      <c r="D20" s="61" t="s">
        <v>26</v>
      </c>
      <c r="E20" s="61" t="s">
        <v>27</v>
      </c>
      <c r="F20" s="61" t="s">
        <v>28</v>
      </c>
      <c r="G20" s="61" t="s">
        <v>29</v>
      </c>
      <c r="H20" s="61" t="s">
        <v>30</v>
      </c>
      <c r="I20" s="61" t="s">
        <v>31</v>
      </c>
      <c r="T20" s="56" t="str">
        <f ca="1"/>
        <v>23SDSCE01030</v>
      </c>
      <c r="U20" s="56" t="e">
        <v>#REF!</v>
      </c>
      <c r="V20" s="57" t="e">
        <v>#REF!</v>
      </c>
      <c r="W20" s="58">
        <f ca="1"/>
        <v>0</v>
      </c>
      <c r="X20" s="56" t="str">
        <f ca="1"/>
        <v>PARTIAL</v>
      </c>
    </row>
    <row r="21" spans="1:24" ht="15.8" customHeight="1">
      <c r="A21" s="64" t="str">
        <f ca="1">IFERROR(__xludf.DUMMYFUNCTION("UNIQUE('Student Fee Data'!$D$4:$D1131)"),"DCE")</f>
        <v>DCE</v>
      </c>
      <c r="B21" s="65" t="e">
        <f ca="1">COUNTIFS('Student Fee Data'!$C$4:$C330,"=Freeship Card",'Student Fee Data'!#REF!,A21,'Student Fee Data'!#REF!,RIGHT($A$19,1))</f>
        <v>#REF!</v>
      </c>
      <c r="C21" s="65">
        <f t="shared" ref="C21:C24" ca="1" si="9">COUNTIFS($U$4:$U1131,A21,$V$4:$V1131,RIGHT($A$19,1), $X$4:$X1131,"NIL")</f>
        <v>0</v>
      </c>
      <c r="D21" s="65">
        <f t="shared" ref="D21:D24" ca="1" si="10">COUNTIFS($U$4:$U1131,A21,$V$4:$V1131,RIGHT($A$19,1), $X$4:$X1131,"PARTIAL")</f>
        <v>0</v>
      </c>
      <c r="E21" s="65">
        <f t="shared" ref="E21:E24" ca="1" si="11">COUNTIFS($U$4:$U1131,A21,$V$4:$V1131,RIGHT($A$19,1),$W$4:$W1131,"&gt;0")</f>
        <v>0</v>
      </c>
      <c r="F21" s="65">
        <f t="shared" ref="F21:F24" ca="1" si="12">COUNTIFS($U$4:$U1131,A21,$V$4:$V1131,RIGHT($A$19,1), $X$4:$X1131,"FULL")</f>
        <v>0</v>
      </c>
      <c r="G21" s="65" t="e">
        <f ca="1">COUNTIFS('Student Fee Data'!$C$4:$C330,"=TFW",'Student Fee Data'!#REF!,A21,'Student Fee Data'!#REF!,RIGHT($A$19,1))</f>
        <v>#REF!</v>
      </c>
      <c r="H21" s="65" t="e">
        <f ca="1">COUNTIFS('Student Fee Data'!$C$4:$C330,"=MYSY",'Student Fee Data'!#REF!,A21,'Student Fee Data'!#REF!,RIGHT($A$19,1))</f>
        <v>#REF!</v>
      </c>
      <c r="I21" s="65" t="e">
        <f ca="1">COUNTIFS('Student Fee Data'!#REF!,A21,'Student Fee Data'!#REF!,RIGHT($A$19,1))</f>
        <v>#REF!</v>
      </c>
      <c r="T21" s="56" t="str">
        <f ca="1"/>
        <v>23SDSCE01032</v>
      </c>
      <c r="U21" s="56" t="e">
        <v>#REF!</v>
      </c>
      <c r="V21" s="57" t="e">
        <v>#REF!</v>
      </c>
      <c r="W21" s="58">
        <f ca="1"/>
        <v>0</v>
      </c>
      <c r="X21" s="56" t="str">
        <f ca="1"/>
        <v>FULL</v>
      </c>
    </row>
    <row r="22" spans="1:24" ht="15.8" customHeight="1">
      <c r="A22" s="64" t="str">
        <f ca="1">IFERROR(__xludf.DUMMYFUNCTION("""COMPUTED_VALUE"""),"DCV")</f>
        <v>DCV</v>
      </c>
      <c r="B22" s="65" t="e">
        <f ca="1">COUNTIFS('Student Fee Data'!$C$4:$C330,"=Freeship Card",'Student Fee Data'!#REF!,A22,'Student Fee Data'!#REF!,RIGHT($A$19,1))</f>
        <v>#REF!</v>
      </c>
      <c r="C22" s="65">
        <f t="shared" ca="1" si="9"/>
        <v>0</v>
      </c>
      <c r="D22" s="65">
        <f t="shared" ca="1" si="10"/>
        <v>0</v>
      </c>
      <c r="E22" s="65">
        <f t="shared" ca="1" si="11"/>
        <v>0</v>
      </c>
      <c r="F22" s="65">
        <f t="shared" ca="1" si="12"/>
        <v>0</v>
      </c>
      <c r="G22" s="65" t="e">
        <f ca="1">COUNTIFS('Student Fee Data'!$C$4:$C330,"=TFW",'Student Fee Data'!#REF!,A22,'Student Fee Data'!#REF!,RIGHT($A$19,1))</f>
        <v>#REF!</v>
      </c>
      <c r="H22" s="65" t="e">
        <f ca="1">COUNTIFS('Student Fee Data'!$C$4:$C330,"=MYSY",'Student Fee Data'!#REF!,A22,'Student Fee Data'!#REF!,RIGHT($A$19,1))</f>
        <v>#REF!</v>
      </c>
      <c r="I22" s="65" t="e">
        <f ca="1">COUNTIFS('Student Fee Data'!#REF!,A22,'Student Fee Data'!#REF!,RIGHT($A$19,1))</f>
        <v>#REF!</v>
      </c>
      <c r="T22" s="56" t="str">
        <f ca="1"/>
        <v>23SDSCE01033</v>
      </c>
      <c r="U22" s="56" t="e">
        <v>#REF!</v>
      </c>
      <c r="V22" s="57" t="e">
        <v>#REF!</v>
      </c>
      <c r="W22" s="58">
        <f ca="1"/>
        <v>0</v>
      </c>
      <c r="X22" s="56" t="str">
        <f ca="1"/>
        <v>FULL</v>
      </c>
    </row>
    <row r="23" spans="1:24" ht="15.8" customHeight="1">
      <c r="A23" s="64" t="str">
        <f ca="1">IFERROR(__xludf.DUMMYFUNCTION("""COMPUTED_VALUE"""),"DEE")</f>
        <v>DEE</v>
      </c>
      <c r="B23" s="65" t="e">
        <f ca="1">COUNTIFS('Student Fee Data'!$C$4:$C330,"=Freeship Card",'Student Fee Data'!#REF!,A23,'Student Fee Data'!#REF!,RIGHT($A$19,1))</f>
        <v>#REF!</v>
      </c>
      <c r="C23" s="65">
        <f t="shared" ca="1" si="9"/>
        <v>0</v>
      </c>
      <c r="D23" s="65">
        <f t="shared" ca="1" si="10"/>
        <v>0</v>
      </c>
      <c r="E23" s="65">
        <f t="shared" ca="1" si="11"/>
        <v>0</v>
      </c>
      <c r="F23" s="65">
        <f t="shared" ca="1" si="12"/>
        <v>0</v>
      </c>
      <c r="G23" s="65" t="e">
        <f ca="1">COUNTIFS('Student Fee Data'!$C$4:$C330,"=TFW",'Student Fee Data'!#REF!,A23,'Student Fee Data'!#REF!,RIGHT($A$19,1))</f>
        <v>#REF!</v>
      </c>
      <c r="H23" s="65" t="e">
        <f ca="1">COUNTIFS('Student Fee Data'!$C$4:$C330,"=MYSY",'Student Fee Data'!#REF!,A23,'Student Fee Data'!#REF!,RIGHT($A$19,1))</f>
        <v>#REF!</v>
      </c>
      <c r="I23" s="65" t="e">
        <f ca="1">COUNTIFS('Student Fee Data'!#REF!,A23,'Student Fee Data'!#REF!,RIGHT($A$19,1))</f>
        <v>#REF!</v>
      </c>
      <c r="T23" s="56" t="str">
        <f ca="1"/>
        <v>23SDSCE01037</v>
      </c>
      <c r="U23" s="56" t="e">
        <v>#REF!</v>
      </c>
      <c r="V23" s="57" t="e">
        <v>#REF!</v>
      </c>
      <c r="W23" s="58">
        <f ca="1"/>
        <v>0</v>
      </c>
      <c r="X23" s="56" t="str">
        <f ca="1"/>
        <v>FULL</v>
      </c>
    </row>
    <row r="24" spans="1:24" ht="15.8" customHeight="1">
      <c r="A24" s="64" t="str">
        <f ca="1">IFERROR(__xludf.DUMMYFUNCTION("""COMPUTED_VALUE"""),"DME")</f>
        <v>DME</v>
      </c>
      <c r="B24" s="65" t="e">
        <f ca="1">COUNTIFS('Student Fee Data'!$C$4:$C330,"=Freeship Card",'Student Fee Data'!#REF!,A24,'Student Fee Data'!#REF!,RIGHT($A$19,1))</f>
        <v>#REF!</v>
      </c>
      <c r="C24" s="65">
        <f t="shared" ca="1" si="9"/>
        <v>0</v>
      </c>
      <c r="D24" s="65">
        <f t="shared" ca="1" si="10"/>
        <v>0</v>
      </c>
      <c r="E24" s="65">
        <f t="shared" ca="1" si="11"/>
        <v>0</v>
      </c>
      <c r="F24" s="65">
        <f t="shared" ca="1" si="12"/>
        <v>0</v>
      </c>
      <c r="G24" s="65" t="e">
        <f ca="1">COUNTIFS('Student Fee Data'!$C$4:$C330,"=TFW",'Student Fee Data'!#REF!,A24,'Student Fee Data'!#REF!,RIGHT($A$19,1))</f>
        <v>#REF!</v>
      </c>
      <c r="H24" s="65" t="e">
        <f ca="1">COUNTIFS('Student Fee Data'!$C$4:$C330,"=MYSY",'Student Fee Data'!#REF!,A24,'Student Fee Data'!#REF!,RIGHT($A$19,1))</f>
        <v>#REF!</v>
      </c>
      <c r="I24" s="65" t="e">
        <f ca="1">COUNTIFS('Student Fee Data'!#REF!,A24,'Student Fee Data'!#REF!,RIGHT($A$19,1))</f>
        <v>#REF!</v>
      </c>
      <c r="T24" s="56" t="str">
        <f ca="1"/>
        <v>23SDSCE01153</v>
      </c>
      <c r="U24" s="56" t="e">
        <v>#REF!</v>
      </c>
      <c r="V24" s="57" t="e">
        <v>#REF!</v>
      </c>
      <c r="W24" s="58">
        <f ca="1"/>
        <v>27500</v>
      </c>
      <c r="X24" s="56" t="str">
        <f ca="1"/>
        <v>FULL</v>
      </c>
    </row>
    <row r="25" spans="1:24">
      <c r="A25" s="59"/>
      <c r="T25" s="56" t="str">
        <f ca="1"/>
        <v>23SDSCE01163</v>
      </c>
      <c r="U25" s="56" t="e">
        <v>#REF!</v>
      </c>
      <c r="V25" s="57" t="e">
        <v>#REF!</v>
      </c>
      <c r="W25" s="58">
        <f ca="1"/>
        <v>0</v>
      </c>
      <c r="X25" s="56" t="str">
        <f ca="1"/>
        <v>FULL</v>
      </c>
    </row>
    <row r="26" spans="1:24" ht="12.9">
      <c r="T26" s="56" t="str">
        <f ca="1"/>
        <v>23SDSCE01164</v>
      </c>
      <c r="U26" s="56" t="e">
        <v>#REF!</v>
      </c>
      <c r="V26" s="57" t="e">
        <v>#REF!</v>
      </c>
      <c r="W26" s="58">
        <f ca="1"/>
        <v>27500</v>
      </c>
      <c r="X26" s="56" t="str">
        <f ca="1"/>
        <v>FULL</v>
      </c>
    </row>
    <row r="27" spans="1:24" ht="12.9">
      <c r="T27" s="56" t="str">
        <f ca="1"/>
        <v>23SDSCE01167</v>
      </c>
      <c r="U27" s="56" t="e">
        <v>#REF!</v>
      </c>
      <c r="V27" s="57" t="e">
        <v>#REF!</v>
      </c>
      <c r="W27" s="58">
        <f ca="1"/>
        <v>0</v>
      </c>
      <c r="X27" s="56" t="str">
        <f ca="1"/>
        <v>FULL</v>
      </c>
    </row>
    <row r="28" spans="1:24" ht="12.9">
      <c r="T28" s="56" t="str">
        <f ca="1"/>
        <v>23SDSCE01172</v>
      </c>
      <c r="U28" s="56" t="e">
        <v>#REF!</v>
      </c>
      <c r="V28" s="57" t="e">
        <v>#REF!</v>
      </c>
      <c r="W28" s="58">
        <f ca="1"/>
        <v>0</v>
      </c>
      <c r="X28" s="56" t="str">
        <f ca="1"/>
        <v>FULL</v>
      </c>
    </row>
    <row r="29" spans="1:24" ht="12.9">
      <c r="T29" s="56" t="str">
        <f ca="1"/>
        <v>23SDSCE01244</v>
      </c>
      <c r="U29" s="56" t="e">
        <v>#REF!</v>
      </c>
      <c r="V29" s="57" t="e">
        <v>#REF!</v>
      </c>
      <c r="W29" s="58">
        <f ca="1"/>
        <v>0</v>
      </c>
      <c r="X29" s="56" t="str">
        <f ca="1"/>
        <v>FULL</v>
      </c>
    </row>
    <row r="30" spans="1:24" ht="12.9">
      <c r="T30" s="56">
        <v>0</v>
      </c>
      <c r="U30" s="56" t="e">
        <v>#REF!</v>
      </c>
      <c r="V30" s="57" t="e">
        <v>#REF!</v>
      </c>
      <c r="W30" s="58">
        <v>0</v>
      </c>
      <c r="X30" s="56" t="str">
        <v>FULL</v>
      </c>
    </row>
    <row r="31" spans="1:24" ht="12.9">
      <c r="T31" s="56">
        <v>0</v>
      </c>
      <c r="U31" s="56" t="e">
        <v>#REF!</v>
      </c>
      <c r="V31" s="57" t="e">
        <v>#REF!</v>
      </c>
      <c r="W31" s="58">
        <v>0</v>
      </c>
      <c r="X31" s="56" t="str">
        <v>FULL</v>
      </c>
    </row>
    <row r="32" spans="1:24" ht="12.9">
      <c r="T32" s="68">
        <v>0</v>
      </c>
      <c r="U32" s="56" t="e">
        <v>#REF!</v>
      </c>
      <c r="V32" s="57" t="e">
        <v>#REF!</v>
      </c>
      <c r="W32" s="58">
        <v>0</v>
      </c>
      <c r="X32" s="56" t="str">
        <v>FULL</v>
      </c>
    </row>
    <row r="33" spans="20:24" ht="12.9">
      <c r="T33" s="68">
        <v>0</v>
      </c>
      <c r="U33" s="56" t="e">
        <v>#REF!</v>
      </c>
      <c r="V33" s="57" t="e">
        <v>#REF!</v>
      </c>
      <c r="W33" s="58">
        <v>0</v>
      </c>
      <c r="X33" s="56" t="str">
        <v>FULL</v>
      </c>
    </row>
    <row r="34" spans="20:24" ht="12.9">
      <c r="T34" s="68">
        <v>0</v>
      </c>
      <c r="U34" s="56" t="e">
        <v>#REF!</v>
      </c>
      <c r="V34" s="57" t="e">
        <v>#REF!</v>
      </c>
      <c r="W34" s="58">
        <v>0</v>
      </c>
      <c r="X34" s="56" t="str">
        <v>FULL</v>
      </c>
    </row>
    <row r="35" spans="20:24" ht="12.9">
      <c r="T35" s="68">
        <v>0</v>
      </c>
      <c r="U35" s="56" t="e">
        <v>#REF!</v>
      </c>
      <c r="V35" s="57" t="e">
        <v>#REF!</v>
      </c>
      <c r="W35" s="58">
        <v>0</v>
      </c>
      <c r="X35" s="56" t="str">
        <v>FULL</v>
      </c>
    </row>
    <row r="36" spans="20:24" ht="12.9">
      <c r="T36" s="68">
        <v>0</v>
      </c>
      <c r="U36" s="56" t="e">
        <v>#REF!</v>
      </c>
      <c r="V36" s="57" t="e">
        <v>#REF!</v>
      </c>
      <c r="W36" s="58">
        <v>0</v>
      </c>
      <c r="X36" s="56" t="str">
        <v>FULL</v>
      </c>
    </row>
    <row r="37" spans="20:24" ht="12.9">
      <c r="T37" s="68">
        <v>0</v>
      </c>
      <c r="U37" s="56" t="e">
        <v>#REF!</v>
      </c>
      <c r="V37" s="57" t="e">
        <v>#REF!</v>
      </c>
      <c r="W37" s="58">
        <v>0</v>
      </c>
      <c r="X37" s="56" t="str">
        <v>FULL</v>
      </c>
    </row>
    <row r="38" spans="20:24" ht="12.9">
      <c r="T38" s="68">
        <v>0</v>
      </c>
      <c r="U38" s="56" t="e">
        <v>#REF!</v>
      </c>
      <c r="V38" s="57" t="e">
        <v>#REF!</v>
      </c>
      <c r="W38" s="58">
        <v>0</v>
      </c>
      <c r="X38" s="56" t="str">
        <v>FULL</v>
      </c>
    </row>
    <row r="39" spans="20:24" ht="12.9">
      <c r="T39" s="68">
        <v>0</v>
      </c>
      <c r="U39" s="56" t="e">
        <v>#REF!</v>
      </c>
      <c r="V39" s="57" t="e">
        <v>#REF!</v>
      </c>
      <c r="W39" s="58">
        <v>0</v>
      </c>
      <c r="X39" s="56" t="str">
        <v>FULL</v>
      </c>
    </row>
    <row r="40" spans="20:24" ht="12.9">
      <c r="T40" s="68">
        <v>0</v>
      </c>
      <c r="U40" s="56" t="e">
        <v>#REF!</v>
      </c>
      <c r="V40" s="57" t="e">
        <v>#REF!</v>
      </c>
      <c r="W40" s="58">
        <v>0</v>
      </c>
      <c r="X40" s="56" t="str">
        <v>FULL</v>
      </c>
    </row>
    <row r="41" spans="20:24" ht="12.9">
      <c r="T41" s="68">
        <v>0</v>
      </c>
      <c r="U41" s="56" t="e">
        <v>#REF!</v>
      </c>
      <c r="V41" s="57" t="e">
        <v>#REF!</v>
      </c>
      <c r="W41" s="58">
        <v>0</v>
      </c>
      <c r="X41" s="56" t="str">
        <v>FULL</v>
      </c>
    </row>
    <row r="42" spans="20:24" ht="12.9">
      <c r="T42" s="68">
        <v>0</v>
      </c>
      <c r="U42" s="56" t="e">
        <v>#REF!</v>
      </c>
      <c r="V42" s="57" t="e">
        <v>#REF!</v>
      </c>
      <c r="W42" s="58">
        <v>0</v>
      </c>
      <c r="X42" s="56" t="str">
        <v>FULL</v>
      </c>
    </row>
    <row r="43" spans="20:24" ht="12.9">
      <c r="T43" s="68">
        <v>0</v>
      </c>
      <c r="U43" s="56" t="e">
        <v>#REF!</v>
      </c>
      <c r="V43" s="57" t="e">
        <v>#REF!</v>
      </c>
      <c r="W43" s="58">
        <v>0</v>
      </c>
      <c r="X43" s="56" t="str">
        <v>FULL</v>
      </c>
    </row>
    <row r="44" spans="20:24" ht="12.9">
      <c r="T44" s="68">
        <v>0</v>
      </c>
      <c r="U44" s="56" t="e">
        <v>#REF!</v>
      </c>
      <c r="V44" s="57" t="e">
        <v>#REF!</v>
      </c>
      <c r="W44" s="58">
        <v>0</v>
      </c>
      <c r="X44" s="56" t="str">
        <v>FULL</v>
      </c>
    </row>
    <row r="45" spans="20:24" ht="12.9">
      <c r="T45" s="68">
        <v>0</v>
      </c>
      <c r="U45" s="56" t="e">
        <v>#REF!</v>
      </c>
      <c r="V45" s="57" t="e">
        <v>#REF!</v>
      </c>
      <c r="W45" s="58">
        <v>0</v>
      </c>
      <c r="X45" s="56" t="str">
        <v>FULL</v>
      </c>
    </row>
    <row r="46" spans="20:24" ht="12.9">
      <c r="T46" s="68">
        <v>0</v>
      </c>
      <c r="U46" s="56" t="e">
        <v>#REF!</v>
      </c>
      <c r="V46" s="57" t="e">
        <v>#REF!</v>
      </c>
      <c r="W46" s="58">
        <v>0</v>
      </c>
      <c r="X46" s="56" t="str">
        <v>FULL</v>
      </c>
    </row>
    <row r="47" spans="20:24" ht="12.9">
      <c r="T47" s="68">
        <v>0</v>
      </c>
      <c r="U47" s="56" t="e">
        <v>#REF!</v>
      </c>
      <c r="V47" s="57" t="e">
        <v>#REF!</v>
      </c>
      <c r="W47" s="58">
        <v>0</v>
      </c>
      <c r="X47" s="56" t="str">
        <v>FULL</v>
      </c>
    </row>
    <row r="48" spans="20:24" ht="12.9">
      <c r="T48" s="68">
        <v>0</v>
      </c>
      <c r="U48" s="56" t="e">
        <v>#REF!</v>
      </c>
      <c r="V48" s="57" t="e">
        <v>#REF!</v>
      </c>
      <c r="W48" s="58">
        <v>0</v>
      </c>
      <c r="X48" s="56" t="str">
        <v>FULL</v>
      </c>
    </row>
    <row r="49" spans="20:24" ht="12.9">
      <c r="T49" s="68">
        <v>0</v>
      </c>
      <c r="U49" s="56" t="e">
        <v>#REF!</v>
      </c>
      <c r="V49" s="57" t="e">
        <v>#REF!</v>
      </c>
      <c r="W49" s="58">
        <v>0</v>
      </c>
      <c r="X49" s="56" t="str">
        <v>FULL</v>
      </c>
    </row>
    <row r="50" spans="20:24" ht="12.9">
      <c r="T50" s="68">
        <v>0</v>
      </c>
      <c r="U50" s="56" t="e">
        <v>#REF!</v>
      </c>
      <c r="V50" s="57" t="e">
        <v>#REF!</v>
      </c>
      <c r="W50" s="58">
        <v>0</v>
      </c>
      <c r="X50" s="56" t="str">
        <v>FULL</v>
      </c>
    </row>
    <row r="51" spans="20:24" ht="12.9">
      <c r="T51" s="68">
        <v>0</v>
      </c>
      <c r="U51" s="56" t="e">
        <v>#REF!</v>
      </c>
      <c r="V51" s="57" t="e">
        <v>#REF!</v>
      </c>
      <c r="W51" s="58">
        <v>0</v>
      </c>
      <c r="X51" s="56" t="str">
        <v>FULL</v>
      </c>
    </row>
    <row r="52" spans="20:24" ht="12.9">
      <c r="T52" s="68">
        <v>0</v>
      </c>
      <c r="U52" s="56" t="e">
        <v>#REF!</v>
      </c>
      <c r="V52" s="57" t="e">
        <v>#REF!</v>
      </c>
      <c r="W52" s="58">
        <v>0</v>
      </c>
      <c r="X52" s="56" t="str">
        <v>FULL</v>
      </c>
    </row>
    <row r="53" spans="20:24" ht="12.9">
      <c r="T53" s="68">
        <v>0</v>
      </c>
      <c r="U53" s="56" t="e">
        <v>#REF!</v>
      </c>
      <c r="V53" s="57" t="e">
        <v>#REF!</v>
      </c>
      <c r="W53" s="58">
        <v>0</v>
      </c>
      <c r="X53" s="56" t="str">
        <v>FULL</v>
      </c>
    </row>
    <row r="54" spans="20:24" ht="12.9">
      <c r="T54" s="68">
        <v>0</v>
      </c>
      <c r="U54" s="56" t="e">
        <v>#REF!</v>
      </c>
      <c r="V54" s="57" t="e">
        <v>#REF!</v>
      </c>
      <c r="W54" s="58">
        <v>0</v>
      </c>
      <c r="X54" s="56" t="str">
        <v>FULL</v>
      </c>
    </row>
    <row r="55" spans="20:24" ht="12.9">
      <c r="T55" s="68">
        <v>0</v>
      </c>
      <c r="U55" s="56" t="e">
        <v>#REF!</v>
      </c>
      <c r="V55" s="57" t="e">
        <v>#REF!</v>
      </c>
      <c r="W55" s="58">
        <v>0</v>
      </c>
      <c r="X55" s="56" t="str">
        <v>FULL</v>
      </c>
    </row>
    <row r="56" spans="20:24" ht="12.9">
      <c r="T56" s="56">
        <v>0</v>
      </c>
      <c r="U56" s="56" t="e">
        <v>#REF!</v>
      </c>
      <c r="V56" s="57" t="e">
        <v>#REF!</v>
      </c>
      <c r="W56" s="58">
        <v>0</v>
      </c>
      <c r="X56" s="56" t="str">
        <v>FULL</v>
      </c>
    </row>
    <row r="57" spans="20:24" ht="12.9">
      <c r="T57" s="56">
        <v>0</v>
      </c>
      <c r="U57" s="56" t="e">
        <v>#REF!</v>
      </c>
      <c r="V57" s="57" t="e">
        <v>#REF!</v>
      </c>
      <c r="W57" s="58">
        <v>0</v>
      </c>
      <c r="X57" s="56" t="str">
        <v>FULL</v>
      </c>
    </row>
    <row r="58" spans="20:24" ht="12.9">
      <c r="T58" s="56">
        <v>0</v>
      </c>
      <c r="U58" s="56" t="e">
        <v>#REF!</v>
      </c>
      <c r="V58" s="57" t="e">
        <v>#REF!</v>
      </c>
      <c r="W58" s="58">
        <v>0</v>
      </c>
      <c r="X58" s="56" t="str">
        <v>FULL</v>
      </c>
    </row>
    <row r="59" spans="20:24" ht="12.9">
      <c r="T59" s="56">
        <v>0</v>
      </c>
      <c r="U59" s="56" t="e">
        <v>#REF!</v>
      </c>
      <c r="V59" s="57" t="e">
        <v>#REF!</v>
      </c>
      <c r="W59" s="58">
        <v>0</v>
      </c>
      <c r="X59" s="56" t="str">
        <v>FULL</v>
      </c>
    </row>
    <row r="60" spans="20:24" ht="12.9">
      <c r="T60" s="56">
        <v>0</v>
      </c>
      <c r="U60" s="56" t="e">
        <v>#REF!</v>
      </c>
      <c r="V60" s="57" t="e">
        <v>#REF!</v>
      </c>
      <c r="W60" s="58">
        <v>0</v>
      </c>
      <c r="X60" s="56" t="str">
        <v>FULL</v>
      </c>
    </row>
    <row r="61" spans="20:24" ht="12.9">
      <c r="T61" s="56">
        <v>0</v>
      </c>
      <c r="U61" s="56" t="e">
        <v>#REF!</v>
      </c>
      <c r="V61" s="57" t="e">
        <v>#REF!</v>
      </c>
      <c r="W61" s="58">
        <v>0</v>
      </c>
      <c r="X61" s="56" t="str">
        <v>FULL</v>
      </c>
    </row>
    <row r="62" spans="20:24" ht="12.9">
      <c r="T62" s="56">
        <v>0</v>
      </c>
      <c r="U62" s="56" t="e">
        <v>#REF!</v>
      </c>
      <c r="V62" s="57" t="e">
        <v>#REF!</v>
      </c>
      <c r="W62" s="58">
        <v>0</v>
      </c>
      <c r="X62" s="56" t="str">
        <v>FULL</v>
      </c>
    </row>
    <row r="63" spans="20:24" ht="12.9">
      <c r="T63" s="56">
        <v>0</v>
      </c>
      <c r="U63" s="56" t="e">
        <v>#REF!</v>
      </c>
      <c r="V63" s="57" t="e">
        <v>#REF!</v>
      </c>
      <c r="W63" s="58">
        <v>0</v>
      </c>
      <c r="X63" s="56" t="str">
        <v>FULL</v>
      </c>
    </row>
    <row r="64" spans="20:24" ht="12.9">
      <c r="T64" s="56">
        <v>0</v>
      </c>
      <c r="U64" s="56" t="e">
        <v>#REF!</v>
      </c>
      <c r="V64" s="57" t="e">
        <v>#REF!</v>
      </c>
      <c r="W64" s="58">
        <v>0</v>
      </c>
      <c r="X64" s="56" t="str">
        <v>FULL</v>
      </c>
    </row>
    <row r="65" spans="20:24" ht="12.9">
      <c r="T65" s="56">
        <v>0</v>
      </c>
      <c r="U65" s="56" t="e">
        <v>#REF!</v>
      </c>
      <c r="V65" s="57" t="e">
        <v>#REF!</v>
      </c>
      <c r="W65" s="58">
        <v>0</v>
      </c>
      <c r="X65" s="56" t="str">
        <v>FULL</v>
      </c>
    </row>
    <row r="66" spans="20:24" ht="12.9">
      <c r="T66" s="56">
        <v>0</v>
      </c>
      <c r="U66" s="56" t="e">
        <v>#REF!</v>
      </c>
      <c r="V66" s="57" t="e">
        <v>#REF!</v>
      </c>
      <c r="W66" s="58">
        <v>0</v>
      </c>
      <c r="X66" s="56" t="str">
        <v>FULL</v>
      </c>
    </row>
    <row r="67" spans="20:24" ht="12.9">
      <c r="T67" s="56">
        <v>0</v>
      </c>
      <c r="U67" s="56" t="e">
        <v>#REF!</v>
      </c>
      <c r="V67" s="57" t="e">
        <v>#REF!</v>
      </c>
      <c r="W67" s="58">
        <v>0</v>
      </c>
      <c r="X67" s="56" t="str">
        <v>FULL</v>
      </c>
    </row>
    <row r="68" spans="20:24" ht="12.9">
      <c r="T68" s="56">
        <v>0</v>
      </c>
      <c r="U68" s="56" t="e">
        <v>#REF!</v>
      </c>
      <c r="V68" s="57" t="e">
        <v>#REF!</v>
      </c>
      <c r="W68" s="58">
        <v>0</v>
      </c>
      <c r="X68" s="56" t="str">
        <v>FULL</v>
      </c>
    </row>
    <row r="69" spans="20:24" ht="12.9">
      <c r="T69" s="56">
        <v>0</v>
      </c>
      <c r="U69" s="56" t="e">
        <v>#REF!</v>
      </c>
      <c r="V69" s="57" t="e">
        <v>#REF!</v>
      </c>
      <c r="W69" s="58">
        <v>0</v>
      </c>
      <c r="X69" s="56" t="str">
        <v>FULL</v>
      </c>
    </row>
    <row r="70" spans="20:24" ht="12.9">
      <c r="T70" s="56">
        <v>0</v>
      </c>
      <c r="U70" s="56" t="e">
        <v>#REF!</v>
      </c>
      <c r="V70" s="57" t="e">
        <v>#REF!</v>
      </c>
      <c r="W70" s="58">
        <v>0</v>
      </c>
      <c r="X70" s="56" t="str">
        <v>FULL</v>
      </c>
    </row>
    <row r="71" spans="20:24" ht="12.9">
      <c r="T71" s="56">
        <v>0</v>
      </c>
      <c r="U71" s="56" t="e">
        <v>#REF!</v>
      </c>
      <c r="V71" s="57" t="e">
        <v>#REF!</v>
      </c>
      <c r="W71" s="58">
        <v>0</v>
      </c>
      <c r="X71" s="56" t="str">
        <v>FULL</v>
      </c>
    </row>
    <row r="72" spans="20:24" ht="12.9">
      <c r="T72" s="56">
        <v>0</v>
      </c>
      <c r="U72" s="56" t="e">
        <v>#REF!</v>
      </c>
      <c r="V72" s="57" t="e">
        <v>#REF!</v>
      </c>
      <c r="W72" s="58">
        <v>0</v>
      </c>
      <c r="X72" s="56" t="str">
        <v>FULL</v>
      </c>
    </row>
    <row r="73" spans="20:24" ht="12.9">
      <c r="T73" s="56">
        <v>0</v>
      </c>
      <c r="U73" s="56" t="e">
        <v>#REF!</v>
      </c>
      <c r="V73" s="57" t="e">
        <v>#REF!</v>
      </c>
      <c r="W73" s="58">
        <v>0</v>
      </c>
      <c r="X73" s="56" t="str">
        <v>FULL</v>
      </c>
    </row>
    <row r="74" spans="20:24" ht="12.9">
      <c r="T74" s="56">
        <v>0</v>
      </c>
      <c r="U74" s="56" t="e">
        <v>#REF!</v>
      </c>
      <c r="V74" s="57" t="e">
        <v>#REF!</v>
      </c>
      <c r="W74" s="58">
        <v>0</v>
      </c>
      <c r="X74" s="56" t="str">
        <v>FULL</v>
      </c>
    </row>
    <row r="75" spans="20:24" ht="12.9">
      <c r="T75" s="56">
        <v>0</v>
      </c>
      <c r="U75" s="56" t="e">
        <v>#REF!</v>
      </c>
      <c r="V75" s="57" t="e">
        <v>#REF!</v>
      </c>
      <c r="W75" s="58">
        <v>0</v>
      </c>
      <c r="X75" s="56" t="str">
        <v>FULL</v>
      </c>
    </row>
    <row r="76" spans="20:24" ht="12.9">
      <c r="T76" s="56">
        <v>0</v>
      </c>
      <c r="U76" s="56" t="e">
        <v>#REF!</v>
      </c>
      <c r="V76" s="57" t="e">
        <v>#REF!</v>
      </c>
      <c r="W76" s="58">
        <v>0</v>
      </c>
      <c r="X76" s="56" t="str">
        <v>FULL</v>
      </c>
    </row>
    <row r="77" spans="20:24" ht="12.9">
      <c r="T77" s="56">
        <v>0</v>
      </c>
      <c r="U77" s="56" t="e">
        <v>#REF!</v>
      </c>
      <c r="V77" s="57" t="e">
        <v>#REF!</v>
      </c>
      <c r="W77" s="58">
        <v>0</v>
      </c>
      <c r="X77" s="56" t="str">
        <v>FULL</v>
      </c>
    </row>
    <row r="78" spans="20:24" ht="12.9">
      <c r="T78" s="56">
        <v>0</v>
      </c>
      <c r="U78" s="56" t="e">
        <v>#REF!</v>
      </c>
      <c r="V78" s="57" t="e">
        <v>#REF!</v>
      </c>
      <c r="W78" s="58">
        <v>0</v>
      </c>
      <c r="X78" s="56" t="str">
        <v>FULL</v>
      </c>
    </row>
    <row r="79" spans="20:24" ht="12.9">
      <c r="T79" s="56">
        <v>0</v>
      </c>
      <c r="U79" s="56" t="e">
        <v>#REF!</v>
      </c>
      <c r="V79" s="57" t="e">
        <v>#REF!</v>
      </c>
      <c r="W79" s="58">
        <v>0</v>
      </c>
      <c r="X79" s="56" t="str">
        <v>FULL</v>
      </c>
    </row>
    <row r="80" spans="20:24" ht="12.9">
      <c r="T80" s="56">
        <v>0</v>
      </c>
      <c r="U80" s="56" t="e">
        <v>#REF!</v>
      </c>
      <c r="V80" s="57" t="e">
        <v>#REF!</v>
      </c>
      <c r="W80" s="58">
        <v>0</v>
      </c>
      <c r="X80" s="56" t="str">
        <v>FULL</v>
      </c>
    </row>
    <row r="81" spans="20:24" ht="12.9">
      <c r="T81" s="56">
        <v>0</v>
      </c>
      <c r="U81" s="56" t="e">
        <v>#REF!</v>
      </c>
      <c r="V81" s="57" t="e">
        <v>#REF!</v>
      </c>
      <c r="W81" s="58">
        <v>0</v>
      </c>
      <c r="X81" s="56" t="str">
        <v>FULL</v>
      </c>
    </row>
    <row r="82" spans="20:24" ht="12.9">
      <c r="T82" s="56">
        <v>0</v>
      </c>
      <c r="U82" s="56" t="e">
        <v>#REF!</v>
      </c>
      <c r="V82" s="57" t="e">
        <v>#REF!</v>
      </c>
      <c r="W82" s="58">
        <v>0</v>
      </c>
      <c r="X82" s="56" t="str">
        <v>FULL</v>
      </c>
    </row>
    <row r="83" spans="20:24" ht="12.9">
      <c r="T83" s="56">
        <v>0</v>
      </c>
      <c r="U83" s="56" t="e">
        <v>#REF!</v>
      </c>
      <c r="V83" s="57" t="e">
        <v>#REF!</v>
      </c>
      <c r="W83" s="58">
        <v>0</v>
      </c>
      <c r="X83" s="56" t="str">
        <v>FULL</v>
      </c>
    </row>
    <row r="84" spans="20:24" ht="12.9">
      <c r="T84" s="56">
        <v>0</v>
      </c>
      <c r="U84" s="56" t="e">
        <v>#REF!</v>
      </c>
      <c r="V84" s="57" t="e">
        <v>#REF!</v>
      </c>
      <c r="W84" s="58">
        <v>0</v>
      </c>
      <c r="X84" s="56" t="str">
        <v>FULL</v>
      </c>
    </row>
    <row r="85" spans="20:24" ht="12.9">
      <c r="T85" s="56">
        <v>0</v>
      </c>
      <c r="U85" s="56" t="e">
        <v>#REF!</v>
      </c>
      <c r="V85" s="57" t="e">
        <v>#REF!</v>
      </c>
      <c r="W85" s="58">
        <v>0</v>
      </c>
      <c r="X85" s="56" t="str">
        <v>FULL</v>
      </c>
    </row>
    <row r="86" spans="20:24" ht="12.9">
      <c r="T86" s="56">
        <v>0</v>
      </c>
      <c r="U86" s="56" t="e">
        <v>#REF!</v>
      </c>
      <c r="V86" s="57" t="e">
        <v>#REF!</v>
      </c>
      <c r="W86" s="58">
        <v>0</v>
      </c>
      <c r="X86" s="56" t="str">
        <v>FULL</v>
      </c>
    </row>
    <row r="87" spans="20:24" ht="12.9">
      <c r="T87" s="56">
        <v>0</v>
      </c>
      <c r="U87" s="56" t="e">
        <v>#REF!</v>
      </c>
      <c r="V87" s="57" t="e">
        <v>#REF!</v>
      </c>
      <c r="W87" s="58">
        <v>0</v>
      </c>
      <c r="X87" s="56" t="str">
        <v>FULL</v>
      </c>
    </row>
    <row r="88" spans="20:24" ht="12.9">
      <c r="T88" s="56">
        <v>0</v>
      </c>
      <c r="U88" s="56" t="e">
        <v>#REF!</v>
      </c>
      <c r="V88" s="57" t="e">
        <v>#REF!</v>
      </c>
      <c r="W88" s="58">
        <v>0</v>
      </c>
      <c r="X88" s="56" t="str">
        <v>FULL</v>
      </c>
    </row>
    <row r="89" spans="20:24" ht="12.9">
      <c r="T89" s="56">
        <v>0</v>
      </c>
      <c r="U89" s="56" t="e">
        <v>#REF!</v>
      </c>
      <c r="V89" s="57" t="e">
        <v>#REF!</v>
      </c>
      <c r="W89" s="58">
        <v>0</v>
      </c>
      <c r="X89" s="56" t="str">
        <v>FULL</v>
      </c>
    </row>
    <row r="90" spans="20:24" ht="12.9">
      <c r="T90" s="56">
        <v>0</v>
      </c>
      <c r="U90" s="56" t="e">
        <v>#REF!</v>
      </c>
      <c r="V90" s="57" t="e">
        <v>#REF!</v>
      </c>
      <c r="W90" s="58">
        <v>0</v>
      </c>
      <c r="X90" s="56" t="str">
        <v>FULL</v>
      </c>
    </row>
    <row r="91" spans="20:24" ht="12.9">
      <c r="T91" s="56">
        <v>0</v>
      </c>
      <c r="U91" s="56" t="e">
        <v>#REF!</v>
      </c>
      <c r="V91" s="57" t="e">
        <v>#REF!</v>
      </c>
      <c r="W91" s="58">
        <v>0</v>
      </c>
      <c r="X91" s="56" t="str">
        <v>FULL</v>
      </c>
    </row>
    <row r="92" spans="20:24" ht="12.9">
      <c r="T92" s="56">
        <v>0</v>
      </c>
      <c r="U92" s="56" t="e">
        <v>#REF!</v>
      </c>
      <c r="V92" s="57" t="e">
        <v>#REF!</v>
      </c>
      <c r="W92" s="58">
        <v>0</v>
      </c>
      <c r="X92" s="56" t="str">
        <v>FULL</v>
      </c>
    </row>
    <row r="93" spans="20:24" ht="12.9">
      <c r="T93" s="56">
        <v>0</v>
      </c>
      <c r="U93" s="56" t="e">
        <v>#REF!</v>
      </c>
      <c r="V93" s="57" t="e">
        <v>#REF!</v>
      </c>
      <c r="W93" s="58">
        <v>0</v>
      </c>
      <c r="X93" s="56" t="str">
        <v>FULL</v>
      </c>
    </row>
    <row r="94" spans="20:24" ht="12.9">
      <c r="T94" s="56">
        <v>0</v>
      </c>
      <c r="U94" s="56" t="e">
        <v>#REF!</v>
      </c>
      <c r="V94" s="57" t="e">
        <v>#REF!</v>
      </c>
      <c r="W94" s="58">
        <v>0</v>
      </c>
      <c r="X94" s="56" t="str">
        <v>FULL</v>
      </c>
    </row>
    <row r="95" spans="20:24" ht="12.9">
      <c r="T95" s="56">
        <v>0</v>
      </c>
      <c r="U95" s="56" t="e">
        <v>#REF!</v>
      </c>
      <c r="V95" s="57" t="e">
        <v>#REF!</v>
      </c>
      <c r="W95" s="58">
        <v>0</v>
      </c>
      <c r="X95" s="56" t="str">
        <v>FULL</v>
      </c>
    </row>
    <row r="96" spans="20:24" ht="12.9">
      <c r="T96" s="56">
        <v>0</v>
      </c>
      <c r="U96" s="56" t="e">
        <v>#REF!</v>
      </c>
      <c r="V96" s="57" t="e">
        <v>#REF!</v>
      </c>
      <c r="W96" s="58">
        <v>0</v>
      </c>
      <c r="X96" s="56" t="str">
        <v>FULL</v>
      </c>
    </row>
    <row r="97" spans="20:24" ht="12.9">
      <c r="T97" s="56">
        <v>0</v>
      </c>
      <c r="U97" s="56" t="e">
        <v>#REF!</v>
      </c>
      <c r="V97" s="57" t="e">
        <v>#REF!</v>
      </c>
      <c r="W97" s="58">
        <v>0</v>
      </c>
      <c r="X97" s="56" t="str">
        <v>FULL</v>
      </c>
    </row>
    <row r="98" spans="20:24" ht="12.9">
      <c r="T98" s="56">
        <v>0</v>
      </c>
      <c r="U98" s="56" t="e">
        <v>#REF!</v>
      </c>
      <c r="V98" s="57" t="e">
        <v>#REF!</v>
      </c>
      <c r="W98" s="58">
        <v>0</v>
      </c>
      <c r="X98" s="56" t="str">
        <v>FULL</v>
      </c>
    </row>
    <row r="99" spans="20:24" ht="12.9">
      <c r="T99" s="56">
        <v>0</v>
      </c>
      <c r="U99" s="56" t="e">
        <v>#REF!</v>
      </c>
      <c r="V99" s="57" t="e">
        <v>#REF!</v>
      </c>
      <c r="W99" s="58">
        <v>0</v>
      </c>
      <c r="X99" s="56" t="str">
        <v>FULL</v>
      </c>
    </row>
    <row r="100" spans="20:24" ht="12.9">
      <c r="T100" s="56">
        <v>0</v>
      </c>
      <c r="U100" s="56" t="e">
        <v>#REF!</v>
      </c>
      <c r="V100" s="57" t="e">
        <v>#REF!</v>
      </c>
      <c r="W100" s="58">
        <v>0</v>
      </c>
      <c r="X100" s="56" t="str">
        <v>FULL</v>
      </c>
    </row>
    <row r="101" spans="20:24" ht="12.9">
      <c r="T101" s="56">
        <v>0</v>
      </c>
      <c r="U101" s="56" t="e">
        <v>#REF!</v>
      </c>
      <c r="V101" s="57" t="e">
        <v>#REF!</v>
      </c>
      <c r="W101" s="58">
        <v>0</v>
      </c>
      <c r="X101" s="56" t="str">
        <v>FULL</v>
      </c>
    </row>
    <row r="102" spans="20:24" ht="12.9">
      <c r="T102" s="56">
        <v>0</v>
      </c>
      <c r="U102" s="56" t="e">
        <v>#REF!</v>
      </c>
      <c r="V102" s="57" t="e">
        <v>#REF!</v>
      </c>
      <c r="W102" s="58">
        <v>0</v>
      </c>
      <c r="X102" s="56" t="str">
        <v>FULL</v>
      </c>
    </row>
    <row r="103" spans="20:24" ht="12.9">
      <c r="T103" s="56">
        <v>0</v>
      </c>
      <c r="U103" s="56" t="e">
        <v>#REF!</v>
      </c>
      <c r="V103" s="57" t="e">
        <v>#REF!</v>
      </c>
      <c r="W103" s="58">
        <v>0</v>
      </c>
      <c r="X103" s="56" t="str">
        <v>FULL</v>
      </c>
    </row>
    <row r="104" spans="20:24" ht="12.9">
      <c r="T104" s="56">
        <v>0</v>
      </c>
      <c r="U104" s="56" t="e">
        <v>#REF!</v>
      </c>
      <c r="V104" s="57" t="e">
        <v>#REF!</v>
      </c>
      <c r="W104" s="58">
        <v>0</v>
      </c>
      <c r="X104" s="56" t="str">
        <v>FULL</v>
      </c>
    </row>
    <row r="105" spans="20:24" ht="12.9">
      <c r="T105" s="56">
        <v>0</v>
      </c>
      <c r="U105" s="56" t="e">
        <v>#REF!</v>
      </c>
      <c r="V105" s="57" t="e">
        <v>#REF!</v>
      </c>
      <c r="W105" s="58">
        <v>0</v>
      </c>
      <c r="X105" s="56" t="str">
        <v>FULL</v>
      </c>
    </row>
    <row r="106" spans="20:24" ht="12.9">
      <c r="T106" s="56">
        <v>0</v>
      </c>
      <c r="U106" s="56" t="e">
        <v>#REF!</v>
      </c>
      <c r="V106" s="57" t="e">
        <v>#REF!</v>
      </c>
      <c r="W106" s="58">
        <v>0</v>
      </c>
      <c r="X106" s="56" t="str">
        <v>FULL</v>
      </c>
    </row>
    <row r="107" spans="20:24" ht="12.9">
      <c r="T107" s="56">
        <v>0</v>
      </c>
      <c r="U107" s="56" t="e">
        <v>#REF!</v>
      </c>
      <c r="V107" s="57" t="e">
        <v>#REF!</v>
      </c>
      <c r="W107" s="58">
        <v>0</v>
      </c>
      <c r="X107" s="56" t="str">
        <v>FULL</v>
      </c>
    </row>
    <row r="108" spans="20:24" ht="12.9">
      <c r="T108" s="56">
        <v>0</v>
      </c>
      <c r="U108" s="56" t="e">
        <v>#REF!</v>
      </c>
      <c r="V108" s="57" t="e">
        <v>#REF!</v>
      </c>
      <c r="W108" s="58">
        <v>0</v>
      </c>
      <c r="X108" s="56" t="str">
        <v>FULL</v>
      </c>
    </row>
    <row r="109" spans="20:24" ht="12.9">
      <c r="T109" s="56">
        <v>0</v>
      </c>
      <c r="U109" s="56" t="e">
        <v>#REF!</v>
      </c>
      <c r="V109" s="57" t="e">
        <v>#REF!</v>
      </c>
      <c r="W109" s="58">
        <v>0</v>
      </c>
      <c r="X109" s="56" t="str">
        <v>FULL</v>
      </c>
    </row>
    <row r="110" spans="20:24" ht="12.9">
      <c r="T110" s="56">
        <v>0</v>
      </c>
      <c r="U110" s="56" t="e">
        <v>#REF!</v>
      </c>
      <c r="V110" s="57" t="e">
        <v>#REF!</v>
      </c>
      <c r="W110" s="58">
        <v>0</v>
      </c>
      <c r="X110" s="56" t="str">
        <v>FULL</v>
      </c>
    </row>
    <row r="111" spans="20:24" ht="12.9">
      <c r="T111" s="56">
        <v>0</v>
      </c>
      <c r="U111" s="56" t="e">
        <v>#REF!</v>
      </c>
      <c r="V111" s="57" t="e">
        <v>#REF!</v>
      </c>
      <c r="W111" s="58">
        <v>0</v>
      </c>
      <c r="X111" s="56" t="str">
        <v>FULL</v>
      </c>
    </row>
    <row r="112" spans="20:24" ht="12.9">
      <c r="T112" s="56">
        <v>0</v>
      </c>
      <c r="U112" s="56" t="e">
        <v>#REF!</v>
      </c>
      <c r="V112" s="57" t="e">
        <v>#REF!</v>
      </c>
      <c r="W112" s="58">
        <v>0</v>
      </c>
      <c r="X112" s="56" t="str">
        <v>FULL</v>
      </c>
    </row>
    <row r="113" spans="20:24" ht="12.9">
      <c r="T113" s="56">
        <v>0</v>
      </c>
      <c r="U113" s="56" t="e">
        <v>#REF!</v>
      </c>
      <c r="V113" s="57" t="e">
        <v>#REF!</v>
      </c>
      <c r="W113" s="58">
        <v>0</v>
      </c>
      <c r="X113" s="56" t="str">
        <v>FULL</v>
      </c>
    </row>
    <row r="114" spans="20:24" ht="12.9">
      <c r="T114" s="56">
        <v>0</v>
      </c>
      <c r="U114" s="56" t="e">
        <v>#REF!</v>
      </c>
      <c r="V114" s="57" t="e">
        <v>#REF!</v>
      </c>
      <c r="W114" s="58">
        <v>0</v>
      </c>
      <c r="X114" s="56" t="str">
        <v>FULL</v>
      </c>
    </row>
    <row r="115" spans="20:24" ht="12.9">
      <c r="T115" s="56">
        <v>0</v>
      </c>
      <c r="U115" s="56" t="e">
        <v>#REF!</v>
      </c>
      <c r="V115" s="57" t="e">
        <v>#REF!</v>
      </c>
      <c r="W115" s="58">
        <v>0</v>
      </c>
      <c r="X115" s="56" t="str">
        <v>FULL</v>
      </c>
    </row>
    <row r="116" spans="20:24" ht="12.9">
      <c r="T116" s="56">
        <v>0</v>
      </c>
      <c r="U116" s="56" t="e">
        <v>#REF!</v>
      </c>
      <c r="V116" s="57" t="e">
        <v>#REF!</v>
      </c>
      <c r="W116" s="58">
        <v>0</v>
      </c>
      <c r="X116" s="56" t="str">
        <v>FULL</v>
      </c>
    </row>
    <row r="117" spans="20:24" ht="12.9">
      <c r="T117" s="56">
        <v>0</v>
      </c>
      <c r="U117" s="56" t="e">
        <v>#REF!</v>
      </c>
      <c r="V117" s="57" t="e">
        <v>#REF!</v>
      </c>
      <c r="W117" s="58">
        <v>0</v>
      </c>
      <c r="X117" s="56" t="str">
        <v>FULL</v>
      </c>
    </row>
    <row r="118" spans="20:24" ht="12.9">
      <c r="T118" s="56">
        <v>0</v>
      </c>
      <c r="U118" s="56" t="e">
        <v>#REF!</v>
      </c>
      <c r="V118" s="57" t="e">
        <v>#REF!</v>
      </c>
      <c r="W118" s="58">
        <v>0</v>
      </c>
      <c r="X118" s="56" t="str">
        <v>FULL</v>
      </c>
    </row>
    <row r="119" spans="20:24" ht="12.9">
      <c r="T119" s="56">
        <v>0</v>
      </c>
      <c r="U119" s="56" t="e">
        <v>#REF!</v>
      </c>
      <c r="V119" s="57" t="e">
        <v>#REF!</v>
      </c>
      <c r="W119" s="58">
        <v>0</v>
      </c>
      <c r="X119" s="56" t="str">
        <v>FULL</v>
      </c>
    </row>
    <row r="120" spans="20:24" ht="12.9">
      <c r="T120" s="56">
        <v>0</v>
      </c>
      <c r="U120" s="56" t="e">
        <v>#REF!</v>
      </c>
      <c r="V120" s="57" t="e">
        <v>#REF!</v>
      </c>
      <c r="W120" s="58">
        <v>0</v>
      </c>
      <c r="X120" s="56" t="str">
        <v>FULL</v>
      </c>
    </row>
    <row r="121" spans="20:24" ht="12.9">
      <c r="T121" s="56">
        <v>0</v>
      </c>
      <c r="U121" s="56" t="e">
        <v>#REF!</v>
      </c>
      <c r="V121" s="57" t="e">
        <v>#REF!</v>
      </c>
      <c r="W121" s="58">
        <v>0</v>
      </c>
      <c r="X121" s="56" t="str">
        <v>FULL</v>
      </c>
    </row>
    <row r="122" spans="20:24" ht="12.9">
      <c r="T122" s="56">
        <v>0</v>
      </c>
      <c r="U122" s="56" t="e">
        <v>#REF!</v>
      </c>
      <c r="V122" s="57" t="e">
        <v>#REF!</v>
      </c>
      <c r="W122" s="58">
        <v>0</v>
      </c>
      <c r="X122" s="56" t="str">
        <v>FULL</v>
      </c>
    </row>
    <row r="123" spans="20:24" ht="12.9">
      <c r="T123" s="56">
        <v>0</v>
      </c>
      <c r="U123" s="56" t="e">
        <v>#REF!</v>
      </c>
      <c r="V123" s="57" t="e">
        <v>#REF!</v>
      </c>
      <c r="W123" s="58">
        <v>0</v>
      </c>
      <c r="X123" s="56" t="str">
        <v>FULL</v>
      </c>
    </row>
    <row r="124" spans="20:24" ht="12.9">
      <c r="T124" s="56">
        <v>0</v>
      </c>
      <c r="U124" s="56" t="e">
        <v>#REF!</v>
      </c>
      <c r="V124" s="57" t="e">
        <v>#REF!</v>
      </c>
      <c r="W124" s="58">
        <v>0</v>
      </c>
      <c r="X124" s="56" t="str">
        <v>FULL</v>
      </c>
    </row>
    <row r="125" spans="20:24" ht="12.9">
      <c r="T125" s="56">
        <v>0</v>
      </c>
      <c r="U125" s="56" t="e">
        <v>#REF!</v>
      </c>
      <c r="V125" s="57" t="e">
        <v>#REF!</v>
      </c>
      <c r="W125" s="58">
        <v>0</v>
      </c>
      <c r="X125" s="56" t="str">
        <v>FULL</v>
      </c>
    </row>
    <row r="126" spans="20:24" ht="12.9">
      <c r="T126" s="56">
        <v>0</v>
      </c>
      <c r="U126" s="56" t="e">
        <v>#REF!</v>
      </c>
      <c r="V126" s="57" t="e">
        <v>#REF!</v>
      </c>
      <c r="W126" s="58">
        <v>0</v>
      </c>
      <c r="X126" s="56" t="str">
        <v>FULL</v>
      </c>
    </row>
    <row r="127" spans="20:24" ht="12.9">
      <c r="T127" s="56">
        <v>0</v>
      </c>
      <c r="U127" s="56" t="e">
        <v>#REF!</v>
      </c>
      <c r="V127" s="57" t="e">
        <v>#REF!</v>
      </c>
      <c r="W127" s="58">
        <v>0</v>
      </c>
      <c r="X127" s="56" t="str">
        <v>FULL</v>
      </c>
    </row>
    <row r="128" spans="20:24" ht="12.9">
      <c r="T128" s="56">
        <v>0</v>
      </c>
      <c r="U128" s="56" t="e">
        <v>#REF!</v>
      </c>
      <c r="V128" s="57" t="e">
        <v>#REF!</v>
      </c>
      <c r="W128" s="58">
        <v>0</v>
      </c>
      <c r="X128" s="56" t="str">
        <v>FULL</v>
      </c>
    </row>
    <row r="129" spans="20:24" ht="12.9">
      <c r="T129" s="56">
        <v>0</v>
      </c>
      <c r="U129" s="56" t="e">
        <v>#REF!</v>
      </c>
      <c r="V129" s="57" t="e">
        <v>#REF!</v>
      </c>
      <c r="W129" s="58">
        <v>0</v>
      </c>
      <c r="X129" s="56" t="str">
        <v>FULL</v>
      </c>
    </row>
    <row r="130" spans="20:24" ht="12.9">
      <c r="T130" s="56">
        <v>0</v>
      </c>
      <c r="U130" s="56" t="e">
        <v>#REF!</v>
      </c>
      <c r="V130" s="57" t="e">
        <v>#REF!</v>
      </c>
      <c r="W130" s="58">
        <v>0</v>
      </c>
      <c r="X130" s="56" t="str">
        <v>FULL</v>
      </c>
    </row>
    <row r="131" spans="20:24" ht="12.9">
      <c r="T131" s="56">
        <v>0</v>
      </c>
      <c r="U131" s="56" t="e">
        <v>#REF!</v>
      </c>
      <c r="V131" s="57" t="e">
        <v>#REF!</v>
      </c>
      <c r="W131" s="58">
        <v>0</v>
      </c>
      <c r="X131" s="56" t="str">
        <v>FULL</v>
      </c>
    </row>
    <row r="132" spans="20:24" ht="12.9">
      <c r="T132" s="56">
        <v>0</v>
      </c>
      <c r="U132" s="56" t="e">
        <v>#REF!</v>
      </c>
      <c r="V132" s="57" t="e">
        <v>#REF!</v>
      </c>
      <c r="W132" s="58">
        <v>0</v>
      </c>
      <c r="X132" s="56" t="str">
        <v>FULL</v>
      </c>
    </row>
    <row r="133" spans="20:24" ht="12.9">
      <c r="T133" s="56">
        <v>0</v>
      </c>
      <c r="U133" s="56" t="e">
        <v>#REF!</v>
      </c>
      <c r="V133" s="57" t="e">
        <v>#REF!</v>
      </c>
      <c r="W133" s="58">
        <v>0</v>
      </c>
      <c r="X133" s="56" t="str">
        <v>FULL</v>
      </c>
    </row>
    <row r="134" spans="20:24" ht="12.9">
      <c r="T134" s="56">
        <v>0</v>
      </c>
      <c r="U134" s="56" t="e">
        <v>#REF!</v>
      </c>
      <c r="V134" s="57" t="e">
        <v>#REF!</v>
      </c>
      <c r="W134" s="58">
        <v>0</v>
      </c>
      <c r="X134" s="56" t="str">
        <v>FULL</v>
      </c>
    </row>
    <row r="135" spans="20:24" ht="12.9">
      <c r="T135" s="56">
        <v>0</v>
      </c>
      <c r="U135" s="56" t="e">
        <v>#REF!</v>
      </c>
      <c r="V135" s="57" t="e">
        <v>#REF!</v>
      </c>
      <c r="W135" s="58">
        <v>0</v>
      </c>
      <c r="X135" s="56" t="str">
        <v>FULL</v>
      </c>
    </row>
    <row r="136" spans="20:24" ht="12.9">
      <c r="T136" s="56">
        <v>0</v>
      </c>
      <c r="U136" s="56" t="e">
        <v>#REF!</v>
      </c>
      <c r="V136" s="57" t="e">
        <v>#REF!</v>
      </c>
      <c r="W136" s="58">
        <v>0</v>
      </c>
      <c r="X136" s="56" t="str">
        <v>FULL</v>
      </c>
    </row>
    <row r="137" spans="20:24" ht="12.9">
      <c r="T137" s="56">
        <v>0</v>
      </c>
      <c r="U137" s="56" t="e">
        <v>#REF!</v>
      </c>
      <c r="V137" s="57" t="e">
        <v>#REF!</v>
      </c>
      <c r="W137" s="58">
        <v>0</v>
      </c>
      <c r="X137" s="56" t="str">
        <v>FULL</v>
      </c>
    </row>
    <row r="138" spans="20:24" ht="12.9">
      <c r="T138" s="56">
        <v>0</v>
      </c>
      <c r="U138" s="56" t="e">
        <v>#REF!</v>
      </c>
      <c r="V138" s="57" t="e">
        <v>#REF!</v>
      </c>
      <c r="W138" s="58">
        <v>0</v>
      </c>
      <c r="X138" s="56" t="str">
        <v>FULL</v>
      </c>
    </row>
    <row r="139" spans="20:24" ht="12.9">
      <c r="T139" s="56">
        <v>0</v>
      </c>
      <c r="U139" s="56" t="e">
        <v>#REF!</v>
      </c>
      <c r="V139" s="57" t="e">
        <v>#REF!</v>
      </c>
      <c r="W139" s="58">
        <v>0</v>
      </c>
      <c r="X139" s="56" t="str">
        <v>FULL</v>
      </c>
    </row>
    <row r="140" spans="20:24" ht="12.9">
      <c r="T140" s="56">
        <v>0</v>
      </c>
      <c r="U140" s="56" t="e">
        <v>#REF!</v>
      </c>
      <c r="V140" s="57" t="e">
        <v>#REF!</v>
      </c>
      <c r="W140" s="58">
        <v>0</v>
      </c>
      <c r="X140" s="56" t="str">
        <v>FULL</v>
      </c>
    </row>
    <row r="141" spans="20:24" ht="12.9">
      <c r="T141" s="56">
        <v>0</v>
      </c>
      <c r="U141" s="56" t="e">
        <v>#REF!</v>
      </c>
      <c r="V141" s="57" t="e">
        <v>#REF!</v>
      </c>
      <c r="W141" s="58">
        <v>0</v>
      </c>
      <c r="X141" s="56" t="str">
        <v>FULL</v>
      </c>
    </row>
    <row r="142" spans="20:24" ht="12.9">
      <c r="T142" s="56">
        <v>0</v>
      </c>
      <c r="U142" s="56" t="e">
        <v>#REF!</v>
      </c>
      <c r="V142" s="57" t="e">
        <v>#REF!</v>
      </c>
      <c r="W142" s="58">
        <v>0</v>
      </c>
      <c r="X142" s="56" t="str">
        <v>FULL</v>
      </c>
    </row>
    <row r="143" spans="20:24" ht="12.9">
      <c r="T143" s="56">
        <v>0</v>
      </c>
      <c r="U143" s="56" t="e">
        <v>#REF!</v>
      </c>
      <c r="V143" s="57" t="e">
        <v>#REF!</v>
      </c>
      <c r="W143" s="58">
        <v>0</v>
      </c>
      <c r="X143" s="56" t="str">
        <v>FULL</v>
      </c>
    </row>
    <row r="144" spans="20:24" ht="12.9">
      <c r="T144" s="56">
        <v>0</v>
      </c>
      <c r="U144" s="56" t="e">
        <v>#REF!</v>
      </c>
      <c r="V144" s="57" t="e">
        <v>#REF!</v>
      </c>
      <c r="W144" s="58">
        <v>0</v>
      </c>
      <c r="X144" s="56" t="str">
        <v>FULL</v>
      </c>
    </row>
    <row r="145" spans="20:24" ht="12.9">
      <c r="T145" s="56">
        <v>0</v>
      </c>
      <c r="U145" s="56" t="e">
        <v>#REF!</v>
      </c>
      <c r="V145" s="57" t="e">
        <v>#REF!</v>
      </c>
      <c r="W145" s="58">
        <v>0</v>
      </c>
      <c r="X145" s="56" t="str">
        <v>FULL</v>
      </c>
    </row>
    <row r="146" spans="20:24" ht="12.9">
      <c r="T146" s="56">
        <v>0</v>
      </c>
      <c r="U146" s="56" t="e">
        <v>#REF!</v>
      </c>
      <c r="V146" s="57" t="e">
        <v>#REF!</v>
      </c>
      <c r="W146" s="58">
        <v>0</v>
      </c>
      <c r="X146" s="56" t="str">
        <v>FULL</v>
      </c>
    </row>
    <row r="147" spans="20:24" ht="12.9">
      <c r="T147" s="56">
        <v>0</v>
      </c>
      <c r="U147" s="56" t="e">
        <v>#REF!</v>
      </c>
      <c r="V147" s="57" t="e">
        <v>#REF!</v>
      </c>
      <c r="W147" s="58">
        <v>0</v>
      </c>
      <c r="X147" s="56" t="str">
        <v>FULL</v>
      </c>
    </row>
    <row r="148" spans="20:24" ht="12.9">
      <c r="T148" s="56">
        <v>0</v>
      </c>
      <c r="U148" s="56" t="e">
        <v>#REF!</v>
      </c>
      <c r="V148" s="57" t="e">
        <v>#REF!</v>
      </c>
      <c r="W148" s="58">
        <v>0</v>
      </c>
      <c r="X148" s="56" t="str">
        <v>FULL</v>
      </c>
    </row>
    <row r="149" spans="20:24" ht="12.9">
      <c r="T149" s="56">
        <v>0</v>
      </c>
      <c r="U149" s="56" t="e">
        <v>#REF!</v>
      </c>
      <c r="V149" s="57" t="e">
        <v>#REF!</v>
      </c>
      <c r="W149" s="58">
        <v>0</v>
      </c>
      <c r="X149" s="56" t="str">
        <v>FULL</v>
      </c>
    </row>
    <row r="150" spans="20:24" ht="12.9">
      <c r="T150" s="56">
        <v>0</v>
      </c>
      <c r="U150" s="56" t="e">
        <v>#REF!</v>
      </c>
      <c r="V150" s="57" t="e">
        <v>#REF!</v>
      </c>
      <c r="W150" s="58">
        <v>0</v>
      </c>
      <c r="X150" s="56" t="str">
        <v>FULL</v>
      </c>
    </row>
    <row r="151" spans="20:24" ht="12.9">
      <c r="T151" s="56">
        <v>0</v>
      </c>
      <c r="U151" s="56" t="e">
        <v>#REF!</v>
      </c>
      <c r="V151" s="57" t="e">
        <v>#REF!</v>
      </c>
      <c r="W151" s="58">
        <v>0</v>
      </c>
      <c r="X151" s="56" t="str">
        <v>FULL</v>
      </c>
    </row>
    <row r="152" spans="20:24" ht="12.9">
      <c r="T152" s="56">
        <v>0</v>
      </c>
      <c r="U152" s="56" t="e">
        <v>#REF!</v>
      </c>
      <c r="V152" s="57" t="e">
        <v>#REF!</v>
      </c>
      <c r="W152" s="58">
        <v>0</v>
      </c>
      <c r="X152" s="56" t="str">
        <v>FULL</v>
      </c>
    </row>
    <row r="153" spans="20:24" ht="12.9">
      <c r="T153" s="56">
        <v>0</v>
      </c>
      <c r="U153" s="56" t="e">
        <v>#REF!</v>
      </c>
      <c r="V153" s="57" t="e">
        <v>#REF!</v>
      </c>
      <c r="W153" s="58">
        <v>0</v>
      </c>
      <c r="X153" s="56" t="str">
        <v>FULL</v>
      </c>
    </row>
    <row r="154" spans="20:24" ht="12.9">
      <c r="T154" s="56">
        <v>0</v>
      </c>
      <c r="U154" s="56" t="e">
        <v>#REF!</v>
      </c>
      <c r="V154" s="57" t="e">
        <v>#REF!</v>
      </c>
      <c r="W154" s="58">
        <v>0</v>
      </c>
      <c r="X154" s="56" t="str">
        <v>FULL</v>
      </c>
    </row>
    <row r="155" spans="20:24" ht="12.9">
      <c r="T155" s="56">
        <v>0</v>
      </c>
      <c r="U155" s="56" t="e">
        <v>#REF!</v>
      </c>
      <c r="V155" s="57" t="e">
        <v>#REF!</v>
      </c>
      <c r="W155" s="58">
        <v>0</v>
      </c>
      <c r="X155" s="56" t="str">
        <v>FULL</v>
      </c>
    </row>
    <row r="156" spans="20:24" ht="12.9">
      <c r="T156" s="56">
        <v>0</v>
      </c>
      <c r="U156" s="56" t="e">
        <v>#REF!</v>
      </c>
      <c r="V156" s="57" t="e">
        <v>#REF!</v>
      </c>
      <c r="W156" s="58">
        <v>0</v>
      </c>
      <c r="X156" s="56" t="str">
        <v>FULL</v>
      </c>
    </row>
    <row r="157" spans="20:24" ht="12.9">
      <c r="T157" s="56">
        <v>0</v>
      </c>
      <c r="U157" s="56" t="e">
        <v>#REF!</v>
      </c>
      <c r="V157" s="57" t="e">
        <v>#REF!</v>
      </c>
      <c r="W157" s="58">
        <v>0</v>
      </c>
      <c r="X157" s="56" t="str">
        <v>FULL</v>
      </c>
    </row>
    <row r="158" spans="20:24" ht="12.9">
      <c r="T158" s="56">
        <v>0</v>
      </c>
      <c r="U158" s="56" t="e">
        <v>#REF!</v>
      </c>
      <c r="V158" s="57" t="e">
        <v>#REF!</v>
      </c>
      <c r="W158" s="58">
        <v>0</v>
      </c>
      <c r="X158" s="56" t="str">
        <v>FULL</v>
      </c>
    </row>
    <row r="159" spans="20:24" ht="12.9">
      <c r="T159" s="56">
        <v>0</v>
      </c>
      <c r="U159" s="56" t="e">
        <v>#REF!</v>
      </c>
      <c r="V159" s="57" t="e">
        <v>#REF!</v>
      </c>
      <c r="W159" s="58">
        <v>0</v>
      </c>
      <c r="X159" s="56" t="str">
        <v>FULL</v>
      </c>
    </row>
    <row r="160" spans="20:24" ht="12.9">
      <c r="T160" s="56">
        <v>0</v>
      </c>
      <c r="U160" s="56" t="e">
        <v>#REF!</v>
      </c>
      <c r="V160" s="57" t="e">
        <v>#REF!</v>
      </c>
      <c r="W160" s="58">
        <v>0</v>
      </c>
      <c r="X160" s="56" t="str">
        <v>FULL</v>
      </c>
    </row>
    <row r="161" spans="20:24" ht="12.9">
      <c r="T161" s="56">
        <v>0</v>
      </c>
      <c r="U161" s="56" t="e">
        <v>#REF!</v>
      </c>
      <c r="V161" s="57" t="e">
        <v>#REF!</v>
      </c>
      <c r="W161" s="58">
        <v>0</v>
      </c>
      <c r="X161" s="56" t="str">
        <v>FULL</v>
      </c>
    </row>
    <row r="162" spans="20:24" ht="12.9">
      <c r="T162" s="56">
        <v>0</v>
      </c>
      <c r="U162" s="56" t="e">
        <v>#REF!</v>
      </c>
      <c r="V162" s="57" t="e">
        <v>#REF!</v>
      </c>
      <c r="W162" s="58">
        <v>0</v>
      </c>
      <c r="X162" s="56" t="str">
        <v>FULL</v>
      </c>
    </row>
    <row r="163" spans="20:24" ht="12.9">
      <c r="T163" s="56">
        <v>0</v>
      </c>
      <c r="U163" s="56" t="e">
        <v>#REF!</v>
      </c>
      <c r="V163" s="57" t="e">
        <v>#REF!</v>
      </c>
      <c r="W163" s="58">
        <v>0</v>
      </c>
      <c r="X163" s="56" t="str">
        <v>FULL</v>
      </c>
    </row>
    <row r="164" spans="20:24" ht="12.9">
      <c r="T164" s="56">
        <v>0</v>
      </c>
      <c r="U164" s="56" t="e">
        <v>#REF!</v>
      </c>
      <c r="V164" s="57" t="e">
        <v>#REF!</v>
      </c>
      <c r="W164" s="58">
        <v>0</v>
      </c>
      <c r="X164" s="56" t="str">
        <v>FULL</v>
      </c>
    </row>
    <row r="165" spans="20:24" ht="12.9">
      <c r="T165" s="56">
        <v>0</v>
      </c>
      <c r="U165" s="56" t="e">
        <v>#REF!</v>
      </c>
      <c r="V165" s="57" t="e">
        <v>#REF!</v>
      </c>
      <c r="W165" s="58">
        <v>0</v>
      </c>
      <c r="X165" s="56" t="str">
        <v>FULL</v>
      </c>
    </row>
    <row r="166" spans="20:24" ht="12.9">
      <c r="T166" s="56">
        <v>0</v>
      </c>
      <c r="U166" s="56" t="e">
        <v>#REF!</v>
      </c>
      <c r="V166" s="57" t="e">
        <v>#REF!</v>
      </c>
      <c r="W166" s="58">
        <v>0</v>
      </c>
      <c r="X166" s="56" t="str">
        <v>FULL</v>
      </c>
    </row>
    <row r="167" spans="20:24" ht="12.9">
      <c r="T167" s="56">
        <v>0</v>
      </c>
      <c r="U167" s="56" t="e">
        <v>#REF!</v>
      </c>
      <c r="V167" s="57" t="e">
        <v>#REF!</v>
      </c>
      <c r="W167" s="58">
        <v>0</v>
      </c>
      <c r="X167" s="56" t="str">
        <v>FULL</v>
      </c>
    </row>
    <row r="168" spans="20:24" ht="12.9">
      <c r="T168" s="56">
        <v>0</v>
      </c>
      <c r="U168" s="56" t="e">
        <v>#REF!</v>
      </c>
      <c r="V168" s="57" t="e">
        <v>#REF!</v>
      </c>
      <c r="W168" s="58">
        <v>0</v>
      </c>
      <c r="X168" s="56" t="str">
        <v>FULL</v>
      </c>
    </row>
    <row r="169" spans="20:24" ht="12.9">
      <c r="T169" s="56">
        <v>0</v>
      </c>
      <c r="U169" s="56" t="e">
        <v>#REF!</v>
      </c>
      <c r="V169" s="57" t="e">
        <v>#REF!</v>
      </c>
      <c r="W169" s="58">
        <v>0</v>
      </c>
      <c r="X169" s="56" t="str">
        <v>FULL</v>
      </c>
    </row>
    <row r="170" spans="20:24" ht="12.9">
      <c r="T170" s="56">
        <v>0</v>
      </c>
      <c r="U170" s="56" t="e">
        <v>#REF!</v>
      </c>
      <c r="V170" s="57" t="e">
        <v>#REF!</v>
      </c>
      <c r="W170" s="58">
        <v>0</v>
      </c>
      <c r="X170" s="56" t="str">
        <v>FULL</v>
      </c>
    </row>
    <row r="171" spans="20:24" ht="12.9">
      <c r="T171" s="56">
        <v>0</v>
      </c>
      <c r="U171" s="56" t="e">
        <v>#REF!</v>
      </c>
      <c r="V171" s="57" t="e">
        <v>#REF!</v>
      </c>
      <c r="W171" s="58">
        <v>0</v>
      </c>
      <c r="X171" s="56" t="str">
        <v>FULL</v>
      </c>
    </row>
    <row r="172" spans="20:24" ht="12.9">
      <c r="T172" s="56">
        <v>0</v>
      </c>
      <c r="U172" s="56" t="e">
        <v>#REF!</v>
      </c>
      <c r="V172" s="57" t="e">
        <v>#REF!</v>
      </c>
      <c r="W172" s="58">
        <v>0</v>
      </c>
      <c r="X172" s="56" t="str">
        <v>FULL</v>
      </c>
    </row>
    <row r="173" spans="20:24" ht="12.9">
      <c r="T173" s="56">
        <v>0</v>
      </c>
      <c r="U173" s="56" t="e">
        <v>#REF!</v>
      </c>
      <c r="V173" s="57" t="e">
        <v>#REF!</v>
      </c>
      <c r="W173" s="58">
        <v>0</v>
      </c>
      <c r="X173" s="56" t="str">
        <v>FULL</v>
      </c>
    </row>
    <row r="174" spans="20:24" ht="12.9">
      <c r="T174" s="56">
        <v>0</v>
      </c>
      <c r="U174" s="56" t="e">
        <v>#REF!</v>
      </c>
      <c r="V174" s="57" t="e">
        <v>#REF!</v>
      </c>
      <c r="W174" s="58">
        <v>0</v>
      </c>
      <c r="X174" s="56" t="str">
        <v>FULL</v>
      </c>
    </row>
    <row r="175" spans="20:24" ht="12.9">
      <c r="T175" s="56">
        <v>0</v>
      </c>
      <c r="U175" s="56" t="e">
        <v>#REF!</v>
      </c>
      <c r="V175" s="57" t="e">
        <v>#REF!</v>
      </c>
      <c r="W175" s="58">
        <v>0</v>
      </c>
      <c r="X175" s="56" t="str">
        <v>FULL</v>
      </c>
    </row>
    <row r="176" spans="20:24" ht="12.9">
      <c r="T176" s="56">
        <v>0</v>
      </c>
      <c r="U176" s="56" t="e">
        <v>#REF!</v>
      </c>
      <c r="V176" s="57" t="e">
        <v>#REF!</v>
      </c>
      <c r="W176" s="58">
        <v>0</v>
      </c>
      <c r="X176" s="56" t="str">
        <v>FULL</v>
      </c>
    </row>
    <row r="177" spans="20:24" ht="12.9">
      <c r="T177" s="56">
        <v>0</v>
      </c>
      <c r="U177" s="56" t="e">
        <v>#REF!</v>
      </c>
      <c r="V177" s="57" t="e">
        <v>#REF!</v>
      </c>
      <c r="W177" s="58">
        <v>0</v>
      </c>
      <c r="X177" s="56" t="str">
        <v>FULL</v>
      </c>
    </row>
    <row r="178" spans="20:24" ht="12.9">
      <c r="T178" s="56">
        <v>0</v>
      </c>
      <c r="U178" s="56" t="e">
        <v>#REF!</v>
      </c>
      <c r="V178" s="57" t="e">
        <v>#REF!</v>
      </c>
      <c r="W178" s="58">
        <v>0</v>
      </c>
      <c r="X178" s="56" t="str">
        <v>FULL</v>
      </c>
    </row>
    <row r="179" spans="20:24" ht="12.9">
      <c r="T179" s="56">
        <v>0</v>
      </c>
      <c r="U179" s="56" t="e">
        <v>#REF!</v>
      </c>
      <c r="V179" s="57" t="e">
        <v>#REF!</v>
      </c>
      <c r="W179" s="58">
        <v>0</v>
      </c>
      <c r="X179" s="56" t="str">
        <v>FULL</v>
      </c>
    </row>
    <row r="180" spans="20:24" ht="12.9">
      <c r="T180" s="56">
        <v>0</v>
      </c>
      <c r="U180" s="56" t="e">
        <v>#REF!</v>
      </c>
      <c r="V180" s="57" t="e">
        <v>#REF!</v>
      </c>
      <c r="W180" s="58">
        <v>0</v>
      </c>
      <c r="X180" s="56" t="str">
        <v>FULL</v>
      </c>
    </row>
    <row r="181" spans="20:24" ht="12.9">
      <c r="T181" s="56">
        <v>0</v>
      </c>
      <c r="U181" s="56" t="e">
        <v>#REF!</v>
      </c>
      <c r="V181" s="57" t="e">
        <v>#REF!</v>
      </c>
      <c r="W181" s="58">
        <v>0</v>
      </c>
      <c r="X181" s="56" t="str">
        <v>FULL</v>
      </c>
    </row>
    <row r="182" spans="20:24" ht="12.9">
      <c r="T182" s="56">
        <v>0</v>
      </c>
      <c r="U182" s="56" t="e">
        <v>#REF!</v>
      </c>
      <c r="V182" s="57" t="e">
        <v>#REF!</v>
      </c>
      <c r="W182" s="58">
        <v>0</v>
      </c>
      <c r="X182" s="56" t="str">
        <v>FULL</v>
      </c>
    </row>
    <row r="183" spans="20:24" ht="12.9">
      <c r="T183" s="56">
        <v>0</v>
      </c>
      <c r="U183" s="56" t="e">
        <v>#REF!</v>
      </c>
      <c r="V183" s="57" t="e">
        <v>#REF!</v>
      </c>
      <c r="W183" s="58">
        <v>0</v>
      </c>
      <c r="X183" s="56" t="str">
        <v>FULL</v>
      </c>
    </row>
    <row r="184" spans="20:24" ht="12.9">
      <c r="T184" s="56">
        <v>0</v>
      </c>
      <c r="U184" s="56" t="e">
        <v>#REF!</v>
      </c>
      <c r="V184" s="57" t="e">
        <v>#REF!</v>
      </c>
      <c r="W184" s="58">
        <v>0</v>
      </c>
      <c r="X184" s="56" t="str">
        <v>FULL</v>
      </c>
    </row>
    <row r="185" spans="20:24" ht="12.9">
      <c r="T185" s="56">
        <v>0</v>
      </c>
      <c r="U185" s="56" t="e">
        <v>#REF!</v>
      </c>
      <c r="V185" s="57" t="e">
        <v>#REF!</v>
      </c>
      <c r="W185" s="58">
        <v>0</v>
      </c>
      <c r="X185" s="56" t="str">
        <v>FULL</v>
      </c>
    </row>
    <row r="186" spans="20:24" ht="12.9">
      <c r="T186" s="56">
        <v>0</v>
      </c>
      <c r="U186" s="56" t="e">
        <v>#REF!</v>
      </c>
      <c r="V186" s="57" t="e">
        <v>#REF!</v>
      </c>
      <c r="W186" s="58">
        <v>0</v>
      </c>
      <c r="X186" s="56" t="str">
        <v>FULL</v>
      </c>
    </row>
    <row r="187" spans="20:24" ht="12.9">
      <c r="T187" s="56">
        <v>0</v>
      </c>
      <c r="U187" s="56" t="e">
        <v>#REF!</v>
      </c>
      <c r="V187" s="57" t="e">
        <v>#REF!</v>
      </c>
      <c r="W187" s="58">
        <v>0</v>
      </c>
      <c r="X187" s="56" t="str">
        <v>FULL</v>
      </c>
    </row>
    <row r="188" spans="20:24" ht="12.9">
      <c r="T188" s="56">
        <v>0</v>
      </c>
      <c r="U188" s="56" t="e">
        <v>#REF!</v>
      </c>
      <c r="V188" s="57" t="e">
        <v>#REF!</v>
      </c>
      <c r="W188" s="58">
        <v>0</v>
      </c>
      <c r="X188" s="56" t="str">
        <v>FULL</v>
      </c>
    </row>
    <row r="189" spans="20:24" ht="12.9">
      <c r="T189" s="56">
        <v>0</v>
      </c>
      <c r="U189" s="56" t="e">
        <v>#REF!</v>
      </c>
      <c r="V189" s="57" t="e">
        <v>#REF!</v>
      </c>
      <c r="W189" s="58">
        <v>0</v>
      </c>
      <c r="X189" s="56" t="str">
        <v>FULL</v>
      </c>
    </row>
    <row r="190" spans="20:24" ht="12.9">
      <c r="T190" s="56">
        <v>0</v>
      </c>
      <c r="U190" s="56" t="e">
        <v>#REF!</v>
      </c>
      <c r="V190" s="57" t="e">
        <v>#REF!</v>
      </c>
      <c r="W190" s="58">
        <v>0</v>
      </c>
      <c r="X190" s="56" t="str">
        <v>FULL</v>
      </c>
    </row>
    <row r="191" spans="20:24" ht="12.9">
      <c r="T191" s="56">
        <v>0</v>
      </c>
      <c r="U191" s="56" t="e">
        <v>#REF!</v>
      </c>
      <c r="V191" s="57" t="e">
        <v>#REF!</v>
      </c>
      <c r="W191" s="58">
        <v>0</v>
      </c>
      <c r="X191" s="56" t="str">
        <v>FULL</v>
      </c>
    </row>
    <row r="192" spans="20:24" ht="12.9">
      <c r="T192" s="56">
        <v>0</v>
      </c>
      <c r="U192" s="56" t="e">
        <v>#REF!</v>
      </c>
      <c r="V192" s="57" t="e">
        <v>#REF!</v>
      </c>
      <c r="W192" s="58">
        <v>0</v>
      </c>
      <c r="X192" s="56" t="str">
        <v>FULL</v>
      </c>
    </row>
    <row r="193" spans="20:24" ht="12.9">
      <c r="T193" s="56">
        <v>0</v>
      </c>
      <c r="U193" s="56" t="e">
        <v>#REF!</v>
      </c>
      <c r="V193" s="57" t="e">
        <v>#REF!</v>
      </c>
      <c r="W193" s="58">
        <v>0</v>
      </c>
      <c r="X193" s="56" t="str">
        <v>FULL</v>
      </c>
    </row>
    <row r="194" spans="20:24" ht="12.9">
      <c r="T194" s="56">
        <v>0</v>
      </c>
      <c r="U194" s="56" t="e">
        <v>#REF!</v>
      </c>
      <c r="V194" s="57" t="e">
        <v>#REF!</v>
      </c>
      <c r="W194" s="58">
        <v>0</v>
      </c>
      <c r="X194" s="56" t="str">
        <v>FULL</v>
      </c>
    </row>
    <row r="195" spans="20:24" ht="12.9">
      <c r="T195" s="56">
        <v>0</v>
      </c>
      <c r="U195" s="56" t="e">
        <v>#REF!</v>
      </c>
      <c r="V195" s="57" t="e">
        <v>#REF!</v>
      </c>
      <c r="W195" s="58">
        <v>0</v>
      </c>
      <c r="X195" s="56" t="str">
        <v>FULL</v>
      </c>
    </row>
    <row r="196" spans="20:24" ht="12.9">
      <c r="T196" s="56">
        <v>0</v>
      </c>
      <c r="U196" s="56" t="e">
        <v>#REF!</v>
      </c>
      <c r="V196" s="57" t="e">
        <v>#REF!</v>
      </c>
      <c r="W196" s="58">
        <v>0</v>
      </c>
      <c r="X196" s="56" t="str">
        <v>FULL</v>
      </c>
    </row>
    <row r="197" spans="20:24" ht="12.9">
      <c r="T197" s="56">
        <v>0</v>
      </c>
      <c r="U197" s="56" t="e">
        <v>#REF!</v>
      </c>
      <c r="V197" s="57" t="e">
        <v>#REF!</v>
      </c>
      <c r="W197" s="58">
        <v>0</v>
      </c>
      <c r="X197" s="56" t="str">
        <v>FULL</v>
      </c>
    </row>
    <row r="198" spans="20:24" ht="12.9">
      <c r="T198" s="56">
        <v>0</v>
      </c>
      <c r="U198" s="56" t="e">
        <v>#REF!</v>
      </c>
      <c r="V198" s="57" t="e">
        <v>#REF!</v>
      </c>
      <c r="W198" s="58">
        <v>0</v>
      </c>
      <c r="X198" s="56" t="str">
        <v>FULL</v>
      </c>
    </row>
    <row r="199" spans="20:24" ht="12.9">
      <c r="T199" s="56">
        <v>0</v>
      </c>
      <c r="U199" s="56" t="e">
        <v>#REF!</v>
      </c>
      <c r="V199" s="57" t="e">
        <v>#REF!</v>
      </c>
      <c r="W199" s="58">
        <v>0</v>
      </c>
      <c r="X199" s="56" t="str">
        <v>FULL</v>
      </c>
    </row>
    <row r="200" spans="20:24" ht="12.9">
      <c r="T200" s="56">
        <v>0</v>
      </c>
      <c r="U200" s="56" t="e">
        <v>#REF!</v>
      </c>
      <c r="V200" s="57" t="e">
        <v>#REF!</v>
      </c>
      <c r="W200" s="58">
        <v>0</v>
      </c>
      <c r="X200" s="56" t="str">
        <v>FULL</v>
      </c>
    </row>
    <row r="201" spans="20:24" ht="12.9">
      <c r="T201" s="56">
        <v>0</v>
      </c>
      <c r="U201" s="56" t="e">
        <v>#REF!</v>
      </c>
      <c r="V201" s="57" t="e">
        <v>#REF!</v>
      </c>
      <c r="W201" s="58">
        <v>0</v>
      </c>
      <c r="X201" s="56" t="str">
        <v>FULL</v>
      </c>
    </row>
    <row r="202" spans="20:24" ht="12.9">
      <c r="T202" s="56">
        <v>0</v>
      </c>
      <c r="U202" s="56" t="e">
        <v>#REF!</v>
      </c>
      <c r="V202" s="57" t="e">
        <v>#REF!</v>
      </c>
      <c r="W202" s="58">
        <v>0</v>
      </c>
      <c r="X202" s="56" t="str">
        <v>FULL</v>
      </c>
    </row>
    <row r="203" spans="20:24" ht="12.9">
      <c r="T203" s="56">
        <v>0</v>
      </c>
      <c r="U203" s="56" t="e">
        <v>#REF!</v>
      </c>
      <c r="V203" s="57" t="e">
        <v>#REF!</v>
      </c>
      <c r="W203" s="58">
        <v>0</v>
      </c>
      <c r="X203" s="56" t="str">
        <v>FULL</v>
      </c>
    </row>
    <row r="204" spans="20:24" ht="12.9">
      <c r="T204" s="56">
        <v>0</v>
      </c>
      <c r="U204" s="56" t="e">
        <v>#REF!</v>
      </c>
      <c r="V204" s="57" t="e">
        <v>#REF!</v>
      </c>
      <c r="W204" s="58">
        <v>0</v>
      </c>
      <c r="X204" s="56" t="str">
        <v>FULL</v>
      </c>
    </row>
    <row r="205" spans="20:24" ht="12.9">
      <c r="T205" s="56">
        <v>0</v>
      </c>
      <c r="U205" s="56" t="e">
        <v>#REF!</v>
      </c>
      <c r="V205" s="57" t="e">
        <v>#REF!</v>
      </c>
      <c r="W205" s="58">
        <v>0</v>
      </c>
      <c r="X205" s="56" t="str">
        <v>FULL</v>
      </c>
    </row>
    <row r="206" spans="20:24" ht="12.9">
      <c r="T206" s="56">
        <v>0</v>
      </c>
      <c r="U206" s="56" t="e">
        <v>#REF!</v>
      </c>
      <c r="V206" s="57" t="e">
        <v>#REF!</v>
      </c>
      <c r="W206" s="58">
        <v>0</v>
      </c>
      <c r="X206" s="56" t="str">
        <v>FULL</v>
      </c>
    </row>
    <row r="207" spans="20:24" ht="12.9">
      <c r="T207" s="56">
        <v>0</v>
      </c>
      <c r="U207" s="56" t="e">
        <v>#REF!</v>
      </c>
      <c r="V207" s="57" t="e">
        <v>#REF!</v>
      </c>
      <c r="W207" s="58">
        <v>0</v>
      </c>
      <c r="X207" s="56" t="str">
        <v>FULL</v>
      </c>
    </row>
    <row r="208" spans="20:24" ht="12.9">
      <c r="T208" s="56">
        <v>0</v>
      </c>
      <c r="U208" s="56" t="e">
        <v>#REF!</v>
      </c>
      <c r="V208" s="57" t="e">
        <v>#REF!</v>
      </c>
      <c r="W208" s="58">
        <v>0</v>
      </c>
      <c r="X208" s="56" t="str">
        <v>FULL</v>
      </c>
    </row>
    <row r="209" spans="20:24" ht="12.9">
      <c r="T209" s="56">
        <v>0</v>
      </c>
      <c r="U209" s="56" t="e">
        <v>#REF!</v>
      </c>
      <c r="V209" s="57" t="e">
        <v>#REF!</v>
      </c>
      <c r="W209" s="58">
        <v>0</v>
      </c>
      <c r="X209" s="56" t="str">
        <v>FULL</v>
      </c>
    </row>
    <row r="210" spans="20:24" ht="12.9">
      <c r="T210" s="56">
        <v>0</v>
      </c>
      <c r="U210" s="56" t="e">
        <v>#REF!</v>
      </c>
      <c r="V210" s="57" t="e">
        <v>#REF!</v>
      </c>
      <c r="W210" s="58">
        <v>0</v>
      </c>
      <c r="X210" s="56" t="str">
        <v>FULL</v>
      </c>
    </row>
    <row r="211" spans="20:24" ht="12.9">
      <c r="T211" s="56">
        <v>0</v>
      </c>
      <c r="U211" s="56" t="e">
        <v>#REF!</v>
      </c>
      <c r="V211" s="57" t="e">
        <v>#REF!</v>
      </c>
      <c r="W211" s="58">
        <v>0</v>
      </c>
      <c r="X211" s="56" t="str">
        <v>FULL</v>
      </c>
    </row>
    <row r="212" spans="20:24" ht="12.9">
      <c r="T212" s="56">
        <v>0</v>
      </c>
      <c r="U212" s="56" t="e">
        <v>#REF!</v>
      </c>
      <c r="V212" s="57" t="e">
        <v>#REF!</v>
      </c>
      <c r="W212" s="58">
        <v>0</v>
      </c>
      <c r="X212" s="56" t="str">
        <v>FULL</v>
      </c>
    </row>
    <row r="213" spans="20:24" ht="12.9">
      <c r="T213" s="56">
        <v>0</v>
      </c>
      <c r="U213" s="56" t="e">
        <v>#REF!</v>
      </c>
      <c r="V213" s="57" t="e">
        <v>#REF!</v>
      </c>
      <c r="W213" s="58">
        <v>0</v>
      </c>
      <c r="X213" s="56" t="str">
        <v>FULL</v>
      </c>
    </row>
    <row r="214" spans="20:24" ht="12.9">
      <c r="T214" s="56">
        <v>0</v>
      </c>
      <c r="U214" s="56" t="e">
        <v>#REF!</v>
      </c>
      <c r="V214" s="57" t="e">
        <v>#REF!</v>
      </c>
      <c r="W214" s="58">
        <v>0</v>
      </c>
      <c r="X214" s="56" t="str">
        <v>FULL</v>
      </c>
    </row>
    <row r="215" spans="20:24" ht="12.9">
      <c r="T215" s="56">
        <v>0</v>
      </c>
      <c r="U215" s="56" t="e">
        <v>#REF!</v>
      </c>
      <c r="V215" s="57" t="e">
        <v>#REF!</v>
      </c>
      <c r="W215" s="58">
        <v>0</v>
      </c>
      <c r="X215" s="56" t="str">
        <v>FULL</v>
      </c>
    </row>
    <row r="216" spans="20:24" ht="12.9">
      <c r="T216" s="56">
        <v>0</v>
      </c>
      <c r="U216" s="56" t="e">
        <v>#REF!</v>
      </c>
      <c r="V216" s="57" t="e">
        <v>#REF!</v>
      </c>
      <c r="W216" s="58">
        <v>0</v>
      </c>
      <c r="X216" s="56" t="str">
        <v>FULL</v>
      </c>
    </row>
    <row r="217" spans="20:24" ht="12.9">
      <c r="T217" s="56">
        <v>0</v>
      </c>
      <c r="U217" s="56" t="e">
        <v>#REF!</v>
      </c>
      <c r="V217" s="57" t="e">
        <v>#REF!</v>
      </c>
      <c r="W217" s="58">
        <v>0</v>
      </c>
      <c r="X217" s="56" t="str">
        <v>FULL</v>
      </c>
    </row>
    <row r="218" spans="20:24" ht="12.9">
      <c r="T218" s="56">
        <v>0</v>
      </c>
      <c r="U218" s="56" t="e">
        <v>#REF!</v>
      </c>
      <c r="V218" s="57" t="e">
        <v>#REF!</v>
      </c>
      <c r="W218" s="58">
        <v>0</v>
      </c>
      <c r="X218" s="56" t="str">
        <v>FULL</v>
      </c>
    </row>
    <row r="219" spans="20:24" ht="12.9">
      <c r="T219" s="56">
        <v>0</v>
      </c>
      <c r="U219" s="56" t="e">
        <v>#REF!</v>
      </c>
      <c r="V219" s="57" t="e">
        <v>#REF!</v>
      </c>
      <c r="W219" s="58">
        <v>0</v>
      </c>
      <c r="X219" s="56" t="str">
        <v>FULL</v>
      </c>
    </row>
    <row r="220" spans="20:24" ht="12.9">
      <c r="T220" s="56">
        <v>0</v>
      </c>
      <c r="U220" s="56" t="e">
        <v>#REF!</v>
      </c>
      <c r="V220" s="57" t="e">
        <v>#REF!</v>
      </c>
      <c r="W220" s="58">
        <v>0</v>
      </c>
      <c r="X220" s="56" t="str">
        <v>FULL</v>
      </c>
    </row>
    <row r="221" spans="20:24" ht="12.9">
      <c r="T221" s="56">
        <v>0</v>
      </c>
      <c r="U221" s="56" t="e">
        <v>#REF!</v>
      </c>
      <c r="V221" s="57" t="e">
        <v>#REF!</v>
      </c>
      <c r="W221" s="58">
        <v>0</v>
      </c>
      <c r="X221" s="56" t="str">
        <v>FULL</v>
      </c>
    </row>
    <row r="222" spans="20:24" ht="12.9">
      <c r="T222" s="56">
        <v>0</v>
      </c>
      <c r="U222" s="56" t="e">
        <v>#REF!</v>
      </c>
      <c r="V222" s="57" t="e">
        <v>#REF!</v>
      </c>
      <c r="W222" s="58">
        <v>0</v>
      </c>
      <c r="X222" s="56" t="str">
        <v>FULL</v>
      </c>
    </row>
    <row r="223" spans="20:24" ht="12.9">
      <c r="T223" s="56">
        <v>0</v>
      </c>
      <c r="U223" s="56" t="e">
        <v>#REF!</v>
      </c>
      <c r="V223" s="57" t="e">
        <v>#REF!</v>
      </c>
      <c r="W223" s="58">
        <v>0</v>
      </c>
      <c r="X223" s="56" t="str">
        <v>FULL</v>
      </c>
    </row>
    <row r="224" spans="20:24" ht="12.9">
      <c r="T224" s="56">
        <v>0</v>
      </c>
      <c r="U224" s="56" t="e">
        <v>#REF!</v>
      </c>
      <c r="V224" s="57" t="e">
        <v>#REF!</v>
      </c>
      <c r="W224" s="58">
        <v>0</v>
      </c>
      <c r="X224" s="56" t="str">
        <v>FULL</v>
      </c>
    </row>
    <row r="225" spans="20:24" ht="12.9">
      <c r="T225" s="56">
        <v>0</v>
      </c>
      <c r="U225" s="56" t="e">
        <v>#REF!</v>
      </c>
      <c r="V225" s="57" t="e">
        <v>#REF!</v>
      </c>
      <c r="W225" s="58">
        <v>0</v>
      </c>
      <c r="X225" s="56" t="str">
        <v>FULL</v>
      </c>
    </row>
    <row r="226" spans="20:24" ht="12.9">
      <c r="T226" s="56">
        <v>0</v>
      </c>
      <c r="U226" s="56" t="e">
        <v>#REF!</v>
      </c>
      <c r="V226" s="57" t="e">
        <v>#REF!</v>
      </c>
      <c r="W226" s="58">
        <v>0</v>
      </c>
      <c r="X226" s="56" t="str">
        <v>FULL</v>
      </c>
    </row>
    <row r="227" spans="20:24" ht="12.9">
      <c r="T227" s="56">
        <v>0</v>
      </c>
      <c r="U227" s="56" t="e">
        <v>#REF!</v>
      </c>
      <c r="V227" s="57" t="e">
        <v>#REF!</v>
      </c>
      <c r="W227" s="58">
        <v>0</v>
      </c>
      <c r="X227" s="56" t="str">
        <v>FULL</v>
      </c>
    </row>
    <row r="228" spans="20:24" ht="12.9">
      <c r="T228" s="56">
        <v>0</v>
      </c>
      <c r="U228" s="56" t="e">
        <v>#REF!</v>
      </c>
      <c r="V228" s="57" t="e">
        <v>#REF!</v>
      </c>
      <c r="W228" s="58">
        <v>0</v>
      </c>
      <c r="X228" s="56" t="str">
        <v>FULL</v>
      </c>
    </row>
    <row r="229" spans="20:24" ht="12.9">
      <c r="T229" s="56">
        <v>0</v>
      </c>
      <c r="U229" s="56" t="e">
        <v>#REF!</v>
      </c>
      <c r="V229" s="57" t="e">
        <v>#REF!</v>
      </c>
      <c r="W229" s="58">
        <v>0</v>
      </c>
      <c r="X229" s="56" t="str">
        <v>FULL</v>
      </c>
    </row>
    <row r="230" spans="20:24" ht="12.9">
      <c r="T230" s="56">
        <v>0</v>
      </c>
      <c r="U230" s="56" t="e">
        <v>#REF!</v>
      </c>
      <c r="V230" s="57" t="e">
        <v>#REF!</v>
      </c>
      <c r="W230" s="58">
        <v>0</v>
      </c>
      <c r="X230" s="56" t="str">
        <v>FULL</v>
      </c>
    </row>
    <row r="231" spans="20:24" ht="12.9">
      <c r="T231" s="56">
        <v>0</v>
      </c>
      <c r="U231" s="56" t="e">
        <v>#REF!</v>
      </c>
      <c r="V231" s="57" t="e">
        <v>#REF!</v>
      </c>
      <c r="W231" s="58">
        <v>0</v>
      </c>
      <c r="X231" s="56" t="str">
        <v>FULL</v>
      </c>
    </row>
    <row r="232" spans="20:24" ht="12.9">
      <c r="T232" s="56">
        <v>0</v>
      </c>
      <c r="U232" s="56" t="e">
        <v>#REF!</v>
      </c>
      <c r="V232" s="57" t="e">
        <v>#REF!</v>
      </c>
      <c r="W232" s="58">
        <v>0</v>
      </c>
      <c r="X232" s="56" t="str">
        <v>FULL</v>
      </c>
    </row>
    <row r="233" spans="20:24" ht="12.9">
      <c r="T233" s="56">
        <v>0</v>
      </c>
      <c r="U233" s="56" t="e">
        <v>#REF!</v>
      </c>
      <c r="V233" s="57" t="e">
        <v>#REF!</v>
      </c>
      <c r="W233" s="58">
        <v>0</v>
      </c>
      <c r="X233" s="56" t="str">
        <v>FULL</v>
      </c>
    </row>
    <row r="234" spans="20:24" ht="12.9">
      <c r="T234" s="56">
        <v>0</v>
      </c>
      <c r="U234" s="56" t="e">
        <v>#REF!</v>
      </c>
      <c r="V234" s="57" t="e">
        <v>#REF!</v>
      </c>
      <c r="W234" s="58">
        <v>0</v>
      </c>
      <c r="X234" s="56" t="str">
        <v>FULL</v>
      </c>
    </row>
    <row r="235" spans="20:24" ht="12.9">
      <c r="T235" s="56">
        <v>0</v>
      </c>
      <c r="U235" s="56" t="e">
        <v>#REF!</v>
      </c>
      <c r="V235" s="57" t="e">
        <v>#REF!</v>
      </c>
      <c r="W235" s="58">
        <v>0</v>
      </c>
      <c r="X235" s="56" t="str">
        <v>FULL</v>
      </c>
    </row>
    <row r="236" spans="20:24" ht="12.9">
      <c r="T236" s="56">
        <v>0</v>
      </c>
      <c r="U236" s="56" t="e">
        <v>#REF!</v>
      </c>
      <c r="V236" s="57" t="e">
        <v>#REF!</v>
      </c>
      <c r="W236" s="58">
        <v>0</v>
      </c>
      <c r="X236" s="56" t="str">
        <v>FULL</v>
      </c>
    </row>
    <row r="237" spans="20:24" ht="12.9">
      <c r="T237" s="56">
        <v>0</v>
      </c>
      <c r="U237" s="56" t="e">
        <v>#REF!</v>
      </c>
      <c r="V237" s="57" t="e">
        <v>#REF!</v>
      </c>
      <c r="W237" s="58">
        <v>0</v>
      </c>
      <c r="X237" s="56" t="str">
        <v>FULL</v>
      </c>
    </row>
    <row r="238" spans="20:24" ht="12.9">
      <c r="T238" s="56">
        <v>0</v>
      </c>
      <c r="U238" s="56" t="e">
        <v>#REF!</v>
      </c>
      <c r="V238" s="57" t="e">
        <v>#REF!</v>
      </c>
      <c r="W238" s="58">
        <v>0</v>
      </c>
      <c r="X238" s="56" t="str">
        <v>FULL</v>
      </c>
    </row>
    <row r="239" spans="20:24" ht="12.9">
      <c r="T239" s="56">
        <v>0</v>
      </c>
      <c r="U239" s="56" t="e">
        <v>#REF!</v>
      </c>
      <c r="V239" s="57" t="e">
        <v>#REF!</v>
      </c>
      <c r="W239" s="58">
        <v>0</v>
      </c>
      <c r="X239" s="56" t="str">
        <v>FULL</v>
      </c>
    </row>
    <row r="240" spans="20:24" ht="12.9">
      <c r="T240" s="56">
        <v>0</v>
      </c>
      <c r="U240" s="56" t="e">
        <v>#REF!</v>
      </c>
      <c r="V240" s="57" t="e">
        <v>#REF!</v>
      </c>
      <c r="W240" s="58">
        <v>0</v>
      </c>
      <c r="X240" s="56" t="str">
        <v>FULL</v>
      </c>
    </row>
    <row r="241" spans="20:24" ht="12.9">
      <c r="T241" s="56">
        <v>0</v>
      </c>
      <c r="U241" s="56" t="e">
        <v>#REF!</v>
      </c>
      <c r="V241" s="57" t="e">
        <v>#REF!</v>
      </c>
      <c r="W241" s="58">
        <v>0</v>
      </c>
      <c r="X241" s="56" t="str">
        <v>FULL</v>
      </c>
    </row>
    <row r="242" spans="20:24" ht="12.9">
      <c r="T242" s="56">
        <v>0</v>
      </c>
      <c r="U242" s="56" t="e">
        <v>#REF!</v>
      </c>
      <c r="V242" s="57" t="e">
        <v>#REF!</v>
      </c>
      <c r="W242" s="58">
        <v>0</v>
      </c>
      <c r="X242" s="56" t="str">
        <v>FULL</v>
      </c>
    </row>
    <row r="243" spans="20:24" ht="12.9">
      <c r="T243" s="56">
        <v>0</v>
      </c>
      <c r="U243" s="56" t="e">
        <v>#REF!</v>
      </c>
      <c r="V243" s="57" t="e">
        <v>#REF!</v>
      </c>
      <c r="W243" s="58">
        <v>0</v>
      </c>
      <c r="X243" s="56" t="str">
        <v>FULL</v>
      </c>
    </row>
    <row r="244" spans="20:24" ht="12.9">
      <c r="T244" s="56">
        <v>0</v>
      </c>
      <c r="U244" s="56" t="e">
        <v>#REF!</v>
      </c>
      <c r="V244" s="57" t="e">
        <v>#REF!</v>
      </c>
      <c r="W244" s="58">
        <v>0</v>
      </c>
      <c r="X244" s="56" t="str">
        <v>FULL</v>
      </c>
    </row>
    <row r="245" spans="20:24" ht="12.9">
      <c r="T245" s="56">
        <v>0</v>
      </c>
      <c r="U245" s="56" t="e">
        <v>#REF!</v>
      </c>
      <c r="V245" s="57" t="e">
        <v>#REF!</v>
      </c>
      <c r="W245" s="58">
        <v>0</v>
      </c>
      <c r="X245" s="56" t="str">
        <v>FULL</v>
      </c>
    </row>
    <row r="246" spans="20:24" ht="12.9">
      <c r="T246" s="56">
        <v>0</v>
      </c>
      <c r="U246" s="56" t="e">
        <v>#REF!</v>
      </c>
      <c r="V246" s="57" t="e">
        <v>#REF!</v>
      </c>
      <c r="W246" s="58">
        <v>0</v>
      </c>
      <c r="X246" s="56" t="str">
        <v>FULL</v>
      </c>
    </row>
    <row r="247" spans="20:24" ht="12.9">
      <c r="T247" s="56">
        <v>0</v>
      </c>
      <c r="U247" s="56" t="e">
        <v>#REF!</v>
      </c>
      <c r="V247" s="57" t="e">
        <v>#REF!</v>
      </c>
      <c r="W247" s="58">
        <v>0</v>
      </c>
      <c r="X247" s="56" t="str">
        <v>FULL</v>
      </c>
    </row>
    <row r="248" spans="20:24" ht="12.9">
      <c r="T248" s="56">
        <v>0</v>
      </c>
      <c r="U248" s="56" t="e">
        <v>#REF!</v>
      </c>
      <c r="V248" s="57" t="e">
        <v>#REF!</v>
      </c>
      <c r="W248" s="58">
        <v>0</v>
      </c>
      <c r="X248" s="56" t="str">
        <v>FULL</v>
      </c>
    </row>
    <row r="249" spans="20:24" ht="12.9">
      <c r="T249" s="56">
        <v>0</v>
      </c>
      <c r="U249" s="56" t="e">
        <v>#REF!</v>
      </c>
      <c r="V249" s="57" t="e">
        <v>#REF!</v>
      </c>
      <c r="W249" s="58">
        <v>0</v>
      </c>
      <c r="X249" s="56" t="str">
        <v>FULL</v>
      </c>
    </row>
    <row r="250" spans="20:24" ht="12.9">
      <c r="T250" s="56">
        <v>0</v>
      </c>
      <c r="U250" s="56" t="e">
        <v>#REF!</v>
      </c>
      <c r="V250" s="57" t="e">
        <v>#REF!</v>
      </c>
      <c r="W250" s="58">
        <v>0</v>
      </c>
      <c r="X250" s="56" t="str">
        <v>FULL</v>
      </c>
    </row>
    <row r="251" spans="20:24" ht="12.9">
      <c r="T251" s="56">
        <v>0</v>
      </c>
      <c r="U251" s="56" t="e">
        <v>#REF!</v>
      </c>
      <c r="V251" s="57" t="e">
        <v>#REF!</v>
      </c>
      <c r="W251" s="58">
        <v>0</v>
      </c>
      <c r="X251" s="56" t="str">
        <v>FULL</v>
      </c>
    </row>
    <row r="252" spans="20:24" ht="12.9">
      <c r="T252" s="56">
        <v>0</v>
      </c>
      <c r="U252" s="56" t="e">
        <v>#REF!</v>
      </c>
      <c r="V252" s="57" t="e">
        <v>#REF!</v>
      </c>
      <c r="W252" s="58">
        <v>0</v>
      </c>
      <c r="X252" s="56" t="str">
        <v>FULL</v>
      </c>
    </row>
    <row r="253" spans="20:24" ht="12.9">
      <c r="T253" s="56">
        <v>0</v>
      </c>
      <c r="U253" s="56" t="e">
        <v>#REF!</v>
      </c>
      <c r="V253" s="57" t="e">
        <v>#REF!</v>
      </c>
      <c r="W253" s="58">
        <v>0</v>
      </c>
      <c r="X253" s="56" t="str">
        <v>FULL</v>
      </c>
    </row>
    <row r="254" spans="20:24" ht="12.9">
      <c r="T254" s="56">
        <v>0</v>
      </c>
      <c r="U254" s="56" t="e">
        <v>#REF!</v>
      </c>
      <c r="V254" s="57" t="e">
        <v>#REF!</v>
      </c>
      <c r="W254" s="58">
        <v>0</v>
      </c>
      <c r="X254" s="56" t="str">
        <v>FULL</v>
      </c>
    </row>
    <row r="255" spans="20:24" ht="12.9">
      <c r="T255" s="56">
        <v>0</v>
      </c>
      <c r="U255" s="56" t="e">
        <v>#REF!</v>
      </c>
      <c r="V255" s="57" t="e">
        <v>#REF!</v>
      </c>
      <c r="W255" s="58">
        <v>0</v>
      </c>
      <c r="X255" s="56" t="str">
        <v>FULL</v>
      </c>
    </row>
    <row r="256" spans="20:24" ht="12.9">
      <c r="T256" s="56">
        <v>0</v>
      </c>
      <c r="U256" s="56" t="e">
        <v>#REF!</v>
      </c>
      <c r="V256" s="57" t="e">
        <v>#REF!</v>
      </c>
      <c r="W256" s="58">
        <v>0</v>
      </c>
      <c r="X256" s="56" t="str">
        <v>FULL</v>
      </c>
    </row>
    <row r="257" spans="20:24" ht="12.9">
      <c r="T257" s="56">
        <v>0</v>
      </c>
      <c r="U257" s="56" t="e">
        <v>#REF!</v>
      </c>
      <c r="V257" s="57" t="e">
        <v>#REF!</v>
      </c>
      <c r="W257" s="58">
        <v>0</v>
      </c>
      <c r="X257" s="56" t="str">
        <v>FULL</v>
      </c>
    </row>
    <row r="258" spans="20:24" ht="12.9">
      <c r="T258" s="56">
        <v>0</v>
      </c>
      <c r="U258" s="56" t="e">
        <v>#REF!</v>
      </c>
      <c r="V258" s="57" t="e">
        <v>#REF!</v>
      </c>
      <c r="W258" s="58">
        <v>0</v>
      </c>
      <c r="X258" s="56" t="str">
        <v>FULL</v>
      </c>
    </row>
    <row r="259" spans="20:24" ht="12.9">
      <c r="T259" s="56">
        <v>0</v>
      </c>
      <c r="U259" s="56" t="e">
        <v>#REF!</v>
      </c>
      <c r="V259" s="57" t="e">
        <v>#REF!</v>
      </c>
      <c r="W259" s="58">
        <v>0</v>
      </c>
      <c r="X259" s="56" t="str">
        <v>FULL</v>
      </c>
    </row>
    <row r="260" spans="20:24" ht="12.9">
      <c r="T260" s="56">
        <v>0</v>
      </c>
      <c r="U260" s="56" t="e">
        <v>#REF!</v>
      </c>
      <c r="V260" s="57" t="e">
        <v>#REF!</v>
      </c>
      <c r="W260" s="58">
        <v>0</v>
      </c>
      <c r="X260" s="56" t="str">
        <v>FULL</v>
      </c>
    </row>
    <row r="261" spans="20:24" ht="12.9">
      <c r="T261" s="56">
        <v>0</v>
      </c>
      <c r="U261" s="56" t="e">
        <v>#REF!</v>
      </c>
      <c r="V261" s="57" t="e">
        <v>#REF!</v>
      </c>
      <c r="W261" s="58">
        <v>0</v>
      </c>
      <c r="X261" s="56" t="str">
        <v>FULL</v>
      </c>
    </row>
    <row r="262" spans="20:24" ht="12.9">
      <c r="T262" s="56">
        <v>0</v>
      </c>
      <c r="U262" s="56" t="e">
        <v>#REF!</v>
      </c>
      <c r="V262" s="57" t="e">
        <v>#REF!</v>
      </c>
      <c r="W262" s="58">
        <v>0</v>
      </c>
      <c r="X262" s="56" t="str">
        <v>FULL</v>
      </c>
    </row>
    <row r="263" spans="20:24" ht="12.9">
      <c r="T263" s="56">
        <v>0</v>
      </c>
      <c r="U263" s="56" t="e">
        <v>#REF!</v>
      </c>
      <c r="V263" s="57" t="e">
        <v>#REF!</v>
      </c>
      <c r="W263" s="58">
        <v>0</v>
      </c>
      <c r="X263" s="56" t="str">
        <v>FULL</v>
      </c>
    </row>
    <row r="264" spans="20:24" ht="12.9">
      <c r="T264" s="56">
        <v>0</v>
      </c>
      <c r="U264" s="56" t="e">
        <v>#REF!</v>
      </c>
      <c r="V264" s="57" t="e">
        <v>#REF!</v>
      </c>
      <c r="W264" s="58">
        <v>0</v>
      </c>
      <c r="X264" s="56" t="str">
        <v>FULL</v>
      </c>
    </row>
    <row r="265" spans="20:24" ht="12.9">
      <c r="T265" s="56">
        <v>0</v>
      </c>
      <c r="U265" s="56" t="e">
        <v>#REF!</v>
      </c>
      <c r="V265" s="57" t="e">
        <v>#REF!</v>
      </c>
      <c r="W265" s="58">
        <v>0</v>
      </c>
      <c r="X265" s="56" t="str">
        <v>FULL</v>
      </c>
    </row>
    <row r="266" spans="20:24" ht="12.9">
      <c r="T266" s="56">
        <v>0</v>
      </c>
      <c r="U266" s="56" t="e">
        <v>#REF!</v>
      </c>
      <c r="V266" s="57" t="e">
        <v>#REF!</v>
      </c>
      <c r="W266" s="58">
        <v>0</v>
      </c>
      <c r="X266" s="56" t="str">
        <v>FULL</v>
      </c>
    </row>
    <row r="267" spans="20:24" ht="12.9">
      <c r="T267" s="56">
        <v>0</v>
      </c>
      <c r="U267" s="56" t="e">
        <v>#REF!</v>
      </c>
      <c r="V267" s="57" t="e">
        <v>#REF!</v>
      </c>
      <c r="W267" s="58">
        <v>0</v>
      </c>
      <c r="X267" s="56" t="str">
        <v>FULL</v>
      </c>
    </row>
    <row r="268" spans="20:24" ht="12.9">
      <c r="T268" s="56">
        <v>0</v>
      </c>
      <c r="U268" s="56" t="e">
        <v>#REF!</v>
      </c>
      <c r="V268" s="57" t="e">
        <v>#REF!</v>
      </c>
      <c r="W268" s="58">
        <v>0</v>
      </c>
      <c r="X268" s="56" t="str">
        <v>FULL</v>
      </c>
    </row>
    <row r="269" spans="20:24" ht="12.9">
      <c r="T269" s="56">
        <v>0</v>
      </c>
      <c r="U269" s="56" t="e">
        <v>#REF!</v>
      </c>
      <c r="V269" s="57" t="e">
        <v>#REF!</v>
      </c>
      <c r="W269" s="58">
        <v>0</v>
      </c>
      <c r="X269" s="56" t="str">
        <v>FULL</v>
      </c>
    </row>
    <row r="270" spans="20:24" ht="12.9">
      <c r="T270" s="56">
        <v>0</v>
      </c>
      <c r="U270" s="56" t="e">
        <v>#REF!</v>
      </c>
      <c r="V270" s="57" t="e">
        <v>#REF!</v>
      </c>
      <c r="W270" s="58">
        <v>0</v>
      </c>
      <c r="X270" s="56" t="str">
        <v>FULL</v>
      </c>
    </row>
    <row r="271" spans="20:24" ht="12.9">
      <c r="T271" s="56">
        <v>0</v>
      </c>
      <c r="U271" s="56" t="e">
        <v>#REF!</v>
      </c>
      <c r="V271" s="57" t="e">
        <v>#REF!</v>
      </c>
      <c r="W271" s="58">
        <v>0</v>
      </c>
      <c r="X271" s="56" t="str">
        <v>FULL</v>
      </c>
    </row>
    <row r="272" spans="20:24" ht="12.9">
      <c r="T272" s="56">
        <v>0</v>
      </c>
      <c r="U272" s="56" t="e">
        <v>#REF!</v>
      </c>
      <c r="V272" s="57" t="e">
        <v>#REF!</v>
      </c>
      <c r="W272" s="58">
        <v>0</v>
      </c>
      <c r="X272" s="56" t="str">
        <v>FULL</v>
      </c>
    </row>
    <row r="273" spans="20:24" ht="12.9">
      <c r="T273" s="56">
        <v>0</v>
      </c>
      <c r="U273" s="56" t="e">
        <v>#REF!</v>
      </c>
      <c r="V273" s="57" t="e">
        <v>#REF!</v>
      </c>
      <c r="W273" s="58">
        <v>0</v>
      </c>
      <c r="X273" s="56" t="str">
        <v>FULL</v>
      </c>
    </row>
    <row r="274" spans="20:24" ht="12.9">
      <c r="T274" s="56">
        <v>0</v>
      </c>
      <c r="U274" s="56" t="e">
        <v>#REF!</v>
      </c>
      <c r="V274" s="57" t="e">
        <v>#REF!</v>
      </c>
      <c r="W274" s="58">
        <v>0</v>
      </c>
      <c r="X274" s="56" t="str">
        <v>FULL</v>
      </c>
    </row>
    <row r="275" spans="20:24" ht="12.9">
      <c r="T275" s="56">
        <v>0</v>
      </c>
      <c r="U275" s="56" t="e">
        <v>#REF!</v>
      </c>
      <c r="V275" s="57" t="e">
        <v>#REF!</v>
      </c>
      <c r="W275" s="58">
        <v>0</v>
      </c>
      <c r="X275" s="56" t="str">
        <v>FULL</v>
      </c>
    </row>
    <row r="276" spans="20:24" ht="12.9">
      <c r="T276" s="56">
        <v>0</v>
      </c>
      <c r="U276" s="56" t="e">
        <v>#REF!</v>
      </c>
      <c r="V276" s="57" t="e">
        <v>#REF!</v>
      </c>
      <c r="W276" s="58">
        <v>0</v>
      </c>
      <c r="X276" s="56" t="str">
        <v>FULL</v>
      </c>
    </row>
    <row r="277" spans="20:24" ht="12.9">
      <c r="T277" s="56">
        <v>0</v>
      </c>
      <c r="U277" s="56" t="e">
        <v>#REF!</v>
      </c>
      <c r="V277" s="57" t="e">
        <v>#REF!</v>
      </c>
      <c r="W277" s="58">
        <v>0</v>
      </c>
      <c r="X277" s="56" t="str">
        <v>FULL</v>
      </c>
    </row>
    <row r="278" spans="20:24" ht="12.9">
      <c r="T278" s="56">
        <v>0</v>
      </c>
      <c r="U278" s="56" t="e">
        <v>#REF!</v>
      </c>
      <c r="V278" s="57" t="e">
        <v>#REF!</v>
      </c>
      <c r="W278" s="58">
        <v>0</v>
      </c>
      <c r="X278" s="56" t="str">
        <v>FULL</v>
      </c>
    </row>
    <row r="279" spans="20:24" ht="12.9">
      <c r="T279" s="56">
        <v>0</v>
      </c>
      <c r="U279" s="56" t="e">
        <v>#REF!</v>
      </c>
      <c r="V279" s="57" t="e">
        <v>#REF!</v>
      </c>
      <c r="W279" s="58">
        <v>0</v>
      </c>
      <c r="X279" s="56" t="str">
        <v>FULL</v>
      </c>
    </row>
    <row r="280" spans="20:24" ht="12.9">
      <c r="T280" s="56">
        <v>0</v>
      </c>
      <c r="U280" s="56" t="e">
        <v>#REF!</v>
      </c>
      <c r="V280" s="57" t="e">
        <v>#REF!</v>
      </c>
      <c r="W280" s="58">
        <v>0</v>
      </c>
      <c r="X280" s="56" t="str">
        <v>FULL</v>
      </c>
    </row>
    <row r="281" spans="20:24" ht="12.9">
      <c r="T281" s="56">
        <v>0</v>
      </c>
      <c r="U281" s="56" t="e">
        <v>#REF!</v>
      </c>
      <c r="V281" s="57" t="e">
        <v>#REF!</v>
      </c>
      <c r="W281" s="58">
        <v>0</v>
      </c>
      <c r="X281" s="56" t="str">
        <v>FULL</v>
      </c>
    </row>
    <row r="282" spans="20:24" ht="12.9">
      <c r="T282" s="56">
        <v>0</v>
      </c>
      <c r="U282" s="56" t="e">
        <v>#REF!</v>
      </c>
      <c r="V282" s="57" t="e">
        <v>#REF!</v>
      </c>
      <c r="W282" s="58">
        <v>0</v>
      </c>
      <c r="X282" s="56" t="str">
        <v>FULL</v>
      </c>
    </row>
    <row r="283" spans="20:24" ht="12.9">
      <c r="T283" s="56">
        <v>0</v>
      </c>
      <c r="U283" s="56" t="e">
        <v>#REF!</v>
      </c>
      <c r="V283" s="57" t="e">
        <v>#REF!</v>
      </c>
      <c r="W283" s="58">
        <v>0</v>
      </c>
      <c r="X283" s="56" t="str">
        <v>FULL</v>
      </c>
    </row>
    <row r="284" spans="20:24" ht="12.9">
      <c r="T284" s="56">
        <v>0</v>
      </c>
      <c r="U284" s="56" t="e">
        <v>#REF!</v>
      </c>
      <c r="V284" s="57" t="e">
        <v>#REF!</v>
      </c>
      <c r="W284" s="58">
        <v>0</v>
      </c>
      <c r="X284" s="56" t="str">
        <v>FULL</v>
      </c>
    </row>
    <row r="285" spans="20:24" ht="12.9">
      <c r="T285" s="56">
        <v>0</v>
      </c>
      <c r="U285" s="56" t="e">
        <v>#REF!</v>
      </c>
      <c r="V285" s="57" t="e">
        <v>#REF!</v>
      </c>
      <c r="W285" s="58">
        <v>0</v>
      </c>
      <c r="X285" s="56" t="str">
        <v>FULL</v>
      </c>
    </row>
    <row r="286" spans="20:24" ht="12.9">
      <c r="T286" s="56">
        <v>0</v>
      </c>
      <c r="U286" s="56" t="e">
        <v>#REF!</v>
      </c>
      <c r="V286" s="57" t="e">
        <v>#REF!</v>
      </c>
      <c r="W286" s="58">
        <v>0</v>
      </c>
      <c r="X286" s="56" t="str">
        <v>FULL</v>
      </c>
    </row>
    <row r="287" spans="20:24" ht="12.9">
      <c r="T287" s="56">
        <v>0</v>
      </c>
      <c r="U287" s="56" t="e">
        <v>#REF!</v>
      </c>
      <c r="V287" s="57" t="e">
        <v>#REF!</v>
      </c>
      <c r="W287" s="58">
        <v>0</v>
      </c>
      <c r="X287" s="56" t="str">
        <v>FULL</v>
      </c>
    </row>
    <row r="288" spans="20:24" ht="12.9">
      <c r="T288" s="56">
        <v>0</v>
      </c>
      <c r="U288" s="56" t="e">
        <v>#REF!</v>
      </c>
      <c r="V288" s="57" t="e">
        <v>#REF!</v>
      </c>
      <c r="W288" s="58">
        <v>0</v>
      </c>
      <c r="X288" s="56" t="str">
        <v>FULL</v>
      </c>
    </row>
    <row r="289" spans="20:24" ht="12.9">
      <c r="T289" s="56">
        <v>0</v>
      </c>
      <c r="U289" s="56" t="e">
        <v>#REF!</v>
      </c>
      <c r="V289" s="57" t="e">
        <v>#REF!</v>
      </c>
      <c r="W289" s="58">
        <v>0</v>
      </c>
      <c r="X289" s="56" t="str">
        <v>FULL</v>
      </c>
    </row>
    <row r="290" spans="20:24" ht="12.9">
      <c r="T290" s="56">
        <v>0</v>
      </c>
      <c r="U290" s="56" t="e">
        <v>#REF!</v>
      </c>
      <c r="V290" s="57" t="e">
        <v>#REF!</v>
      </c>
      <c r="W290" s="58">
        <v>0</v>
      </c>
      <c r="X290" s="56" t="str">
        <v>FULL</v>
      </c>
    </row>
    <row r="291" spans="20:24" ht="12.9">
      <c r="T291" s="56">
        <v>0</v>
      </c>
      <c r="U291" s="56" t="e">
        <v>#REF!</v>
      </c>
      <c r="V291" s="57" t="e">
        <v>#REF!</v>
      </c>
      <c r="W291" s="58">
        <v>0</v>
      </c>
      <c r="X291" s="56" t="str">
        <v>FULL</v>
      </c>
    </row>
    <row r="292" spans="20:24" ht="12.9">
      <c r="T292" s="56">
        <v>0</v>
      </c>
      <c r="U292" s="56" t="e">
        <v>#REF!</v>
      </c>
      <c r="V292" s="57" t="e">
        <v>#REF!</v>
      </c>
      <c r="W292" s="58">
        <v>0</v>
      </c>
      <c r="X292" s="56" t="str">
        <v>FULL</v>
      </c>
    </row>
    <row r="293" spans="20:24" ht="12.9">
      <c r="T293" s="56">
        <v>0</v>
      </c>
      <c r="U293" s="56" t="e">
        <v>#REF!</v>
      </c>
      <c r="V293" s="57" t="e">
        <v>#REF!</v>
      </c>
      <c r="W293" s="58">
        <v>0</v>
      </c>
      <c r="X293" s="56" t="str">
        <v>FULL</v>
      </c>
    </row>
    <row r="294" spans="20:24" ht="12.9">
      <c r="T294" s="56">
        <v>0</v>
      </c>
      <c r="U294" s="56" t="e">
        <v>#REF!</v>
      </c>
      <c r="V294" s="57" t="e">
        <v>#REF!</v>
      </c>
      <c r="W294" s="58">
        <v>0</v>
      </c>
      <c r="X294" s="56" t="str">
        <v>FULL</v>
      </c>
    </row>
    <row r="295" spans="20:24" ht="12.9">
      <c r="T295" s="56">
        <v>0</v>
      </c>
      <c r="U295" s="56" t="e">
        <v>#REF!</v>
      </c>
      <c r="V295" s="57" t="e">
        <v>#REF!</v>
      </c>
      <c r="W295" s="58">
        <v>0</v>
      </c>
      <c r="X295" s="56" t="str">
        <v>FULL</v>
      </c>
    </row>
    <row r="296" spans="20:24" ht="12.9">
      <c r="T296" s="56">
        <v>0</v>
      </c>
      <c r="U296" s="56" t="e">
        <v>#REF!</v>
      </c>
      <c r="V296" s="57" t="e">
        <v>#REF!</v>
      </c>
      <c r="W296" s="58">
        <v>0</v>
      </c>
      <c r="X296" s="56" t="str">
        <v>FULL</v>
      </c>
    </row>
    <row r="297" spans="20:24" ht="12.9">
      <c r="T297" s="56">
        <v>0</v>
      </c>
      <c r="U297" s="56" t="e">
        <v>#REF!</v>
      </c>
      <c r="V297" s="57" t="e">
        <v>#REF!</v>
      </c>
      <c r="W297" s="58">
        <v>0</v>
      </c>
      <c r="X297" s="56" t="str">
        <v>FULL</v>
      </c>
    </row>
    <row r="298" spans="20:24" ht="12.9">
      <c r="T298" s="56">
        <v>0</v>
      </c>
      <c r="U298" s="56" t="e">
        <v>#REF!</v>
      </c>
      <c r="V298" s="57" t="e">
        <v>#REF!</v>
      </c>
      <c r="W298" s="58">
        <v>0</v>
      </c>
      <c r="X298" s="56" t="str">
        <v>FULL</v>
      </c>
    </row>
    <row r="299" spans="20:24" ht="12.9">
      <c r="T299" s="56">
        <v>0</v>
      </c>
      <c r="U299" s="56" t="e">
        <v>#REF!</v>
      </c>
      <c r="V299" s="57" t="e">
        <v>#REF!</v>
      </c>
      <c r="W299" s="58">
        <v>0</v>
      </c>
      <c r="X299" s="56" t="str">
        <v>FULL</v>
      </c>
    </row>
    <row r="300" spans="20:24" ht="12.9">
      <c r="T300" s="56">
        <v>0</v>
      </c>
      <c r="U300" s="56" t="e">
        <v>#REF!</v>
      </c>
      <c r="V300" s="57" t="e">
        <v>#REF!</v>
      </c>
      <c r="W300" s="58">
        <v>0</v>
      </c>
      <c r="X300" s="56" t="str">
        <v>FULL</v>
      </c>
    </row>
    <row r="301" spans="20:24" ht="12.9">
      <c r="T301" s="56">
        <v>0</v>
      </c>
      <c r="U301" s="56" t="e">
        <v>#REF!</v>
      </c>
      <c r="V301" s="57" t="e">
        <v>#REF!</v>
      </c>
      <c r="W301" s="58">
        <v>0</v>
      </c>
      <c r="X301" s="56" t="str">
        <v>FULL</v>
      </c>
    </row>
    <row r="302" spans="20:24" ht="12.9">
      <c r="T302" s="56">
        <v>0</v>
      </c>
      <c r="U302" s="56" t="e">
        <v>#REF!</v>
      </c>
      <c r="V302" s="57" t="e">
        <v>#REF!</v>
      </c>
      <c r="W302" s="58">
        <v>0</v>
      </c>
      <c r="X302" s="56" t="str">
        <v>FULL</v>
      </c>
    </row>
    <row r="303" spans="20:24" ht="12.9">
      <c r="T303" s="56">
        <v>0</v>
      </c>
      <c r="U303" s="56" t="e">
        <v>#REF!</v>
      </c>
      <c r="V303" s="57" t="e">
        <v>#REF!</v>
      </c>
      <c r="W303" s="58">
        <v>0</v>
      </c>
      <c r="X303" s="56" t="str">
        <v>FULL</v>
      </c>
    </row>
    <row r="304" spans="20:24" ht="12.9">
      <c r="T304" s="56">
        <v>0</v>
      </c>
      <c r="U304" s="56" t="e">
        <v>#REF!</v>
      </c>
      <c r="V304" s="57" t="e">
        <v>#REF!</v>
      </c>
      <c r="W304" s="58">
        <v>0</v>
      </c>
      <c r="X304" s="56" t="str">
        <v>FULL</v>
      </c>
    </row>
    <row r="305" spans="20:24" ht="12.9">
      <c r="T305" s="56">
        <v>0</v>
      </c>
      <c r="U305" s="56" t="e">
        <v>#REF!</v>
      </c>
      <c r="V305" s="57" t="e">
        <v>#REF!</v>
      </c>
      <c r="W305" s="58">
        <v>0</v>
      </c>
      <c r="X305" s="56" t="str">
        <v>FULL</v>
      </c>
    </row>
    <row r="306" spans="20:24" ht="12.9">
      <c r="T306" s="56">
        <v>0</v>
      </c>
      <c r="U306" s="56" t="e">
        <v>#REF!</v>
      </c>
      <c r="V306" s="57" t="e">
        <v>#REF!</v>
      </c>
      <c r="W306" s="58">
        <v>0</v>
      </c>
      <c r="X306" s="56" t="str">
        <v>FULL</v>
      </c>
    </row>
    <row r="307" spans="20:24" ht="12.9">
      <c r="T307" s="56">
        <v>0</v>
      </c>
      <c r="U307" s="56" t="e">
        <v>#REF!</v>
      </c>
      <c r="V307" s="57" t="e">
        <v>#REF!</v>
      </c>
      <c r="W307" s="58">
        <v>0</v>
      </c>
      <c r="X307" s="56" t="str">
        <v>FULL</v>
      </c>
    </row>
    <row r="308" spans="20:24" ht="12.9">
      <c r="T308" s="56">
        <v>0</v>
      </c>
      <c r="U308" s="56" t="e">
        <v>#REF!</v>
      </c>
      <c r="V308" s="57" t="e">
        <v>#REF!</v>
      </c>
      <c r="W308" s="58">
        <v>0</v>
      </c>
      <c r="X308" s="56" t="str">
        <v>FULL</v>
      </c>
    </row>
    <row r="309" spans="20:24" ht="12.9">
      <c r="T309" s="56">
        <v>0</v>
      </c>
      <c r="U309" s="56" t="e">
        <v>#REF!</v>
      </c>
      <c r="V309" s="57" t="e">
        <v>#REF!</v>
      </c>
      <c r="W309" s="58">
        <v>0</v>
      </c>
      <c r="X309" s="56" t="str">
        <v>FULL</v>
      </c>
    </row>
    <row r="310" spans="20:24" ht="12.9">
      <c r="T310" s="56">
        <v>0</v>
      </c>
      <c r="U310" s="56" t="e">
        <v>#REF!</v>
      </c>
      <c r="V310" s="57" t="e">
        <v>#REF!</v>
      </c>
      <c r="W310" s="58">
        <v>0</v>
      </c>
      <c r="X310" s="56" t="str">
        <v>FULL</v>
      </c>
    </row>
    <row r="311" spans="20:24" ht="12.9">
      <c r="T311" s="56">
        <v>0</v>
      </c>
      <c r="U311" s="56" t="e">
        <v>#REF!</v>
      </c>
      <c r="V311" s="57" t="e">
        <v>#REF!</v>
      </c>
      <c r="W311" s="58">
        <v>0</v>
      </c>
      <c r="X311" s="56" t="str">
        <v>FULL</v>
      </c>
    </row>
    <row r="312" spans="20:24" ht="12.9">
      <c r="T312" s="56">
        <v>0</v>
      </c>
      <c r="U312" s="56" t="e">
        <v>#REF!</v>
      </c>
      <c r="V312" s="57" t="e">
        <v>#REF!</v>
      </c>
      <c r="W312" s="58">
        <v>0</v>
      </c>
      <c r="X312" s="56" t="str">
        <v>FULL</v>
      </c>
    </row>
    <row r="313" spans="20:24" ht="12.9">
      <c r="T313" s="56">
        <v>0</v>
      </c>
      <c r="U313" s="56" t="e">
        <v>#REF!</v>
      </c>
      <c r="V313" s="57" t="e">
        <v>#REF!</v>
      </c>
      <c r="W313" s="58">
        <v>0</v>
      </c>
      <c r="X313" s="56" t="str">
        <v>FULL</v>
      </c>
    </row>
    <row r="314" spans="20:24" ht="12.9">
      <c r="T314" s="56">
        <v>0</v>
      </c>
      <c r="U314" s="56" t="e">
        <v>#REF!</v>
      </c>
      <c r="V314" s="57" t="e">
        <v>#REF!</v>
      </c>
      <c r="W314" s="58">
        <v>0</v>
      </c>
      <c r="X314" s="56" t="str">
        <v>FULL</v>
      </c>
    </row>
    <row r="315" spans="20:24" ht="12.9">
      <c r="T315" s="56">
        <v>0</v>
      </c>
      <c r="U315" s="56" t="e">
        <v>#REF!</v>
      </c>
      <c r="V315" s="57" t="e">
        <v>#REF!</v>
      </c>
      <c r="W315" s="58">
        <v>0</v>
      </c>
      <c r="X315" s="56" t="str">
        <v>FULL</v>
      </c>
    </row>
    <row r="316" spans="20:24" ht="12.9">
      <c r="T316" s="56">
        <v>0</v>
      </c>
      <c r="U316" s="56" t="e">
        <v>#REF!</v>
      </c>
      <c r="V316" s="57" t="e">
        <v>#REF!</v>
      </c>
      <c r="W316" s="58">
        <v>0</v>
      </c>
      <c r="X316" s="56" t="str">
        <v>FULL</v>
      </c>
    </row>
    <row r="317" spans="20:24" ht="12.9">
      <c r="T317" s="56">
        <v>0</v>
      </c>
      <c r="U317" s="56" t="e">
        <v>#REF!</v>
      </c>
      <c r="V317" s="57" t="e">
        <v>#REF!</v>
      </c>
      <c r="W317" s="58">
        <v>0</v>
      </c>
      <c r="X317" s="56" t="str">
        <v>FULL</v>
      </c>
    </row>
    <row r="318" spans="20:24" ht="12.9">
      <c r="T318" s="56">
        <v>0</v>
      </c>
      <c r="U318" s="56" t="e">
        <v>#REF!</v>
      </c>
      <c r="V318" s="57" t="e">
        <v>#REF!</v>
      </c>
      <c r="W318" s="58">
        <v>0</v>
      </c>
      <c r="X318" s="56" t="str">
        <v>FULL</v>
      </c>
    </row>
    <row r="319" spans="20:24" ht="12.9">
      <c r="T319" s="56">
        <v>0</v>
      </c>
      <c r="U319" s="56" t="e">
        <v>#REF!</v>
      </c>
      <c r="V319" s="57" t="e">
        <v>#REF!</v>
      </c>
      <c r="W319" s="58">
        <v>0</v>
      </c>
      <c r="X319" s="56" t="str">
        <v>FULL</v>
      </c>
    </row>
    <row r="320" spans="20:24" ht="12.9">
      <c r="T320" s="56">
        <v>0</v>
      </c>
      <c r="U320" s="56" t="e">
        <v>#REF!</v>
      </c>
      <c r="V320" s="57" t="e">
        <v>#REF!</v>
      </c>
      <c r="W320" s="58">
        <v>0</v>
      </c>
      <c r="X320" s="56" t="str">
        <v>FULL</v>
      </c>
    </row>
    <row r="321" spans="20:24" ht="12.9">
      <c r="T321" s="56">
        <v>0</v>
      </c>
      <c r="U321" s="56" t="e">
        <v>#REF!</v>
      </c>
      <c r="V321" s="57" t="e">
        <v>#REF!</v>
      </c>
      <c r="W321" s="58">
        <v>0</v>
      </c>
      <c r="X321" s="56" t="str">
        <v>FULL</v>
      </c>
    </row>
    <row r="322" spans="20:24" ht="12.9">
      <c r="T322" s="56">
        <v>0</v>
      </c>
      <c r="U322" s="56" t="e">
        <v>#REF!</v>
      </c>
      <c r="V322" s="57" t="e">
        <v>#REF!</v>
      </c>
      <c r="W322" s="58">
        <v>0</v>
      </c>
      <c r="X322" s="56" t="str">
        <v>FULL</v>
      </c>
    </row>
    <row r="323" spans="20:24" ht="12.9">
      <c r="T323" s="56">
        <v>0</v>
      </c>
      <c r="U323" s="56" t="e">
        <v>#REF!</v>
      </c>
      <c r="V323" s="57" t="e">
        <v>#REF!</v>
      </c>
      <c r="W323" s="58">
        <v>0</v>
      </c>
      <c r="X323" s="56" t="str">
        <v>FULL</v>
      </c>
    </row>
    <row r="324" spans="20:24" ht="12.9">
      <c r="T324" s="56">
        <v>0</v>
      </c>
      <c r="U324" s="56" t="e">
        <v>#REF!</v>
      </c>
      <c r="V324" s="57" t="e">
        <v>#REF!</v>
      </c>
      <c r="W324" s="58">
        <v>0</v>
      </c>
      <c r="X324" s="56" t="str">
        <v>FULL</v>
      </c>
    </row>
    <row r="325" spans="20:24" ht="12.9">
      <c r="T325" s="56">
        <v>0</v>
      </c>
      <c r="U325" s="56" t="e">
        <v>#REF!</v>
      </c>
      <c r="V325" s="57" t="e">
        <v>#REF!</v>
      </c>
      <c r="W325" s="58">
        <v>0</v>
      </c>
      <c r="X325" s="56" t="str">
        <v>FULL</v>
      </c>
    </row>
    <row r="326" spans="20:24" ht="12.9">
      <c r="T326" s="56">
        <v>0</v>
      </c>
      <c r="U326" s="56" t="e">
        <v>#REF!</v>
      </c>
      <c r="V326" s="57" t="e">
        <v>#REF!</v>
      </c>
      <c r="W326" s="58">
        <v>0</v>
      </c>
      <c r="X326" s="56" t="str">
        <v>FULL</v>
      </c>
    </row>
    <row r="327" spans="20:24" ht="12.9">
      <c r="T327" s="56">
        <v>0</v>
      </c>
      <c r="U327" s="56" t="e">
        <v>#REF!</v>
      </c>
      <c r="V327" s="57" t="e">
        <v>#REF!</v>
      </c>
      <c r="W327" s="58">
        <v>0</v>
      </c>
      <c r="X327" s="56" t="str">
        <v>FULL</v>
      </c>
    </row>
    <row r="328" spans="20:24" ht="12.9">
      <c r="T328" s="56">
        <v>0</v>
      </c>
      <c r="U328" s="56" t="e">
        <v>#REF!</v>
      </c>
      <c r="V328" s="57" t="e">
        <v>#REF!</v>
      </c>
      <c r="W328" s="58">
        <v>0</v>
      </c>
      <c r="X328" s="56" t="str">
        <v>FULL</v>
      </c>
    </row>
    <row r="329" spans="20:24" ht="12.9">
      <c r="T329" s="56">
        <v>0</v>
      </c>
      <c r="U329" s="56" t="e">
        <v>#REF!</v>
      </c>
      <c r="V329" s="57" t="e">
        <v>#REF!</v>
      </c>
      <c r="W329" s="58">
        <v>0</v>
      </c>
      <c r="X329" s="56" t="str">
        <v>FULL</v>
      </c>
    </row>
    <row r="330" spans="20:24" ht="12.9">
      <c r="T330" s="56">
        <v>0</v>
      </c>
      <c r="U330" s="56" t="e">
        <v>#REF!</v>
      </c>
      <c r="V330" s="57" t="e">
        <v>#REF!</v>
      </c>
      <c r="W330" s="58">
        <v>0</v>
      </c>
      <c r="X330" s="56" t="str">
        <v>FULL</v>
      </c>
    </row>
    <row r="331" spans="20:24" ht="12.9">
      <c r="T331" s="56" t="e">
        <v>#N/A</v>
      </c>
      <c r="U331" s="56" t="e">
        <v>#REF!</v>
      </c>
      <c r="V331" s="57" t="e">
        <v>#REF!</v>
      </c>
      <c r="W331" s="58" t="e">
        <v>#N/A</v>
      </c>
      <c r="X331" s="56" t="e">
        <v>#N/A</v>
      </c>
    </row>
    <row r="332" spans="20:24" ht="12.9">
      <c r="T332" s="56" t="e">
        <v>#N/A</v>
      </c>
      <c r="U332" s="56" t="e">
        <v>#REF!</v>
      </c>
      <c r="V332" s="57" t="e">
        <v>#REF!</v>
      </c>
      <c r="W332" s="58" t="e">
        <v>#N/A</v>
      </c>
      <c r="X332" s="56" t="e">
        <v>#N/A</v>
      </c>
    </row>
    <row r="333" spans="20:24" ht="12.9">
      <c r="T333" s="56" t="e">
        <v>#N/A</v>
      </c>
      <c r="U333" s="56" t="e">
        <v>#REF!</v>
      </c>
      <c r="V333" s="57" t="e">
        <v>#REF!</v>
      </c>
      <c r="W333" s="58" t="e">
        <v>#N/A</v>
      </c>
      <c r="X333" s="56" t="e">
        <v>#N/A</v>
      </c>
    </row>
    <row r="334" spans="20:24" ht="12.9">
      <c r="T334" s="56" t="e">
        <v>#N/A</v>
      </c>
      <c r="U334" s="56" t="e">
        <v>#REF!</v>
      </c>
      <c r="V334" s="57" t="e">
        <v>#REF!</v>
      </c>
      <c r="W334" s="58" t="e">
        <v>#N/A</v>
      </c>
      <c r="X334" s="56" t="e">
        <v>#N/A</v>
      </c>
    </row>
    <row r="335" spans="20:24" ht="12.9">
      <c r="T335" s="56" t="e">
        <v>#N/A</v>
      </c>
      <c r="U335" s="56" t="e">
        <v>#REF!</v>
      </c>
      <c r="V335" s="57" t="e">
        <v>#REF!</v>
      </c>
      <c r="W335" s="58" t="e">
        <v>#N/A</v>
      </c>
      <c r="X335" s="56" t="e">
        <v>#N/A</v>
      </c>
    </row>
    <row r="336" spans="20:24" ht="12.9">
      <c r="T336" s="56" t="e">
        <v>#N/A</v>
      </c>
      <c r="U336" s="56" t="e">
        <v>#REF!</v>
      </c>
      <c r="V336" s="57" t="e">
        <v>#REF!</v>
      </c>
      <c r="W336" s="58" t="e">
        <v>#N/A</v>
      </c>
      <c r="X336" s="56" t="e">
        <v>#N/A</v>
      </c>
    </row>
    <row r="337" spans="20:24" ht="12.9">
      <c r="T337" s="56" t="e">
        <v>#N/A</v>
      </c>
      <c r="U337" s="56" t="e">
        <v>#REF!</v>
      </c>
      <c r="V337" s="57" t="e">
        <v>#REF!</v>
      </c>
      <c r="W337" s="58" t="e">
        <v>#N/A</v>
      </c>
      <c r="X337" s="56" t="e">
        <v>#N/A</v>
      </c>
    </row>
    <row r="338" spans="20:24" ht="12.9">
      <c r="T338" s="56" t="e">
        <v>#N/A</v>
      </c>
      <c r="U338" s="56" t="e">
        <v>#REF!</v>
      </c>
      <c r="V338" s="57" t="e">
        <v>#REF!</v>
      </c>
      <c r="W338" s="58" t="e">
        <v>#N/A</v>
      </c>
      <c r="X338" s="56" t="e">
        <v>#N/A</v>
      </c>
    </row>
    <row r="339" spans="20:24" ht="12.9">
      <c r="T339" s="56" t="e">
        <v>#N/A</v>
      </c>
      <c r="U339" s="56" t="e">
        <v>#REF!</v>
      </c>
      <c r="V339" s="57" t="e">
        <v>#REF!</v>
      </c>
      <c r="W339" s="58" t="e">
        <v>#N/A</v>
      </c>
      <c r="X339" s="56" t="e">
        <v>#N/A</v>
      </c>
    </row>
    <row r="340" spans="20:24" ht="12.9">
      <c r="T340" s="56" t="e">
        <v>#N/A</v>
      </c>
      <c r="U340" s="56" t="e">
        <v>#REF!</v>
      </c>
      <c r="V340" s="57" t="e">
        <v>#REF!</v>
      </c>
      <c r="W340" s="58" t="e">
        <v>#N/A</v>
      </c>
      <c r="X340" s="56" t="e">
        <v>#N/A</v>
      </c>
    </row>
    <row r="341" spans="20:24" ht="12.9">
      <c r="T341" s="56" t="e">
        <v>#N/A</v>
      </c>
      <c r="U341" s="56" t="e">
        <v>#REF!</v>
      </c>
      <c r="V341" s="57" t="e">
        <v>#REF!</v>
      </c>
      <c r="W341" s="58" t="e">
        <v>#N/A</v>
      </c>
      <c r="X341" s="56" t="e">
        <v>#N/A</v>
      </c>
    </row>
    <row r="342" spans="20:24" ht="12.9">
      <c r="T342" s="56" t="e">
        <v>#N/A</v>
      </c>
      <c r="U342" s="56" t="e">
        <v>#REF!</v>
      </c>
      <c r="V342" s="57" t="e">
        <v>#REF!</v>
      </c>
      <c r="W342" s="58" t="e">
        <v>#N/A</v>
      </c>
      <c r="X342" s="56" t="e">
        <v>#N/A</v>
      </c>
    </row>
    <row r="343" spans="20:24" ht="12.9">
      <c r="T343" s="56" t="e">
        <v>#N/A</v>
      </c>
      <c r="U343" s="56" t="e">
        <v>#REF!</v>
      </c>
      <c r="V343" s="57" t="e">
        <v>#REF!</v>
      </c>
      <c r="W343" s="58" t="e">
        <v>#N/A</v>
      </c>
      <c r="X343" s="56" t="e">
        <v>#N/A</v>
      </c>
    </row>
    <row r="344" spans="20:24" ht="12.9">
      <c r="T344" s="56" t="e">
        <v>#N/A</v>
      </c>
      <c r="U344" s="56" t="e">
        <v>#REF!</v>
      </c>
      <c r="V344" s="57" t="e">
        <v>#REF!</v>
      </c>
      <c r="W344" s="58" t="e">
        <v>#N/A</v>
      </c>
      <c r="X344" s="56" t="e">
        <v>#N/A</v>
      </c>
    </row>
    <row r="345" spans="20:24" ht="12.9">
      <c r="T345" s="56" t="e">
        <v>#N/A</v>
      </c>
      <c r="U345" s="56" t="e">
        <v>#REF!</v>
      </c>
      <c r="V345" s="57" t="e">
        <v>#REF!</v>
      </c>
      <c r="W345" s="58" t="e">
        <v>#N/A</v>
      </c>
      <c r="X345" s="56" t="e">
        <v>#N/A</v>
      </c>
    </row>
    <row r="346" spans="20:24" ht="12.9">
      <c r="T346" s="56" t="e">
        <v>#N/A</v>
      </c>
      <c r="U346" s="56" t="e">
        <v>#REF!</v>
      </c>
      <c r="V346" s="57" t="e">
        <v>#REF!</v>
      </c>
      <c r="W346" s="58" t="e">
        <v>#N/A</v>
      </c>
      <c r="X346" s="56" t="e">
        <v>#N/A</v>
      </c>
    </row>
    <row r="347" spans="20:24" ht="12.9">
      <c r="T347" s="56" t="e">
        <v>#N/A</v>
      </c>
      <c r="U347" s="56" t="e">
        <v>#REF!</v>
      </c>
      <c r="V347" s="57" t="e">
        <v>#REF!</v>
      </c>
      <c r="W347" s="58" t="e">
        <v>#N/A</v>
      </c>
      <c r="X347" s="56" t="e">
        <v>#N/A</v>
      </c>
    </row>
    <row r="348" spans="20:24" ht="12.9">
      <c r="T348" s="56" t="e">
        <v>#N/A</v>
      </c>
      <c r="U348" s="56" t="e">
        <v>#REF!</v>
      </c>
      <c r="V348" s="57" t="e">
        <v>#REF!</v>
      </c>
      <c r="W348" s="58" t="e">
        <v>#N/A</v>
      </c>
      <c r="X348" s="56" t="e">
        <v>#N/A</v>
      </c>
    </row>
    <row r="349" spans="20:24" ht="12.9">
      <c r="T349" s="56" t="e">
        <v>#N/A</v>
      </c>
      <c r="U349" s="56" t="e">
        <v>#REF!</v>
      </c>
      <c r="V349" s="57" t="e">
        <v>#REF!</v>
      </c>
      <c r="W349" s="58" t="e">
        <v>#N/A</v>
      </c>
      <c r="X349" s="56" t="e">
        <v>#N/A</v>
      </c>
    </row>
    <row r="350" spans="20:24" ht="12.9">
      <c r="T350" s="56" t="e">
        <v>#N/A</v>
      </c>
      <c r="U350" s="56" t="e">
        <v>#REF!</v>
      </c>
      <c r="V350" s="57" t="e">
        <v>#REF!</v>
      </c>
      <c r="W350" s="58" t="e">
        <v>#N/A</v>
      </c>
      <c r="X350" s="56" t="e">
        <v>#N/A</v>
      </c>
    </row>
    <row r="351" spans="20:24" ht="12.9">
      <c r="T351" s="56" t="e">
        <v>#N/A</v>
      </c>
      <c r="U351" s="56" t="e">
        <v>#REF!</v>
      </c>
      <c r="V351" s="57" t="e">
        <v>#REF!</v>
      </c>
      <c r="W351" s="58" t="e">
        <v>#N/A</v>
      </c>
      <c r="X351" s="56" t="e">
        <v>#N/A</v>
      </c>
    </row>
    <row r="352" spans="20:24" ht="12.9">
      <c r="T352" s="56" t="e">
        <v>#N/A</v>
      </c>
      <c r="U352" s="56" t="e">
        <v>#REF!</v>
      </c>
      <c r="V352" s="57" t="e">
        <v>#REF!</v>
      </c>
      <c r="W352" s="58" t="e">
        <v>#N/A</v>
      </c>
      <c r="X352" s="56" t="e">
        <v>#N/A</v>
      </c>
    </row>
    <row r="353" spans="20:24" ht="12.9">
      <c r="T353" s="56" t="e">
        <v>#N/A</v>
      </c>
      <c r="U353" s="56" t="e">
        <v>#REF!</v>
      </c>
      <c r="V353" s="57" t="e">
        <v>#REF!</v>
      </c>
      <c r="W353" s="58" t="e">
        <v>#N/A</v>
      </c>
      <c r="X353" s="56" t="e">
        <v>#N/A</v>
      </c>
    </row>
    <row r="354" spans="20:24" ht="12.9">
      <c r="T354" s="56" t="e">
        <v>#N/A</v>
      </c>
      <c r="U354" s="56" t="e">
        <v>#REF!</v>
      </c>
      <c r="V354" s="57" t="e">
        <v>#REF!</v>
      </c>
      <c r="W354" s="58" t="e">
        <v>#N/A</v>
      </c>
      <c r="X354" s="56" t="e">
        <v>#N/A</v>
      </c>
    </row>
    <row r="355" spans="20:24" ht="12.9">
      <c r="T355" s="56" t="e">
        <v>#N/A</v>
      </c>
      <c r="U355" s="56" t="e">
        <v>#REF!</v>
      </c>
      <c r="V355" s="57" t="e">
        <v>#REF!</v>
      </c>
      <c r="W355" s="58" t="e">
        <v>#N/A</v>
      </c>
      <c r="X355" s="56" t="e">
        <v>#N/A</v>
      </c>
    </row>
    <row r="356" spans="20:24" ht="12.9">
      <c r="T356" s="56" t="e">
        <v>#N/A</v>
      </c>
      <c r="U356" s="56" t="e">
        <v>#REF!</v>
      </c>
      <c r="V356" s="57" t="e">
        <v>#REF!</v>
      </c>
      <c r="W356" s="58" t="e">
        <v>#N/A</v>
      </c>
      <c r="X356" s="56" t="e">
        <v>#N/A</v>
      </c>
    </row>
    <row r="357" spans="20:24" ht="12.9">
      <c r="T357" s="56" t="e">
        <v>#N/A</v>
      </c>
      <c r="U357" s="56" t="e">
        <v>#REF!</v>
      </c>
      <c r="V357" s="57" t="e">
        <v>#REF!</v>
      </c>
      <c r="W357" s="58" t="e">
        <v>#N/A</v>
      </c>
      <c r="X357" s="56" t="e">
        <v>#N/A</v>
      </c>
    </row>
    <row r="358" spans="20:24" ht="12.9">
      <c r="T358" s="56" t="e">
        <v>#N/A</v>
      </c>
      <c r="U358" s="56" t="e">
        <v>#REF!</v>
      </c>
      <c r="V358" s="57" t="e">
        <v>#REF!</v>
      </c>
      <c r="W358" s="58" t="e">
        <v>#N/A</v>
      </c>
      <c r="X358" s="56" t="e">
        <v>#N/A</v>
      </c>
    </row>
    <row r="359" spans="20:24" ht="12.9">
      <c r="T359" s="56" t="e">
        <v>#N/A</v>
      </c>
      <c r="U359" s="56" t="e">
        <v>#REF!</v>
      </c>
      <c r="V359" s="57" t="e">
        <v>#REF!</v>
      </c>
      <c r="W359" s="58" t="e">
        <v>#N/A</v>
      </c>
      <c r="X359" s="56" t="e">
        <v>#N/A</v>
      </c>
    </row>
    <row r="360" spans="20:24" ht="12.9">
      <c r="T360" s="56" t="e">
        <v>#N/A</v>
      </c>
      <c r="U360" s="56" t="e">
        <v>#REF!</v>
      </c>
      <c r="V360" s="57" t="e">
        <v>#REF!</v>
      </c>
      <c r="W360" s="58" t="e">
        <v>#N/A</v>
      </c>
      <c r="X360" s="56" t="e">
        <v>#N/A</v>
      </c>
    </row>
    <row r="361" spans="20:24" ht="12.9">
      <c r="T361" s="56" t="e">
        <v>#N/A</v>
      </c>
      <c r="U361" s="56" t="e">
        <v>#REF!</v>
      </c>
      <c r="V361" s="57" t="e">
        <v>#REF!</v>
      </c>
      <c r="W361" s="58" t="e">
        <v>#N/A</v>
      </c>
      <c r="X361" s="56" t="e">
        <v>#N/A</v>
      </c>
    </row>
    <row r="362" spans="20:24" ht="12.9">
      <c r="T362" s="56" t="e">
        <v>#N/A</v>
      </c>
      <c r="U362" s="56" t="e">
        <v>#REF!</v>
      </c>
      <c r="V362" s="57" t="e">
        <v>#REF!</v>
      </c>
      <c r="W362" s="58" t="e">
        <v>#N/A</v>
      </c>
      <c r="X362" s="56" t="e">
        <v>#N/A</v>
      </c>
    </row>
    <row r="363" spans="20:24" ht="12.9">
      <c r="T363" s="56" t="e">
        <v>#N/A</v>
      </c>
      <c r="U363" s="56" t="e">
        <v>#REF!</v>
      </c>
      <c r="V363" s="57" t="e">
        <v>#REF!</v>
      </c>
      <c r="W363" s="58" t="e">
        <v>#N/A</v>
      </c>
      <c r="X363" s="56" t="e">
        <v>#N/A</v>
      </c>
    </row>
    <row r="364" spans="20:24" ht="12.9">
      <c r="T364" s="56" t="e">
        <v>#N/A</v>
      </c>
      <c r="U364" s="56" t="e">
        <v>#REF!</v>
      </c>
      <c r="V364" s="57" t="e">
        <v>#REF!</v>
      </c>
      <c r="W364" s="58" t="e">
        <v>#N/A</v>
      </c>
      <c r="X364" s="56" t="e">
        <v>#N/A</v>
      </c>
    </row>
    <row r="365" spans="20:24" ht="12.9">
      <c r="T365" s="56" t="e">
        <v>#N/A</v>
      </c>
      <c r="U365" s="56" t="e">
        <v>#REF!</v>
      </c>
      <c r="V365" s="57" t="e">
        <v>#REF!</v>
      </c>
      <c r="W365" s="58" t="e">
        <v>#N/A</v>
      </c>
      <c r="X365" s="56" t="e">
        <v>#N/A</v>
      </c>
    </row>
    <row r="366" spans="20:24" ht="12.9">
      <c r="T366" s="56" t="e">
        <v>#N/A</v>
      </c>
      <c r="U366" s="56" t="e">
        <v>#REF!</v>
      </c>
      <c r="V366" s="57" t="e">
        <v>#REF!</v>
      </c>
      <c r="W366" s="58" t="e">
        <v>#N/A</v>
      </c>
      <c r="X366" s="56" t="e">
        <v>#N/A</v>
      </c>
    </row>
    <row r="367" spans="20:24" ht="12.9">
      <c r="T367" s="56" t="e">
        <v>#N/A</v>
      </c>
      <c r="U367" s="56" t="e">
        <v>#REF!</v>
      </c>
      <c r="V367" s="57" t="e">
        <v>#REF!</v>
      </c>
      <c r="W367" s="58" t="e">
        <v>#N/A</v>
      </c>
      <c r="X367" s="56" t="e">
        <v>#N/A</v>
      </c>
    </row>
    <row r="368" spans="20:24" ht="12.9">
      <c r="T368" s="56" t="e">
        <v>#N/A</v>
      </c>
      <c r="U368" s="56" t="e">
        <v>#REF!</v>
      </c>
      <c r="V368" s="57" t="e">
        <v>#REF!</v>
      </c>
      <c r="W368" s="58" t="e">
        <v>#N/A</v>
      </c>
      <c r="X368" s="56" t="e">
        <v>#N/A</v>
      </c>
    </row>
    <row r="369" spans="20:24" ht="12.9">
      <c r="T369" s="56" t="e">
        <v>#N/A</v>
      </c>
      <c r="U369" s="56" t="e">
        <v>#REF!</v>
      </c>
      <c r="V369" s="57" t="e">
        <v>#REF!</v>
      </c>
      <c r="W369" s="58" t="e">
        <v>#N/A</v>
      </c>
      <c r="X369" s="56" t="e">
        <v>#N/A</v>
      </c>
    </row>
    <row r="370" spans="20:24" ht="12.9">
      <c r="T370" s="56" t="e">
        <v>#N/A</v>
      </c>
      <c r="U370" s="56" t="e">
        <v>#REF!</v>
      </c>
      <c r="V370" s="57" t="e">
        <v>#REF!</v>
      </c>
      <c r="W370" s="58" t="e">
        <v>#N/A</v>
      </c>
      <c r="X370" s="56" t="e">
        <v>#N/A</v>
      </c>
    </row>
    <row r="371" spans="20:24" ht="12.9">
      <c r="T371" s="56" t="e">
        <v>#N/A</v>
      </c>
      <c r="U371" s="56" t="e">
        <v>#REF!</v>
      </c>
      <c r="V371" s="57" t="e">
        <v>#REF!</v>
      </c>
      <c r="W371" s="58" t="e">
        <v>#N/A</v>
      </c>
      <c r="X371" s="56" t="e">
        <v>#N/A</v>
      </c>
    </row>
    <row r="372" spans="20:24" ht="12.9">
      <c r="T372" s="56" t="e">
        <v>#N/A</v>
      </c>
      <c r="U372" s="56" t="e">
        <v>#REF!</v>
      </c>
      <c r="V372" s="57" t="e">
        <v>#REF!</v>
      </c>
      <c r="W372" s="58" t="e">
        <v>#N/A</v>
      </c>
      <c r="X372" s="56" t="e">
        <v>#N/A</v>
      </c>
    </row>
    <row r="373" spans="20:24" ht="12.9">
      <c r="T373" s="56" t="e">
        <v>#N/A</v>
      </c>
      <c r="U373" s="56" t="e">
        <v>#REF!</v>
      </c>
      <c r="V373" s="57" t="e">
        <v>#REF!</v>
      </c>
      <c r="W373" s="58" t="e">
        <v>#N/A</v>
      </c>
      <c r="X373" s="56" t="e">
        <v>#N/A</v>
      </c>
    </row>
    <row r="374" spans="20:24" ht="12.9">
      <c r="T374" s="56" t="e">
        <v>#N/A</v>
      </c>
      <c r="U374" s="56" t="e">
        <v>#REF!</v>
      </c>
      <c r="V374" s="57" t="e">
        <v>#REF!</v>
      </c>
      <c r="W374" s="58" t="e">
        <v>#N/A</v>
      </c>
      <c r="X374" s="56" t="e">
        <v>#N/A</v>
      </c>
    </row>
    <row r="375" spans="20:24" ht="12.9">
      <c r="T375" s="56" t="e">
        <v>#N/A</v>
      </c>
      <c r="U375" s="56" t="e">
        <v>#REF!</v>
      </c>
      <c r="V375" s="57" t="e">
        <v>#REF!</v>
      </c>
      <c r="W375" s="58" t="e">
        <v>#N/A</v>
      </c>
      <c r="X375" s="56" t="e">
        <v>#N/A</v>
      </c>
    </row>
    <row r="376" spans="20:24" ht="12.9">
      <c r="T376" s="56" t="e">
        <v>#N/A</v>
      </c>
      <c r="U376" s="56" t="e">
        <v>#REF!</v>
      </c>
      <c r="V376" s="57" t="e">
        <v>#REF!</v>
      </c>
      <c r="W376" s="58" t="e">
        <v>#N/A</v>
      </c>
      <c r="X376" s="56" t="e">
        <v>#N/A</v>
      </c>
    </row>
    <row r="377" spans="20:24" ht="12.9">
      <c r="T377" s="56" t="e">
        <v>#N/A</v>
      </c>
      <c r="U377" s="56" t="e">
        <v>#REF!</v>
      </c>
      <c r="V377" s="57" t="e">
        <v>#REF!</v>
      </c>
      <c r="W377" s="58" t="e">
        <v>#N/A</v>
      </c>
      <c r="X377" s="56" t="e">
        <v>#N/A</v>
      </c>
    </row>
    <row r="378" spans="20:24" ht="12.9">
      <c r="T378" s="56" t="e">
        <v>#N/A</v>
      </c>
      <c r="U378" s="56" t="e">
        <v>#REF!</v>
      </c>
      <c r="V378" s="57" t="e">
        <v>#REF!</v>
      </c>
      <c r="W378" s="58" t="e">
        <v>#N/A</v>
      </c>
      <c r="X378" s="56" t="e">
        <v>#N/A</v>
      </c>
    </row>
    <row r="379" spans="20:24" ht="12.9">
      <c r="T379" s="56" t="e">
        <v>#N/A</v>
      </c>
      <c r="U379" s="56" t="e">
        <v>#REF!</v>
      </c>
      <c r="V379" s="57" t="e">
        <v>#REF!</v>
      </c>
      <c r="W379" s="58" t="e">
        <v>#N/A</v>
      </c>
      <c r="X379" s="56" t="e">
        <v>#N/A</v>
      </c>
    </row>
    <row r="380" spans="20:24" ht="12.9">
      <c r="T380" s="56" t="e">
        <v>#N/A</v>
      </c>
      <c r="U380" s="56" t="e">
        <v>#REF!</v>
      </c>
      <c r="V380" s="57" t="e">
        <v>#REF!</v>
      </c>
      <c r="W380" s="58" t="e">
        <v>#N/A</v>
      </c>
      <c r="X380" s="56" t="e">
        <v>#N/A</v>
      </c>
    </row>
    <row r="381" spans="20:24" ht="12.9">
      <c r="T381" s="56" t="e">
        <v>#N/A</v>
      </c>
      <c r="U381" s="56" t="e">
        <v>#REF!</v>
      </c>
      <c r="V381" s="57" t="e">
        <v>#REF!</v>
      </c>
      <c r="W381" s="58" t="e">
        <v>#N/A</v>
      </c>
      <c r="X381" s="56" t="e">
        <v>#N/A</v>
      </c>
    </row>
    <row r="382" spans="20:24" ht="12.9">
      <c r="T382" s="56" t="e">
        <v>#N/A</v>
      </c>
      <c r="U382" s="56" t="e">
        <v>#REF!</v>
      </c>
      <c r="V382" s="57" t="e">
        <v>#REF!</v>
      </c>
      <c r="W382" s="58" t="e">
        <v>#N/A</v>
      </c>
      <c r="X382" s="56" t="e">
        <v>#N/A</v>
      </c>
    </row>
    <row r="383" spans="20:24" ht="12.9">
      <c r="T383" s="56" t="e">
        <v>#N/A</v>
      </c>
      <c r="U383" s="56" t="e">
        <v>#REF!</v>
      </c>
      <c r="V383" s="57" t="e">
        <v>#REF!</v>
      </c>
      <c r="W383" s="58" t="e">
        <v>#N/A</v>
      </c>
      <c r="X383" s="56" t="e">
        <v>#N/A</v>
      </c>
    </row>
    <row r="384" spans="20:24" ht="12.9">
      <c r="T384" s="56" t="e">
        <v>#N/A</v>
      </c>
      <c r="U384" s="56" t="e">
        <v>#REF!</v>
      </c>
      <c r="V384" s="57" t="e">
        <v>#REF!</v>
      </c>
      <c r="W384" s="58" t="e">
        <v>#N/A</v>
      </c>
      <c r="X384" s="56" t="e">
        <v>#N/A</v>
      </c>
    </row>
    <row r="385" spans="20:24" ht="12.9">
      <c r="T385" s="56" t="e">
        <v>#N/A</v>
      </c>
      <c r="U385" s="56" t="e">
        <v>#REF!</v>
      </c>
      <c r="V385" s="57" t="e">
        <v>#REF!</v>
      </c>
      <c r="W385" s="58" t="e">
        <v>#N/A</v>
      </c>
      <c r="X385" s="56" t="e">
        <v>#N/A</v>
      </c>
    </row>
    <row r="386" spans="20:24" ht="12.9">
      <c r="T386" s="56" t="e">
        <v>#N/A</v>
      </c>
      <c r="U386" s="56" t="e">
        <v>#REF!</v>
      </c>
      <c r="V386" s="57" t="e">
        <v>#REF!</v>
      </c>
      <c r="W386" s="58" t="e">
        <v>#N/A</v>
      </c>
      <c r="X386" s="56" t="e">
        <v>#N/A</v>
      </c>
    </row>
    <row r="387" spans="20:24" ht="12.9">
      <c r="T387" s="56" t="e">
        <v>#N/A</v>
      </c>
      <c r="U387" s="56" t="e">
        <v>#REF!</v>
      </c>
      <c r="V387" s="57" t="e">
        <v>#REF!</v>
      </c>
      <c r="W387" s="58" t="e">
        <v>#N/A</v>
      </c>
      <c r="X387" s="56" t="e">
        <v>#N/A</v>
      </c>
    </row>
    <row r="388" spans="20:24" ht="12.9">
      <c r="T388" s="56" t="e">
        <v>#N/A</v>
      </c>
      <c r="U388" s="56" t="e">
        <v>#REF!</v>
      </c>
      <c r="V388" s="57" t="e">
        <v>#REF!</v>
      </c>
      <c r="W388" s="58" t="e">
        <v>#N/A</v>
      </c>
      <c r="X388" s="56" t="e">
        <v>#N/A</v>
      </c>
    </row>
    <row r="389" spans="20:24" ht="12.9">
      <c r="T389" s="56" t="e">
        <v>#N/A</v>
      </c>
      <c r="U389" s="56" t="e">
        <v>#REF!</v>
      </c>
      <c r="V389" s="57" t="e">
        <v>#REF!</v>
      </c>
      <c r="W389" s="58" t="e">
        <v>#N/A</v>
      </c>
      <c r="X389" s="56" t="e">
        <v>#N/A</v>
      </c>
    </row>
    <row r="390" spans="20:24" ht="12.9">
      <c r="T390" s="56" t="e">
        <v>#N/A</v>
      </c>
      <c r="U390" s="56" t="e">
        <v>#REF!</v>
      </c>
      <c r="V390" s="57" t="e">
        <v>#REF!</v>
      </c>
      <c r="W390" s="58" t="e">
        <v>#N/A</v>
      </c>
      <c r="X390" s="56" t="e">
        <v>#N/A</v>
      </c>
    </row>
    <row r="391" spans="20:24" ht="12.9">
      <c r="T391" s="56" t="e">
        <v>#N/A</v>
      </c>
      <c r="U391" s="56" t="e">
        <v>#REF!</v>
      </c>
      <c r="V391" s="57" t="e">
        <v>#REF!</v>
      </c>
      <c r="W391" s="58" t="e">
        <v>#N/A</v>
      </c>
      <c r="X391" s="56" t="e">
        <v>#N/A</v>
      </c>
    </row>
    <row r="392" spans="20:24" ht="12.9">
      <c r="T392" s="56" t="e">
        <v>#N/A</v>
      </c>
      <c r="U392" s="56" t="e">
        <v>#REF!</v>
      </c>
      <c r="V392" s="57" t="e">
        <v>#REF!</v>
      </c>
      <c r="W392" s="58" t="e">
        <v>#N/A</v>
      </c>
      <c r="X392" s="56" t="e">
        <v>#N/A</v>
      </c>
    </row>
    <row r="393" spans="20:24" ht="12.9">
      <c r="T393" s="56" t="e">
        <v>#N/A</v>
      </c>
      <c r="U393" s="56" t="e">
        <v>#REF!</v>
      </c>
      <c r="V393" s="57" t="e">
        <v>#REF!</v>
      </c>
      <c r="W393" s="58" t="e">
        <v>#N/A</v>
      </c>
      <c r="X393" s="56" t="e">
        <v>#N/A</v>
      </c>
    </row>
    <row r="394" spans="20:24" ht="12.9">
      <c r="T394" s="56" t="e">
        <v>#N/A</v>
      </c>
      <c r="U394" s="56" t="e">
        <v>#REF!</v>
      </c>
      <c r="V394" s="57" t="e">
        <v>#REF!</v>
      </c>
      <c r="W394" s="58" t="e">
        <v>#N/A</v>
      </c>
      <c r="X394" s="56" t="e">
        <v>#N/A</v>
      </c>
    </row>
    <row r="395" spans="20:24" ht="12.9">
      <c r="T395" s="56" t="e">
        <v>#N/A</v>
      </c>
      <c r="U395" s="56" t="e">
        <v>#REF!</v>
      </c>
      <c r="V395" s="57" t="e">
        <v>#REF!</v>
      </c>
      <c r="W395" s="58" t="e">
        <v>#N/A</v>
      </c>
      <c r="X395" s="56" t="e">
        <v>#N/A</v>
      </c>
    </row>
    <row r="396" spans="20:24" ht="12.9">
      <c r="T396" s="56" t="e">
        <v>#N/A</v>
      </c>
      <c r="U396" s="56" t="e">
        <v>#REF!</v>
      </c>
      <c r="V396" s="57" t="e">
        <v>#REF!</v>
      </c>
      <c r="W396" s="58" t="e">
        <v>#N/A</v>
      </c>
      <c r="X396" s="56" t="e">
        <v>#N/A</v>
      </c>
    </row>
    <row r="397" spans="20:24" ht="12.9">
      <c r="T397" s="56" t="e">
        <v>#N/A</v>
      </c>
      <c r="U397" s="56" t="e">
        <v>#REF!</v>
      </c>
      <c r="V397" s="57" t="e">
        <v>#REF!</v>
      </c>
      <c r="W397" s="58" t="e">
        <v>#N/A</v>
      </c>
      <c r="X397" s="56" t="e">
        <v>#N/A</v>
      </c>
    </row>
    <row r="398" spans="20:24" ht="12.9">
      <c r="T398" s="56" t="e">
        <v>#N/A</v>
      </c>
      <c r="U398" s="56" t="e">
        <v>#REF!</v>
      </c>
      <c r="V398" s="57" t="e">
        <v>#REF!</v>
      </c>
      <c r="W398" s="58" t="e">
        <v>#N/A</v>
      </c>
      <c r="X398" s="56" t="e">
        <v>#N/A</v>
      </c>
    </row>
    <row r="399" spans="20:24" ht="12.9">
      <c r="T399" s="56" t="e">
        <v>#N/A</v>
      </c>
      <c r="U399" s="56" t="e">
        <v>#REF!</v>
      </c>
      <c r="V399" s="57" t="e">
        <v>#REF!</v>
      </c>
      <c r="W399" s="58" t="e">
        <v>#N/A</v>
      </c>
      <c r="X399" s="56" t="e">
        <v>#N/A</v>
      </c>
    </row>
    <row r="400" spans="20:24" ht="12.9">
      <c r="T400" s="56" t="e">
        <v>#N/A</v>
      </c>
      <c r="U400" s="56" t="e">
        <v>#REF!</v>
      </c>
      <c r="V400" s="57" t="e">
        <v>#REF!</v>
      </c>
      <c r="W400" s="58" t="e">
        <v>#N/A</v>
      </c>
      <c r="X400" s="56" t="e">
        <v>#N/A</v>
      </c>
    </row>
    <row r="401" spans="20:24" ht="12.9">
      <c r="T401" s="56" t="e">
        <v>#N/A</v>
      </c>
      <c r="U401" s="56" t="e">
        <v>#REF!</v>
      </c>
      <c r="V401" s="57" t="e">
        <v>#REF!</v>
      </c>
      <c r="W401" s="58" t="e">
        <v>#N/A</v>
      </c>
      <c r="X401" s="56" t="e">
        <v>#N/A</v>
      </c>
    </row>
    <row r="402" spans="20:24" ht="12.9">
      <c r="T402" s="56" t="e">
        <v>#N/A</v>
      </c>
      <c r="U402" s="56" t="e">
        <v>#REF!</v>
      </c>
      <c r="V402" s="57" t="e">
        <v>#REF!</v>
      </c>
      <c r="W402" s="58" t="e">
        <v>#N/A</v>
      </c>
      <c r="X402" s="56" t="e">
        <v>#N/A</v>
      </c>
    </row>
    <row r="403" spans="20:24" ht="12.9">
      <c r="T403" s="56" t="e">
        <v>#N/A</v>
      </c>
      <c r="U403" s="56" t="e">
        <v>#REF!</v>
      </c>
      <c r="V403" s="57" t="e">
        <v>#REF!</v>
      </c>
      <c r="W403" s="58" t="e">
        <v>#N/A</v>
      </c>
      <c r="X403" s="56" t="e">
        <v>#N/A</v>
      </c>
    </row>
    <row r="404" spans="20:24" ht="12.9">
      <c r="T404" s="56" t="e">
        <v>#N/A</v>
      </c>
      <c r="U404" s="56" t="e">
        <v>#REF!</v>
      </c>
      <c r="V404" s="57" t="e">
        <v>#REF!</v>
      </c>
      <c r="W404" s="58" t="e">
        <v>#N/A</v>
      </c>
      <c r="X404" s="56" t="e">
        <v>#N/A</v>
      </c>
    </row>
    <row r="405" spans="20:24" ht="12.9">
      <c r="T405" s="56" t="e">
        <v>#N/A</v>
      </c>
      <c r="U405" s="56" t="e">
        <v>#REF!</v>
      </c>
      <c r="V405" s="57" t="e">
        <v>#REF!</v>
      </c>
      <c r="W405" s="58" t="e">
        <v>#N/A</v>
      </c>
      <c r="X405" s="56" t="e">
        <v>#N/A</v>
      </c>
    </row>
    <row r="406" spans="20:24" ht="12.9">
      <c r="T406" s="56" t="e">
        <v>#N/A</v>
      </c>
      <c r="U406" s="56" t="e">
        <v>#REF!</v>
      </c>
      <c r="V406" s="57" t="e">
        <v>#REF!</v>
      </c>
      <c r="W406" s="58" t="e">
        <v>#N/A</v>
      </c>
      <c r="X406" s="56" t="e">
        <v>#N/A</v>
      </c>
    </row>
    <row r="407" spans="20:24" ht="12.9">
      <c r="T407" s="56" t="e">
        <v>#N/A</v>
      </c>
      <c r="U407" s="56" t="e">
        <v>#REF!</v>
      </c>
      <c r="V407" s="57" t="e">
        <v>#REF!</v>
      </c>
      <c r="W407" s="58" t="e">
        <v>#N/A</v>
      </c>
      <c r="X407" s="56" t="e">
        <v>#N/A</v>
      </c>
    </row>
    <row r="408" spans="20:24" ht="12.9">
      <c r="T408" s="56" t="e">
        <v>#N/A</v>
      </c>
      <c r="U408" s="56" t="e">
        <v>#REF!</v>
      </c>
      <c r="V408" s="57" t="e">
        <v>#REF!</v>
      </c>
      <c r="W408" s="58" t="e">
        <v>#N/A</v>
      </c>
      <c r="X408" s="56" t="e">
        <v>#N/A</v>
      </c>
    </row>
    <row r="409" spans="20:24" ht="12.9">
      <c r="T409" s="56" t="e">
        <v>#N/A</v>
      </c>
      <c r="U409" s="56" t="e">
        <v>#REF!</v>
      </c>
      <c r="V409" s="57" t="e">
        <v>#REF!</v>
      </c>
      <c r="W409" s="58" t="e">
        <v>#N/A</v>
      </c>
      <c r="X409" s="56" t="e">
        <v>#N/A</v>
      </c>
    </row>
    <row r="410" spans="20:24" ht="12.9">
      <c r="T410" s="56" t="e">
        <v>#N/A</v>
      </c>
      <c r="U410" s="56" t="e">
        <v>#REF!</v>
      </c>
      <c r="V410" s="57" t="e">
        <v>#REF!</v>
      </c>
      <c r="W410" s="58" t="e">
        <v>#N/A</v>
      </c>
      <c r="X410" s="56" t="e">
        <v>#N/A</v>
      </c>
    </row>
    <row r="411" spans="20:24" ht="12.9">
      <c r="T411" s="56" t="e">
        <v>#N/A</v>
      </c>
      <c r="U411" s="56" t="e">
        <v>#REF!</v>
      </c>
      <c r="V411" s="57" t="e">
        <v>#REF!</v>
      </c>
      <c r="W411" s="58" t="e">
        <v>#N/A</v>
      </c>
      <c r="X411" s="56" t="e">
        <v>#N/A</v>
      </c>
    </row>
    <row r="412" spans="20:24" ht="12.9">
      <c r="T412" s="56" t="e">
        <v>#N/A</v>
      </c>
      <c r="U412" s="56" t="e">
        <v>#REF!</v>
      </c>
      <c r="V412" s="57" t="e">
        <v>#REF!</v>
      </c>
      <c r="W412" s="58" t="e">
        <v>#N/A</v>
      </c>
      <c r="X412" s="56" t="e">
        <v>#N/A</v>
      </c>
    </row>
    <row r="413" spans="20:24" ht="12.9">
      <c r="T413" s="56" t="e">
        <v>#N/A</v>
      </c>
      <c r="U413" s="56" t="e">
        <v>#REF!</v>
      </c>
      <c r="V413" s="57" t="e">
        <v>#REF!</v>
      </c>
      <c r="W413" s="58" t="e">
        <v>#N/A</v>
      </c>
      <c r="X413" s="56" t="e">
        <v>#N/A</v>
      </c>
    </row>
    <row r="414" spans="20:24" ht="12.9">
      <c r="T414" s="56" t="e">
        <v>#N/A</v>
      </c>
      <c r="U414" s="56" t="e">
        <v>#REF!</v>
      </c>
      <c r="V414" s="57" t="e">
        <v>#REF!</v>
      </c>
      <c r="W414" s="58" t="e">
        <v>#N/A</v>
      </c>
      <c r="X414" s="56" t="e">
        <v>#N/A</v>
      </c>
    </row>
    <row r="415" spans="20:24" ht="12.9">
      <c r="T415" s="56" t="e">
        <v>#N/A</v>
      </c>
      <c r="U415" s="56" t="e">
        <v>#REF!</v>
      </c>
      <c r="V415" s="57" t="e">
        <v>#REF!</v>
      </c>
      <c r="W415" s="58" t="e">
        <v>#N/A</v>
      </c>
      <c r="X415" s="56" t="e">
        <v>#N/A</v>
      </c>
    </row>
    <row r="416" spans="20:24" ht="12.9">
      <c r="T416" s="56" t="e">
        <v>#N/A</v>
      </c>
      <c r="U416" s="56" t="e">
        <v>#REF!</v>
      </c>
      <c r="V416" s="57" t="e">
        <v>#REF!</v>
      </c>
      <c r="W416" s="58" t="e">
        <v>#N/A</v>
      </c>
      <c r="X416" s="56" t="e">
        <v>#N/A</v>
      </c>
    </row>
    <row r="417" spans="20:24" ht="12.9">
      <c r="T417" s="56" t="e">
        <v>#N/A</v>
      </c>
      <c r="U417" s="56" t="e">
        <v>#REF!</v>
      </c>
      <c r="V417" s="57" t="e">
        <v>#REF!</v>
      </c>
      <c r="W417" s="58" t="e">
        <v>#N/A</v>
      </c>
      <c r="X417" s="56" t="e">
        <v>#N/A</v>
      </c>
    </row>
    <row r="418" spans="20:24" ht="12.9">
      <c r="T418" s="56" t="e">
        <v>#N/A</v>
      </c>
      <c r="U418" s="56" t="e">
        <v>#REF!</v>
      </c>
      <c r="V418" s="57" t="e">
        <v>#REF!</v>
      </c>
      <c r="W418" s="58" t="e">
        <v>#N/A</v>
      </c>
      <c r="X418" s="56" t="e">
        <v>#N/A</v>
      </c>
    </row>
    <row r="419" spans="20:24" ht="12.9">
      <c r="T419" s="56" t="e">
        <v>#N/A</v>
      </c>
      <c r="U419" s="56" t="e">
        <v>#REF!</v>
      </c>
      <c r="V419" s="57" t="e">
        <v>#REF!</v>
      </c>
      <c r="W419" s="58" t="e">
        <v>#N/A</v>
      </c>
      <c r="X419" s="56" t="e">
        <v>#N/A</v>
      </c>
    </row>
    <row r="420" spans="20:24" ht="12.9">
      <c r="T420" s="56" t="e">
        <v>#N/A</v>
      </c>
      <c r="U420" s="56" t="e">
        <v>#REF!</v>
      </c>
      <c r="V420" s="57" t="e">
        <v>#REF!</v>
      </c>
      <c r="W420" s="58" t="e">
        <v>#N/A</v>
      </c>
      <c r="X420" s="56" t="e">
        <v>#N/A</v>
      </c>
    </row>
    <row r="421" spans="20:24" ht="12.9">
      <c r="T421" s="56" t="e">
        <v>#N/A</v>
      </c>
      <c r="U421" s="56" t="e">
        <v>#REF!</v>
      </c>
      <c r="V421" s="57" t="e">
        <v>#REF!</v>
      </c>
      <c r="W421" s="58" t="e">
        <v>#N/A</v>
      </c>
      <c r="X421" s="56" t="e">
        <v>#N/A</v>
      </c>
    </row>
    <row r="422" spans="20:24" ht="12.9">
      <c r="T422" s="56" t="e">
        <v>#N/A</v>
      </c>
      <c r="U422" s="56" t="e">
        <v>#REF!</v>
      </c>
      <c r="V422" s="57" t="e">
        <v>#REF!</v>
      </c>
      <c r="W422" s="58" t="e">
        <v>#N/A</v>
      </c>
      <c r="X422" s="56" t="e">
        <v>#N/A</v>
      </c>
    </row>
    <row r="423" spans="20:24" ht="12.9">
      <c r="T423" s="56" t="e">
        <v>#N/A</v>
      </c>
      <c r="U423" s="56" t="e">
        <v>#REF!</v>
      </c>
      <c r="V423" s="57" t="e">
        <v>#REF!</v>
      </c>
      <c r="W423" s="58" t="e">
        <v>#N/A</v>
      </c>
      <c r="X423" s="56" t="e">
        <v>#N/A</v>
      </c>
    </row>
    <row r="424" spans="20:24" ht="12.9">
      <c r="T424" s="56" t="e">
        <v>#N/A</v>
      </c>
      <c r="U424" s="56" t="e">
        <v>#REF!</v>
      </c>
      <c r="V424" s="57" t="e">
        <v>#REF!</v>
      </c>
      <c r="W424" s="58" t="e">
        <v>#N/A</v>
      </c>
      <c r="X424" s="56" t="e">
        <v>#N/A</v>
      </c>
    </row>
    <row r="425" spans="20:24" ht="12.9">
      <c r="T425" s="56" t="e">
        <v>#N/A</v>
      </c>
      <c r="U425" s="56" t="e">
        <v>#REF!</v>
      </c>
      <c r="V425" s="57" t="e">
        <v>#REF!</v>
      </c>
      <c r="W425" s="58" t="e">
        <v>#N/A</v>
      </c>
      <c r="X425" s="56" t="e">
        <v>#N/A</v>
      </c>
    </row>
    <row r="426" spans="20:24" ht="12.9">
      <c r="T426" s="56" t="e">
        <v>#N/A</v>
      </c>
      <c r="U426" s="56" t="e">
        <v>#REF!</v>
      </c>
      <c r="V426" s="57" t="e">
        <v>#REF!</v>
      </c>
      <c r="W426" s="58" t="e">
        <v>#N/A</v>
      </c>
      <c r="X426" s="56" t="e">
        <v>#N/A</v>
      </c>
    </row>
    <row r="427" spans="20:24" ht="12.9">
      <c r="T427" s="56" t="e">
        <v>#N/A</v>
      </c>
      <c r="U427" s="56" t="e">
        <v>#REF!</v>
      </c>
      <c r="V427" s="57" t="e">
        <v>#REF!</v>
      </c>
      <c r="W427" s="58" t="e">
        <v>#N/A</v>
      </c>
      <c r="X427" s="56" t="e">
        <v>#N/A</v>
      </c>
    </row>
    <row r="428" spans="20:24" ht="12.9">
      <c r="T428" s="56" t="e">
        <v>#N/A</v>
      </c>
      <c r="U428" s="56" t="e">
        <v>#REF!</v>
      </c>
      <c r="V428" s="57" t="e">
        <v>#REF!</v>
      </c>
      <c r="W428" s="58" t="e">
        <v>#N/A</v>
      </c>
      <c r="X428" s="56" t="e">
        <v>#N/A</v>
      </c>
    </row>
    <row r="429" spans="20:24" ht="12.9">
      <c r="T429" s="56" t="e">
        <v>#N/A</v>
      </c>
      <c r="U429" s="56" t="e">
        <v>#REF!</v>
      </c>
      <c r="V429" s="57" t="e">
        <v>#REF!</v>
      </c>
      <c r="W429" s="58" t="e">
        <v>#N/A</v>
      </c>
      <c r="X429" s="56" t="e">
        <v>#N/A</v>
      </c>
    </row>
    <row r="430" spans="20:24" ht="12.9">
      <c r="T430" s="56" t="e">
        <v>#N/A</v>
      </c>
      <c r="U430" s="56" t="e">
        <v>#REF!</v>
      </c>
      <c r="V430" s="57" t="e">
        <v>#REF!</v>
      </c>
      <c r="W430" s="58" t="e">
        <v>#N/A</v>
      </c>
      <c r="X430" s="56" t="e">
        <v>#N/A</v>
      </c>
    </row>
    <row r="431" spans="20:24" ht="12.9">
      <c r="T431" s="56" t="e">
        <v>#N/A</v>
      </c>
      <c r="U431" s="56" t="e">
        <v>#REF!</v>
      </c>
      <c r="V431" s="57" t="e">
        <v>#REF!</v>
      </c>
      <c r="W431" s="58" t="e">
        <v>#N/A</v>
      </c>
      <c r="X431" s="56" t="e">
        <v>#N/A</v>
      </c>
    </row>
    <row r="432" spans="20:24" ht="12.9">
      <c r="T432" s="56" t="e">
        <v>#N/A</v>
      </c>
      <c r="U432" s="56" t="e">
        <v>#REF!</v>
      </c>
      <c r="V432" s="57" t="e">
        <v>#REF!</v>
      </c>
      <c r="W432" s="58" t="e">
        <v>#N/A</v>
      </c>
      <c r="X432" s="56" t="e">
        <v>#N/A</v>
      </c>
    </row>
    <row r="433" spans="20:24" ht="12.9">
      <c r="T433" s="56" t="e">
        <v>#N/A</v>
      </c>
      <c r="U433" s="56" t="e">
        <v>#REF!</v>
      </c>
      <c r="V433" s="57" t="e">
        <v>#REF!</v>
      </c>
      <c r="W433" s="58" t="e">
        <v>#N/A</v>
      </c>
      <c r="X433" s="56" t="e">
        <v>#N/A</v>
      </c>
    </row>
    <row r="434" spans="20:24" ht="12.9">
      <c r="T434" s="56" t="e">
        <v>#N/A</v>
      </c>
      <c r="U434" s="56" t="e">
        <v>#REF!</v>
      </c>
      <c r="V434" s="57" t="e">
        <v>#REF!</v>
      </c>
      <c r="W434" s="58" t="e">
        <v>#N/A</v>
      </c>
      <c r="X434" s="56" t="e">
        <v>#N/A</v>
      </c>
    </row>
    <row r="435" spans="20:24" ht="12.9">
      <c r="T435" s="56" t="e">
        <v>#N/A</v>
      </c>
      <c r="U435" s="56" t="e">
        <v>#REF!</v>
      </c>
      <c r="V435" s="57" t="e">
        <v>#REF!</v>
      </c>
      <c r="W435" s="58" t="e">
        <v>#N/A</v>
      </c>
      <c r="X435" s="56" t="e">
        <v>#N/A</v>
      </c>
    </row>
    <row r="436" spans="20:24" ht="12.9">
      <c r="T436" s="56" t="e">
        <v>#N/A</v>
      </c>
      <c r="U436" s="56" t="e">
        <v>#REF!</v>
      </c>
      <c r="V436" s="57" t="e">
        <v>#REF!</v>
      </c>
      <c r="W436" s="58" t="e">
        <v>#N/A</v>
      </c>
      <c r="X436" s="56" t="e">
        <v>#N/A</v>
      </c>
    </row>
    <row r="437" spans="20:24" ht="12.9">
      <c r="T437" s="56" t="e">
        <v>#N/A</v>
      </c>
      <c r="U437" s="56" t="e">
        <v>#REF!</v>
      </c>
      <c r="V437" s="57" t="e">
        <v>#REF!</v>
      </c>
      <c r="W437" s="58" t="e">
        <v>#N/A</v>
      </c>
      <c r="X437" s="56" t="e">
        <v>#N/A</v>
      </c>
    </row>
    <row r="438" spans="20:24" ht="12.9">
      <c r="T438" s="56" t="e">
        <v>#N/A</v>
      </c>
      <c r="U438" s="56" t="e">
        <v>#REF!</v>
      </c>
      <c r="V438" s="57" t="e">
        <v>#REF!</v>
      </c>
      <c r="W438" s="58" t="e">
        <v>#N/A</v>
      </c>
      <c r="X438" s="56" t="e">
        <v>#N/A</v>
      </c>
    </row>
    <row r="439" spans="20:24" ht="12.9">
      <c r="T439" s="56" t="e">
        <v>#N/A</v>
      </c>
      <c r="U439" s="56" t="e">
        <v>#REF!</v>
      </c>
      <c r="V439" s="57" t="e">
        <v>#REF!</v>
      </c>
      <c r="W439" s="58" t="e">
        <v>#N/A</v>
      </c>
      <c r="X439" s="56" t="e">
        <v>#N/A</v>
      </c>
    </row>
    <row r="440" spans="20:24" ht="12.9">
      <c r="T440" s="56" t="e">
        <v>#N/A</v>
      </c>
      <c r="U440" s="56" t="e">
        <v>#REF!</v>
      </c>
      <c r="V440" s="57" t="e">
        <v>#REF!</v>
      </c>
      <c r="W440" s="58" t="e">
        <v>#N/A</v>
      </c>
      <c r="X440" s="56" t="e">
        <v>#N/A</v>
      </c>
    </row>
    <row r="441" spans="20:24" ht="12.9">
      <c r="T441" s="56" t="e">
        <v>#N/A</v>
      </c>
      <c r="U441" s="56" t="e">
        <v>#REF!</v>
      </c>
      <c r="V441" s="57" t="e">
        <v>#REF!</v>
      </c>
      <c r="W441" s="58" t="e">
        <v>#N/A</v>
      </c>
      <c r="X441" s="56" t="e">
        <v>#N/A</v>
      </c>
    </row>
    <row r="442" spans="20:24" ht="12.9">
      <c r="T442" s="56" t="e">
        <v>#N/A</v>
      </c>
      <c r="U442" s="56" t="e">
        <v>#REF!</v>
      </c>
      <c r="V442" s="57" t="e">
        <v>#REF!</v>
      </c>
      <c r="W442" s="58" t="e">
        <v>#N/A</v>
      </c>
      <c r="X442" s="56" t="e">
        <v>#N/A</v>
      </c>
    </row>
    <row r="443" spans="20:24" ht="12.9">
      <c r="T443" s="56" t="e">
        <v>#N/A</v>
      </c>
      <c r="U443" s="56" t="e">
        <v>#REF!</v>
      </c>
      <c r="V443" s="57" t="e">
        <v>#REF!</v>
      </c>
      <c r="W443" s="58" t="e">
        <v>#N/A</v>
      </c>
      <c r="X443" s="56" t="e">
        <v>#N/A</v>
      </c>
    </row>
    <row r="444" spans="20:24" ht="12.9">
      <c r="T444" s="56" t="e">
        <v>#N/A</v>
      </c>
      <c r="U444" s="56" t="e">
        <v>#REF!</v>
      </c>
      <c r="V444" s="57" t="e">
        <v>#REF!</v>
      </c>
      <c r="W444" s="58" t="e">
        <v>#N/A</v>
      </c>
      <c r="X444" s="56" t="e">
        <v>#N/A</v>
      </c>
    </row>
    <row r="445" spans="20:24" ht="12.9">
      <c r="T445" s="56" t="e">
        <v>#N/A</v>
      </c>
      <c r="U445" s="56" t="e">
        <v>#REF!</v>
      </c>
      <c r="V445" s="57" t="e">
        <v>#REF!</v>
      </c>
      <c r="W445" s="58" t="e">
        <v>#N/A</v>
      </c>
      <c r="X445" s="56" t="e">
        <v>#N/A</v>
      </c>
    </row>
    <row r="446" spans="20:24" ht="12.9">
      <c r="T446" s="56" t="e">
        <v>#N/A</v>
      </c>
      <c r="U446" s="56" t="e">
        <v>#REF!</v>
      </c>
      <c r="V446" s="57" t="e">
        <v>#REF!</v>
      </c>
      <c r="W446" s="58" t="e">
        <v>#N/A</v>
      </c>
      <c r="X446" s="56" t="e">
        <v>#N/A</v>
      </c>
    </row>
    <row r="447" spans="20:24" ht="12.9">
      <c r="T447" s="56" t="e">
        <v>#N/A</v>
      </c>
      <c r="U447" s="56" t="e">
        <v>#REF!</v>
      </c>
      <c r="V447" s="57" t="e">
        <v>#REF!</v>
      </c>
      <c r="W447" s="58" t="e">
        <v>#N/A</v>
      </c>
      <c r="X447" s="56" t="e">
        <v>#N/A</v>
      </c>
    </row>
    <row r="448" spans="20:24" ht="12.9">
      <c r="T448" s="56" t="e">
        <v>#N/A</v>
      </c>
      <c r="U448" s="56" t="e">
        <v>#REF!</v>
      </c>
      <c r="V448" s="57" t="e">
        <v>#REF!</v>
      </c>
      <c r="W448" s="58" t="e">
        <v>#N/A</v>
      </c>
      <c r="X448" s="56" t="e">
        <v>#N/A</v>
      </c>
    </row>
    <row r="449" spans="20:24" ht="12.9">
      <c r="T449" s="56" t="e">
        <v>#N/A</v>
      </c>
      <c r="U449" s="56" t="e">
        <v>#REF!</v>
      </c>
      <c r="V449" s="57" t="e">
        <v>#REF!</v>
      </c>
      <c r="W449" s="58" t="e">
        <v>#N/A</v>
      </c>
      <c r="X449" s="56" t="e">
        <v>#N/A</v>
      </c>
    </row>
    <row r="450" spans="20:24" ht="12.9">
      <c r="T450" s="56" t="e">
        <v>#N/A</v>
      </c>
      <c r="U450" s="56" t="e">
        <v>#REF!</v>
      </c>
      <c r="V450" s="57" t="e">
        <v>#REF!</v>
      </c>
      <c r="W450" s="58" t="e">
        <v>#N/A</v>
      </c>
      <c r="X450" s="56" t="e">
        <v>#N/A</v>
      </c>
    </row>
    <row r="451" spans="20:24" ht="12.9">
      <c r="T451" s="56" t="e">
        <v>#N/A</v>
      </c>
      <c r="U451" s="56" t="e">
        <v>#REF!</v>
      </c>
      <c r="V451" s="57" t="e">
        <v>#REF!</v>
      </c>
      <c r="W451" s="58" t="e">
        <v>#N/A</v>
      </c>
      <c r="X451" s="56" t="e">
        <v>#N/A</v>
      </c>
    </row>
    <row r="452" spans="20:24" ht="12.9">
      <c r="T452" s="56" t="e">
        <v>#N/A</v>
      </c>
      <c r="U452" s="56" t="e">
        <v>#REF!</v>
      </c>
      <c r="V452" s="57" t="e">
        <v>#REF!</v>
      </c>
      <c r="W452" s="58" t="e">
        <v>#N/A</v>
      </c>
      <c r="X452" s="56" t="e">
        <v>#N/A</v>
      </c>
    </row>
    <row r="453" spans="20:24" ht="12.9">
      <c r="T453" s="56" t="e">
        <v>#N/A</v>
      </c>
      <c r="U453" s="56" t="e">
        <v>#REF!</v>
      </c>
      <c r="V453" s="57" t="e">
        <v>#REF!</v>
      </c>
      <c r="W453" s="58" t="e">
        <v>#N/A</v>
      </c>
      <c r="X453" s="56" t="e">
        <v>#N/A</v>
      </c>
    </row>
    <row r="454" spans="20:24" ht="12.9">
      <c r="T454" s="56" t="e">
        <v>#N/A</v>
      </c>
      <c r="U454" s="56" t="e">
        <v>#REF!</v>
      </c>
      <c r="V454" s="57" t="e">
        <v>#REF!</v>
      </c>
      <c r="W454" s="58" t="e">
        <v>#N/A</v>
      </c>
      <c r="X454" s="56" t="e">
        <v>#N/A</v>
      </c>
    </row>
    <row r="455" spans="20:24" ht="12.9">
      <c r="T455" s="56" t="e">
        <v>#N/A</v>
      </c>
      <c r="U455" s="56" t="e">
        <v>#REF!</v>
      </c>
      <c r="V455" s="57" t="e">
        <v>#REF!</v>
      </c>
      <c r="W455" s="58" t="e">
        <v>#N/A</v>
      </c>
      <c r="X455" s="56" t="e">
        <v>#N/A</v>
      </c>
    </row>
    <row r="456" spans="20:24" ht="12.9">
      <c r="T456" s="56" t="e">
        <v>#N/A</v>
      </c>
      <c r="U456" s="56" t="e">
        <v>#REF!</v>
      </c>
      <c r="V456" s="57" t="e">
        <v>#REF!</v>
      </c>
      <c r="W456" s="58" t="e">
        <v>#N/A</v>
      </c>
      <c r="X456" s="56" t="e">
        <v>#N/A</v>
      </c>
    </row>
    <row r="457" spans="20:24" ht="12.9">
      <c r="T457" s="56" t="e">
        <v>#N/A</v>
      </c>
      <c r="U457" s="56" t="e">
        <v>#REF!</v>
      </c>
      <c r="V457" s="57" t="e">
        <v>#REF!</v>
      </c>
      <c r="W457" s="58" t="e">
        <v>#N/A</v>
      </c>
      <c r="X457" s="56" t="e">
        <v>#N/A</v>
      </c>
    </row>
    <row r="458" spans="20:24" ht="12.9">
      <c r="T458" s="56" t="e">
        <v>#N/A</v>
      </c>
      <c r="U458" s="56" t="e">
        <v>#REF!</v>
      </c>
      <c r="V458" s="57" t="e">
        <v>#REF!</v>
      </c>
      <c r="W458" s="58" t="e">
        <v>#N/A</v>
      </c>
      <c r="X458" s="56" t="e">
        <v>#N/A</v>
      </c>
    </row>
    <row r="459" spans="20:24" ht="12.9">
      <c r="T459" s="56" t="e">
        <v>#N/A</v>
      </c>
      <c r="U459" s="56" t="e">
        <v>#REF!</v>
      </c>
      <c r="V459" s="57" t="e">
        <v>#REF!</v>
      </c>
      <c r="W459" s="58" t="e">
        <v>#N/A</v>
      </c>
      <c r="X459" s="56" t="e">
        <v>#N/A</v>
      </c>
    </row>
    <row r="460" spans="20:24" ht="12.9">
      <c r="T460" s="56" t="e">
        <v>#N/A</v>
      </c>
      <c r="U460" s="56" t="e">
        <v>#REF!</v>
      </c>
      <c r="V460" s="57" t="e">
        <v>#REF!</v>
      </c>
      <c r="W460" s="58" t="e">
        <v>#N/A</v>
      </c>
      <c r="X460" s="56" t="e">
        <v>#N/A</v>
      </c>
    </row>
    <row r="461" spans="20:24" ht="12.9">
      <c r="T461" s="56" t="e">
        <v>#N/A</v>
      </c>
      <c r="U461" s="56" t="e">
        <v>#REF!</v>
      </c>
      <c r="V461" s="57" t="e">
        <v>#REF!</v>
      </c>
      <c r="W461" s="58" t="e">
        <v>#N/A</v>
      </c>
      <c r="X461" s="56" t="e">
        <v>#N/A</v>
      </c>
    </row>
    <row r="462" spans="20:24" ht="12.9">
      <c r="T462" s="56" t="e">
        <v>#N/A</v>
      </c>
      <c r="U462" s="56" t="e">
        <v>#REF!</v>
      </c>
      <c r="V462" s="57" t="e">
        <v>#REF!</v>
      </c>
      <c r="W462" s="58" t="e">
        <v>#N/A</v>
      </c>
      <c r="X462" s="56" t="e">
        <v>#N/A</v>
      </c>
    </row>
    <row r="463" spans="20:24" ht="12.9">
      <c r="T463" s="56" t="e">
        <v>#N/A</v>
      </c>
      <c r="U463" s="56" t="e">
        <v>#REF!</v>
      </c>
      <c r="V463" s="57" t="e">
        <v>#REF!</v>
      </c>
      <c r="W463" s="58" t="e">
        <v>#N/A</v>
      </c>
      <c r="X463" s="56" t="e">
        <v>#N/A</v>
      </c>
    </row>
    <row r="464" spans="20:24" ht="12.9">
      <c r="T464" s="56" t="e">
        <v>#N/A</v>
      </c>
      <c r="U464" s="56" t="e">
        <v>#REF!</v>
      </c>
      <c r="V464" s="57" t="e">
        <v>#REF!</v>
      </c>
      <c r="W464" s="58" t="e">
        <v>#N/A</v>
      </c>
      <c r="X464" s="56" t="e">
        <v>#N/A</v>
      </c>
    </row>
    <row r="465" spans="20:24" ht="12.9">
      <c r="T465" s="56" t="e">
        <v>#N/A</v>
      </c>
      <c r="U465" s="56" t="e">
        <v>#REF!</v>
      </c>
      <c r="V465" s="57" t="e">
        <v>#REF!</v>
      </c>
      <c r="W465" s="58" t="e">
        <v>#N/A</v>
      </c>
      <c r="X465" s="56" t="e">
        <v>#N/A</v>
      </c>
    </row>
    <row r="466" spans="20:24" ht="12.9">
      <c r="T466" s="56" t="e">
        <v>#N/A</v>
      </c>
      <c r="U466" s="56" t="e">
        <v>#REF!</v>
      </c>
      <c r="V466" s="57" t="e">
        <v>#REF!</v>
      </c>
      <c r="W466" s="58" t="e">
        <v>#N/A</v>
      </c>
      <c r="X466" s="56" t="e">
        <v>#N/A</v>
      </c>
    </row>
    <row r="467" spans="20:24" ht="12.9">
      <c r="T467" s="56" t="e">
        <v>#N/A</v>
      </c>
      <c r="U467" s="56" t="e">
        <v>#REF!</v>
      </c>
      <c r="V467" s="57" t="e">
        <v>#REF!</v>
      </c>
      <c r="W467" s="58" t="e">
        <v>#N/A</v>
      </c>
      <c r="X467" s="56" t="e">
        <v>#N/A</v>
      </c>
    </row>
    <row r="468" spans="20:24" ht="12.9">
      <c r="T468" s="56" t="e">
        <v>#N/A</v>
      </c>
      <c r="U468" s="56" t="e">
        <v>#REF!</v>
      </c>
      <c r="V468" s="57" t="e">
        <v>#REF!</v>
      </c>
      <c r="W468" s="58" t="e">
        <v>#N/A</v>
      </c>
      <c r="X468" s="56" t="e">
        <v>#N/A</v>
      </c>
    </row>
    <row r="469" spans="20:24" ht="12.9">
      <c r="T469" s="56" t="e">
        <v>#N/A</v>
      </c>
      <c r="U469" s="56" t="e">
        <v>#REF!</v>
      </c>
      <c r="V469" s="57" t="e">
        <v>#REF!</v>
      </c>
      <c r="W469" s="58" t="e">
        <v>#N/A</v>
      </c>
      <c r="X469" s="56" t="e">
        <v>#N/A</v>
      </c>
    </row>
    <row r="470" spans="20:24" ht="12.9">
      <c r="T470" s="56" t="e">
        <v>#N/A</v>
      </c>
      <c r="U470" s="56" t="e">
        <v>#REF!</v>
      </c>
      <c r="V470" s="57" t="e">
        <v>#REF!</v>
      </c>
      <c r="W470" s="58" t="e">
        <v>#N/A</v>
      </c>
      <c r="X470" s="56" t="e">
        <v>#N/A</v>
      </c>
    </row>
    <row r="471" spans="20:24" ht="12.9">
      <c r="T471" s="56" t="e">
        <v>#N/A</v>
      </c>
      <c r="U471" s="56" t="e">
        <v>#REF!</v>
      </c>
      <c r="V471" s="57" t="e">
        <v>#REF!</v>
      </c>
      <c r="W471" s="58" t="e">
        <v>#N/A</v>
      </c>
      <c r="X471" s="56" t="e">
        <v>#N/A</v>
      </c>
    </row>
    <row r="472" spans="20:24" ht="12.9">
      <c r="T472" s="56" t="e">
        <v>#N/A</v>
      </c>
      <c r="U472" s="56" t="e">
        <v>#REF!</v>
      </c>
      <c r="V472" s="57" t="e">
        <v>#REF!</v>
      </c>
      <c r="W472" s="58" t="e">
        <v>#N/A</v>
      </c>
      <c r="X472" s="56" t="e">
        <v>#N/A</v>
      </c>
    </row>
    <row r="473" spans="20:24" ht="12.9">
      <c r="T473" s="56" t="e">
        <v>#N/A</v>
      </c>
      <c r="U473" s="56" t="e">
        <v>#REF!</v>
      </c>
      <c r="V473" s="57" t="e">
        <v>#REF!</v>
      </c>
      <c r="W473" s="58" t="e">
        <v>#N/A</v>
      </c>
      <c r="X473" s="56" t="e">
        <v>#N/A</v>
      </c>
    </row>
    <row r="474" spans="20:24" ht="12.9">
      <c r="T474" s="56" t="e">
        <v>#N/A</v>
      </c>
      <c r="U474" s="56" t="e">
        <v>#REF!</v>
      </c>
      <c r="V474" s="57" t="e">
        <v>#REF!</v>
      </c>
      <c r="W474" s="58" t="e">
        <v>#N/A</v>
      </c>
      <c r="X474" s="56" t="e">
        <v>#N/A</v>
      </c>
    </row>
    <row r="475" spans="20:24" ht="12.9">
      <c r="T475" s="56" t="e">
        <v>#N/A</v>
      </c>
      <c r="U475" s="56" t="e">
        <v>#REF!</v>
      </c>
      <c r="V475" s="57" t="e">
        <v>#REF!</v>
      </c>
      <c r="W475" s="58" t="e">
        <v>#N/A</v>
      </c>
      <c r="X475" s="56" t="e">
        <v>#N/A</v>
      </c>
    </row>
    <row r="476" spans="20:24" ht="12.9">
      <c r="T476" s="56" t="e">
        <v>#N/A</v>
      </c>
      <c r="U476" s="56" t="e">
        <v>#REF!</v>
      </c>
      <c r="V476" s="57" t="e">
        <v>#REF!</v>
      </c>
      <c r="W476" s="58" t="e">
        <v>#N/A</v>
      </c>
      <c r="X476" s="56" t="e">
        <v>#N/A</v>
      </c>
    </row>
    <row r="477" spans="20:24" ht="12.9">
      <c r="T477" s="56" t="e">
        <v>#N/A</v>
      </c>
      <c r="U477" s="56" t="e">
        <v>#REF!</v>
      </c>
      <c r="V477" s="57" t="e">
        <v>#REF!</v>
      </c>
      <c r="W477" s="58" t="e">
        <v>#N/A</v>
      </c>
      <c r="X477" s="56" t="e">
        <v>#N/A</v>
      </c>
    </row>
    <row r="478" spans="20:24" ht="12.9">
      <c r="T478" s="56" t="e">
        <v>#N/A</v>
      </c>
      <c r="U478" s="56" t="e">
        <v>#REF!</v>
      </c>
      <c r="V478" s="57" t="e">
        <v>#REF!</v>
      </c>
      <c r="W478" s="58" t="e">
        <v>#N/A</v>
      </c>
      <c r="X478" s="56" t="e">
        <v>#N/A</v>
      </c>
    </row>
    <row r="479" spans="20:24" ht="12.9">
      <c r="T479" s="56" t="e">
        <v>#N/A</v>
      </c>
      <c r="U479" s="56" t="e">
        <v>#REF!</v>
      </c>
      <c r="V479" s="57" t="e">
        <v>#REF!</v>
      </c>
      <c r="W479" s="58" t="e">
        <v>#N/A</v>
      </c>
      <c r="X479" s="56" t="e">
        <v>#N/A</v>
      </c>
    </row>
    <row r="480" spans="20:24" ht="12.9">
      <c r="T480" s="56" t="e">
        <v>#N/A</v>
      </c>
      <c r="U480" s="56" t="e">
        <v>#REF!</v>
      </c>
      <c r="V480" s="57" t="e">
        <v>#REF!</v>
      </c>
      <c r="W480" s="58" t="e">
        <v>#N/A</v>
      </c>
      <c r="X480" s="56" t="e">
        <v>#N/A</v>
      </c>
    </row>
    <row r="481" spans="20:24" ht="12.9">
      <c r="T481" s="56" t="e">
        <v>#N/A</v>
      </c>
      <c r="U481" s="56" t="e">
        <v>#REF!</v>
      </c>
      <c r="V481" s="57" t="e">
        <v>#REF!</v>
      </c>
      <c r="W481" s="58" t="e">
        <v>#N/A</v>
      </c>
      <c r="X481" s="56" t="e">
        <v>#N/A</v>
      </c>
    </row>
    <row r="482" spans="20:24" ht="12.9">
      <c r="T482" s="56" t="e">
        <v>#N/A</v>
      </c>
      <c r="U482" s="56" t="e">
        <v>#REF!</v>
      </c>
      <c r="V482" s="57" t="e">
        <v>#REF!</v>
      </c>
      <c r="W482" s="58" t="e">
        <v>#N/A</v>
      </c>
      <c r="X482" s="56" t="e">
        <v>#N/A</v>
      </c>
    </row>
    <row r="483" spans="20:24" ht="12.9">
      <c r="T483" s="56" t="e">
        <v>#N/A</v>
      </c>
      <c r="U483" s="56" t="e">
        <v>#REF!</v>
      </c>
      <c r="V483" s="57" t="e">
        <v>#REF!</v>
      </c>
      <c r="W483" s="58" t="e">
        <v>#N/A</v>
      </c>
      <c r="X483" s="56" t="e">
        <v>#N/A</v>
      </c>
    </row>
    <row r="484" spans="20:24" ht="12.9">
      <c r="T484" s="56" t="e">
        <v>#N/A</v>
      </c>
      <c r="U484" s="56" t="e">
        <v>#REF!</v>
      </c>
      <c r="V484" s="57" t="e">
        <v>#REF!</v>
      </c>
      <c r="W484" s="58" t="e">
        <v>#N/A</v>
      </c>
      <c r="X484" s="56" t="e">
        <v>#N/A</v>
      </c>
    </row>
    <row r="485" spans="20:24" ht="12.9">
      <c r="T485" s="56" t="e">
        <v>#N/A</v>
      </c>
      <c r="U485" s="56" t="e">
        <v>#REF!</v>
      </c>
      <c r="V485" s="57" t="e">
        <v>#REF!</v>
      </c>
      <c r="W485" s="58" t="e">
        <v>#N/A</v>
      </c>
      <c r="X485" s="56" t="e">
        <v>#N/A</v>
      </c>
    </row>
    <row r="486" spans="20:24" ht="12.9">
      <c r="T486" s="56" t="e">
        <v>#N/A</v>
      </c>
      <c r="U486" s="56" t="e">
        <v>#REF!</v>
      </c>
      <c r="V486" s="57" t="e">
        <v>#REF!</v>
      </c>
      <c r="W486" s="58" t="e">
        <v>#N/A</v>
      </c>
      <c r="X486" s="56" t="e">
        <v>#N/A</v>
      </c>
    </row>
    <row r="487" spans="20:24" ht="12.9">
      <c r="T487" s="56" t="e">
        <v>#N/A</v>
      </c>
      <c r="U487" s="56" t="e">
        <v>#REF!</v>
      </c>
      <c r="V487" s="57" t="e">
        <v>#REF!</v>
      </c>
      <c r="W487" s="58" t="e">
        <v>#N/A</v>
      </c>
      <c r="X487" s="56" t="e">
        <v>#N/A</v>
      </c>
    </row>
    <row r="488" spans="20:24" ht="12.9">
      <c r="T488" s="56" t="e">
        <v>#N/A</v>
      </c>
      <c r="U488" s="56" t="e">
        <v>#REF!</v>
      </c>
      <c r="V488" s="57" t="e">
        <v>#REF!</v>
      </c>
      <c r="W488" s="58" t="e">
        <v>#N/A</v>
      </c>
      <c r="X488" s="56" t="e">
        <v>#N/A</v>
      </c>
    </row>
    <row r="489" spans="20:24" ht="12.9">
      <c r="T489" s="56" t="e">
        <v>#N/A</v>
      </c>
      <c r="U489" s="56" t="e">
        <v>#REF!</v>
      </c>
      <c r="V489" s="57" t="e">
        <v>#REF!</v>
      </c>
      <c r="W489" s="58" t="e">
        <v>#N/A</v>
      </c>
      <c r="X489" s="56" t="e">
        <v>#N/A</v>
      </c>
    </row>
    <row r="490" spans="20:24" ht="12.9">
      <c r="T490" s="56" t="e">
        <v>#N/A</v>
      </c>
      <c r="U490" s="56" t="e">
        <v>#REF!</v>
      </c>
      <c r="V490" s="57" t="e">
        <v>#REF!</v>
      </c>
      <c r="W490" s="58" t="e">
        <v>#N/A</v>
      </c>
      <c r="X490" s="56" t="e">
        <v>#N/A</v>
      </c>
    </row>
    <row r="491" spans="20:24" ht="12.9">
      <c r="T491" s="56" t="e">
        <v>#N/A</v>
      </c>
      <c r="U491" s="56" t="e">
        <v>#REF!</v>
      </c>
      <c r="V491" s="57" t="e">
        <v>#REF!</v>
      </c>
      <c r="W491" s="58" t="e">
        <v>#N/A</v>
      </c>
      <c r="X491" s="56" t="e">
        <v>#N/A</v>
      </c>
    </row>
    <row r="492" spans="20:24" ht="12.9">
      <c r="T492" s="56" t="e">
        <v>#N/A</v>
      </c>
      <c r="U492" s="56" t="e">
        <v>#REF!</v>
      </c>
      <c r="V492" s="57" t="e">
        <v>#REF!</v>
      </c>
      <c r="W492" s="58" t="e">
        <v>#N/A</v>
      </c>
      <c r="X492" s="56" t="e">
        <v>#N/A</v>
      </c>
    </row>
    <row r="493" spans="20:24" ht="12.9">
      <c r="T493" s="56" t="e">
        <v>#N/A</v>
      </c>
      <c r="U493" s="56" t="e">
        <v>#REF!</v>
      </c>
      <c r="V493" s="57" t="e">
        <v>#REF!</v>
      </c>
      <c r="W493" s="58" t="e">
        <v>#N/A</v>
      </c>
      <c r="X493" s="56" t="e">
        <v>#N/A</v>
      </c>
    </row>
    <row r="494" spans="20:24" ht="12.9">
      <c r="T494" s="56" t="e">
        <v>#N/A</v>
      </c>
      <c r="U494" s="56" t="e">
        <v>#REF!</v>
      </c>
      <c r="V494" s="57" t="e">
        <v>#REF!</v>
      </c>
      <c r="W494" s="58" t="e">
        <v>#N/A</v>
      </c>
      <c r="X494" s="56" t="e">
        <v>#N/A</v>
      </c>
    </row>
    <row r="495" spans="20:24" ht="12.9">
      <c r="T495" s="56" t="e">
        <v>#N/A</v>
      </c>
      <c r="U495" s="56" t="e">
        <v>#REF!</v>
      </c>
      <c r="V495" s="57" t="e">
        <v>#REF!</v>
      </c>
      <c r="W495" s="58" t="e">
        <v>#N/A</v>
      </c>
      <c r="X495" s="56" t="e">
        <v>#N/A</v>
      </c>
    </row>
    <row r="496" spans="20:24" ht="12.9">
      <c r="T496" s="56" t="e">
        <v>#N/A</v>
      </c>
      <c r="U496" s="56" t="e">
        <v>#REF!</v>
      </c>
      <c r="V496" s="57" t="e">
        <v>#REF!</v>
      </c>
      <c r="W496" s="58" t="e">
        <v>#N/A</v>
      </c>
      <c r="X496" s="56" t="e">
        <v>#N/A</v>
      </c>
    </row>
    <row r="497" spans="20:24" ht="12.9">
      <c r="T497" s="56" t="e">
        <v>#N/A</v>
      </c>
      <c r="U497" s="56" t="e">
        <v>#REF!</v>
      </c>
      <c r="V497" s="57" t="e">
        <v>#REF!</v>
      </c>
      <c r="W497" s="58" t="e">
        <v>#N/A</v>
      </c>
      <c r="X497" s="56" t="e">
        <v>#N/A</v>
      </c>
    </row>
    <row r="498" spans="20:24" ht="12.9">
      <c r="T498" s="56" t="e">
        <v>#N/A</v>
      </c>
      <c r="U498" s="56" t="e">
        <v>#REF!</v>
      </c>
      <c r="V498" s="57" t="e">
        <v>#REF!</v>
      </c>
      <c r="W498" s="58" t="e">
        <v>#N/A</v>
      </c>
      <c r="X498" s="56" t="e">
        <v>#N/A</v>
      </c>
    </row>
    <row r="499" spans="20:24" ht="12.9">
      <c r="T499" s="56" t="e">
        <v>#N/A</v>
      </c>
      <c r="U499" s="56" t="e">
        <v>#REF!</v>
      </c>
      <c r="V499" s="57" t="e">
        <v>#REF!</v>
      </c>
      <c r="W499" s="58" t="e">
        <v>#N/A</v>
      </c>
      <c r="X499" s="56" t="e">
        <v>#N/A</v>
      </c>
    </row>
    <row r="500" spans="20:24" ht="12.9">
      <c r="T500" s="56" t="e">
        <v>#N/A</v>
      </c>
      <c r="U500" s="56" t="e">
        <v>#REF!</v>
      </c>
      <c r="V500" s="57" t="e">
        <v>#REF!</v>
      </c>
      <c r="W500" s="58" t="e">
        <v>#N/A</v>
      </c>
      <c r="X500" s="56" t="e">
        <v>#N/A</v>
      </c>
    </row>
    <row r="501" spans="20:24" ht="12.9">
      <c r="T501" s="56" t="e">
        <v>#N/A</v>
      </c>
      <c r="U501" s="56" t="e">
        <v>#REF!</v>
      </c>
      <c r="V501" s="57" t="e">
        <v>#REF!</v>
      </c>
      <c r="W501" s="58" t="e">
        <v>#N/A</v>
      </c>
      <c r="X501" s="56" t="e">
        <v>#N/A</v>
      </c>
    </row>
    <row r="502" spans="20:24" ht="12.9">
      <c r="T502" s="56" t="e">
        <v>#N/A</v>
      </c>
      <c r="U502" s="56" t="e">
        <v>#REF!</v>
      </c>
      <c r="V502" s="57" t="e">
        <v>#REF!</v>
      </c>
      <c r="W502" s="58" t="e">
        <v>#N/A</v>
      </c>
      <c r="X502" s="56" t="e">
        <v>#N/A</v>
      </c>
    </row>
    <row r="503" spans="20:24" ht="12.9">
      <c r="T503" s="56" t="e">
        <v>#N/A</v>
      </c>
      <c r="U503" s="56" t="e">
        <v>#REF!</v>
      </c>
      <c r="V503" s="57" t="e">
        <v>#REF!</v>
      </c>
      <c r="W503" s="58" t="e">
        <v>#N/A</v>
      </c>
      <c r="X503" s="56" t="e">
        <v>#N/A</v>
      </c>
    </row>
    <row r="504" spans="20:24" ht="12.9">
      <c r="T504" s="56" t="e">
        <v>#N/A</v>
      </c>
      <c r="U504" s="56" t="e">
        <v>#REF!</v>
      </c>
      <c r="V504" s="57" t="e">
        <v>#REF!</v>
      </c>
      <c r="W504" s="58" t="e">
        <v>#N/A</v>
      </c>
      <c r="X504" s="56" t="e">
        <v>#N/A</v>
      </c>
    </row>
    <row r="505" spans="20:24" ht="12.9">
      <c r="T505" s="56" t="e">
        <v>#N/A</v>
      </c>
      <c r="U505" s="56" t="e">
        <v>#REF!</v>
      </c>
      <c r="V505" s="57" t="e">
        <v>#REF!</v>
      </c>
      <c r="W505" s="58" t="e">
        <v>#N/A</v>
      </c>
      <c r="X505" s="56" t="e">
        <v>#N/A</v>
      </c>
    </row>
    <row r="506" spans="20:24" ht="12.9">
      <c r="T506" s="56" t="e">
        <v>#N/A</v>
      </c>
      <c r="U506" s="56" t="e">
        <v>#REF!</v>
      </c>
      <c r="V506" s="57" t="e">
        <v>#REF!</v>
      </c>
      <c r="W506" s="58" t="e">
        <v>#N/A</v>
      </c>
      <c r="X506" s="56" t="e">
        <v>#N/A</v>
      </c>
    </row>
    <row r="507" spans="20:24" ht="12.9">
      <c r="T507" s="56" t="e">
        <v>#N/A</v>
      </c>
      <c r="U507" s="56" t="e">
        <v>#REF!</v>
      </c>
      <c r="V507" s="57" t="e">
        <v>#REF!</v>
      </c>
      <c r="W507" s="58" t="e">
        <v>#N/A</v>
      </c>
      <c r="X507" s="56" t="e">
        <v>#N/A</v>
      </c>
    </row>
    <row r="508" spans="20:24" ht="12.9">
      <c r="T508" s="56" t="e">
        <v>#N/A</v>
      </c>
      <c r="U508" s="56" t="e">
        <v>#REF!</v>
      </c>
      <c r="V508" s="57" t="e">
        <v>#REF!</v>
      </c>
      <c r="W508" s="58" t="e">
        <v>#N/A</v>
      </c>
      <c r="X508" s="56" t="e">
        <v>#N/A</v>
      </c>
    </row>
    <row r="509" spans="20:24" ht="12.9">
      <c r="T509" s="56" t="e">
        <v>#N/A</v>
      </c>
      <c r="U509" s="56" t="e">
        <v>#REF!</v>
      </c>
      <c r="V509" s="57" t="e">
        <v>#REF!</v>
      </c>
      <c r="W509" s="58" t="e">
        <v>#N/A</v>
      </c>
      <c r="X509" s="56" t="e">
        <v>#N/A</v>
      </c>
    </row>
    <row r="510" spans="20:24" ht="12.9">
      <c r="T510" s="56" t="e">
        <v>#N/A</v>
      </c>
      <c r="U510" s="56" t="e">
        <v>#REF!</v>
      </c>
      <c r="V510" s="57" t="e">
        <v>#REF!</v>
      </c>
      <c r="W510" s="58" t="e">
        <v>#N/A</v>
      </c>
      <c r="X510" s="56" t="e">
        <v>#N/A</v>
      </c>
    </row>
    <row r="511" spans="20:24" ht="12.9">
      <c r="T511" s="56" t="e">
        <v>#N/A</v>
      </c>
      <c r="U511" s="56" t="e">
        <v>#REF!</v>
      </c>
      <c r="V511" s="57" t="e">
        <v>#REF!</v>
      </c>
      <c r="W511" s="58" t="e">
        <v>#N/A</v>
      </c>
      <c r="X511" s="56" t="e">
        <v>#N/A</v>
      </c>
    </row>
    <row r="512" spans="20:24" ht="12.9">
      <c r="T512" s="56" t="e">
        <v>#N/A</v>
      </c>
      <c r="U512" s="56" t="e">
        <v>#REF!</v>
      </c>
      <c r="V512" s="57" t="e">
        <v>#REF!</v>
      </c>
      <c r="W512" s="58" t="e">
        <v>#N/A</v>
      </c>
      <c r="X512" s="56" t="e">
        <v>#N/A</v>
      </c>
    </row>
    <row r="513" spans="20:24" ht="12.9">
      <c r="T513" s="56" t="e">
        <v>#N/A</v>
      </c>
      <c r="U513" s="56" t="e">
        <v>#REF!</v>
      </c>
      <c r="V513" s="57" t="e">
        <v>#REF!</v>
      </c>
      <c r="W513" s="58" t="e">
        <v>#N/A</v>
      </c>
      <c r="X513" s="56" t="e">
        <v>#N/A</v>
      </c>
    </row>
    <row r="514" spans="20:24" ht="12.9">
      <c r="T514" s="56" t="e">
        <v>#N/A</v>
      </c>
      <c r="U514" s="56" t="e">
        <v>#REF!</v>
      </c>
      <c r="V514" s="57" t="e">
        <v>#REF!</v>
      </c>
      <c r="W514" s="58" t="e">
        <v>#N/A</v>
      </c>
      <c r="X514" s="56" t="e">
        <v>#N/A</v>
      </c>
    </row>
    <row r="515" spans="20:24" ht="12.9">
      <c r="T515" s="56" t="e">
        <v>#N/A</v>
      </c>
      <c r="U515" s="56" t="e">
        <v>#REF!</v>
      </c>
      <c r="V515" s="57" t="e">
        <v>#REF!</v>
      </c>
      <c r="W515" s="58" t="e">
        <v>#N/A</v>
      </c>
      <c r="X515" s="56" t="e">
        <v>#N/A</v>
      </c>
    </row>
    <row r="516" spans="20:24" ht="12.9">
      <c r="T516" s="56" t="e">
        <v>#N/A</v>
      </c>
      <c r="U516" s="56" t="e">
        <v>#REF!</v>
      </c>
      <c r="V516" s="57" t="e">
        <v>#REF!</v>
      </c>
      <c r="W516" s="58" t="e">
        <v>#N/A</v>
      </c>
      <c r="X516" s="56" t="e">
        <v>#N/A</v>
      </c>
    </row>
    <row r="517" spans="20:24" ht="12.9">
      <c r="T517" s="56" t="e">
        <v>#N/A</v>
      </c>
      <c r="U517" s="56" t="e">
        <v>#REF!</v>
      </c>
      <c r="V517" s="57" t="e">
        <v>#REF!</v>
      </c>
      <c r="W517" s="58" t="e">
        <v>#N/A</v>
      </c>
      <c r="X517" s="56" t="e">
        <v>#N/A</v>
      </c>
    </row>
    <row r="518" spans="20:24" ht="12.9">
      <c r="T518" s="56" t="e">
        <v>#N/A</v>
      </c>
      <c r="U518" s="56" t="e">
        <v>#REF!</v>
      </c>
      <c r="V518" s="57" t="e">
        <v>#REF!</v>
      </c>
      <c r="W518" s="58" t="e">
        <v>#N/A</v>
      </c>
      <c r="X518" s="56" t="e">
        <v>#N/A</v>
      </c>
    </row>
    <row r="519" spans="20:24" ht="12.9">
      <c r="T519" s="56" t="e">
        <v>#N/A</v>
      </c>
      <c r="U519" s="56" t="e">
        <v>#REF!</v>
      </c>
      <c r="V519" s="57" t="e">
        <v>#REF!</v>
      </c>
      <c r="W519" s="58" t="e">
        <v>#N/A</v>
      </c>
      <c r="X519" s="56" t="e">
        <v>#N/A</v>
      </c>
    </row>
    <row r="520" spans="20:24" ht="12.9">
      <c r="T520" s="56" t="e">
        <v>#N/A</v>
      </c>
      <c r="U520" s="56" t="e">
        <v>#REF!</v>
      </c>
      <c r="V520" s="57" t="e">
        <v>#REF!</v>
      </c>
      <c r="W520" s="58" t="e">
        <v>#N/A</v>
      </c>
      <c r="X520" s="56" t="e">
        <v>#N/A</v>
      </c>
    </row>
    <row r="521" spans="20:24" ht="12.9">
      <c r="T521" s="56" t="e">
        <v>#N/A</v>
      </c>
      <c r="U521" s="56" t="e">
        <v>#REF!</v>
      </c>
      <c r="V521" s="57" t="e">
        <v>#REF!</v>
      </c>
      <c r="W521" s="58" t="e">
        <v>#N/A</v>
      </c>
      <c r="X521" s="56" t="e">
        <v>#N/A</v>
      </c>
    </row>
    <row r="522" spans="20:24" ht="12.9">
      <c r="T522" s="56" t="e">
        <v>#N/A</v>
      </c>
      <c r="U522" s="56" t="e">
        <v>#REF!</v>
      </c>
      <c r="V522" s="57" t="e">
        <v>#REF!</v>
      </c>
      <c r="W522" s="58" t="e">
        <v>#N/A</v>
      </c>
      <c r="X522" s="56" t="e">
        <v>#N/A</v>
      </c>
    </row>
    <row r="523" spans="20:24" ht="12.9">
      <c r="T523" s="56" t="e">
        <v>#N/A</v>
      </c>
      <c r="U523" s="56" t="e">
        <v>#REF!</v>
      </c>
      <c r="V523" s="57" t="e">
        <v>#REF!</v>
      </c>
      <c r="W523" s="58" t="e">
        <v>#N/A</v>
      </c>
      <c r="X523" s="56" t="e">
        <v>#N/A</v>
      </c>
    </row>
    <row r="524" spans="20:24" ht="12.9">
      <c r="T524" s="56" t="e">
        <v>#N/A</v>
      </c>
      <c r="U524" s="56" t="e">
        <v>#REF!</v>
      </c>
      <c r="V524" s="57" t="e">
        <v>#REF!</v>
      </c>
      <c r="W524" s="58" t="e">
        <v>#N/A</v>
      </c>
      <c r="X524" s="56" t="e">
        <v>#N/A</v>
      </c>
    </row>
    <row r="525" spans="20:24" ht="12.9">
      <c r="T525" s="56" t="e">
        <v>#N/A</v>
      </c>
      <c r="U525" s="56" t="e">
        <v>#REF!</v>
      </c>
      <c r="V525" s="57" t="e">
        <v>#REF!</v>
      </c>
      <c r="W525" s="58" t="e">
        <v>#N/A</v>
      </c>
      <c r="X525" s="56" t="e">
        <v>#N/A</v>
      </c>
    </row>
    <row r="526" spans="20:24" ht="12.9">
      <c r="T526" s="56" t="e">
        <v>#N/A</v>
      </c>
      <c r="U526" s="56" t="e">
        <v>#REF!</v>
      </c>
      <c r="V526" s="57" t="e">
        <v>#REF!</v>
      </c>
      <c r="W526" s="58" t="e">
        <v>#N/A</v>
      </c>
      <c r="X526" s="56" t="e">
        <v>#N/A</v>
      </c>
    </row>
    <row r="527" spans="20:24" ht="12.9">
      <c r="T527" s="56" t="e">
        <v>#N/A</v>
      </c>
      <c r="U527" s="56" t="e">
        <v>#REF!</v>
      </c>
      <c r="V527" s="57" t="e">
        <v>#REF!</v>
      </c>
      <c r="W527" s="58" t="e">
        <v>#N/A</v>
      </c>
      <c r="X527" s="56" t="e">
        <v>#N/A</v>
      </c>
    </row>
    <row r="528" spans="20:24" ht="12.9">
      <c r="T528" s="56" t="e">
        <v>#N/A</v>
      </c>
      <c r="U528" s="56" t="e">
        <v>#REF!</v>
      </c>
      <c r="V528" s="57" t="e">
        <v>#REF!</v>
      </c>
      <c r="W528" s="58" t="e">
        <v>#N/A</v>
      </c>
      <c r="X528" s="56" t="e">
        <v>#N/A</v>
      </c>
    </row>
    <row r="529" spans="20:24" ht="12.9">
      <c r="T529" s="56" t="e">
        <v>#N/A</v>
      </c>
      <c r="U529" s="56" t="e">
        <v>#REF!</v>
      </c>
      <c r="V529" s="57" t="e">
        <v>#REF!</v>
      </c>
      <c r="W529" s="58" t="e">
        <v>#N/A</v>
      </c>
      <c r="X529" s="56" t="e">
        <v>#N/A</v>
      </c>
    </row>
    <row r="530" spans="20:24" ht="12.9">
      <c r="T530" s="56" t="e">
        <v>#N/A</v>
      </c>
      <c r="U530" s="56" t="e">
        <v>#REF!</v>
      </c>
      <c r="V530" s="57" t="e">
        <v>#REF!</v>
      </c>
      <c r="W530" s="58" t="e">
        <v>#N/A</v>
      </c>
      <c r="X530" s="56" t="e">
        <v>#N/A</v>
      </c>
    </row>
    <row r="531" spans="20:24" ht="12.9">
      <c r="T531" s="56" t="e">
        <v>#N/A</v>
      </c>
      <c r="U531" s="56" t="e">
        <v>#REF!</v>
      </c>
      <c r="V531" s="57" t="e">
        <v>#REF!</v>
      </c>
      <c r="W531" s="58" t="e">
        <v>#N/A</v>
      </c>
      <c r="X531" s="56" t="e">
        <v>#N/A</v>
      </c>
    </row>
    <row r="532" spans="20:24" ht="12.9">
      <c r="T532" s="56" t="e">
        <v>#N/A</v>
      </c>
      <c r="U532" s="56" t="e">
        <v>#REF!</v>
      </c>
      <c r="V532" s="57" t="e">
        <v>#REF!</v>
      </c>
      <c r="W532" s="58" t="e">
        <v>#N/A</v>
      </c>
      <c r="X532" s="56" t="e">
        <v>#N/A</v>
      </c>
    </row>
    <row r="533" spans="20:24" ht="12.9">
      <c r="T533" s="56" t="e">
        <v>#N/A</v>
      </c>
      <c r="U533" s="56" t="e">
        <v>#REF!</v>
      </c>
      <c r="V533" s="57" t="e">
        <v>#REF!</v>
      </c>
      <c r="W533" s="58" t="e">
        <v>#N/A</v>
      </c>
      <c r="X533" s="56" t="e">
        <v>#N/A</v>
      </c>
    </row>
    <row r="534" spans="20:24" ht="12.9">
      <c r="T534" s="56" t="e">
        <v>#N/A</v>
      </c>
      <c r="U534" s="56" t="e">
        <v>#REF!</v>
      </c>
      <c r="V534" s="57" t="e">
        <v>#REF!</v>
      </c>
      <c r="W534" s="58" t="e">
        <v>#N/A</v>
      </c>
      <c r="X534" s="56" t="e">
        <v>#N/A</v>
      </c>
    </row>
    <row r="535" spans="20:24" ht="12.9">
      <c r="T535" s="56" t="e">
        <v>#N/A</v>
      </c>
      <c r="U535" s="56" t="e">
        <v>#REF!</v>
      </c>
      <c r="V535" s="57" t="e">
        <v>#REF!</v>
      </c>
      <c r="W535" s="58" t="e">
        <v>#N/A</v>
      </c>
      <c r="X535" s="56" t="e">
        <v>#N/A</v>
      </c>
    </row>
    <row r="536" spans="20:24" ht="12.9">
      <c r="T536" s="56" t="e">
        <v>#N/A</v>
      </c>
      <c r="U536" s="56" t="e">
        <v>#REF!</v>
      </c>
      <c r="V536" s="57" t="e">
        <v>#REF!</v>
      </c>
      <c r="W536" s="58" t="e">
        <v>#N/A</v>
      </c>
      <c r="X536" s="56" t="e">
        <v>#N/A</v>
      </c>
    </row>
    <row r="537" spans="20:24" ht="12.9">
      <c r="T537" s="56" t="e">
        <v>#N/A</v>
      </c>
      <c r="U537" s="56" t="e">
        <v>#REF!</v>
      </c>
      <c r="V537" s="57" t="e">
        <v>#REF!</v>
      </c>
      <c r="W537" s="58" t="e">
        <v>#N/A</v>
      </c>
      <c r="X537" s="56" t="e">
        <v>#N/A</v>
      </c>
    </row>
    <row r="538" spans="20:24" ht="12.9">
      <c r="T538" s="56" t="e">
        <v>#N/A</v>
      </c>
      <c r="U538" s="56" t="e">
        <v>#REF!</v>
      </c>
      <c r="V538" s="57" t="e">
        <v>#REF!</v>
      </c>
      <c r="W538" s="58" t="e">
        <v>#N/A</v>
      </c>
      <c r="X538" s="56" t="e">
        <v>#N/A</v>
      </c>
    </row>
    <row r="539" spans="20:24" ht="12.9">
      <c r="T539" s="56" t="e">
        <v>#N/A</v>
      </c>
      <c r="U539" s="56" t="e">
        <v>#REF!</v>
      </c>
      <c r="V539" s="57" t="e">
        <v>#REF!</v>
      </c>
      <c r="W539" s="58" t="e">
        <v>#N/A</v>
      </c>
      <c r="X539" s="56" t="e">
        <v>#N/A</v>
      </c>
    </row>
    <row r="540" spans="20:24" ht="12.9">
      <c r="T540" s="56" t="e">
        <v>#N/A</v>
      </c>
      <c r="U540" s="56" t="e">
        <v>#REF!</v>
      </c>
      <c r="V540" s="57" t="e">
        <v>#REF!</v>
      </c>
      <c r="W540" s="58" t="e">
        <v>#N/A</v>
      </c>
      <c r="X540" s="56" t="e">
        <v>#N/A</v>
      </c>
    </row>
    <row r="541" spans="20:24" ht="12.9">
      <c r="T541" s="56" t="e">
        <v>#N/A</v>
      </c>
      <c r="U541" s="56" t="e">
        <v>#REF!</v>
      </c>
      <c r="V541" s="57" t="e">
        <v>#REF!</v>
      </c>
      <c r="W541" s="58" t="e">
        <v>#N/A</v>
      </c>
      <c r="X541" s="56" t="e">
        <v>#N/A</v>
      </c>
    </row>
    <row r="542" spans="20:24" ht="12.9">
      <c r="T542" s="56" t="e">
        <v>#N/A</v>
      </c>
      <c r="U542" s="56" t="e">
        <v>#REF!</v>
      </c>
      <c r="V542" s="57" t="e">
        <v>#REF!</v>
      </c>
      <c r="W542" s="58" t="e">
        <v>#N/A</v>
      </c>
      <c r="X542" s="56" t="e">
        <v>#N/A</v>
      </c>
    </row>
    <row r="543" spans="20:24" ht="12.9">
      <c r="T543" s="56" t="e">
        <v>#N/A</v>
      </c>
      <c r="U543" s="56" t="e">
        <v>#REF!</v>
      </c>
      <c r="V543" s="57" t="e">
        <v>#REF!</v>
      </c>
      <c r="W543" s="58" t="e">
        <v>#N/A</v>
      </c>
      <c r="X543" s="56" t="e">
        <v>#N/A</v>
      </c>
    </row>
    <row r="544" spans="20:24" ht="12.9">
      <c r="T544" s="56" t="e">
        <v>#N/A</v>
      </c>
      <c r="U544" s="56" t="e">
        <v>#REF!</v>
      </c>
      <c r="V544" s="57" t="e">
        <v>#REF!</v>
      </c>
      <c r="W544" s="58" t="e">
        <v>#N/A</v>
      </c>
      <c r="X544" s="56" t="e">
        <v>#N/A</v>
      </c>
    </row>
    <row r="545" spans="20:24" ht="12.9">
      <c r="T545" s="56" t="e">
        <v>#N/A</v>
      </c>
      <c r="U545" s="56" t="e">
        <v>#REF!</v>
      </c>
      <c r="V545" s="57" t="e">
        <v>#REF!</v>
      </c>
      <c r="W545" s="58" t="e">
        <v>#N/A</v>
      </c>
      <c r="X545" s="56" t="e">
        <v>#N/A</v>
      </c>
    </row>
    <row r="546" spans="20:24" ht="12.9">
      <c r="T546" s="56" t="e">
        <v>#N/A</v>
      </c>
      <c r="U546" s="56" t="e">
        <v>#REF!</v>
      </c>
      <c r="V546" s="57" t="e">
        <v>#REF!</v>
      </c>
      <c r="W546" s="58" t="e">
        <v>#N/A</v>
      </c>
      <c r="X546" s="56" t="e">
        <v>#N/A</v>
      </c>
    </row>
    <row r="547" spans="20:24" ht="12.9">
      <c r="T547" s="56" t="e">
        <v>#N/A</v>
      </c>
      <c r="U547" s="56" t="e">
        <v>#REF!</v>
      </c>
      <c r="V547" s="57" t="e">
        <v>#REF!</v>
      </c>
      <c r="W547" s="58" t="e">
        <v>#N/A</v>
      </c>
      <c r="X547" s="56" t="e">
        <v>#N/A</v>
      </c>
    </row>
    <row r="548" spans="20:24" ht="12.9">
      <c r="T548" s="56" t="e">
        <v>#N/A</v>
      </c>
      <c r="U548" s="56" t="e">
        <v>#REF!</v>
      </c>
      <c r="V548" s="57" t="e">
        <v>#REF!</v>
      </c>
      <c r="W548" s="58" t="e">
        <v>#N/A</v>
      </c>
      <c r="X548" s="56" t="e">
        <v>#N/A</v>
      </c>
    </row>
    <row r="549" spans="20:24" ht="12.9">
      <c r="T549" s="56" t="e">
        <v>#N/A</v>
      </c>
      <c r="U549" s="56" t="e">
        <v>#REF!</v>
      </c>
      <c r="V549" s="57" t="e">
        <v>#REF!</v>
      </c>
      <c r="W549" s="58" t="e">
        <v>#N/A</v>
      </c>
      <c r="X549" s="56" t="e">
        <v>#N/A</v>
      </c>
    </row>
    <row r="550" spans="20:24" ht="12.9">
      <c r="T550" s="56" t="e">
        <v>#N/A</v>
      </c>
      <c r="U550" s="56" t="e">
        <v>#REF!</v>
      </c>
      <c r="V550" s="57" t="e">
        <v>#REF!</v>
      </c>
      <c r="W550" s="58" t="e">
        <v>#N/A</v>
      </c>
      <c r="X550" s="56" t="e">
        <v>#N/A</v>
      </c>
    </row>
    <row r="551" spans="20:24" ht="12.9">
      <c r="T551" s="56" t="e">
        <v>#N/A</v>
      </c>
      <c r="U551" s="56" t="e">
        <v>#REF!</v>
      </c>
      <c r="V551" s="57" t="e">
        <v>#REF!</v>
      </c>
      <c r="W551" s="58" t="e">
        <v>#N/A</v>
      </c>
      <c r="X551" s="56" t="e">
        <v>#N/A</v>
      </c>
    </row>
    <row r="552" spans="20:24" ht="12.9">
      <c r="T552" s="56" t="e">
        <v>#N/A</v>
      </c>
      <c r="U552" s="56" t="e">
        <v>#REF!</v>
      </c>
      <c r="V552" s="57" t="e">
        <v>#REF!</v>
      </c>
      <c r="W552" s="58" t="e">
        <v>#N/A</v>
      </c>
      <c r="X552" s="56" t="e">
        <v>#N/A</v>
      </c>
    </row>
    <row r="553" spans="20:24" ht="12.9">
      <c r="T553" s="56" t="e">
        <v>#N/A</v>
      </c>
      <c r="U553" s="56" t="e">
        <v>#REF!</v>
      </c>
      <c r="V553" s="57" t="e">
        <v>#REF!</v>
      </c>
      <c r="W553" s="58" t="e">
        <v>#N/A</v>
      </c>
      <c r="X553" s="56" t="e">
        <v>#N/A</v>
      </c>
    </row>
    <row r="554" spans="20:24" ht="12.9">
      <c r="T554" s="56" t="e">
        <v>#N/A</v>
      </c>
      <c r="U554" s="56" t="e">
        <v>#REF!</v>
      </c>
      <c r="V554" s="57" t="e">
        <v>#REF!</v>
      </c>
      <c r="W554" s="58" t="e">
        <v>#N/A</v>
      </c>
      <c r="X554" s="56" t="e">
        <v>#N/A</v>
      </c>
    </row>
    <row r="555" spans="20:24" ht="12.9">
      <c r="T555" s="56" t="e">
        <v>#N/A</v>
      </c>
      <c r="U555" s="56" t="e">
        <v>#REF!</v>
      </c>
      <c r="V555" s="57" t="e">
        <v>#REF!</v>
      </c>
      <c r="W555" s="58" t="e">
        <v>#N/A</v>
      </c>
      <c r="X555" s="56" t="e">
        <v>#N/A</v>
      </c>
    </row>
    <row r="556" spans="20:24" ht="12.9">
      <c r="T556" s="56" t="e">
        <v>#N/A</v>
      </c>
      <c r="U556" s="56" t="e">
        <v>#REF!</v>
      </c>
      <c r="V556" s="57" t="e">
        <v>#REF!</v>
      </c>
      <c r="W556" s="58" t="e">
        <v>#N/A</v>
      </c>
      <c r="X556" s="56" t="e">
        <v>#N/A</v>
      </c>
    </row>
    <row r="557" spans="20:24" ht="12.9">
      <c r="T557" s="56" t="e">
        <v>#N/A</v>
      </c>
      <c r="U557" s="56" t="e">
        <v>#REF!</v>
      </c>
      <c r="V557" s="57" t="e">
        <v>#REF!</v>
      </c>
      <c r="W557" s="58" t="e">
        <v>#N/A</v>
      </c>
      <c r="X557" s="56" t="e">
        <v>#N/A</v>
      </c>
    </row>
    <row r="558" spans="20:24" ht="12.9">
      <c r="T558" s="56" t="e">
        <v>#N/A</v>
      </c>
      <c r="U558" s="56" t="e">
        <v>#REF!</v>
      </c>
      <c r="V558" s="57" t="e">
        <v>#REF!</v>
      </c>
      <c r="W558" s="58" t="e">
        <v>#N/A</v>
      </c>
      <c r="X558" s="56" t="e">
        <v>#N/A</v>
      </c>
    </row>
    <row r="559" spans="20:24" ht="12.9">
      <c r="T559" s="56" t="e">
        <v>#N/A</v>
      </c>
      <c r="U559" s="56" t="e">
        <v>#REF!</v>
      </c>
      <c r="V559" s="57" t="e">
        <v>#REF!</v>
      </c>
      <c r="W559" s="58" t="e">
        <v>#N/A</v>
      </c>
      <c r="X559" s="56" t="e">
        <v>#N/A</v>
      </c>
    </row>
    <row r="560" spans="20:24" ht="12.9">
      <c r="T560" s="56" t="e">
        <v>#N/A</v>
      </c>
      <c r="U560" s="56" t="e">
        <v>#REF!</v>
      </c>
      <c r="V560" s="57" t="e">
        <v>#REF!</v>
      </c>
      <c r="W560" s="58" t="e">
        <v>#N/A</v>
      </c>
      <c r="X560" s="56" t="e">
        <v>#N/A</v>
      </c>
    </row>
    <row r="561" spans="20:24" ht="12.9">
      <c r="T561" s="56" t="e">
        <v>#N/A</v>
      </c>
      <c r="U561" s="56" t="e">
        <v>#REF!</v>
      </c>
      <c r="V561" s="57" t="e">
        <v>#REF!</v>
      </c>
      <c r="W561" s="58" t="e">
        <v>#N/A</v>
      </c>
      <c r="X561" s="56" t="e">
        <v>#N/A</v>
      </c>
    </row>
    <row r="562" spans="20:24" ht="12.9">
      <c r="T562" s="56" t="e">
        <v>#N/A</v>
      </c>
      <c r="U562" s="56" t="e">
        <v>#REF!</v>
      </c>
      <c r="V562" s="57" t="e">
        <v>#REF!</v>
      </c>
      <c r="W562" s="58" t="e">
        <v>#N/A</v>
      </c>
      <c r="X562" s="56" t="e">
        <v>#N/A</v>
      </c>
    </row>
    <row r="563" spans="20:24" ht="12.9">
      <c r="T563" s="56" t="e">
        <v>#N/A</v>
      </c>
      <c r="U563" s="56" t="e">
        <v>#REF!</v>
      </c>
      <c r="V563" s="57" t="e">
        <v>#REF!</v>
      </c>
      <c r="W563" s="58" t="e">
        <v>#N/A</v>
      </c>
      <c r="X563" s="56" t="e">
        <v>#N/A</v>
      </c>
    </row>
    <row r="564" spans="20:24" ht="12.9">
      <c r="T564" s="56" t="e">
        <v>#N/A</v>
      </c>
      <c r="U564" s="56" t="e">
        <v>#REF!</v>
      </c>
      <c r="V564" s="57" t="e">
        <v>#REF!</v>
      </c>
      <c r="W564" s="58" t="e">
        <v>#N/A</v>
      </c>
      <c r="X564" s="56" t="e">
        <v>#N/A</v>
      </c>
    </row>
    <row r="565" spans="20:24" ht="12.9">
      <c r="T565" s="56" t="e">
        <v>#N/A</v>
      </c>
      <c r="U565" s="56" t="e">
        <v>#REF!</v>
      </c>
      <c r="V565" s="57" t="e">
        <v>#REF!</v>
      </c>
      <c r="W565" s="58" t="e">
        <v>#N/A</v>
      </c>
      <c r="X565" s="56" t="e">
        <v>#N/A</v>
      </c>
    </row>
    <row r="566" spans="20:24" ht="12.9">
      <c r="T566" s="56" t="e">
        <v>#N/A</v>
      </c>
      <c r="U566" s="56" t="e">
        <v>#REF!</v>
      </c>
      <c r="V566" s="57" t="e">
        <v>#REF!</v>
      </c>
      <c r="W566" s="58" t="e">
        <v>#N/A</v>
      </c>
      <c r="X566" s="56" t="e">
        <v>#N/A</v>
      </c>
    </row>
    <row r="567" spans="20:24" ht="12.9">
      <c r="T567" s="56" t="e">
        <v>#N/A</v>
      </c>
      <c r="U567" s="56" t="e">
        <v>#REF!</v>
      </c>
      <c r="V567" s="57" t="e">
        <v>#REF!</v>
      </c>
      <c r="W567" s="58" t="e">
        <v>#N/A</v>
      </c>
      <c r="X567" s="56" t="e">
        <v>#N/A</v>
      </c>
    </row>
    <row r="568" spans="20:24" ht="12.9">
      <c r="T568" s="56" t="e">
        <v>#N/A</v>
      </c>
      <c r="U568" s="56" t="e">
        <v>#REF!</v>
      </c>
      <c r="V568" s="57" t="e">
        <v>#REF!</v>
      </c>
      <c r="W568" s="58" t="e">
        <v>#N/A</v>
      </c>
      <c r="X568" s="56" t="e">
        <v>#N/A</v>
      </c>
    </row>
    <row r="569" spans="20:24" ht="12.9">
      <c r="T569" s="56" t="e">
        <v>#N/A</v>
      </c>
      <c r="U569" s="56" t="e">
        <v>#REF!</v>
      </c>
      <c r="V569" s="57" t="e">
        <v>#REF!</v>
      </c>
      <c r="W569" s="58" t="e">
        <v>#N/A</v>
      </c>
      <c r="X569" s="56" t="e">
        <v>#N/A</v>
      </c>
    </row>
    <row r="570" spans="20:24" ht="12.9">
      <c r="T570" s="56" t="e">
        <v>#N/A</v>
      </c>
      <c r="U570" s="56" t="e">
        <v>#REF!</v>
      </c>
      <c r="V570" s="57" t="e">
        <v>#REF!</v>
      </c>
      <c r="W570" s="58" t="e">
        <v>#N/A</v>
      </c>
      <c r="X570" s="56" t="e">
        <v>#N/A</v>
      </c>
    </row>
    <row r="571" spans="20:24" ht="12.9">
      <c r="T571" s="56" t="e">
        <v>#N/A</v>
      </c>
      <c r="U571" s="56" t="e">
        <v>#REF!</v>
      </c>
      <c r="V571" s="57" t="e">
        <v>#REF!</v>
      </c>
      <c r="W571" s="58" t="e">
        <v>#N/A</v>
      </c>
      <c r="X571" s="56" t="e">
        <v>#N/A</v>
      </c>
    </row>
    <row r="572" spans="20:24" ht="12.9">
      <c r="T572" s="56" t="e">
        <v>#N/A</v>
      </c>
      <c r="U572" s="56" t="e">
        <v>#REF!</v>
      </c>
      <c r="V572" s="57" t="e">
        <v>#REF!</v>
      </c>
      <c r="W572" s="58" t="e">
        <v>#N/A</v>
      </c>
      <c r="X572" s="56" t="e">
        <v>#N/A</v>
      </c>
    </row>
    <row r="573" spans="20:24" ht="12.9">
      <c r="T573" s="56" t="e">
        <v>#N/A</v>
      </c>
      <c r="U573" s="56" t="e">
        <v>#REF!</v>
      </c>
      <c r="V573" s="57" t="e">
        <v>#REF!</v>
      </c>
      <c r="W573" s="58" t="e">
        <v>#N/A</v>
      </c>
      <c r="X573" s="56" t="e">
        <v>#N/A</v>
      </c>
    </row>
    <row r="574" spans="20:24" ht="12.9">
      <c r="T574" s="56" t="e">
        <v>#N/A</v>
      </c>
      <c r="U574" s="56" t="e">
        <v>#REF!</v>
      </c>
      <c r="V574" s="57" t="e">
        <v>#REF!</v>
      </c>
      <c r="W574" s="58" t="e">
        <v>#N/A</v>
      </c>
      <c r="X574" s="56" t="e">
        <v>#N/A</v>
      </c>
    </row>
    <row r="575" spans="20:24" ht="12.9">
      <c r="T575" s="56" t="e">
        <v>#N/A</v>
      </c>
      <c r="U575" s="56" t="e">
        <v>#REF!</v>
      </c>
      <c r="V575" s="57" t="e">
        <v>#REF!</v>
      </c>
      <c r="W575" s="58" t="e">
        <v>#N/A</v>
      </c>
      <c r="X575" s="56" t="e">
        <v>#N/A</v>
      </c>
    </row>
    <row r="576" spans="20:24" ht="12.9">
      <c r="T576" s="56" t="e">
        <v>#N/A</v>
      </c>
      <c r="U576" s="56" t="e">
        <v>#REF!</v>
      </c>
      <c r="V576" s="57" t="e">
        <v>#REF!</v>
      </c>
      <c r="W576" s="58" t="e">
        <v>#N/A</v>
      </c>
      <c r="X576" s="56" t="e">
        <v>#N/A</v>
      </c>
    </row>
    <row r="577" spans="20:24" ht="12.9">
      <c r="T577" s="56" t="e">
        <v>#N/A</v>
      </c>
      <c r="U577" s="56" t="e">
        <v>#REF!</v>
      </c>
      <c r="V577" s="57" t="e">
        <v>#REF!</v>
      </c>
      <c r="W577" s="58" t="e">
        <v>#N/A</v>
      </c>
      <c r="X577" s="56" t="e">
        <v>#N/A</v>
      </c>
    </row>
    <row r="578" spans="20:24" ht="12.9">
      <c r="T578" s="56" t="e">
        <v>#N/A</v>
      </c>
      <c r="U578" s="56" t="e">
        <v>#REF!</v>
      </c>
      <c r="V578" s="57" t="e">
        <v>#REF!</v>
      </c>
      <c r="W578" s="58" t="e">
        <v>#N/A</v>
      </c>
      <c r="X578" s="56" t="e">
        <v>#N/A</v>
      </c>
    </row>
    <row r="579" spans="20:24" ht="12.9">
      <c r="T579" s="56" t="e">
        <v>#N/A</v>
      </c>
      <c r="U579" s="56" t="e">
        <v>#REF!</v>
      </c>
      <c r="V579" s="57" t="e">
        <v>#REF!</v>
      </c>
      <c r="W579" s="58" t="e">
        <v>#N/A</v>
      </c>
      <c r="X579" s="56" t="e">
        <v>#N/A</v>
      </c>
    </row>
    <row r="580" spans="20:24" ht="12.9">
      <c r="T580" s="56" t="e">
        <v>#N/A</v>
      </c>
      <c r="U580" s="56" t="e">
        <v>#REF!</v>
      </c>
      <c r="V580" s="57" t="e">
        <v>#REF!</v>
      </c>
      <c r="W580" s="58" t="e">
        <v>#N/A</v>
      </c>
      <c r="X580" s="56" t="e">
        <v>#N/A</v>
      </c>
    </row>
    <row r="581" spans="20:24" ht="12.9">
      <c r="T581" s="56" t="e">
        <v>#N/A</v>
      </c>
      <c r="U581" s="56" t="e">
        <v>#REF!</v>
      </c>
      <c r="V581" s="57" t="e">
        <v>#REF!</v>
      </c>
      <c r="W581" s="58" t="e">
        <v>#N/A</v>
      </c>
      <c r="X581" s="56" t="e">
        <v>#N/A</v>
      </c>
    </row>
    <row r="582" spans="20:24" ht="12.9">
      <c r="T582" s="56" t="e">
        <v>#N/A</v>
      </c>
      <c r="U582" s="56" t="e">
        <v>#REF!</v>
      </c>
      <c r="V582" s="57" t="e">
        <v>#REF!</v>
      </c>
      <c r="W582" s="58" t="e">
        <v>#N/A</v>
      </c>
      <c r="X582" s="56" t="e">
        <v>#N/A</v>
      </c>
    </row>
    <row r="583" spans="20:24" ht="12.9">
      <c r="T583" s="56" t="e">
        <v>#N/A</v>
      </c>
      <c r="U583" s="56" t="e">
        <v>#REF!</v>
      </c>
      <c r="V583" s="57" t="e">
        <v>#REF!</v>
      </c>
      <c r="W583" s="58" t="e">
        <v>#N/A</v>
      </c>
      <c r="X583" s="56" t="e">
        <v>#N/A</v>
      </c>
    </row>
    <row r="584" spans="20:24" ht="12.9">
      <c r="T584" s="56" t="e">
        <v>#N/A</v>
      </c>
      <c r="U584" s="56" t="e">
        <v>#REF!</v>
      </c>
      <c r="V584" s="57" t="e">
        <v>#REF!</v>
      </c>
      <c r="W584" s="58" t="e">
        <v>#N/A</v>
      </c>
      <c r="X584" s="56" t="e">
        <v>#N/A</v>
      </c>
    </row>
    <row r="585" spans="20:24" ht="12.9">
      <c r="T585" s="56" t="e">
        <v>#N/A</v>
      </c>
      <c r="U585" s="56" t="e">
        <v>#REF!</v>
      </c>
      <c r="V585" s="57" t="e">
        <v>#REF!</v>
      </c>
      <c r="W585" s="58" t="e">
        <v>#N/A</v>
      </c>
      <c r="X585" s="56" t="e">
        <v>#N/A</v>
      </c>
    </row>
    <row r="586" spans="20:24" ht="12.9">
      <c r="T586" s="56" t="e">
        <v>#N/A</v>
      </c>
      <c r="U586" s="56" t="e">
        <v>#REF!</v>
      </c>
      <c r="V586" s="57" t="e">
        <v>#REF!</v>
      </c>
      <c r="W586" s="58" t="e">
        <v>#N/A</v>
      </c>
      <c r="X586" s="56" t="e">
        <v>#N/A</v>
      </c>
    </row>
    <row r="587" spans="20:24" ht="12.9">
      <c r="T587" s="56" t="e">
        <v>#N/A</v>
      </c>
      <c r="U587" s="56" t="e">
        <v>#REF!</v>
      </c>
      <c r="V587" s="57" t="e">
        <v>#REF!</v>
      </c>
      <c r="W587" s="58" t="e">
        <v>#N/A</v>
      </c>
      <c r="X587" s="56" t="e">
        <v>#N/A</v>
      </c>
    </row>
    <row r="588" spans="20:24" ht="12.9">
      <c r="T588" s="56" t="e">
        <v>#N/A</v>
      </c>
      <c r="U588" s="56" t="e">
        <v>#REF!</v>
      </c>
      <c r="V588" s="57" t="e">
        <v>#REF!</v>
      </c>
      <c r="W588" s="58" t="e">
        <v>#N/A</v>
      </c>
      <c r="X588" s="56" t="e">
        <v>#N/A</v>
      </c>
    </row>
    <row r="589" spans="20:24" ht="12.9">
      <c r="T589" s="56" t="e">
        <v>#N/A</v>
      </c>
      <c r="U589" s="56" t="e">
        <v>#REF!</v>
      </c>
      <c r="V589" s="57" t="e">
        <v>#REF!</v>
      </c>
      <c r="W589" s="58" t="e">
        <v>#N/A</v>
      </c>
      <c r="X589" s="56" t="e">
        <v>#N/A</v>
      </c>
    </row>
    <row r="590" spans="20:24" ht="12.9">
      <c r="T590" s="56" t="e">
        <v>#N/A</v>
      </c>
      <c r="U590" s="56" t="e">
        <v>#REF!</v>
      </c>
      <c r="V590" s="57" t="e">
        <v>#REF!</v>
      </c>
      <c r="W590" s="58" t="e">
        <v>#N/A</v>
      </c>
      <c r="X590" s="56" t="e">
        <v>#N/A</v>
      </c>
    </row>
    <row r="591" spans="20:24" ht="12.9">
      <c r="T591" s="56" t="e">
        <v>#N/A</v>
      </c>
      <c r="U591" s="56" t="e">
        <v>#REF!</v>
      </c>
      <c r="V591" s="57" t="e">
        <v>#REF!</v>
      </c>
      <c r="W591" s="58" t="e">
        <v>#N/A</v>
      </c>
      <c r="X591" s="56" t="e">
        <v>#N/A</v>
      </c>
    </row>
    <row r="592" spans="20:24" ht="12.9">
      <c r="T592" s="56" t="e">
        <v>#N/A</v>
      </c>
      <c r="U592" s="56" t="e">
        <v>#REF!</v>
      </c>
      <c r="V592" s="57" t="e">
        <v>#REF!</v>
      </c>
      <c r="W592" s="58" t="e">
        <v>#N/A</v>
      </c>
      <c r="X592" s="56" t="e">
        <v>#N/A</v>
      </c>
    </row>
    <row r="593" spans="20:24" ht="12.9">
      <c r="T593" s="56" t="e">
        <v>#N/A</v>
      </c>
      <c r="U593" s="56" t="e">
        <v>#REF!</v>
      </c>
      <c r="V593" s="57" t="e">
        <v>#REF!</v>
      </c>
      <c r="W593" s="58" t="e">
        <v>#N/A</v>
      </c>
      <c r="X593" s="56" t="e">
        <v>#N/A</v>
      </c>
    </row>
    <row r="594" spans="20:24" ht="12.9">
      <c r="T594" s="56" t="e">
        <v>#N/A</v>
      </c>
      <c r="U594" s="56" t="e">
        <v>#REF!</v>
      </c>
      <c r="V594" s="57" t="e">
        <v>#REF!</v>
      </c>
      <c r="W594" s="58" t="e">
        <v>#N/A</v>
      </c>
      <c r="X594" s="56" t="e">
        <v>#N/A</v>
      </c>
    </row>
    <row r="595" spans="20:24" ht="12.9">
      <c r="T595" s="56" t="e">
        <v>#N/A</v>
      </c>
      <c r="U595" s="56" t="e">
        <v>#REF!</v>
      </c>
      <c r="V595" s="57" t="e">
        <v>#REF!</v>
      </c>
      <c r="W595" s="58" t="e">
        <v>#N/A</v>
      </c>
      <c r="X595" s="56" t="e">
        <v>#N/A</v>
      </c>
    </row>
    <row r="596" spans="20:24" ht="12.9">
      <c r="T596" s="56" t="e">
        <v>#N/A</v>
      </c>
      <c r="U596" s="56" t="e">
        <v>#REF!</v>
      </c>
      <c r="V596" s="57" t="e">
        <v>#REF!</v>
      </c>
      <c r="W596" s="58" t="e">
        <v>#N/A</v>
      </c>
      <c r="X596" s="56" t="e">
        <v>#N/A</v>
      </c>
    </row>
    <row r="597" spans="20:24" ht="12.9">
      <c r="T597" s="56" t="e">
        <v>#N/A</v>
      </c>
      <c r="U597" s="56" t="e">
        <v>#REF!</v>
      </c>
      <c r="V597" s="57" t="e">
        <v>#REF!</v>
      </c>
      <c r="W597" s="58" t="e">
        <v>#N/A</v>
      </c>
      <c r="X597" s="56" t="e">
        <v>#N/A</v>
      </c>
    </row>
    <row r="598" spans="20:24" ht="12.9">
      <c r="T598" s="56" t="e">
        <v>#N/A</v>
      </c>
      <c r="U598" s="56" t="e">
        <v>#REF!</v>
      </c>
      <c r="V598" s="57" t="e">
        <v>#REF!</v>
      </c>
      <c r="W598" s="58" t="e">
        <v>#N/A</v>
      </c>
      <c r="X598" s="56" t="e">
        <v>#N/A</v>
      </c>
    </row>
    <row r="599" spans="20:24" ht="12.9">
      <c r="T599" s="56" t="e">
        <v>#N/A</v>
      </c>
      <c r="U599" s="56" t="e">
        <v>#REF!</v>
      </c>
      <c r="V599" s="57" t="e">
        <v>#REF!</v>
      </c>
      <c r="W599" s="58" t="e">
        <v>#N/A</v>
      </c>
      <c r="X599" s="56" t="e">
        <v>#N/A</v>
      </c>
    </row>
    <row r="600" spans="20:24" ht="12.9">
      <c r="T600" s="56" t="e">
        <v>#N/A</v>
      </c>
      <c r="U600" s="56" t="e">
        <v>#REF!</v>
      </c>
      <c r="V600" s="57" t="e">
        <v>#REF!</v>
      </c>
      <c r="W600" s="58" t="e">
        <v>#N/A</v>
      </c>
      <c r="X600" s="56" t="e">
        <v>#N/A</v>
      </c>
    </row>
    <row r="601" spans="20:24" ht="12.9">
      <c r="T601" s="56" t="e">
        <v>#N/A</v>
      </c>
      <c r="U601" s="56" t="e">
        <v>#REF!</v>
      </c>
      <c r="V601" s="57" t="e">
        <v>#REF!</v>
      </c>
      <c r="W601" s="58" t="e">
        <v>#N/A</v>
      </c>
      <c r="X601" s="56" t="e">
        <v>#N/A</v>
      </c>
    </row>
    <row r="602" spans="20:24" ht="12.9">
      <c r="T602" s="56" t="e">
        <v>#N/A</v>
      </c>
      <c r="U602" s="56" t="e">
        <v>#REF!</v>
      </c>
      <c r="V602" s="57" t="e">
        <v>#REF!</v>
      </c>
      <c r="W602" s="58" t="e">
        <v>#N/A</v>
      </c>
      <c r="X602" s="56" t="e">
        <v>#N/A</v>
      </c>
    </row>
    <row r="603" spans="20:24" ht="12.9">
      <c r="T603" s="56" t="e">
        <v>#N/A</v>
      </c>
      <c r="U603" s="56" t="e">
        <v>#REF!</v>
      </c>
      <c r="V603" s="57" t="e">
        <v>#REF!</v>
      </c>
      <c r="W603" s="58" t="e">
        <v>#N/A</v>
      </c>
      <c r="X603" s="56" t="e">
        <v>#N/A</v>
      </c>
    </row>
    <row r="604" spans="20:24" ht="12.9">
      <c r="T604" s="56" t="e">
        <v>#N/A</v>
      </c>
      <c r="U604" s="56" t="e">
        <v>#REF!</v>
      </c>
      <c r="V604" s="57" t="e">
        <v>#REF!</v>
      </c>
      <c r="W604" s="58" t="e">
        <v>#N/A</v>
      </c>
      <c r="X604" s="56" t="e">
        <v>#N/A</v>
      </c>
    </row>
    <row r="605" spans="20:24" ht="12.9">
      <c r="T605" s="56" t="e">
        <v>#N/A</v>
      </c>
      <c r="U605" s="56" t="e">
        <v>#REF!</v>
      </c>
      <c r="V605" s="57" t="e">
        <v>#REF!</v>
      </c>
      <c r="W605" s="58" t="e">
        <v>#N/A</v>
      </c>
      <c r="X605" s="56" t="e">
        <v>#N/A</v>
      </c>
    </row>
    <row r="606" spans="20:24" ht="12.9">
      <c r="T606" s="56" t="e">
        <v>#N/A</v>
      </c>
      <c r="U606" s="56" t="e">
        <v>#REF!</v>
      </c>
      <c r="V606" s="57" t="e">
        <v>#REF!</v>
      </c>
      <c r="W606" s="58" t="e">
        <v>#N/A</v>
      </c>
      <c r="X606" s="56" t="e">
        <v>#N/A</v>
      </c>
    </row>
    <row r="607" spans="20:24" ht="12.9">
      <c r="T607" s="56" t="e">
        <v>#N/A</v>
      </c>
      <c r="U607" s="56" t="e">
        <v>#REF!</v>
      </c>
      <c r="V607" s="57" t="e">
        <v>#REF!</v>
      </c>
      <c r="W607" s="58" t="e">
        <v>#N/A</v>
      </c>
      <c r="X607" s="56" t="e">
        <v>#N/A</v>
      </c>
    </row>
    <row r="608" spans="20:24" ht="12.9">
      <c r="T608" s="56" t="e">
        <v>#N/A</v>
      </c>
      <c r="U608" s="56" t="e">
        <v>#REF!</v>
      </c>
      <c r="V608" s="57" t="e">
        <v>#REF!</v>
      </c>
      <c r="W608" s="58" t="e">
        <v>#N/A</v>
      </c>
      <c r="X608" s="56" t="e">
        <v>#N/A</v>
      </c>
    </row>
    <row r="609" spans="20:24" ht="12.9">
      <c r="T609" s="56" t="e">
        <v>#N/A</v>
      </c>
      <c r="U609" s="56" t="e">
        <v>#REF!</v>
      </c>
      <c r="V609" s="57" t="e">
        <v>#REF!</v>
      </c>
      <c r="W609" s="58" t="e">
        <v>#N/A</v>
      </c>
      <c r="X609" s="56" t="e">
        <v>#N/A</v>
      </c>
    </row>
    <row r="610" spans="20:24" ht="12.9">
      <c r="T610" s="56" t="e">
        <v>#N/A</v>
      </c>
      <c r="U610" s="56" t="e">
        <v>#REF!</v>
      </c>
      <c r="V610" s="57" t="e">
        <v>#REF!</v>
      </c>
      <c r="W610" s="58" t="e">
        <v>#N/A</v>
      </c>
      <c r="X610" s="56" t="e">
        <v>#N/A</v>
      </c>
    </row>
    <row r="611" spans="20:24" ht="12.9">
      <c r="T611" s="56" t="e">
        <v>#N/A</v>
      </c>
      <c r="U611" s="56" t="e">
        <v>#REF!</v>
      </c>
      <c r="V611" s="57" t="e">
        <v>#REF!</v>
      </c>
      <c r="W611" s="58" t="e">
        <v>#N/A</v>
      </c>
      <c r="X611" s="56" t="e">
        <v>#N/A</v>
      </c>
    </row>
    <row r="612" spans="20:24" ht="12.9">
      <c r="T612" s="56" t="e">
        <v>#N/A</v>
      </c>
      <c r="U612" s="56" t="e">
        <v>#REF!</v>
      </c>
      <c r="V612" s="57" t="e">
        <v>#REF!</v>
      </c>
      <c r="W612" s="58" t="e">
        <v>#N/A</v>
      </c>
      <c r="X612" s="56" t="e">
        <v>#N/A</v>
      </c>
    </row>
    <row r="613" spans="20:24" ht="12.9">
      <c r="T613" s="56" t="e">
        <v>#N/A</v>
      </c>
      <c r="U613" s="56" t="e">
        <v>#REF!</v>
      </c>
      <c r="V613" s="57" t="e">
        <v>#REF!</v>
      </c>
      <c r="W613" s="58" t="e">
        <v>#N/A</v>
      </c>
      <c r="X613" s="56" t="e">
        <v>#N/A</v>
      </c>
    </row>
    <row r="614" spans="20:24" ht="12.9">
      <c r="T614" s="56" t="e">
        <v>#N/A</v>
      </c>
      <c r="U614" s="56" t="e">
        <v>#REF!</v>
      </c>
      <c r="V614" s="57" t="e">
        <v>#REF!</v>
      </c>
      <c r="W614" s="58" t="e">
        <v>#N/A</v>
      </c>
      <c r="X614" s="56" t="e">
        <v>#N/A</v>
      </c>
    </row>
    <row r="615" spans="20:24" ht="12.9">
      <c r="T615" s="56" t="e">
        <v>#N/A</v>
      </c>
      <c r="U615" s="56" t="e">
        <v>#REF!</v>
      </c>
      <c r="V615" s="57" t="e">
        <v>#REF!</v>
      </c>
      <c r="W615" s="58" t="e">
        <v>#N/A</v>
      </c>
      <c r="X615" s="56" t="e">
        <v>#N/A</v>
      </c>
    </row>
    <row r="616" spans="20:24" ht="12.9">
      <c r="T616" s="56" t="e">
        <v>#N/A</v>
      </c>
      <c r="U616" s="56" t="e">
        <v>#REF!</v>
      </c>
      <c r="V616" s="57" t="e">
        <v>#REF!</v>
      </c>
      <c r="W616" s="58" t="e">
        <v>#N/A</v>
      </c>
      <c r="X616" s="56" t="e">
        <v>#N/A</v>
      </c>
    </row>
    <row r="617" spans="20:24" ht="12.9">
      <c r="T617" s="56" t="e">
        <v>#N/A</v>
      </c>
      <c r="U617" s="56" t="e">
        <v>#REF!</v>
      </c>
      <c r="V617" s="57" t="e">
        <v>#REF!</v>
      </c>
      <c r="W617" s="58" t="e">
        <v>#N/A</v>
      </c>
      <c r="X617" s="56" t="e">
        <v>#N/A</v>
      </c>
    </row>
    <row r="618" spans="20:24" ht="12.9">
      <c r="T618" s="56" t="e">
        <v>#N/A</v>
      </c>
      <c r="U618" s="56" t="e">
        <v>#REF!</v>
      </c>
      <c r="V618" s="57" t="e">
        <v>#REF!</v>
      </c>
      <c r="W618" s="58" t="e">
        <v>#N/A</v>
      </c>
      <c r="X618" s="56" t="e">
        <v>#N/A</v>
      </c>
    </row>
    <row r="619" spans="20:24" ht="12.9">
      <c r="T619" s="56" t="e">
        <v>#N/A</v>
      </c>
      <c r="U619" s="56" t="e">
        <v>#REF!</v>
      </c>
      <c r="V619" s="57" t="e">
        <v>#REF!</v>
      </c>
      <c r="W619" s="58" t="e">
        <v>#N/A</v>
      </c>
      <c r="X619" s="56" t="e">
        <v>#N/A</v>
      </c>
    </row>
    <row r="620" spans="20:24" ht="12.9">
      <c r="T620" s="56" t="e">
        <v>#N/A</v>
      </c>
      <c r="U620" s="56" t="e">
        <v>#REF!</v>
      </c>
      <c r="V620" s="57" t="e">
        <v>#REF!</v>
      </c>
      <c r="W620" s="58" t="e">
        <v>#N/A</v>
      </c>
      <c r="X620" s="56" t="e">
        <v>#N/A</v>
      </c>
    </row>
    <row r="621" spans="20:24" ht="12.9">
      <c r="T621" s="56" t="e">
        <v>#N/A</v>
      </c>
      <c r="U621" s="56" t="e">
        <v>#REF!</v>
      </c>
      <c r="V621" s="57" t="e">
        <v>#REF!</v>
      </c>
      <c r="W621" s="58" t="e">
        <v>#N/A</v>
      </c>
      <c r="X621" s="56" t="e">
        <v>#N/A</v>
      </c>
    </row>
    <row r="622" spans="20:24" ht="12.9">
      <c r="T622" s="56" t="e">
        <v>#N/A</v>
      </c>
      <c r="U622" s="56" t="e">
        <v>#REF!</v>
      </c>
      <c r="V622" s="57" t="e">
        <v>#REF!</v>
      </c>
      <c r="W622" s="58" t="e">
        <v>#N/A</v>
      </c>
      <c r="X622" s="56" t="e">
        <v>#N/A</v>
      </c>
    </row>
    <row r="623" spans="20:24" ht="12.9">
      <c r="T623" s="56" t="e">
        <v>#N/A</v>
      </c>
      <c r="U623" s="56" t="e">
        <v>#REF!</v>
      </c>
      <c r="V623" s="57" t="e">
        <v>#REF!</v>
      </c>
      <c r="W623" s="58" t="e">
        <v>#N/A</v>
      </c>
      <c r="X623" s="56" t="e">
        <v>#N/A</v>
      </c>
    </row>
    <row r="624" spans="20:24" ht="12.9">
      <c r="T624" s="56" t="e">
        <v>#N/A</v>
      </c>
      <c r="U624" s="56" t="e">
        <v>#REF!</v>
      </c>
      <c r="V624" s="57" t="e">
        <v>#REF!</v>
      </c>
      <c r="W624" s="58" t="e">
        <v>#N/A</v>
      </c>
      <c r="X624" s="56" t="e">
        <v>#N/A</v>
      </c>
    </row>
    <row r="625" spans="20:24" ht="12.9">
      <c r="T625" s="56" t="e">
        <v>#N/A</v>
      </c>
      <c r="U625" s="56" t="e">
        <v>#REF!</v>
      </c>
      <c r="V625" s="57" t="e">
        <v>#REF!</v>
      </c>
      <c r="W625" s="58" t="e">
        <v>#N/A</v>
      </c>
      <c r="X625" s="56" t="e">
        <v>#N/A</v>
      </c>
    </row>
    <row r="626" spans="20:24" ht="12.9">
      <c r="T626" s="56" t="e">
        <v>#N/A</v>
      </c>
      <c r="U626" s="56" t="e">
        <v>#REF!</v>
      </c>
      <c r="V626" s="57" t="e">
        <v>#REF!</v>
      </c>
      <c r="W626" s="58" t="e">
        <v>#N/A</v>
      </c>
      <c r="X626" s="56" t="e">
        <v>#N/A</v>
      </c>
    </row>
    <row r="627" spans="20:24" ht="12.9">
      <c r="T627" s="56" t="e">
        <v>#N/A</v>
      </c>
      <c r="U627" s="56" t="e">
        <v>#REF!</v>
      </c>
      <c r="V627" s="57" t="e">
        <v>#REF!</v>
      </c>
      <c r="W627" s="58" t="e">
        <v>#N/A</v>
      </c>
      <c r="X627" s="56" t="e">
        <v>#N/A</v>
      </c>
    </row>
    <row r="628" spans="20:24" ht="12.9">
      <c r="T628" s="56" t="e">
        <v>#N/A</v>
      </c>
      <c r="U628" s="56" t="e">
        <v>#REF!</v>
      </c>
      <c r="V628" s="57" t="e">
        <v>#REF!</v>
      </c>
      <c r="W628" s="58" t="e">
        <v>#N/A</v>
      </c>
      <c r="X628" s="56" t="e">
        <v>#N/A</v>
      </c>
    </row>
    <row r="629" spans="20:24" ht="12.9">
      <c r="T629" s="56" t="e">
        <v>#N/A</v>
      </c>
      <c r="U629" s="56" t="e">
        <v>#REF!</v>
      </c>
      <c r="V629" s="57" t="e">
        <v>#REF!</v>
      </c>
      <c r="W629" s="58" t="e">
        <v>#N/A</v>
      </c>
      <c r="X629" s="56" t="e">
        <v>#N/A</v>
      </c>
    </row>
    <row r="630" spans="20:24" ht="12.9">
      <c r="T630" s="56" t="e">
        <v>#N/A</v>
      </c>
      <c r="U630" s="56" t="e">
        <v>#REF!</v>
      </c>
      <c r="V630" s="57" t="e">
        <v>#REF!</v>
      </c>
      <c r="W630" s="58" t="e">
        <v>#N/A</v>
      </c>
      <c r="X630" s="56" t="e">
        <v>#N/A</v>
      </c>
    </row>
    <row r="631" spans="20:24" ht="12.9">
      <c r="T631" s="56" t="e">
        <v>#N/A</v>
      </c>
      <c r="U631" s="56" t="e">
        <v>#REF!</v>
      </c>
      <c r="V631" s="57" t="e">
        <v>#REF!</v>
      </c>
      <c r="W631" s="58" t="e">
        <v>#N/A</v>
      </c>
      <c r="X631" s="56" t="e">
        <v>#N/A</v>
      </c>
    </row>
    <row r="632" spans="20:24" ht="12.9">
      <c r="T632" s="56" t="e">
        <v>#N/A</v>
      </c>
      <c r="U632" s="56" t="e">
        <v>#REF!</v>
      </c>
      <c r="V632" s="57" t="e">
        <v>#REF!</v>
      </c>
      <c r="W632" s="58" t="e">
        <v>#N/A</v>
      </c>
      <c r="X632" s="56" t="e">
        <v>#N/A</v>
      </c>
    </row>
    <row r="633" spans="20:24" ht="12.9">
      <c r="T633" s="56" t="e">
        <v>#N/A</v>
      </c>
      <c r="U633" s="56" t="e">
        <v>#REF!</v>
      </c>
      <c r="V633" s="57" t="e">
        <v>#REF!</v>
      </c>
      <c r="W633" s="58" t="e">
        <v>#N/A</v>
      </c>
      <c r="X633" s="56" t="e">
        <v>#N/A</v>
      </c>
    </row>
    <row r="634" spans="20:24" ht="12.9">
      <c r="T634" s="56" t="e">
        <v>#N/A</v>
      </c>
      <c r="U634" s="56" t="e">
        <v>#REF!</v>
      </c>
      <c r="V634" s="57" t="e">
        <v>#REF!</v>
      </c>
      <c r="W634" s="58" t="e">
        <v>#N/A</v>
      </c>
      <c r="X634" s="56" t="e">
        <v>#N/A</v>
      </c>
    </row>
    <row r="635" spans="20:24" ht="12.9">
      <c r="T635" s="56" t="e">
        <v>#N/A</v>
      </c>
      <c r="U635" s="56" t="e">
        <v>#REF!</v>
      </c>
      <c r="V635" s="57" t="e">
        <v>#REF!</v>
      </c>
      <c r="W635" s="58" t="e">
        <v>#N/A</v>
      </c>
      <c r="X635" s="56" t="e">
        <v>#N/A</v>
      </c>
    </row>
    <row r="636" spans="20:24" ht="12.9">
      <c r="T636" s="56" t="e">
        <v>#N/A</v>
      </c>
      <c r="U636" s="56" t="e">
        <v>#REF!</v>
      </c>
      <c r="V636" s="57" t="e">
        <v>#REF!</v>
      </c>
      <c r="W636" s="58" t="e">
        <v>#N/A</v>
      </c>
      <c r="X636" s="56" t="e">
        <v>#N/A</v>
      </c>
    </row>
    <row r="637" spans="20:24" ht="12.9">
      <c r="T637" s="56" t="e">
        <v>#N/A</v>
      </c>
      <c r="U637" s="56" t="e">
        <v>#REF!</v>
      </c>
      <c r="V637" s="57" t="e">
        <v>#REF!</v>
      </c>
      <c r="W637" s="58" t="e">
        <v>#N/A</v>
      </c>
      <c r="X637" s="56" t="e">
        <v>#N/A</v>
      </c>
    </row>
    <row r="638" spans="20:24" ht="12.9">
      <c r="T638" s="56" t="e">
        <v>#N/A</v>
      </c>
      <c r="U638" s="56" t="e">
        <v>#REF!</v>
      </c>
      <c r="V638" s="57" t="e">
        <v>#REF!</v>
      </c>
      <c r="W638" s="58" t="e">
        <v>#N/A</v>
      </c>
      <c r="X638" s="56" t="e">
        <v>#N/A</v>
      </c>
    </row>
    <row r="639" spans="20:24" ht="12.9">
      <c r="T639" s="56" t="e">
        <v>#N/A</v>
      </c>
      <c r="U639" s="56" t="e">
        <v>#REF!</v>
      </c>
      <c r="V639" s="57" t="e">
        <v>#REF!</v>
      </c>
      <c r="W639" s="58" t="e">
        <v>#N/A</v>
      </c>
      <c r="X639" s="56" t="e">
        <v>#N/A</v>
      </c>
    </row>
    <row r="640" spans="20:24" ht="12.9">
      <c r="T640" s="56" t="e">
        <v>#N/A</v>
      </c>
      <c r="U640" s="56" t="e">
        <v>#REF!</v>
      </c>
      <c r="V640" s="57" t="e">
        <v>#REF!</v>
      </c>
      <c r="W640" s="58" t="e">
        <v>#N/A</v>
      </c>
      <c r="X640" s="56" t="e">
        <v>#N/A</v>
      </c>
    </row>
    <row r="641" spans="20:24" ht="12.9">
      <c r="T641" s="56" t="e">
        <v>#N/A</v>
      </c>
      <c r="U641" s="56" t="e">
        <v>#REF!</v>
      </c>
      <c r="V641" s="57" t="e">
        <v>#REF!</v>
      </c>
      <c r="W641" s="58" t="e">
        <v>#N/A</v>
      </c>
      <c r="X641" s="56" t="e">
        <v>#N/A</v>
      </c>
    </row>
    <row r="642" spans="20:24" ht="12.9">
      <c r="T642" s="56" t="e">
        <v>#N/A</v>
      </c>
      <c r="U642" s="56" t="e">
        <v>#REF!</v>
      </c>
      <c r="V642" s="57" t="e">
        <v>#REF!</v>
      </c>
      <c r="W642" s="58" t="e">
        <v>#N/A</v>
      </c>
      <c r="X642" s="56" t="e">
        <v>#N/A</v>
      </c>
    </row>
    <row r="643" spans="20:24" ht="12.9">
      <c r="T643" s="56" t="e">
        <v>#N/A</v>
      </c>
      <c r="U643" s="56" t="e">
        <v>#REF!</v>
      </c>
      <c r="V643" s="57" t="e">
        <v>#REF!</v>
      </c>
      <c r="W643" s="58" t="e">
        <v>#N/A</v>
      </c>
      <c r="X643" s="56" t="e">
        <v>#N/A</v>
      </c>
    </row>
    <row r="644" spans="20:24" ht="12.9">
      <c r="T644" s="56" t="e">
        <v>#N/A</v>
      </c>
      <c r="U644" s="56" t="e">
        <v>#REF!</v>
      </c>
      <c r="V644" s="57" t="e">
        <v>#REF!</v>
      </c>
      <c r="W644" s="58" t="e">
        <v>#N/A</v>
      </c>
      <c r="X644" s="56" t="e">
        <v>#N/A</v>
      </c>
    </row>
    <row r="645" spans="20:24" ht="12.9">
      <c r="T645" s="56" t="e">
        <v>#N/A</v>
      </c>
      <c r="U645" s="56" t="e">
        <v>#REF!</v>
      </c>
      <c r="V645" s="57" t="e">
        <v>#REF!</v>
      </c>
      <c r="W645" s="58" t="e">
        <v>#N/A</v>
      </c>
      <c r="X645" s="56" t="e">
        <v>#N/A</v>
      </c>
    </row>
    <row r="646" spans="20:24" ht="12.9">
      <c r="T646" s="56" t="e">
        <v>#N/A</v>
      </c>
      <c r="U646" s="56" t="e">
        <v>#REF!</v>
      </c>
      <c r="V646" s="57" t="e">
        <v>#REF!</v>
      </c>
      <c r="W646" s="58" t="e">
        <v>#N/A</v>
      </c>
      <c r="X646" s="56" t="e">
        <v>#N/A</v>
      </c>
    </row>
    <row r="647" spans="20:24" ht="12.9">
      <c r="T647" s="56" t="e">
        <v>#N/A</v>
      </c>
      <c r="U647" s="56" t="e">
        <v>#REF!</v>
      </c>
      <c r="V647" s="57" t="e">
        <v>#REF!</v>
      </c>
      <c r="W647" s="58" t="e">
        <v>#N/A</v>
      </c>
      <c r="X647" s="56" t="e">
        <v>#N/A</v>
      </c>
    </row>
    <row r="648" spans="20:24" ht="12.9">
      <c r="T648" s="56" t="e">
        <v>#N/A</v>
      </c>
      <c r="U648" s="56" t="e">
        <v>#REF!</v>
      </c>
      <c r="V648" s="57" t="e">
        <v>#REF!</v>
      </c>
      <c r="W648" s="58" t="e">
        <v>#N/A</v>
      </c>
      <c r="X648" s="56" t="e">
        <v>#N/A</v>
      </c>
    </row>
    <row r="649" spans="20:24" ht="12.9">
      <c r="T649" s="56" t="e">
        <v>#N/A</v>
      </c>
      <c r="U649" s="56" t="e">
        <v>#REF!</v>
      </c>
      <c r="V649" s="57" t="e">
        <v>#REF!</v>
      </c>
      <c r="W649" s="58" t="e">
        <v>#N/A</v>
      </c>
      <c r="X649" s="56" t="e">
        <v>#N/A</v>
      </c>
    </row>
    <row r="650" spans="20:24" ht="12.9">
      <c r="T650" s="56" t="e">
        <v>#N/A</v>
      </c>
      <c r="U650" s="56" t="e">
        <v>#REF!</v>
      </c>
      <c r="V650" s="57" t="e">
        <v>#REF!</v>
      </c>
      <c r="W650" s="58" t="e">
        <v>#N/A</v>
      </c>
      <c r="X650" s="56" t="e">
        <v>#N/A</v>
      </c>
    </row>
    <row r="651" spans="20:24" ht="12.9">
      <c r="T651" s="56" t="e">
        <v>#N/A</v>
      </c>
      <c r="U651" s="56" t="e">
        <v>#REF!</v>
      </c>
      <c r="V651" s="57" t="e">
        <v>#REF!</v>
      </c>
      <c r="W651" s="58" t="e">
        <v>#N/A</v>
      </c>
      <c r="X651" s="56" t="e">
        <v>#N/A</v>
      </c>
    </row>
    <row r="652" spans="20:24" ht="12.9">
      <c r="T652" s="56" t="e">
        <v>#N/A</v>
      </c>
      <c r="U652" s="56" t="e">
        <v>#REF!</v>
      </c>
      <c r="V652" s="57" t="e">
        <v>#REF!</v>
      </c>
      <c r="W652" s="58" t="e">
        <v>#N/A</v>
      </c>
      <c r="X652" s="56" t="e">
        <v>#N/A</v>
      </c>
    </row>
    <row r="653" spans="20:24" ht="12.9">
      <c r="T653" s="56" t="e">
        <v>#N/A</v>
      </c>
      <c r="U653" s="56" t="e">
        <v>#REF!</v>
      </c>
      <c r="V653" s="57" t="e">
        <v>#REF!</v>
      </c>
      <c r="W653" s="58" t="e">
        <v>#N/A</v>
      </c>
      <c r="X653" s="56" t="e">
        <v>#N/A</v>
      </c>
    </row>
    <row r="654" spans="20:24" ht="12.9">
      <c r="T654" s="56" t="e">
        <v>#N/A</v>
      </c>
      <c r="U654" s="56" t="e">
        <v>#REF!</v>
      </c>
      <c r="V654" s="57" t="e">
        <v>#REF!</v>
      </c>
      <c r="W654" s="58" t="e">
        <v>#N/A</v>
      </c>
      <c r="X654" s="56" t="e">
        <v>#N/A</v>
      </c>
    </row>
    <row r="655" spans="20:24" ht="12.9">
      <c r="T655" s="56" t="e">
        <v>#N/A</v>
      </c>
      <c r="U655" s="56" t="e">
        <v>#REF!</v>
      </c>
      <c r="V655" s="57" t="e">
        <v>#REF!</v>
      </c>
      <c r="W655" s="58" t="e">
        <v>#N/A</v>
      </c>
      <c r="X655" s="56" t="e">
        <v>#N/A</v>
      </c>
    </row>
    <row r="656" spans="20:24" ht="12.9">
      <c r="T656" s="56" t="e">
        <v>#N/A</v>
      </c>
      <c r="U656" s="56" t="e">
        <v>#REF!</v>
      </c>
      <c r="V656" s="57" t="e">
        <v>#REF!</v>
      </c>
      <c r="W656" s="58" t="e">
        <v>#N/A</v>
      </c>
      <c r="X656" s="56" t="e">
        <v>#N/A</v>
      </c>
    </row>
    <row r="657" spans="20:24" ht="12.9">
      <c r="T657" s="56" t="e">
        <v>#N/A</v>
      </c>
      <c r="U657" s="56" t="e">
        <v>#REF!</v>
      </c>
      <c r="V657" s="57" t="e">
        <v>#REF!</v>
      </c>
      <c r="W657" s="58" t="e">
        <v>#N/A</v>
      </c>
      <c r="X657" s="56" t="e">
        <v>#N/A</v>
      </c>
    </row>
    <row r="658" spans="20:24" ht="12.9">
      <c r="T658" s="56" t="e">
        <v>#N/A</v>
      </c>
      <c r="U658" s="56" t="e">
        <v>#REF!</v>
      </c>
      <c r="V658" s="57" t="e">
        <v>#REF!</v>
      </c>
      <c r="W658" s="58" t="e">
        <v>#N/A</v>
      </c>
      <c r="X658" s="56" t="e">
        <v>#N/A</v>
      </c>
    </row>
    <row r="659" spans="20:24" ht="12.9">
      <c r="T659" s="56" t="e">
        <v>#N/A</v>
      </c>
      <c r="U659" s="56" t="e">
        <v>#REF!</v>
      </c>
      <c r="V659" s="57" t="e">
        <v>#REF!</v>
      </c>
      <c r="W659" s="58" t="e">
        <v>#N/A</v>
      </c>
      <c r="X659" s="56" t="e">
        <v>#N/A</v>
      </c>
    </row>
    <row r="660" spans="20:24" ht="12.9">
      <c r="T660" s="56" t="e">
        <v>#N/A</v>
      </c>
      <c r="U660" s="56" t="e">
        <v>#REF!</v>
      </c>
      <c r="V660" s="57" t="e">
        <v>#REF!</v>
      </c>
      <c r="W660" s="58" t="e">
        <v>#N/A</v>
      </c>
      <c r="X660" s="56" t="e">
        <v>#N/A</v>
      </c>
    </row>
    <row r="661" spans="20:24" ht="12.9">
      <c r="T661" s="56" t="e">
        <v>#N/A</v>
      </c>
      <c r="U661" s="56" t="e">
        <v>#REF!</v>
      </c>
      <c r="V661" s="57" t="e">
        <v>#REF!</v>
      </c>
      <c r="W661" s="58" t="e">
        <v>#N/A</v>
      </c>
      <c r="X661" s="56" t="e">
        <v>#N/A</v>
      </c>
    </row>
    <row r="662" spans="20:24" ht="12.9">
      <c r="T662" s="56" t="e">
        <v>#N/A</v>
      </c>
      <c r="U662" s="56" t="e">
        <v>#REF!</v>
      </c>
      <c r="V662" s="57" t="e">
        <v>#REF!</v>
      </c>
      <c r="W662" s="58" t="e">
        <v>#N/A</v>
      </c>
      <c r="X662" s="56" t="e">
        <v>#N/A</v>
      </c>
    </row>
    <row r="663" spans="20:24" ht="12.9">
      <c r="T663" s="56" t="e">
        <v>#N/A</v>
      </c>
      <c r="U663" s="56" t="e">
        <v>#REF!</v>
      </c>
      <c r="V663" s="57" t="e">
        <v>#REF!</v>
      </c>
      <c r="W663" s="58" t="e">
        <v>#N/A</v>
      </c>
      <c r="X663" s="56" t="e">
        <v>#N/A</v>
      </c>
    </row>
    <row r="664" spans="20:24" ht="12.9">
      <c r="T664" s="56" t="e">
        <v>#N/A</v>
      </c>
      <c r="U664" s="56" t="e">
        <v>#REF!</v>
      </c>
      <c r="V664" s="57" t="e">
        <v>#REF!</v>
      </c>
      <c r="W664" s="58" t="e">
        <v>#N/A</v>
      </c>
      <c r="X664" s="56" t="e">
        <v>#N/A</v>
      </c>
    </row>
    <row r="665" spans="20:24" ht="12.9">
      <c r="T665" s="56" t="e">
        <v>#N/A</v>
      </c>
      <c r="U665" s="56" t="e">
        <v>#REF!</v>
      </c>
      <c r="V665" s="57" t="e">
        <v>#REF!</v>
      </c>
      <c r="W665" s="58" t="e">
        <v>#N/A</v>
      </c>
      <c r="X665" s="56" t="e">
        <v>#N/A</v>
      </c>
    </row>
    <row r="666" spans="20:24" ht="12.9">
      <c r="T666" s="56" t="e">
        <v>#N/A</v>
      </c>
      <c r="U666" s="56" t="e">
        <v>#REF!</v>
      </c>
      <c r="V666" s="57" t="e">
        <v>#REF!</v>
      </c>
      <c r="W666" s="58" t="e">
        <v>#N/A</v>
      </c>
      <c r="X666" s="56" t="e">
        <v>#N/A</v>
      </c>
    </row>
    <row r="667" spans="20:24" ht="12.9">
      <c r="T667" s="56" t="e">
        <v>#N/A</v>
      </c>
      <c r="U667" s="56" t="e">
        <v>#REF!</v>
      </c>
      <c r="V667" s="57" t="e">
        <v>#REF!</v>
      </c>
      <c r="W667" s="58" t="e">
        <v>#N/A</v>
      </c>
      <c r="X667" s="56" t="e">
        <v>#N/A</v>
      </c>
    </row>
    <row r="668" spans="20:24" ht="12.9">
      <c r="T668" s="56" t="e">
        <v>#N/A</v>
      </c>
      <c r="U668" s="56" t="e">
        <v>#REF!</v>
      </c>
      <c r="V668" s="57" t="e">
        <v>#REF!</v>
      </c>
      <c r="W668" s="58" t="e">
        <v>#N/A</v>
      </c>
      <c r="X668" s="56" t="e">
        <v>#N/A</v>
      </c>
    </row>
    <row r="669" spans="20:24" ht="12.9">
      <c r="T669" s="56" t="e">
        <v>#N/A</v>
      </c>
      <c r="U669" s="56" t="e">
        <v>#REF!</v>
      </c>
      <c r="V669" s="57" t="e">
        <v>#REF!</v>
      </c>
      <c r="W669" s="58" t="e">
        <v>#N/A</v>
      </c>
      <c r="X669" s="56" t="e">
        <v>#N/A</v>
      </c>
    </row>
    <row r="670" spans="20:24" ht="12.9">
      <c r="T670" s="56" t="e">
        <v>#N/A</v>
      </c>
      <c r="U670" s="56" t="e">
        <v>#REF!</v>
      </c>
      <c r="V670" s="57" t="e">
        <v>#REF!</v>
      </c>
      <c r="W670" s="58" t="e">
        <v>#N/A</v>
      </c>
      <c r="X670" s="56" t="e">
        <v>#N/A</v>
      </c>
    </row>
    <row r="671" spans="20:24" ht="12.9">
      <c r="T671" s="56" t="e">
        <v>#N/A</v>
      </c>
      <c r="U671" s="56" t="e">
        <v>#REF!</v>
      </c>
      <c r="V671" s="57" t="e">
        <v>#REF!</v>
      </c>
      <c r="W671" s="58" t="e">
        <v>#N/A</v>
      </c>
      <c r="X671" s="56" t="e">
        <v>#N/A</v>
      </c>
    </row>
    <row r="672" spans="20:24" ht="12.9">
      <c r="T672" s="56" t="e">
        <v>#N/A</v>
      </c>
      <c r="U672" s="56" t="e">
        <v>#REF!</v>
      </c>
      <c r="V672" s="57" t="e">
        <v>#REF!</v>
      </c>
      <c r="W672" s="58" t="e">
        <v>#N/A</v>
      </c>
      <c r="X672" s="56" t="e">
        <v>#N/A</v>
      </c>
    </row>
    <row r="673" spans="20:24" ht="12.9">
      <c r="T673" s="56" t="e">
        <v>#N/A</v>
      </c>
      <c r="U673" s="56" t="e">
        <v>#REF!</v>
      </c>
      <c r="V673" s="57" t="e">
        <v>#REF!</v>
      </c>
      <c r="W673" s="58" t="e">
        <v>#N/A</v>
      </c>
      <c r="X673" s="56" t="e">
        <v>#N/A</v>
      </c>
    </row>
    <row r="674" spans="20:24" ht="12.9">
      <c r="T674" s="56" t="e">
        <v>#N/A</v>
      </c>
      <c r="U674" s="56" t="e">
        <v>#REF!</v>
      </c>
      <c r="V674" s="57" t="e">
        <v>#REF!</v>
      </c>
      <c r="W674" s="58" t="e">
        <v>#N/A</v>
      </c>
      <c r="X674" s="56" t="e">
        <v>#N/A</v>
      </c>
    </row>
    <row r="675" spans="20:24" ht="12.9">
      <c r="T675" s="56" t="e">
        <v>#N/A</v>
      </c>
      <c r="U675" s="56" t="e">
        <v>#REF!</v>
      </c>
      <c r="V675" s="57" t="e">
        <v>#REF!</v>
      </c>
      <c r="W675" s="58" t="e">
        <v>#N/A</v>
      </c>
      <c r="X675" s="56" t="e">
        <v>#N/A</v>
      </c>
    </row>
    <row r="676" spans="20:24" ht="12.9">
      <c r="T676" s="56" t="e">
        <v>#N/A</v>
      </c>
      <c r="U676" s="56" t="e">
        <v>#REF!</v>
      </c>
      <c r="V676" s="57" t="e">
        <v>#REF!</v>
      </c>
      <c r="W676" s="58" t="e">
        <v>#N/A</v>
      </c>
      <c r="X676" s="56" t="e">
        <v>#N/A</v>
      </c>
    </row>
    <row r="677" spans="20:24" ht="12.9">
      <c r="T677" s="56" t="e">
        <v>#N/A</v>
      </c>
      <c r="U677" s="56" t="e">
        <v>#REF!</v>
      </c>
      <c r="V677" s="57" t="e">
        <v>#REF!</v>
      </c>
      <c r="W677" s="58" t="e">
        <v>#N/A</v>
      </c>
      <c r="X677" s="56" t="e">
        <v>#N/A</v>
      </c>
    </row>
    <row r="678" spans="20:24" ht="12.9">
      <c r="T678" s="56" t="e">
        <v>#N/A</v>
      </c>
      <c r="U678" s="56" t="e">
        <v>#REF!</v>
      </c>
      <c r="V678" s="57" t="e">
        <v>#REF!</v>
      </c>
      <c r="W678" s="58" t="e">
        <v>#N/A</v>
      </c>
      <c r="X678" s="56" t="e">
        <v>#N/A</v>
      </c>
    </row>
    <row r="679" spans="20:24" ht="12.9">
      <c r="T679" s="56" t="e">
        <v>#N/A</v>
      </c>
      <c r="U679" s="56" t="e">
        <v>#REF!</v>
      </c>
      <c r="V679" s="57" t="e">
        <v>#REF!</v>
      </c>
      <c r="W679" s="58" t="e">
        <v>#N/A</v>
      </c>
      <c r="X679" s="56" t="e">
        <v>#N/A</v>
      </c>
    </row>
    <row r="680" spans="20:24" ht="12.9">
      <c r="T680" s="56" t="e">
        <v>#N/A</v>
      </c>
      <c r="U680" s="56" t="e">
        <v>#REF!</v>
      </c>
      <c r="V680" s="57" t="e">
        <v>#REF!</v>
      </c>
      <c r="W680" s="58" t="e">
        <v>#N/A</v>
      </c>
      <c r="X680" s="56" t="e">
        <v>#N/A</v>
      </c>
    </row>
    <row r="681" spans="20:24" ht="12.9">
      <c r="T681" s="56" t="e">
        <v>#N/A</v>
      </c>
      <c r="U681" s="56" t="e">
        <v>#REF!</v>
      </c>
      <c r="V681" s="57" t="e">
        <v>#REF!</v>
      </c>
      <c r="W681" s="58" t="e">
        <v>#N/A</v>
      </c>
      <c r="X681" s="56" t="e">
        <v>#N/A</v>
      </c>
    </row>
    <row r="682" spans="20:24" ht="12.9">
      <c r="T682" s="56" t="e">
        <v>#N/A</v>
      </c>
      <c r="U682" s="56" t="e">
        <v>#REF!</v>
      </c>
      <c r="V682" s="57" t="e">
        <v>#REF!</v>
      </c>
      <c r="W682" s="58" t="e">
        <v>#N/A</v>
      </c>
      <c r="X682" s="56" t="e">
        <v>#N/A</v>
      </c>
    </row>
    <row r="683" spans="20:24" ht="12.9">
      <c r="T683" s="56" t="e">
        <v>#N/A</v>
      </c>
      <c r="U683" s="56" t="e">
        <v>#REF!</v>
      </c>
      <c r="V683" s="57" t="e">
        <v>#REF!</v>
      </c>
      <c r="W683" s="58" t="e">
        <v>#N/A</v>
      </c>
      <c r="X683" s="56" t="e">
        <v>#N/A</v>
      </c>
    </row>
    <row r="684" spans="20:24" ht="12.9">
      <c r="T684" s="56" t="e">
        <v>#N/A</v>
      </c>
      <c r="U684" s="56" t="e">
        <v>#REF!</v>
      </c>
      <c r="V684" s="57" t="e">
        <v>#REF!</v>
      </c>
      <c r="W684" s="58" t="e">
        <v>#N/A</v>
      </c>
      <c r="X684" s="56" t="e">
        <v>#N/A</v>
      </c>
    </row>
    <row r="685" spans="20:24" ht="12.9">
      <c r="T685" s="56" t="e">
        <v>#N/A</v>
      </c>
      <c r="U685" s="56" t="e">
        <v>#REF!</v>
      </c>
      <c r="V685" s="57" t="e">
        <v>#REF!</v>
      </c>
      <c r="W685" s="58" t="e">
        <v>#N/A</v>
      </c>
      <c r="X685" s="56" t="e">
        <v>#N/A</v>
      </c>
    </row>
    <row r="686" spans="20:24" ht="12.9">
      <c r="T686" s="56" t="e">
        <v>#N/A</v>
      </c>
      <c r="U686" s="56" t="e">
        <v>#REF!</v>
      </c>
      <c r="V686" s="57" t="e">
        <v>#REF!</v>
      </c>
      <c r="W686" s="58" t="e">
        <v>#N/A</v>
      </c>
      <c r="X686" s="56" t="e">
        <v>#N/A</v>
      </c>
    </row>
    <row r="687" spans="20:24" ht="12.9">
      <c r="T687" s="56" t="e">
        <v>#N/A</v>
      </c>
      <c r="U687" s="56" t="e">
        <v>#REF!</v>
      </c>
      <c r="V687" s="57" t="e">
        <v>#REF!</v>
      </c>
      <c r="W687" s="58" t="e">
        <v>#N/A</v>
      </c>
      <c r="X687" s="56" t="e">
        <v>#N/A</v>
      </c>
    </row>
    <row r="688" spans="20:24" ht="12.9">
      <c r="T688" s="56" t="e">
        <v>#N/A</v>
      </c>
      <c r="U688" s="56" t="e">
        <v>#REF!</v>
      </c>
      <c r="V688" s="57" t="e">
        <v>#REF!</v>
      </c>
      <c r="W688" s="58" t="e">
        <v>#N/A</v>
      </c>
      <c r="X688" s="56" t="e">
        <v>#N/A</v>
      </c>
    </row>
    <row r="689" spans="20:24" ht="12.9">
      <c r="T689" s="56" t="e">
        <v>#N/A</v>
      </c>
      <c r="U689" s="56" t="e">
        <v>#REF!</v>
      </c>
      <c r="V689" s="57" t="e">
        <v>#REF!</v>
      </c>
      <c r="W689" s="58" t="e">
        <v>#N/A</v>
      </c>
      <c r="X689" s="56" t="e">
        <v>#N/A</v>
      </c>
    </row>
    <row r="690" spans="20:24" ht="12.9">
      <c r="T690" s="56" t="e">
        <v>#N/A</v>
      </c>
      <c r="U690" s="56" t="e">
        <v>#REF!</v>
      </c>
      <c r="V690" s="57" t="e">
        <v>#REF!</v>
      </c>
      <c r="W690" s="58" t="e">
        <v>#N/A</v>
      </c>
      <c r="X690" s="56" t="e">
        <v>#N/A</v>
      </c>
    </row>
    <row r="691" spans="20:24" ht="12.9">
      <c r="T691" s="56" t="e">
        <v>#N/A</v>
      </c>
      <c r="U691" s="56" t="e">
        <v>#REF!</v>
      </c>
      <c r="V691" s="57" t="e">
        <v>#REF!</v>
      </c>
      <c r="W691" s="58" t="e">
        <v>#N/A</v>
      </c>
      <c r="X691" s="56" t="e">
        <v>#N/A</v>
      </c>
    </row>
    <row r="692" spans="20:24" ht="12.9">
      <c r="T692" s="56" t="e">
        <v>#N/A</v>
      </c>
      <c r="U692" s="56" t="e">
        <v>#REF!</v>
      </c>
      <c r="V692" s="57" t="e">
        <v>#REF!</v>
      </c>
      <c r="W692" s="58" t="e">
        <v>#N/A</v>
      </c>
      <c r="X692" s="56" t="e">
        <v>#N/A</v>
      </c>
    </row>
    <row r="693" spans="20:24" ht="12.9">
      <c r="T693" s="56" t="e">
        <v>#N/A</v>
      </c>
      <c r="U693" s="56" t="e">
        <v>#REF!</v>
      </c>
      <c r="V693" s="57" t="e">
        <v>#REF!</v>
      </c>
      <c r="W693" s="58" t="e">
        <v>#N/A</v>
      </c>
      <c r="X693" s="56" t="e">
        <v>#N/A</v>
      </c>
    </row>
    <row r="694" spans="20:24" ht="12.9">
      <c r="T694" s="56" t="e">
        <v>#N/A</v>
      </c>
      <c r="U694" s="56" t="e">
        <v>#REF!</v>
      </c>
      <c r="V694" s="57" t="e">
        <v>#REF!</v>
      </c>
      <c r="W694" s="58" t="e">
        <v>#N/A</v>
      </c>
      <c r="X694" s="56" t="e">
        <v>#N/A</v>
      </c>
    </row>
    <row r="695" spans="20:24" ht="12.9">
      <c r="T695" s="56" t="e">
        <v>#N/A</v>
      </c>
      <c r="U695" s="56" t="e">
        <v>#REF!</v>
      </c>
      <c r="V695" s="57" t="e">
        <v>#REF!</v>
      </c>
      <c r="W695" s="58" t="e">
        <v>#N/A</v>
      </c>
      <c r="X695" s="56" t="e">
        <v>#N/A</v>
      </c>
    </row>
    <row r="696" spans="20:24" ht="12.9">
      <c r="T696" s="56" t="e">
        <v>#N/A</v>
      </c>
      <c r="U696" s="56" t="e">
        <v>#REF!</v>
      </c>
      <c r="V696" s="57" t="e">
        <v>#REF!</v>
      </c>
      <c r="W696" s="58" t="e">
        <v>#N/A</v>
      </c>
      <c r="X696" s="56" t="e">
        <v>#N/A</v>
      </c>
    </row>
    <row r="697" spans="20:24" ht="12.9">
      <c r="T697" s="56" t="e">
        <v>#N/A</v>
      </c>
      <c r="U697" s="56" t="e">
        <v>#REF!</v>
      </c>
      <c r="V697" s="57" t="e">
        <v>#REF!</v>
      </c>
      <c r="W697" s="58" t="e">
        <v>#N/A</v>
      </c>
      <c r="X697" s="56" t="e">
        <v>#N/A</v>
      </c>
    </row>
    <row r="698" spans="20:24" ht="12.9">
      <c r="T698" s="56" t="e">
        <v>#N/A</v>
      </c>
      <c r="U698" s="56" t="e">
        <v>#REF!</v>
      </c>
      <c r="V698" s="57" t="e">
        <v>#REF!</v>
      </c>
      <c r="W698" s="58" t="e">
        <v>#N/A</v>
      </c>
      <c r="X698" s="56" t="e">
        <v>#N/A</v>
      </c>
    </row>
    <row r="699" spans="20:24" ht="12.9">
      <c r="T699" s="56" t="e">
        <v>#N/A</v>
      </c>
      <c r="U699" s="56" t="e">
        <v>#REF!</v>
      </c>
      <c r="V699" s="57" t="e">
        <v>#REF!</v>
      </c>
      <c r="W699" s="58" t="e">
        <v>#N/A</v>
      </c>
      <c r="X699" s="56" t="e">
        <v>#N/A</v>
      </c>
    </row>
    <row r="700" spans="20:24" ht="12.9">
      <c r="T700" s="56" t="e">
        <v>#N/A</v>
      </c>
      <c r="U700" s="56" t="e">
        <v>#REF!</v>
      </c>
      <c r="V700" s="57" t="e">
        <v>#REF!</v>
      </c>
      <c r="W700" s="58" t="e">
        <v>#N/A</v>
      </c>
      <c r="X700" s="56" t="e">
        <v>#N/A</v>
      </c>
    </row>
    <row r="701" spans="20:24" ht="12.9">
      <c r="T701" s="56" t="e">
        <v>#N/A</v>
      </c>
      <c r="U701" s="56" t="e">
        <v>#REF!</v>
      </c>
      <c r="V701" s="57" t="e">
        <v>#REF!</v>
      </c>
      <c r="W701" s="58" t="e">
        <v>#N/A</v>
      </c>
      <c r="X701" s="56" t="e">
        <v>#N/A</v>
      </c>
    </row>
    <row r="702" spans="20:24" ht="12.9">
      <c r="T702" s="56" t="e">
        <v>#N/A</v>
      </c>
      <c r="U702" s="56" t="e">
        <v>#REF!</v>
      </c>
      <c r="V702" s="57" t="e">
        <v>#REF!</v>
      </c>
      <c r="W702" s="58" t="e">
        <v>#N/A</v>
      </c>
      <c r="X702" s="56" t="e">
        <v>#N/A</v>
      </c>
    </row>
    <row r="703" spans="20:24" ht="12.9">
      <c r="T703" s="56" t="e">
        <v>#N/A</v>
      </c>
      <c r="U703" s="56" t="e">
        <v>#REF!</v>
      </c>
      <c r="V703" s="57" t="e">
        <v>#REF!</v>
      </c>
      <c r="W703" s="58" t="e">
        <v>#N/A</v>
      </c>
      <c r="X703" s="56" t="e">
        <v>#N/A</v>
      </c>
    </row>
    <row r="704" spans="20:24" ht="12.9">
      <c r="T704" s="56" t="e">
        <v>#N/A</v>
      </c>
      <c r="U704" s="56" t="e">
        <v>#REF!</v>
      </c>
      <c r="V704" s="57" t="e">
        <v>#REF!</v>
      </c>
      <c r="W704" s="58" t="e">
        <v>#N/A</v>
      </c>
      <c r="X704" s="56" t="e">
        <v>#N/A</v>
      </c>
    </row>
    <row r="705" spans="20:24" ht="12.9">
      <c r="T705" s="56" t="e">
        <v>#N/A</v>
      </c>
      <c r="U705" s="56" t="e">
        <v>#REF!</v>
      </c>
      <c r="V705" s="57" t="e">
        <v>#REF!</v>
      </c>
      <c r="W705" s="58" t="e">
        <v>#N/A</v>
      </c>
      <c r="X705" s="56" t="e">
        <v>#N/A</v>
      </c>
    </row>
    <row r="706" spans="20:24" ht="12.9">
      <c r="T706" s="56" t="e">
        <v>#N/A</v>
      </c>
      <c r="U706" s="56" t="e">
        <v>#REF!</v>
      </c>
      <c r="V706" s="57" t="e">
        <v>#REF!</v>
      </c>
      <c r="W706" s="58" t="e">
        <v>#N/A</v>
      </c>
      <c r="X706" s="56" t="e">
        <v>#N/A</v>
      </c>
    </row>
    <row r="707" spans="20:24" ht="12.9">
      <c r="T707" s="56" t="e">
        <v>#N/A</v>
      </c>
      <c r="U707" s="56" t="e">
        <v>#REF!</v>
      </c>
      <c r="V707" s="57" t="e">
        <v>#REF!</v>
      </c>
      <c r="W707" s="58" t="e">
        <v>#N/A</v>
      </c>
      <c r="X707" s="56" t="e">
        <v>#N/A</v>
      </c>
    </row>
    <row r="708" spans="20:24" ht="12.9">
      <c r="T708" s="56" t="e">
        <v>#N/A</v>
      </c>
      <c r="U708" s="56" t="e">
        <v>#REF!</v>
      </c>
      <c r="V708" s="57" t="e">
        <v>#REF!</v>
      </c>
      <c r="W708" s="58" t="e">
        <v>#N/A</v>
      </c>
      <c r="X708" s="56" t="e">
        <v>#N/A</v>
      </c>
    </row>
    <row r="709" spans="20:24" ht="12.9">
      <c r="T709" s="56" t="e">
        <v>#N/A</v>
      </c>
      <c r="U709" s="56" t="e">
        <v>#REF!</v>
      </c>
      <c r="V709" s="57" t="e">
        <v>#REF!</v>
      </c>
      <c r="W709" s="58" t="e">
        <v>#N/A</v>
      </c>
      <c r="X709" s="56" t="e">
        <v>#N/A</v>
      </c>
    </row>
    <row r="710" spans="20:24" ht="12.9">
      <c r="T710" s="56" t="e">
        <v>#N/A</v>
      </c>
      <c r="U710" s="56" t="e">
        <v>#REF!</v>
      </c>
      <c r="V710" s="57" t="e">
        <v>#REF!</v>
      </c>
      <c r="W710" s="58" t="e">
        <v>#N/A</v>
      </c>
      <c r="X710" s="56" t="e">
        <v>#N/A</v>
      </c>
    </row>
    <row r="711" spans="20:24" ht="12.9">
      <c r="T711" s="56" t="e">
        <v>#N/A</v>
      </c>
      <c r="U711" s="56" t="e">
        <v>#REF!</v>
      </c>
      <c r="V711" s="57" t="e">
        <v>#REF!</v>
      </c>
      <c r="W711" s="58" t="e">
        <v>#N/A</v>
      </c>
      <c r="X711" s="56" t="e">
        <v>#N/A</v>
      </c>
    </row>
    <row r="712" spans="20:24" ht="12.9">
      <c r="T712" s="56" t="e">
        <v>#N/A</v>
      </c>
      <c r="U712" s="56" t="e">
        <v>#REF!</v>
      </c>
      <c r="V712" s="57" t="e">
        <v>#REF!</v>
      </c>
      <c r="W712" s="58" t="e">
        <v>#N/A</v>
      </c>
      <c r="X712" s="56" t="e">
        <v>#N/A</v>
      </c>
    </row>
    <row r="713" spans="20:24" ht="12.9">
      <c r="T713" s="56" t="e">
        <v>#N/A</v>
      </c>
      <c r="U713" s="56" t="e">
        <v>#REF!</v>
      </c>
      <c r="V713" s="57" t="e">
        <v>#REF!</v>
      </c>
      <c r="W713" s="58" t="e">
        <v>#N/A</v>
      </c>
      <c r="X713" s="56" t="e">
        <v>#N/A</v>
      </c>
    </row>
    <row r="714" spans="20:24" ht="12.9">
      <c r="T714" s="56" t="e">
        <v>#N/A</v>
      </c>
      <c r="U714" s="56" t="e">
        <v>#REF!</v>
      </c>
      <c r="V714" s="57" t="e">
        <v>#REF!</v>
      </c>
      <c r="W714" s="58" t="e">
        <v>#N/A</v>
      </c>
      <c r="X714" s="56" t="e">
        <v>#N/A</v>
      </c>
    </row>
    <row r="715" spans="20:24" ht="12.9">
      <c r="T715" s="56" t="e">
        <v>#N/A</v>
      </c>
      <c r="U715" s="56" t="e">
        <v>#REF!</v>
      </c>
      <c r="V715" s="57" t="e">
        <v>#REF!</v>
      </c>
      <c r="W715" s="58" t="e">
        <v>#N/A</v>
      </c>
      <c r="X715" s="56" t="e">
        <v>#N/A</v>
      </c>
    </row>
    <row r="716" spans="20:24" ht="12.9">
      <c r="T716" s="56" t="e">
        <v>#N/A</v>
      </c>
      <c r="U716" s="56" t="e">
        <v>#REF!</v>
      </c>
      <c r="V716" s="57" t="e">
        <v>#REF!</v>
      </c>
      <c r="W716" s="58" t="e">
        <v>#N/A</v>
      </c>
      <c r="X716" s="56" t="e">
        <v>#N/A</v>
      </c>
    </row>
    <row r="717" spans="20:24" ht="12.9">
      <c r="T717" s="56" t="e">
        <v>#N/A</v>
      </c>
      <c r="U717" s="56" t="e">
        <v>#REF!</v>
      </c>
      <c r="V717" s="57" t="e">
        <v>#REF!</v>
      </c>
      <c r="W717" s="58" t="e">
        <v>#N/A</v>
      </c>
      <c r="X717" s="56" t="e">
        <v>#N/A</v>
      </c>
    </row>
    <row r="718" spans="20:24" ht="12.9">
      <c r="T718" s="56" t="e">
        <v>#N/A</v>
      </c>
      <c r="U718" s="56" t="e">
        <v>#REF!</v>
      </c>
      <c r="V718" s="57" t="e">
        <v>#REF!</v>
      </c>
      <c r="W718" s="58" t="e">
        <v>#N/A</v>
      </c>
      <c r="X718" s="56" t="e">
        <v>#N/A</v>
      </c>
    </row>
    <row r="719" spans="20:24" ht="12.9">
      <c r="T719" s="56" t="e">
        <v>#N/A</v>
      </c>
      <c r="U719" s="56" t="e">
        <v>#REF!</v>
      </c>
      <c r="V719" s="57" t="e">
        <v>#REF!</v>
      </c>
      <c r="W719" s="58" t="e">
        <v>#N/A</v>
      </c>
      <c r="X719" s="56" t="e">
        <v>#N/A</v>
      </c>
    </row>
    <row r="720" spans="20:24" ht="12.9">
      <c r="T720" s="56" t="e">
        <v>#N/A</v>
      </c>
      <c r="U720" s="56" t="e">
        <v>#REF!</v>
      </c>
      <c r="V720" s="57" t="e">
        <v>#REF!</v>
      </c>
      <c r="W720" s="58" t="e">
        <v>#N/A</v>
      </c>
      <c r="X720" s="56" t="e">
        <v>#N/A</v>
      </c>
    </row>
    <row r="721" spans="20:24" ht="12.9">
      <c r="T721" s="56" t="e">
        <v>#N/A</v>
      </c>
      <c r="U721" s="56" t="e">
        <v>#REF!</v>
      </c>
      <c r="V721" s="57" t="e">
        <v>#REF!</v>
      </c>
      <c r="W721" s="58" t="e">
        <v>#N/A</v>
      </c>
      <c r="X721" s="56" t="e">
        <v>#N/A</v>
      </c>
    </row>
    <row r="722" spans="20:24" ht="12.9">
      <c r="T722" s="56" t="e">
        <v>#N/A</v>
      </c>
      <c r="U722" s="56" t="e">
        <v>#REF!</v>
      </c>
      <c r="V722" s="57" t="e">
        <v>#REF!</v>
      </c>
      <c r="W722" s="58" t="e">
        <v>#N/A</v>
      </c>
      <c r="X722" s="56" t="e">
        <v>#N/A</v>
      </c>
    </row>
    <row r="723" spans="20:24" ht="12.9">
      <c r="T723" s="56" t="e">
        <v>#N/A</v>
      </c>
      <c r="U723" s="56" t="e">
        <v>#REF!</v>
      </c>
      <c r="V723" s="57" t="e">
        <v>#REF!</v>
      </c>
      <c r="W723" s="58" t="e">
        <v>#N/A</v>
      </c>
      <c r="X723" s="56" t="e">
        <v>#N/A</v>
      </c>
    </row>
    <row r="724" spans="20:24" ht="12.9">
      <c r="T724" s="56" t="e">
        <v>#N/A</v>
      </c>
      <c r="U724" s="56" t="e">
        <v>#REF!</v>
      </c>
      <c r="V724" s="57" t="e">
        <v>#REF!</v>
      </c>
      <c r="W724" s="58" t="e">
        <v>#N/A</v>
      </c>
      <c r="X724" s="56" t="e">
        <v>#N/A</v>
      </c>
    </row>
    <row r="725" spans="20:24" ht="12.9">
      <c r="T725" s="56" t="e">
        <v>#N/A</v>
      </c>
      <c r="U725" s="56" t="e">
        <v>#REF!</v>
      </c>
      <c r="V725" s="57" t="e">
        <v>#REF!</v>
      </c>
      <c r="W725" s="58" t="e">
        <v>#N/A</v>
      </c>
      <c r="X725" s="56" t="e">
        <v>#N/A</v>
      </c>
    </row>
    <row r="726" spans="20:24" ht="12.9">
      <c r="T726" s="56" t="e">
        <v>#N/A</v>
      </c>
      <c r="U726" s="56" t="e">
        <v>#REF!</v>
      </c>
      <c r="V726" s="57" t="e">
        <v>#REF!</v>
      </c>
      <c r="W726" s="58" t="e">
        <v>#N/A</v>
      </c>
      <c r="X726" s="56" t="e">
        <v>#N/A</v>
      </c>
    </row>
    <row r="727" spans="20:24" ht="12.9">
      <c r="T727" s="56" t="e">
        <v>#N/A</v>
      </c>
      <c r="U727" s="56" t="e">
        <v>#REF!</v>
      </c>
      <c r="V727" s="57" t="e">
        <v>#REF!</v>
      </c>
      <c r="W727" s="58" t="e">
        <v>#N/A</v>
      </c>
      <c r="X727" s="56" t="e">
        <v>#N/A</v>
      </c>
    </row>
    <row r="728" spans="20:24" ht="12.9">
      <c r="T728" s="56" t="e">
        <v>#N/A</v>
      </c>
      <c r="U728" s="56" t="e">
        <v>#REF!</v>
      </c>
      <c r="V728" s="57" t="e">
        <v>#REF!</v>
      </c>
      <c r="W728" s="58" t="e">
        <v>#N/A</v>
      </c>
      <c r="X728" s="56" t="e">
        <v>#N/A</v>
      </c>
    </row>
    <row r="729" spans="20:24" ht="12.9">
      <c r="T729" s="56" t="e">
        <v>#N/A</v>
      </c>
      <c r="U729" s="56" t="e">
        <v>#REF!</v>
      </c>
      <c r="V729" s="57" t="e">
        <v>#REF!</v>
      </c>
      <c r="W729" s="58" t="e">
        <v>#N/A</v>
      </c>
      <c r="X729" s="56" t="e">
        <v>#N/A</v>
      </c>
    </row>
    <row r="730" spans="20:24" ht="12.9">
      <c r="T730" s="56" t="e">
        <v>#N/A</v>
      </c>
      <c r="U730" s="56" t="e">
        <v>#REF!</v>
      </c>
      <c r="V730" s="57" t="e">
        <v>#REF!</v>
      </c>
      <c r="W730" s="58" t="e">
        <v>#N/A</v>
      </c>
      <c r="X730" s="56" t="e">
        <v>#N/A</v>
      </c>
    </row>
    <row r="731" spans="20:24" ht="12.9">
      <c r="T731" s="56" t="e">
        <v>#N/A</v>
      </c>
      <c r="U731" s="56" t="e">
        <v>#REF!</v>
      </c>
      <c r="V731" s="57" t="e">
        <v>#REF!</v>
      </c>
      <c r="W731" s="58" t="e">
        <v>#N/A</v>
      </c>
      <c r="X731" s="56" t="e">
        <v>#N/A</v>
      </c>
    </row>
    <row r="732" spans="20:24" ht="12.9">
      <c r="T732" s="56" t="e">
        <v>#N/A</v>
      </c>
      <c r="U732" s="56" t="e">
        <v>#REF!</v>
      </c>
      <c r="V732" s="57" t="e">
        <v>#REF!</v>
      </c>
      <c r="W732" s="58" t="e">
        <v>#N/A</v>
      </c>
      <c r="X732" s="56" t="e">
        <v>#N/A</v>
      </c>
    </row>
    <row r="733" spans="20:24" ht="12.9">
      <c r="T733" s="56" t="e">
        <v>#N/A</v>
      </c>
      <c r="U733" s="56" t="e">
        <v>#REF!</v>
      </c>
      <c r="V733" s="57" t="e">
        <v>#REF!</v>
      </c>
      <c r="W733" s="58" t="e">
        <v>#N/A</v>
      </c>
      <c r="X733" s="56" t="e">
        <v>#N/A</v>
      </c>
    </row>
    <row r="734" spans="20:24" ht="12.9">
      <c r="T734" s="56" t="e">
        <v>#N/A</v>
      </c>
      <c r="U734" s="56" t="e">
        <v>#REF!</v>
      </c>
      <c r="V734" s="57" t="e">
        <v>#REF!</v>
      </c>
      <c r="W734" s="58" t="e">
        <v>#N/A</v>
      </c>
      <c r="X734" s="56" t="e">
        <v>#N/A</v>
      </c>
    </row>
    <row r="735" spans="20:24" ht="12.9">
      <c r="T735" s="56" t="e">
        <v>#N/A</v>
      </c>
      <c r="U735" s="56" t="e">
        <v>#REF!</v>
      </c>
      <c r="V735" s="57" t="e">
        <v>#REF!</v>
      </c>
      <c r="W735" s="58" t="e">
        <v>#N/A</v>
      </c>
      <c r="X735" s="56" t="e">
        <v>#N/A</v>
      </c>
    </row>
    <row r="736" spans="20:24" ht="12.9">
      <c r="T736" s="56" t="e">
        <v>#N/A</v>
      </c>
      <c r="U736" s="56" t="e">
        <v>#REF!</v>
      </c>
      <c r="V736" s="57" t="e">
        <v>#REF!</v>
      </c>
      <c r="W736" s="58" t="e">
        <v>#N/A</v>
      </c>
      <c r="X736" s="56" t="e">
        <v>#N/A</v>
      </c>
    </row>
    <row r="737" spans="20:24" ht="12.9">
      <c r="T737" s="56" t="e">
        <v>#N/A</v>
      </c>
      <c r="U737" s="56" t="e">
        <v>#REF!</v>
      </c>
      <c r="V737" s="57" t="e">
        <v>#REF!</v>
      </c>
      <c r="W737" s="58" t="e">
        <v>#N/A</v>
      </c>
      <c r="X737" s="56" t="e">
        <v>#N/A</v>
      </c>
    </row>
    <row r="738" spans="20:24" ht="12.9">
      <c r="T738" s="56" t="e">
        <v>#N/A</v>
      </c>
      <c r="U738" s="56" t="e">
        <v>#REF!</v>
      </c>
      <c r="V738" s="57" t="e">
        <v>#REF!</v>
      </c>
      <c r="W738" s="58" t="e">
        <v>#N/A</v>
      </c>
      <c r="X738" s="56" t="e">
        <v>#N/A</v>
      </c>
    </row>
    <row r="739" spans="20:24" ht="12.9">
      <c r="T739" s="56" t="e">
        <v>#N/A</v>
      </c>
      <c r="U739" s="56" t="e">
        <v>#REF!</v>
      </c>
      <c r="V739" s="57" t="e">
        <v>#REF!</v>
      </c>
      <c r="W739" s="58" t="e">
        <v>#N/A</v>
      </c>
      <c r="X739" s="56" t="e">
        <v>#N/A</v>
      </c>
    </row>
    <row r="740" spans="20:24" ht="12.9">
      <c r="T740" s="56" t="e">
        <v>#N/A</v>
      </c>
      <c r="U740" s="56" t="e">
        <v>#REF!</v>
      </c>
      <c r="V740" s="57" t="e">
        <v>#REF!</v>
      </c>
      <c r="W740" s="58" t="e">
        <v>#N/A</v>
      </c>
      <c r="X740" s="56" t="e">
        <v>#N/A</v>
      </c>
    </row>
    <row r="741" spans="20:24" ht="12.9">
      <c r="T741" s="56" t="e">
        <v>#N/A</v>
      </c>
      <c r="U741" s="56" t="e">
        <v>#REF!</v>
      </c>
      <c r="V741" s="57" t="e">
        <v>#REF!</v>
      </c>
      <c r="W741" s="58" t="e">
        <v>#N/A</v>
      </c>
      <c r="X741" s="56" t="e">
        <v>#N/A</v>
      </c>
    </row>
    <row r="742" spans="20:24" ht="12.9">
      <c r="T742" s="56" t="e">
        <v>#N/A</v>
      </c>
      <c r="U742" s="56" t="e">
        <v>#REF!</v>
      </c>
      <c r="V742" s="57" t="e">
        <v>#REF!</v>
      </c>
      <c r="W742" s="58" t="e">
        <v>#N/A</v>
      </c>
      <c r="X742" s="56" t="e">
        <v>#N/A</v>
      </c>
    </row>
    <row r="743" spans="20:24" ht="12.9">
      <c r="T743" s="56" t="e">
        <v>#N/A</v>
      </c>
      <c r="U743" s="56" t="e">
        <v>#REF!</v>
      </c>
      <c r="V743" s="57" t="e">
        <v>#REF!</v>
      </c>
      <c r="W743" s="58" t="e">
        <v>#N/A</v>
      </c>
      <c r="X743" s="56" t="e">
        <v>#N/A</v>
      </c>
    </row>
    <row r="744" spans="20:24" ht="12.9">
      <c r="T744" s="56" t="e">
        <v>#N/A</v>
      </c>
      <c r="U744" s="56" t="e">
        <v>#REF!</v>
      </c>
      <c r="V744" s="57" t="e">
        <v>#REF!</v>
      </c>
      <c r="W744" s="58" t="e">
        <v>#N/A</v>
      </c>
      <c r="X744" s="56" t="e">
        <v>#N/A</v>
      </c>
    </row>
    <row r="745" spans="20:24" ht="12.9">
      <c r="T745" s="56" t="e">
        <v>#N/A</v>
      </c>
      <c r="U745" s="56" t="e">
        <v>#REF!</v>
      </c>
      <c r="V745" s="57" t="e">
        <v>#REF!</v>
      </c>
      <c r="W745" s="58" t="e">
        <v>#N/A</v>
      </c>
      <c r="X745" s="56" t="e">
        <v>#N/A</v>
      </c>
    </row>
    <row r="746" spans="20:24" ht="12.9">
      <c r="T746" s="56" t="e">
        <v>#N/A</v>
      </c>
      <c r="U746" s="56" t="e">
        <v>#REF!</v>
      </c>
      <c r="V746" s="57" t="e">
        <v>#REF!</v>
      </c>
      <c r="W746" s="58" t="e">
        <v>#N/A</v>
      </c>
      <c r="X746" s="56" t="e">
        <v>#N/A</v>
      </c>
    </row>
    <row r="747" spans="20:24" ht="12.9">
      <c r="T747" s="56" t="e">
        <v>#N/A</v>
      </c>
      <c r="U747" s="56" t="e">
        <v>#REF!</v>
      </c>
      <c r="V747" s="57" t="e">
        <v>#REF!</v>
      </c>
      <c r="W747" s="58" t="e">
        <v>#N/A</v>
      </c>
      <c r="X747" s="56" t="e">
        <v>#N/A</v>
      </c>
    </row>
    <row r="748" spans="20:24" ht="12.9">
      <c r="T748" s="56" t="e">
        <v>#N/A</v>
      </c>
      <c r="U748" s="56" t="e">
        <v>#REF!</v>
      </c>
      <c r="V748" s="57" t="e">
        <v>#REF!</v>
      </c>
      <c r="W748" s="58" t="e">
        <v>#N/A</v>
      </c>
      <c r="X748" s="56" t="e">
        <v>#N/A</v>
      </c>
    </row>
    <row r="749" spans="20:24" ht="12.9">
      <c r="T749" s="56" t="e">
        <v>#N/A</v>
      </c>
      <c r="U749" s="56" t="e">
        <v>#REF!</v>
      </c>
      <c r="V749" s="57" t="e">
        <v>#REF!</v>
      </c>
      <c r="W749" s="58" t="e">
        <v>#N/A</v>
      </c>
      <c r="X749" s="56" t="e">
        <v>#N/A</v>
      </c>
    </row>
    <row r="750" spans="20:24" ht="12.9">
      <c r="T750" s="56" t="e">
        <v>#N/A</v>
      </c>
      <c r="U750" s="56" t="e">
        <v>#REF!</v>
      </c>
      <c r="V750" s="57" t="e">
        <v>#REF!</v>
      </c>
      <c r="W750" s="58" t="e">
        <v>#N/A</v>
      </c>
      <c r="X750" s="56" t="e">
        <v>#N/A</v>
      </c>
    </row>
    <row r="751" spans="20:24" ht="12.9">
      <c r="T751" s="56" t="e">
        <v>#N/A</v>
      </c>
      <c r="U751" s="56" t="e">
        <v>#REF!</v>
      </c>
      <c r="V751" s="57" t="e">
        <v>#REF!</v>
      </c>
      <c r="W751" s="58" t="e">
        <v>#N/A</v>
      </c>
      <c r="X751" s="56" t="e">
        <v>#N/A</v>
      </c>
    </row>
    <row r="752" spans="20:24" ht="12.9">
      <c r="T752" s="56" t="e">
        <v>#N/A</v>
      </c>
      <c r="U752" s="56" t="e">
        <v>#REF!</v>
      </c>
      <c r="V752" s="57" t="e">
        <v>#REF!</v>
      </c>
      <c r="W752" s="58" t="e">
        <v>#N/A</v>
      </c>
      <c r="X752" s="56" t="e">
        <v>#N/A</v>
      </c>
    </row>
    <row r="753" spans="20:24" ht="12.9">
      <c r="T753" s="56" t="e">
        <v>#N/A</v>
      </c>
      <c r="U753" s="56" t="e">
        <v>#REF!</v>
      </c>
      <c r="V753" s="57" t="e">
        <v>#REF!</v>
      </c>
      <c r="W753" s="58" t="e">
        <v>#N/A</v>
      </c>
      <c r="X753" s="56" t="e">
        <v>#N/A</v>
      </c>
    </row>
    <row r="754" spans="20:24" ht="12.9">
      <c r="T754" s="56" t="e">
        <v>#N/A</v>
      </c>
      <c r="U754" s="56" t="e">
        <v>#REF!</v>
      </c>
      <c r="V754" s="57" t="e">
        <v>#REF!</v>
      </c>
      <c r="W754" s="58" t="e">
        <v>#N/A</v>
      </c>
      <c r="X754" s="56" t="e">
        <v>#N/A</v>
      </c>
    </row>
    <row r="755" spans="20:24" ht="12.9">
      <c r="T755" s="56" t="e">
        <v>#N/A</v>
      </c>
      <c r="U755" s="56" t="e">
        <v>#REF!</v>
      </c>
      <c r="V755" s="57" t="e">
        <v>#REF!</v>
      </c>
      <c r="W755" s="58" t="e">
        <v>#N/A</v>
      </c>
      <c r="X755" s="56" t="e">
        <v>#N/A</v>
      </c>
    </row>
    <row r="756" spans="20:24" ht="12.9">
      <c r="T756" s="56" t="e">
        <v>#N/A</v>
      </c>
      <c r="U756" s="56" t="e">
        <v>#REF!</v>
      </c>
      <c r="V756" s="57" t="e">
        <v>#REF!</v>
      </c>
      <c r="W756" s="58" t="e">
        <v>#N/A</v>
      </c>
      <c r="X756" s="56" t="e">
        <v>#N/A</v>
      </c>
    </row>
    <row r="757" spans="20:24" ht="12.9">
      <c r="T757" s="56" t="e">
        <v>#N/A</v>
      </c>
      <c r="U757" s="56" t="e">
        <v>#REF!</v>
      </c>
      <c r="V757" s="57" t="e">
        <v>#REF!</v>
      </c>
      <c r="W757" s="58" t="e">
        <v>#N/A</v>
      </c>
      <c r="X757" s="56" t="e">
        <v>#N/A</v>
      </c>
    </row>
    <row r="758" spans="20:24" ht="12.9">
      <c r="T758" s="56" t="e">
        <v>#N/A</v>
      </c>
      <c r="U758" s="56" t="e">
        <v>#REF!</v>
      </c>
      <c r="V758" s="57" t="e">
        <v>#REF!</v>
      </c>
      <c r="W758" s="58" t="e">
        <v>#N/A</v>
      </c>
      <c r="X758" s="56" t="e">
        <v>#N/A</v>
      </c>
    </row>
    <row r="759" spans="20:24" ht="12.9">
      <c r="T759" s="56" t="e">
        <v>#N/A</v>
      </c>
      <c r="U759" s="56" t="e">
        <v>#REF!</v>
      </c>
      <c r="V759" s="57" t="e">
        <v>#REF!</v>
      </c>
      <c r="W759" s="58" t="e">
        <v>#N/A</v>
      </c>
      <c r="X759" s="56" t="e">
        <v>#N/A</v>
      </c>
    </row>
    <row r="760" spans="20:24" ht="12.9">
      <c r="T760" s="56" t="e">
        <v>#N/A</v>
      </c>
      <c r="U760" s="56" t="e">
        <v>#REF!</v>
      </c>
      <c r="V760" s="57" t="e">
        <v>#REF!</v>
      </c>
      <c r="W760" s="58" t="e">
        <v>#N/A</v>
      </c>
      <c r="X760" s="56" t="e">
        <v>#N/A</v>
      </c>
    </row>
    <row r="761" spans="20:24" ht="12.9">
      <c r="T761" s="56" t="e">
        <v>#N/A</v>
      </c>
      <c r="U761" s="56" t="e">
        <v>#REF!</v>
      </c>
      <c r="V761" s="57" t="e">
        <v>#REF!</v>
      </c>
      <c r="W761" s="58" t="e">
        <v>#N/A</v>
      </c>
      <c r="X761" s="56" t="e">
        <v>#N/A</v>
      </c>
    </row>
    <row r="762" spans="20:24" ht="12.9">
      <c r="T762" s="56" t="e">
        <v>#N/A</v>
      </c>
      <c r="U762" s="56" t="e">
        <v>#REF!</v>
      </c>
      <c r="V762" s="57" t="e">
        <v>#REF!</v>
      </c>
      <c r="W762" s="58" t="e">
        <v>#N/A</v>
      </c>
      <c r="X762" s="56" t="e">
        <v>#N/A</v>
      </c>
    </row>
    <row r="763" spans="20:24" ht="12.9">
      <c r="T763" s="56" t="e">
        <v>#N/A</v>
      </c>
      <c r="U763" s="56" t="e">
        <v>#REF!</v>
      </c>
      <c r="V763" s="57" t="e">
        <v>#REF!</v>
      </c>
      <c r="W763" s="58" t="e">
        <v>#N/A</v>
      </c>
      <c r="X763" s="56" t="e">
        <v>#N/A</v>
      </c>
    </row>
    <row r="764" spans="20:24" ht="12.9">
      <c r="T764" s="56" t="e">
        <v>#N/A</v>
      </c>
      <c r="U764" s="56" t="e">
        <v>#REF!</v>
      </c>
      <c r="V764" s="57" t="e">
        <v>#REF!</v>
      </c>
      <c r="W764" s="58" t="e">
        <v>#N/A</v>
      </c>
      <c r="X764" s="56" t="e">
        <v>#N/A</v>
      </c>
    </row>
    <row r="765" spans="20:24" ht="12.9">
      <c r="T765" s="56" t="e">
        <v>#N/A</v>
      </c>
      <c r="U765" s="56" t="e">
        <v>#REF!</v>
      </c>
      <c r="V765" s="57" t="e">
        <v>#REF!</v>
      </c>
      <c r="W765" s="58" t="e">
        <v>#N/A</v>
      </c>
      <c r="X765" s="56" t="e">
        <v>#N/A</v>
      </c>
    </row>
    <row r="766" spans="20:24" ht="12.9">
      <c r="T766" s="56" t="e">
        <v>#N/A</v>
      </c>
      <c r="U766" s="56" t="e">
        <v>#REF!</v>
      </c>
      <c r="V766" s="57" t="e">
        <v>#REF!</v>
      </c>
      <c r="W766" s="58" t="e">
        <v>#N/A</v>
      </c>
      <c r="X766" s="56" t="e">
        <v>#N/A</v>
      </c>
    </row>
    <row r="767" spans="20:24" ht="12.9">
      <c r="T767" s="56" t="e">
        <v>#N/A</v>
      </c>
      <c r="U767" s="56" t="e">
        <v>#REF!</v>
      </c>
      <c r="V767" s="57" t="e">
        <v>#REF!</v>
      </c>
      <c r="W767" s="58" t="e">
        <v>#N/A</v>
      </c>
      <c r="X767" s="56" t="e">
        <v>#N/A</v>
      </c>
    </row>
    <row r="768" spans="20:24" ht="12.9">
      <c r="T768" s="56" t="e">
        <v>#N/A</v>
      </c>
      <c r="U768" s="56" t="e">
        <v>#REF!</v>
      </c>
      <c r="V768" s="57" t="e">
        <v>#REF!</v>
      </c>
      <c r="W768" s="58" t="e">
        <v>#N/A</v>
      </c>
      <c r="X768" s="56" t="e">
        <v>#N/A</v>
      </c>
    </row>
    <row r="769" spans="20:24" ht="12.9">
      <c r="T769" s="56" t="e">
        <v>#N/A</v>
      </c>
      <c r="U769" s="56" t="e">
        <v>#REF!</v>
      </c>
      <c r="V769" s="57" t="e">
        <v>#REF!</v>
      </c>
      <c r="W769" s="58" t="e">
        <v>#N/A</v>
      </c>
      <c r="X769" s="56" t="e">
        <v>#N/A</v>
      </c>
    </row>
    <row r="770" spans="20:24" ht="12.9">
      <c r="T770" s="56" t="e">
        <v>#N/A</v>
      </c>
      <c r="U770" s="56" t="e">
        <v>#REF!</v>
      </c>
      <c r="V770" s="57" t="e">
        <v>#REF!</v>
      </c>
      <c r="W770" s="58" t="e">
        <v>#N/A</v>
      </c>
      <c r="X770" s="56" t="e">
        <v>#N/A</v>
      </c>
    </row>
    <row r="771" spans="20:24" ht="12.9">
      <c r="T771" s="56" t="e">
        <v>#N/A</v>
      </c>
      <c r="U771" s="56" t="e">
        <v>#REF!</v>
      </c>
      <c r="V771" s="57" t="e">
        <v>#REF!</v>
      </c>
      <c r="W771" s="58" t="e">
        <v>#N/A</v>
      </c>
      <c r="X771" s="56" t="e">
        <v>#N/A</v>
      </c>
    </row>
    <row r="772" spans="20:24" ht="12.9">
      <c r="T772" s="56" t="e">
        <v>#N/A</v>
      </c>
      <c r="U772" s="56" t="e">
        <v>#REF!</v>
      </c>
      <c r="V772" s="57" t="e">
        <v>#REF!</v>
      </c>
      <c r="W772" s="58" t="e">
        <v>#N/A</v>
      </c>
      <c r="X772" s="56" t="e">
        <v>#N/A</v>
      </c>
    </row>
    <row r="773" spans="20:24" ht="12.9">
      <c r="T773" s="56" t="e">
        <v>#N/A</v>
      </c>
      <c r="U773" s="56" t="e">
        <v>#REF!</v>
      </c>
      <c r="V773" s="57" t="e">
        <v>#REF!</v>
      </c>
      <c r="W773" s="58" t="e">
        <v>#N/A</v>
      </c>
      <c r="X773" s="56" t="e">
        <v>#N/A</v>
      </c>
    </row>
    <row r="774" spans="20:24" ht="12.9">
      <c r="T774" s="56" t="e">
        <v>#N/A</v>
      </c>
      <c r="U774" s="56" t="e">
        <v>#REF!</v>
      </c>
      <c r="V774" s="57" t="e">
        <v>#REF!</v>
      </c>
      <c r="W774" s="58" t="e">
        <v>#N/A</v>
      </c>
      <c r="X774" s="56" t="e">
        <v>#N/A</v>
      </c>
    </row>
    <row r="775" spans="20:24" ht="12.9">
      <c r="T775" s="56" t="e">
        <v>#N/A</v>
      </c>
      <c r="U775" s="56" t="e">
        <v>#REF!</v>
      </c>
      <c r="V775" s="57" t="e">
        <v>#REF!</v>
      </c>
      <c r="W775" s="58" t="e">
        <v>#N/A</v>
      </c>
      <c r="X775" s="56" t="e">
        <v>#N/A</v>
      </c>
    </row>
    <row r="776" spans="20:24" ht="12.9">
      <c r="T776" s="56" t="e">
        <v>#N/A</v>
      </c>
      <c r="U776" s="56" t="e">
        <v>#REF!</v>
      </c>
      <c r="V776" s="57" t="e">
        <v>#REF!</v>
      </c>
      <c r="W776" s="58" t="e">
        <v>#N/A</v>
      </c>
      <c r="X776" s="56" t="e">
        <v>#N/A</v>
      </c>
    </row>
    <row r="777" spans="20:24" ht="12.9">
      <c r="T777" s="56" t="e">
        <v>#N/A</v>
      </c>
      <c r="U777" s="56" t="e">
        <v>#REF!</v>
      </c>
      <c r="V777" s="57" t="e">
        <v>#REF!</v>
      </c>
      <c r="W777" s="58" t="e">
        <v>#N/A</v>
      </c>
      <c r="X777" s="56" t="e">
        <v>#N/A</v>
      </c>
    </row>
    <row r="778" spans="20:24" ht="12.9">
      <c r="T778" s="56" t="e">
        <v>#N/A</v>
      </c>
      <c r="U778" s="56" t="e">
        <v>#REF!</v>
      </c>
      <c r="V778" s="57" t="e">
        <v>#REF!</v>
      </c>
      <c r="W778" s="58" t="e">
        <v>#N/A</v>
      </c>
      <c r="X778" s="56" t="e">
        <v>#N/A</v>
      </c>
    </row>
    <row r="779" spans="20:24" ht="12.9">
      <c r="T779" s="56" t="e">
        <v>#N/A</v>
      </c>
      <c r="U779" s="56" t="e">
        <v>#REF!</v>
      </c>
      <c r="V779" s="57" t="e">
        <v>#REF!</v>
      </c>
      <c r="W779" s="58" t="e">
        <v>#N/A</v>
      </c>
      <c r="X779" s="56" t="e">
        <v>#N/A</v>
      </c>
    </row>
    <row r="780" spans="20:24" ht="12.9">
      <c r="T780" s="56" t="e">
        <v>#N/A</v>
      </c>
      <c r="U780" s="56" t="e">
        <v>#REF!</v>
      </c>
      <c r="V780" s="57" t="e">
        <v>#REF!</v>
      </c>
      <c r="W780" s="58" t="e">
        <v>#N/A</v>
      </c>
      <c r="X780" s="56" t="e">
        <v>#N/A</v>
      </c>
    </row>
    <row r="781" spans="20:24" ht="12.9">
      <c r="T781" s="56" t="e">
        <v>#N/A</v>
      </c>
      <c r="U781" s="56" t="e">
        <v>#REF!</v>
      </c>
      <c r="V781" s="57" t="e">
        <v>#REF!</v>
      </c>
      <c r="W781" s="58" t="e">
        <v>#N/A</v>
      </c>
      <c r="X781" s="56" t="e">
        <v>#N/A</v>
      </c>
    </row>
    <row r="782" spans="20:24" ht="12.9">
      <c r="T782" s="56" t="e">
        <v>#N/A</v>
      </c>
      <c r="U782" s="56" t="e">
        <v>#REF!</v>
      </c>
      <c r="V782" s="57" t="e">
        <v>#REF!</v>
      </c>
      <c r="W782" s="58" t="e">
        <v>#N/A</v>
      </c>
      <c r="X782" s="56" t="e">
        <v>#N/A</v>
      </c>
    </row>
    <row r="783" spans="20:24" ht="12.9">
      <c r="T783" s="56" t="e">
        <v>#N/A</v>
      </c>
      <c r="U783" s="56" t="e">
        <v>#REF!</v>
      </c>
      <c r="V783" s="57" t="e">
        <v>#REF!</v>
      </c>
      <c r="W783" s="58" t="e">
        <v>#N/A</v>
      </c>
      <c r="X783" s="56" t="e">
        <v>#N/A</v>
      </c>
    </row>
    <row r="784" spans="20:24" ht="12.9">
      <c r="T784" s="56" t="e">
        <v>#N/A</v>
      </c>
      <c r="U784" s="56" t="e">
        <v>#REF!</v>
      </c>
      <c r="V784" s="57" t="e">
        <v>#REF!</v>
      </c>
      <c r="W784" s="58" t="e">
        <v>#N/A</v>
      </c>
      <c r="X784" s="56" t="e">
        <v>#N/A</v>
      </c>
    </row>
    <row r="785" spans="20:24" ht="12.9">
      <c r="T785" s="56" t="e">
        <v>#N/A</v>
      </c>
      <c r="U785" s="56" t="e">
        <v>#REF!</v>
      </c>
      <c r="V785" s="57" t="e">
        <v>#REF!</v>
      </c>
      <c r="W785" s="58" t="e">
        <v>#N/A</v>
      </c>
      <c r="X785" s="56" t="e">
        <v>#N/A</v>
      </c>
    </row>
    <row r="786" spans="20:24" ht="12.9">
      <c r="T786" s="56" t="e">
        <v>#N/A</v>
      </c>
      <c r="U786" s="56" t="e">
        <v>#REF!</v>
      </c>
      <c r="V786" s="57" t="e">
        <v>#REF!</v>
      </c>
      <c r="W786" s="58" t="e">
        <v>#N/A</v>
      </c>
      <c r="X786" s="56" t="e">
        <v>#N/A</v>
      </c>
    </row>
    <row r="787" spans="20:24" ht="12.9">
      <c r="T787" s="56" t="e">
        <v>#N/A</v>
      </c>
      <c r="U787" s="56" t="e">
        <v>#REF!</v>
      </c>
      <c r="V787" s="57" t="e">
        <v>#REF!</v>
      </c>
      <c r="W787" s="58" t="e">
        <v>#N/A</v>
      </c>
      <c r="X787" s="56" t="e">
        <v>#N/A</v>
      </c>
    </row>
    <row r="788" spans="20:24" ht="12.9">
      <c r="T788" s="56" t="e">
        <v>#N/A</v>
      </c>
      <c r="U788" s="56" t="e">
        <v>#REF!</v>
      </c>
      <c r="V788" s="57" t="e">
        <v>#REF!</v>
      </c>
      <c r="W788" s="58" t="e">
        <v>#N/A</v>
      </c>
      <c r="X788" s="56" t="e">
        <v>#N/A</v>
      </c>
    </row>
    <row r="789" spans="20:24" ht="12.9">
      <c r="T789" s="56" t="e">
        <v>#N/A</v>
      </c>
      <c r="U789" s="56" t="e">
        <v>#REF!</v>
      </c>
      <c r="V789" s="57" t="e">
        <v>#REF!</v>
      </c>
      <c r="W789" s="58" t="e">
        <v>#N/A</v>
      </c>
      <c r="X789" s="56" t="e">
        <v>#N/A</v>
      </c>
    </row>
    <row r="790" spans="20:24" ht="12.9">
      <c r="T790" s="56" t="e">
        <v>#N/A</v>
      </c>
      <c r="U790" s="56" t="e">
        <v>#REF!</v>
      </c>
      <c r="V790" s="57" t="e">
        <v>#REF!</v>
      </c>
      <c r="W790" s="58" t="e">
        <v>#N/A</v>
      </c>
      <c r="X790" s="56" t="e">
        <v>#N/A</v>
      </c>
    </row>
    <row r="791" spans="20:24" ht="12.9">
      <c r="T791" s="56" t="e">
        <v>#N/A</v>
      </c>
      <c r="U791" s="56" t="e">
        <v>#REF!</v>
      </c>
      <c r="V791" s="57" t="e">
        <v>#REF!</v>
      </c>
      <c r="W791" s="58" t="e">
        <v>#N/A</v>
      </c>
      <c r="X791" s="56" t="e">
        <v>#N/A</v>
      </c>
    </row>
    <row r="792" spans="20:24" ht="12.9">
      <c r="T792" s="56" t="e">
        <v>#N/A</v>
      </c>
      <c r="U792" s="56" t="e">
        <v>#REF!</v>
      </c>
      <c r="V792" s="57" t="e">
        <v>#REF!</v>
      </c>
      <c r="W792" s="58" t="e">
        <v>#N/A</v>
      </c>
      <c r="X792" s="56" t="e">
        <v>#N/A</v>
      </c>
    </row>
    <row r="793" spans="20:24" ht="12.9">
      <c r="T793" s="56" t="e">
        <v>#N/A</v>
      </c>
      <c r="U793" s="56" t="e">
        <v>#REF!</v>
      </c>
      <c r="V793" s="57" t="e">
        <v>#REF!</v>
      </c>
      <c r="W793" s="58" t="e">
        <v>#N/A</v>
      </c>
      <c r="X793" s="56" t="e">
        <v>#N/A</v>
      </c>
    </row>
    <row r="794" spans="20:24" ht="12.9">
      <c r="T794" s="56" t="e">
        <v>#N/A</v>
      </c>
      <c r="U794" s="56" t="e">
        <v>#REF!</v>
      </c>
      <c r="V794" s="57" t="e">
        <v>#REF!</v>
      </c>
      <c r="W794" s="58" t="e">
        <v>#N/A</v>
      </c>
      <c r="X794" s="56" t="e">
        <v>#N/A</v>
      </c>
    </row>
    <row r="795" spans="20:24" ht="12.9">
      <c r="T795" s="56" t="e">
        <v>#N/A</v>
      </c>
      <c r="U795" s="56" t="e">
        <v>#REF!</v>
      </c>
      <c r="V795" s="57" t="e">
        <v>#REF!</v>
      </c>
      <c r="W795" s="58" t="e">
        <v>#N/A</v>
      </c>
      <c r="X795" s="56" t="e">
        <v>#N/A</v>
      </c>
    </row>
    <row r="796" spans="20:24" ht="12.9">
      <c r="T796" s="56" t="e">
        <v>#N/A</v>
      </c>
      <c r="U796" s="56" t="e">
        <v>#REF!</v>
      </c>
      <c r="V796" s="57" t="e">
        <v>#REF!</v>
      </c>
      <c r="W796" s="58" t="e">
        <v>#N/A</v>
      </c>
      <c r="X796" s="56" t="e">
        <v>#N/A</v>
      </c>
    </row>
    <row r="797" spans="20:24" ht="12.9">
      <c r="T797" s="56" t="e">
        <v>#N/A</v>
      </c>
      <c r="U797" s="56" t="e">
        <v>#REF!</v>
      </c>
      <c r="V797" s="57" t="e">
        <v>#REF!</v>
      </c>
      <c r="W797" s="58" t="e">
        <v>#N/A</v>
      </c>
      <c r="X797" s="56" t="e">
        <v>#N/A</v>
      </c>
    </row>
    <row r="798" spans="20:24" ht="12.9">
      <c r="T798" s="56" t="e">
        <v>#N/A</v>
      </c>
      <c r="U798" s="56" t="e">
        <v>#REF!</v>
      </c>
      <c r="V798" s="57" t="e">
        <v>#REF!</v>
      </c>
      <c r="W798" s="58" t="e">
        <v>#N/A</v>
      </c>
      <c r="X798" s="56" t="e">
        <v>#N/A</v>
      </c>
    </row>
    <row r="799" spans="20:24" ht="12.9">
      <c r="T799" s="56" t="e">
        <v>#N/A</v>
      </c>
      <c r="U799" s="56" t="e">
        <v>#REF!</v>
      </c>
      <c r="V799" s="57" t="e">
        <v>#REF!</v>
      </c>
      <c r="W799" s="58" t="e">
        <v>#N/A</v>
      </c>
      <c r="X799" s="56" t="e">
        <v>#N/A</v>
      </c>
    </row>
    <row r="800" spans="20:24" ht="12.9">
      <c r="T800" s="56" t="e">
        <v>#N/A</v>
      </c>
      <c r="U800" s="56" t="e">
        <v>#REF!</v>
      </c>
      <c r="V800" s="57" t="e">
        <v>#REF!</v>
      </c>
      <c r="W800" s="58" t="e">
        <v>#N/A</v>
      </c>
      <c r="X800" s="56" t="e">
        <v>#N/A</v>
      </c>
    </row>
    <row r="801" spans="20:24" ht="12.9">
      <c r="T801" s="56" t="e">
        <v>#N/A</v>
      </c>
      <c r="U801" s="56" t="e">
        <v>#REF!</v>
      </c>
      <c r="V801" s="57" t="e">
        <v>#REF!</v>
      </c>
      <c r="W801" s="58" t="e">
        <v>#N/A</v>
      </c>
      <c r="X801" s="56" t="e">
        <v>#N/A</v>
      </c>
    </row>
    <row r="802" spans="20:24" ht="12.9">
      <c r="T802" s="56" t="e">
        <v>#N/A</v>
      </c>
      <c r="U802" s="56" t="e">
        <v>#REF!</v>
      </c>
      <c r="V802" s="57" t="e">
        <v>#REF!</v>
      </c>
      <c r="W802" s="58" t="e">
        <v>#N/A</v>
      </c>
      <c r="X802" s="56" t="e">
        <v>#N/A</v>
      </c>
    </row>
    <row r="803" spans="20:24" ht="12.9">
      <c r="T803" s="56" t="e">
        <v>#N/A</v>
      </c>
      <c r="U803" s="56" t="e">
        <v>#REF!</v>
      </c>
      <c r="V803" s="57" t="e">
        <v>#REF!</v>
      </c>
      <c r="W803" s="58" t="e">
        <v>#N/A</v>
      </c>
      <c r="X803" s="56" t="e">
        <v>#N/A</v>
      </c>
    </row>
    <row r="804" spans="20:24" ht="12.9">
      <c r="T804" s="56" t="e">
        <v>#N/A</v>
      </c>
      <c r="U804" s="56" t="e">
        <v>#REF!</v>
      </c>
      <c r="V804" s="57" t="e">
        <v>#REF!</v>
      </c>
      <c r="W804" s="58" t="e">
        <v>#N/A</v>
      </c>
      <c r="X804" s="56" t="e">
        <v>#N/A</v>
      </c>
    </row>
    <row r="805" spans="20:24" ht="12.9">
      <c r="T805" s="56" t="e">
        <v>#N/A</v>
      </c>
      <c r="U805" s="56" t="e">
        <v>#REF!</v>
      </c>
      <c r="V805" s="57" t="e">
        <v>#REF!</v>
      </c>
      <c r="W805" s="58" t="e">
        <v>#N/A</v>
      </c>
      <c r="X805" s="56" t="e">
        <v>#N/A</v>
      </c>
    </row>
    <row r="806" spans="20:24" ht="12.9">
      <c r="T806" s="56" t="e">
        <v>#N/A</v>
      </c>
      <c r="U806" s="56" t="e">
        <v>#REF!</v>
      </c>
      <c r="V806" s="57" t="e">
        <v>#REF!</v>
      </c>
      <c r="W806" s="58" t="e">
        <v>#N/A</v>
      </c>
      <c r="X806" s="56" t="e">
        <v>#N/A</v>
      </c>
    </row>
    <row r="807" spans="20:24" ht="12.9">
      <c r="T807" s="56" t="e">
        <v>#N/A</v>
      </c>
      <c r="U807" s="56" t="e">
        <v>#REF!</v>
      </c>
      <c r="V807" s="57" t="e">
        <v>#REF!</v>
      </c>
      <c r="W807" s="58" t="e">
        <v>#N/A</v>
      </c>
      <c r="X807" s="56" t="e">
        <v>#N/A</v>
      </c>
    </row>
    <row r="808" spans="20:24" ht="12.9">
      <c r="T808" s="56" t="e">
        <v>#N/A</v>
      </c>
      <c r="U808" s="56" t="e">
        <v>#REF!</v>
      </c>
      <c r="V808" s="57" t="e">
        <v>#REF!</v>
      </c>
      <c r="W808" s="58" t="e">
        <v>#N/A</v>
      </c>
      <c r="X808" s="56" t="e">
        <v>#N/A</v>
      </c>
    </row>
    <row r="809" spans="20:24" ht="12.9">
      <c r="T809" s="56" t="e">
        <v>#N/A</v>
      </c>
      <c r="U809" s="56" t="e">
        <v>#REF!</v>
      </c>
      <c r="V809" s="57" t="e">
        <v>#REF!</v>
      </c>
      <c r="W809" s="58" t="e">
        <v>#N/A</v>
      </c>
      <c r="X809" s="56" t="e">
        <v>#N/A</v>
      </c>
    </row>
    <row r="810" spans="20:24" ht="12.9">
      <c r="T810" s="56" t="e">
        <v>#N/A</v>
      </c>
      <c r="U810" s="56" t="e">
        <v>#REF!</v>
      </c>
      <c r="V810" s="57" t="e">
        <v>#REF!</v>
      </c>
      <c r="W810" s="58" t="e">
        <v>#N/A</v>
      </c>
      <c r="X810" s="56" t="e">
        <v>#N/A</v>
      </c>
    </row>
    <row r="811" spans="20:24" ht="12.9">
      <c r="T811" s="56" t="e">
        <v>#N/A</v>
      </c>
      <c r="U811" s="56" t="e">
        <v>#REF!</v>
      </c>
      <c r="V811" s="57" t="e">
        <v>#REF!</v>
      </c>
      <c r="W811" s="58" t="e">
        <v>#N/A</v>
      </c>
      <c r="X811" s="56" t="e">
        <v>#N/A</v>
      </c>
    </row>
    <row r="812" spans="20:24" ht="12.9">
      <c r="T812" s="56" t="e">
        <v>#N/A</v>
      </c>
      <c r="U812" s="56" t="e">
        <v>#REF!</v>
      </c>
      <c r="V812" s="57" t="e">
        <v>#REF!</v>
      </c>
      <c r="W812" s="58" t="e">
        <v>#N/A</v>
      </c>
      <c r="X812" s="56" t="e">
        <v>#N/A</v>
      </c>
    </row>
    <row r="813" spans="20:24" ht="12.9">
      <c r="T813" s="56" t="e">
        <v>#N/A</v>
      </c>
      <c r="U813" s="56" t="e">
        <v>#REF!</v>
      </c>
      <c r="V813" s="57" t="e">
        <v>#REF!</v>
      </c>
      <c r="W813" s="58" t="e">
        <v>#N/A</v>
      </c>
      <c r="X813" s="56" t="e">
        <v>#N/A</v>
      </c>
    </row>
    <row r="814" spans="20:24" ht="12.9">
      <c r="T814" s="56" t="e">
        <v>#N/A</v>
      </c>
      <c r="U814" s="56" t="e">
        <v>#REF!</v>
      </c>
      <c r="V814" s="57" t="e">
        <v>#REF!</v>
      </c>
      <c r="W814" s="58" t="e">
        <v>#N/A</v>
      </c>
      <c r="X814" s="56" t="e">
        <v>#N/A</v>
      </c>
    </row>
    <row r="815" spans="20:24" ht="12.9">
      <c r="T815" s="56" t="e">
        <v>#N/A</v>
      </c>
      <c r="U815" s="56" t="e">
        <v>#REF!</v>
      </c>
      <c r="V815" s="57" t="e">
        <v>#REF!</v>
      </c>
      <c r="W815" s="58" t="e">
        <v>#N/A</v>
      </c>
      <c r="X815" s="56" t="e">
        <v>#N/A</v>
      </c>
    </row>
    <row r="816" spans="20:24" ht="12.9">
      <c r="T816" s="56" t="e">
        <v>#N/A</v>
      </c>
      <c r="U816" s="56" t="e">
        <v>#REF!</v>
      </c>
      <c r="V816" s="57" t="e">
        <v>#REF!</v>
      </c>
      <c r="W816" s="58" t="e">
        <v>#N/A</v>
      </c>
      <c r="X816" s="56" t="e">
        <v>#N/A</v>
      </c>
    </row>
    <row r="817" spans="20:24" ht="12.9">
      <c r="T817" s="56" t="e">
        <v>#N/A</v>
      </c>
      <c r="U817" s="56" t="e">
        <v>#REF!</v>
      </c>
      <c r="V817" s="57" t="e">
        <v>#REF!</v>
      </c>
      <c r="W817" s="58" t="e">
        <v>#N/A</v>
      </c>
      <c r="X817" s="56" t="e">
        <v>#N/A</v>
      </c>
    </row>
    <row r="818" spans="20:24" ht="12.9">
      <c r="T818" s="56" t="e">
        <v>#N/A</v>
      </c>
      <c r="U818" s="56" t="e">
        <v>#REF!</v>
      </c>
      <c r="V818" s="57" t="e">
        <v>#REF!</v>
      </c>
      <c r="W818" s="58" t="e">
        <v>#N/A</v>
      </c>
      <c r="X818" s="56" t="e">
        <v>#N/A</v>
      </c>
    </row>
    <row r="819" spans="20:24" ht="12.9">
      <c r="T819" s="56" t="e">
        <v>#N/A</v>
      </c>
      <c r="U819" s="56" t="e">
        <v>#REF!</v>
      </c>
      <c r="V819" s="57" t="e">
        <v>#REF!</v>
      </c>
      <c r="W819" s="58" t="e">
        <v>#N/A</v>
      </c>
      <c r="X819" s="56" t="e">
        <v>#N/A</v>
      </c>
    </row>
    <row r="820" spans="20:24" ht="12.9">
      <c r="T820" s="56" t="e">
        <v>#N/A</v>
      </c>
      <c r="U820" s="56" t="e">
        <v>#REF!</v>
      </c>
      <c r="V820" s="57" t="e">
        <v>#REF!</v>
      </c>
      <c r="W820" s="58" t="e">
        <v>#N/A</v>
      </c>
      <c r="X820" s="56" t="e">
        <v>#N/A</v>
      </c>
    </row>
    <row r="821" spans="20:24" ht="12.9">
      <c r="T821" s="56" t="e">
        <v>#N/A</v>
      </c>
      <c r="U821" s="56" t="e">
        <v>#REF!</v>
      </c>
      <c r="V821" s="57" t="e">
        <v>#REF!</v>
      </c>
      <c r="W821" s="58" t="e">
        <v>#N/A</v>
      </c>
      <c r="X821" s="56" t="e">
        <v>#N/A</v>
      </c>
    </row>
    <row r="822" spans="20:24" ht="12.9">
      <c r="T822" s="56" t="e">
        <v>#N/A</v>
      </c>
      <c r="U822" s="56" t="e">
        <v>#REF!</v>
      </c>
      <c r="V822" s="57" t="e">
        <v>#REF!</v>
      </c>
      <c r="W822" s="58" t="e">
        <v>#N/A</v>
      </c>
      <c r="X822" s="56" t="e">
        <v>#N/A</v>
      </c>
    </row>
    <row r="823" spans="20:24" ht="12.9">
      <c r="T823" s="56" t="e">
        <v>#N/A</v>
      </c>
      <c r="U823" s="56" t="e">
        <v>#REF!</v>
      </c>
      <c r="V823" s="57" t="e">
        <v>#REF!</v>
      </c>
      <c r="W823" s="58" t="e">
        <v>#N/A</v>
      </c>
      <c r="X823" s="56" t="e">
        <v>#N/A</v>
      </c>
    </row>
    <row r="824" spans="20:24" ht="12.9">
      <c r="T824" s="56" t="e">
        <v>#N/A</v>
      </c>
      <c r="U824" s="56" t="e">
        <v>#REF!</v>
      </c>
      <c r="V824" s="57" t="e">
        <v>#REF!</v>
      </c>
      <c r="W824" s="58" t="e">
        <v>#N/A</v>
      </c>
      <c r="X824" s="56" t="e">
        <v>#N/A</v>
      </c>
    </row>
    <row r="825" spans="20:24" ht="12.9">
      <c r="T825" s="56" t="e">
        <v>#N/A</v>
      </c>
      <c r="U825" s="56" t="e">
        <v>#REF!</v>
      </c>
      <c r="V825" s="57" t="e">
        <v>#REF!</v>
      </c>
      <c r="W825" s="58" t="e">
        <v>#N/A</v>
      </c>
      <c r="X825" s="56" t="e">
        <v>#N/A</v>
      </c>
    </row>
    <row r="826" spans="20:24" ht="12.9">
      <c r="T826" s="56" t="e">
        <v>#N/A</v>
      </c>
      <c r="U826" s="56" t="e">
        <v>#REF!</v>
      </c>
      <c r="V826" s="57" t="e">
        <v>#REF!</v>
      </c>
      <c r="W826" s="58" t="e">
        <v>#N/A</v>
      </c>
      <c r="X826" s="56" t="e">
        <v>#N/A</v>
      </c>
    </row>
    <row r="827" spans="20:24" ht="12.9">
      <c r="T827" s="56" t="e">
        <v>#N/A</v>
      </c>
      <c r="U827" s="56" t="e">
        <v>#REF!</v>
      </c>
      <c r="V827" s="57" t="e">
        <v>#REF!</v>
      </c>
      <c r="W827" s="58" t="e">
        <v>#N/A</v>
      </c>
      <c r="X827" s="56" t="e">
        <v>#N/A</v>
      </c>
    </row>
    <row r="828" spans="20:24" ht="12.9">
      <c r="T828" s="56" t="e">
        <v>#N/A</v>
      </c>
      <c r="U828" s="56" t="e">
        <v>#REF!</v>
      </c>
      <c r="V828" s="57" t="e">
        <v>#REF!</v>
      </c>
      <c r="W828" s="58" t="e">
        <v>#N/A</v>
      </c>
      <c r="X828" s="56" t="e">
        <v>#N/A</v>
      </c>
    </row>
    <row r="829" spans="20:24" ht="12.9">
      <c r="T829" s="56" t="e">
        <v>#N/A</v>
      </c>
      <c r="U829" s="56" t="e">
        <v>#REF!</v>
      </c>
      <c r="V829" s="57" t="e">
        <v>#REF!</v>
      </c>
      <c r="W829" s="58" t="e">
        <v>#N/A</v>
      </c>
      <c r="X829" s="56" t="e">
        <v>#N/A</v>
      </c>
    </row>
    <row r="830" spans="20:24" ht="12.9">
      <c r="T830" s="56" t="e">
        <v>#N/A</v>
      </c>
      <c r="U830" s="56" t="e">
        <v>#REF!</v>
      </c>
      <c r="V830" s="57" t="e">
        <v>#REF!</v>
      </c>
      <c r="W830" s="58" t="e">
        <v>#N/A</v>
      </c>
      <c r="X830" s="56" t="e">
        <v>#N/A</v>
      </c>
    </row>
    <row r="831" spans="20:24" ht="12.9">
      <c r="T831" s="56" t="e">
        <v>#N/A</v>
      </c>
      <c r="U831" s="56" t="e">
        <v>#REF!</v>
      </c>
      <c r="V831" s="57" t="e">
        <v>#REF!</v>
      </c>
      <c r="W831" s="58" t="e">
        <v>#N/A</v>
      </c>
      <c r="X831" s="56" t="e">
        <v>#N/A</v>
      </c>
    </row>
    <row r="832" spans="20:24" ht="12.9">
      <c r="T832" s="56" t="e">
        <v>#N/A</v>
      </c>
      <c r="U832" s="56" t="e">
        <v>#REF!</v>
      </c>
      <c r="V832" s="57" t="e">
        <v>#REF!</v>
      </c>
      <c r="W832" s="58" t="e">
        <v>#N/A</v>
      </c>
      <c r="X832" s="56" t="e">
        <v>#N/A</v>
      </c>
    </row>
    <row r="833" spans="20:24" ht="12.9">
      <c r="T833" s="56" t="e">
        <v>#N/A</v>
      </c>
      <c r="U833" s="56" t="e">
        <v>#REF!</v>
      </c>
      <c r="V833" s="57" t="e">
        <v>#REF!</v>
      </c>
      <c r="W833" s="58" t="e">
        <v>#N/A</v>
      </c>
      <c r="X833" s="56" t="e">
        <v>#N/A</v>
      </c>
    </row>
    <row r="834" spans="20:24" ht="12.9">
      <c r="T834" s="56" t="e">
        <v>#N/A</v>
      </c>
      <c r="U834" s="56" t="e">
        <v>#REF!</v>
      </c>
      <c r="V834" s="57" t="e">
        <v>#REF!</v>
      </c>
      <c r="W834" s="58" t="e">
        <v>#N/A</v>
      </c>
      <c r="X834" s="56" t="e">
        <v>#N/A</v>
      </c>
    </row>
    <row r="835" spans="20:24" ht="12.9">
      <c r="T835" s="56" t="e">
        <v>#N/A</v>
      </c>
      <c r="U835" s="56" t="e">
        <v>#REF!</v>
      </c>
      <c r="V835" s="57" t="e">
        <v>#REF!</v>
      </c>
      <c r="W835" s="58" t="e">
        <v>#N/A</v>
      </c>
      <c r="X835" s="56" t="e">
        <v>#N/A</v>
      </c>
    </row>
    <row r="836" spans="20:24" ht="12.9">
      <c r="T836" s="56" t="e">
        <v>#N/A</v>
      </c>
      <c r="U836" s="56" t="e">
        <v>#REF!</v>
      </c>
      <c r="V836" s="57" t="e">
        <v>#REF!</v>
      </c>
      <c r="W836" s="58" t="e">
        <v>#N/A</v>
      </c>
      <c r="X836" s="56" t="e">
        <v>#N/A</v>
      </c>
    </row>
    <row r="837" spans="20:24" ht="12.9">
      <c r="T837" s="56" t="e">
        <v>#N/A</v>
      </c>
      <c r="U837" s="56" t="e">
        <v>#REF!</v>
      </c>
      <c r="V837" s="57" t="e">
        <v>#REF!</v>
      </c>
      <c r="W837" s="58" t="e">
        <v>#N/A</v>
      </c>
      <c r="X837" s="56" t="e">
        <v>#N/A</v>
      </c>
    </row>
    <row r="838" spans="20:24" ht="12.9">
      <c r="T838" s="56" t="e">
        <v>#N/A</v>
      </c>
      <c r="U838" s="56" t="e">
        <v>#REF!</v>
      </c>
      <c r="V838" s="57" t="e">
        <v>#REF!</v>
      </c>
      <c r="W838" s="58" t="e">
        <v>#N/A</v>
      </c>
      <c r="X838" s="56" t="e">
        <v>#N/A</v>
      </c>
    </row>
    <row r="839" spans="20:24" ht="12.9">
      <c r="T839" s="56" t="e">
        <v>#N/A</v>
      </c>
      <c r="U839" s="56" t="e">
        <v>#REF!</v>
      </c>
      <c r="V839" s="57" t="e">
        <v>#REF!</v>
      </c>
      <c r="W839" s="58" t="e">
        <v>#N/A</v>
      </c>
      <c r="X839" s="56" t="e">
        <v>#N/A</v>
      </c>
    </row>
    <row r="840" spans="20:24" ht="12.9">
      <c r="T840" s="56" t="e">
        <v>#N/A</v>
      </c>
      <c r="U840" s="56" t="e">
        <v>#REF!</v>
      </c>
      <c r="V840" s="57" t="e">
        <v>#REF!</v>
      </c>
      <c r="W840" s="58" t="e">
        <v>#N/A</v>
      </c>
      <c r="X840" s="56" t="e">
        <v>#N/A</v>
      </c>
    </row>
    <row r="841" spans="20:24" ht="12.9">
      <c r="T841" s="56" t="e">
        <v>#N/A</v>
      </c>
      <c r="U841" s="56" t="e">
        <v>#REF!</v>
      </c>
      <c r="V841" s="57" t="e">
        <v>#REF!</v>
      </c>
      <c r="W841" s="58" t="e">
        <v>#N/A</v>
      </c>
      <c r="X841" s="56" t="e">
        <v>#N/A</v>
      </c>
    </row>
    <row r="842" spans="20:24" ht="12.9">
      <c r="T842" s="56" t="e">
        <v>#N/A</v>
      </c>
      <c r="U842" s="56" t="e">
        <v>#REF!</v>
      </c>
      <c r="V842" s="57" t="e">
        <v>#REF!</v>
      </c>
      <c r="W842" s="58" t="e">
        <v>#N/A</v>
      </c>
      <c r="X842" s="56" t="e">
        <v>#N/A</v>
      </c>
    </row>
    <row r="843" spans="20:24" ht="12.9">
      <c r="T843" s="56" t="e">
        <v>#N/A</v>
      </c>
      <c r="U843" s="56" t="e">
        <v>#REF!</v>
      </c>
      <c r="V843" s="57" t="e">
        <v>#REF!</v>
      </c>
      <c r="W843" s="58" t="e">
        <v>#N/A</v>
      </c>
      <c r="X843" s="56" t="e">
        <v>#N/A</v>
      </c>
    </row>
    <row r="844" spans="20:24" ht="12.9">
      <c r="T844" s="56" t="e">
        <v>#N/A</v>
      </c>
      <c r="U844" s="56" t="e">
        <v>#REF!</v>
      </c>
      <c r="V844" s="57" t="e">
        <v>#REF!</v>
      </c>
      <c r="W844" s="58" t="e">
        <v>#N/A</v>
      </c>
      <c r="X844" s="56" t="e">
        <v>#N/A</v>
      </c>
    </row>
    <row r="845" spans="20:24" ht="12.9">
      <c r="T845" s="56" t="e">
        <v>#N/A</v>
      </c>
      <c r="U845" s="56" t="e">
        <v>#REF!</v>
      </c>
      <c r="V845" s="57" t="e">
        <v>#REF!</v>
      </c>
      <c r="W845" s="58" t="e">
        <v>#N/A</v>
      </c>
      <c r="X845" s="56" t="e">
        <v>#N/A</v>
      </c>
    </row>
    <row r="846" spans="20:24" ht="12.9">
      <c r="T846" s="56" t="e">
        <v>#N/A</v>
      </c>
      <c r="U846" s="56" t="e">
        <v>#REF!</v>
      </c>
      <c r="V846" s="57" t="e">
        <v>#REF!</v>
      </c>
      <c r="W846" s="58" t="e">
        <v>#N/A</v>
      </c>
      <c r="X846" s="56" t="e">
        <v>#N/A</v>
      </c>
    </row>
    <row r="847" spans="20:24" ht="12.9">
      <c r="T847" s="56" t="e">
        <v>#N/A</v>
      </c>
      <c r="U847" s="56" t="e">
        <v>#REF!</v>
      </c>
      <c r="V847" s="57" t="e">
        <v>#REF!</v>
      </c>
      <c r="W847" s="58" t="e">
        <v>#N/A</v>
      </c>
      <c r="X847" s="56" t="e">
        <v>#N/A</v>
      </c>
    </row>
    <row r="848" spans="20:24" ht="12.9">
      <c r="T848" s="56" t="e">
        <v>#N/A</v>
      </c>
      <c r="U848" s="56" t="e">
        <v>#REF!</v>
      </c>
      <c r="V848" s="57" t="e">
        <v>#REF!</v>
      </c>
      <c r="W848" s="58" t="e">
        <v>#N/A</v>
      </c>
      <c r="X848" s="56" t="e">
        <v>#N/A</v>
      </c>
    </row>
    <row r="849" spans="20:24" ht="12.9">
      <c r="T849" s="56" t="e">
        <v>#N/A</v>
      </c>
      <c r="U849" s="56" t="e">
        <v>#REF!</v>
      </c>
      <c r="V849" s="57" t="e">
        <v>#REF!</v>
      </c>
      <c r="W849" s="58" t="e">
        <v>#N/A</v>
      </c>
      <c r="X849" s="56" t="e">
        <v>#N/A</v>
      </c>
    </row>
    <row r="850" spans="20:24" ht="12.9">
      <c r="T850" s="56" t="e">
        <v>#N/A</v>
      </c>
      <c r="U850" s="56" t="e">
        <v>#REF!</v>
      </c>
      <c r="V850" s="57" t="e">
        <v>#REF!</v>
      </c>
      <c r="W850" s="58" t="e">
        <v>#N/A</v>
      </c>
      <c r="X850" s="56" t="e">
        <v>#N/A</v>
      </c>
    </row>
    <row r="851" spans="20:24" ht="12.9">
      <c r="T851" s="56" t="e">
        <v>#N/A</v>
      </c>
      <c r="U851" s="56" t="e">
        <v>#REF!</v>
      </c>
      <c r="V851" s="57" t="e">
        <v>#REF!</v>
      </c>
      <c r="W851" s="58" t="e">
        <v>#N/A</v>
      </c>
      <c r="X851" s="56" t="e">
        <v>#N/A</v>
      </c>
    </row>
    <row r="852" spans="20:24" ht="12.9">
      <c r="T852" s="56" t="e">
        <v>#N/A</v>
      </c>
      <c r="U852" s="56" t="e">
        <v>#REF!</v>
      </c>
      <c r="V852" s="57" t="e">
        <v>#REF!</v>
      </c>
      <c r="W852" s="58" t="e">
        <v>#N/A</v>
      </c>
      <c r="X852" s="56" t="e">
        <v>#N/A</v>
      </c>
    </row>
    <row r="853" spans="20:24" ht="12.9">
      <c r="T853" s="56" t="e">
        <v>#N/A</v>
      </c>
      <c r="U853" s="56" t="e">
        <v>#REF!</v>
      </c>
      <c r="V853" s="57" t="e">
        <v>#REF!</v>
      </c>
      <c r="W853" s="58" t="e">
        <v>#N/A</v>
      </c>
      <c r="X853" s="56" t="e">
        <v>#N/A</v>
      </c>
    </row>
    <row r="854" spans="20:24" ht="12.9">
      <c r="T854" s="56" t="e">
        <v>#N/A</v>
      </c>
      <c r="U854" s="56" t="e">
        <v>#REF!</v>
      </c>
      <c r="V854" s="57" t="e">
        <v>#REF!</v>
      </c>
      <c r="W854" s="58" t="e">
        <v>#N/A</v>
      </c>
      <c r="X854" s="56" t="e">
        <v>#N/A</v>
      </c>
    </row>
    <row r="855" spans="20:24" ht="12.9">
      <c r="T855" s="56" t="e">
        <v>#N/A</v>
      </c>
      <c r="U855" s="56" t="e">
        <v>#REF!</v>
      </c>
      <c r="V855" s="57" t="e">
        <v>#REF!</v>
      </c>
      <c r="W855" s="58" t="e">
        <v>#N/A</v>
      </c>
      <c r="X855" s="56" t="e">
        <v>#N/A</v>
      </c>
    </row>
    <row r="856" spans="20:24" ht="12.9">
      <c r="T856" s="56" t="e">
        <v>#N/A</v>
      </c>
      <c r="U856" s="56" t="e">
        <v>#REF!</v>
      </c>
      <c r="V856" s="57" t="e">
        <v>#REF!</v>
      </c>
      <c r="W856" s="58" t="e">
        <v>#N/A</v>
      </c>
      <c r="X856" s="56" t="e">
        <v>#N/A</v>
      </c>
    </row>
    <row r="857" spans="20:24" ht="12.9">
      <c r="T857" s="56" t="e">
        <v>#N/A</v>
      </c>
      <c r="U857" s="56" t="e">
        <v>#REF!</v>
      </c>
      <c r="V857" s="57" t="e">
        <v>#REF!</v>
      </c>
      <c r="W857" s="58" t="e">
        <v>#N/A</v>
      </c>
      <c r="X857" s="56" t="e">
        <v>#N/A</v>
      </c>
    </row>
    <row r="858" spans="20:24" ht="12.9">
      <c r="T858" s="56" t="e">
        <v>#N/A</v>
      </c>
      <c r="U858" s="56" t="e">
        <v>#REF!</v>
      </c>
      <c r="V858" s="57" t="e">
        <v>#REF!</v>
      </c>
      <c r="W858" s="58" t="e">
        <v>#N/A</v>
      </c>
      <c r="X858" s="56" t="e">
        <v>#N/A</v>
      </c>
    </row>
    <row r="859" spans="20:24" ht="12.9">
      <c r="T859" s="56" t="e">
        <v>#N/A</v>
      </c>
      <c r="U859" s="56" t="e">
        <v>#REF!</v>
      </c>
      <c r="V859" s="57" t="e">
        <v>#REF!</v>
      </c>
      <c r="W859" s="58" t="e">
        <v>#N/A</v>
      </c>
      <c r="X859" s="56" t="e">
        <v>#N/A</v>
      </c>
    </row>
    <row r="860" spans="20:24" ht="12.9">
      <c r="T860" s="56" t="e">
        <v>#N/A</v>
      </c>
      <c r="U860" s="56" t="e">
        <v>#REF!</v>
      </c>
      <c r="V860" s="57" t="e">
        <v>#REF!</v>
      </c>
      <c r="W860" s="58" t="e">
        <v>#N/A</v>
      </c>
      <c r="X860" s="56" t="e">
        <v>#N/A</v>
      </c>
    </row>
    <row r="861" spans="20:24" ht="12.9">
      <c r="T861" s="56" t="e">
        <v>#N/A</v>
      </c>
      <c r="U861" s="56" t="e">
        <v>#REF!</v>
      </c>
      <c r="V861" s="57" t="e">
        <v>#REF!</v>
      </c>
      <c r="W861" s="58" t="e">
        <v>#N/A</v>
      </c>
      <c r="X861" s="56" t="e">
        <v>#N/A</v>
      </c>
    </row>
    <row r="862" spans="20:24" ht="12.9">
      <c r="T862" s="56" t="e">
        <v>#N/A</v>
      </c>
      <c r="U862" s="56" t="e">
        <v>#REF!</v>
      </c>
      <c r="V862" s="57" t="e">
        <v>#REF!</v>
      </c>
      <c r="W862" s="58" t="e">
        <v>#N/A</v>
      </c>
      <c r="X862" s="56" t="e">
        <v>#N/A</v>
      </c>
    </row>
    <row r="863" spans="20:24" ht="12.9">
      <c r="T863" s="56" t="e">
        <v>#N/A</v>
      </c>
      <c r="U863" s="56" t="e">
        <v>#REF!</v>
      </c>
      <c r="V863" s="57" t="e">
        <v>#REF!</v>
      </c>
      <c r="W863" s="58" t="e">
        <v>#N/A</v>
      </c>
      <c r="X863" s="56" t="e">
        <v>#N/A</v>
      </c>
    </row>
    <row r="864" spans="20:24" ht="12.9">
      <c r="T864" s="56" t="e">
        <v>#N/A</v>
      </c>
      <c r="U864" s="56" t="e">
        <v>#REF!</v>
      </c>
      <c r="V864" s="57" t="e">
        <v>#REF!</v>
      </c>
      <c r="W864" s="58" t="e">
        <v>#N/A</v>
      </c>
      <c r="X864" s="56" t="e">
        <v>#N/A</v>
      </c>
    </row>
    <row r="865" spans="20:24" ht="12.9">
      <c r="T865" s="56" t="e">
        <v>#N/A</v>
      </c>
      <c r="U865" s="56" t="e">
        <v>#REF!</v>
      </c>
      <c r="V865" s="57" t="e">
        <v>#REF!</v>
      </c>
      <c r="W865" s="58" t="e">
        <v>#N/A</v>
      </c>
      <c r="X865" s="56" t="e">
        <v>#N/A</v>
      </c>
    </row>
    <row r="866" spans="20:24" ht="12.9">
      <c r="T866" s="56" t="e">
        <v>#N/A</v>
      </c>
      <c r="U866" s="56" t="e">
        <v>#REF!</v>
      </c>
      <c r="V866" s="57" t="e">
        <v>#REF!</v>
      </c>
      <c r="W866" s="58" t="e">
        <v>#N/A</v>
      </c>
      <c r="X866" s="56" t="e">
        <v>#N/A</v>
      </c>
    </row>
    <row r="867" spans="20:24" ht="12.9">
      <c r="T867" s="56" t="e">
        <v>#N/A</v>
      </c>
      <c r="U867" s="56" t="e">
        <v>#REF!</v>
      </c>
      <c r="V867" s="57" t="e">
        <v>#REF!</v>
      </c>
      <c r="W867" s="58" t="e">
        <v>#N/A</v>
      </c>
      <c r="X867" s="56" t="e">
        <v>#N/A</v>
      </c>
    </row>
    <row r="868" spans="20:24" ht="12.9">
      <c r="T868" s="56" t="e">
        <v>#N/A</v>
      </c>
      <c r="U868" s="56" t="e">
        <v>#REF!</v>
      </c>
      <c r="V868" s="57" t="e">
        <v>#REF!</v>
      </c>
      <c r="W868" s="58" t="e">
        <v>#N/A</v>
      </c>
      <c r="X868" s="56" t="e">
        <v>#N/A</v>
      </c>
    </row>
    <row r="869" spans="20:24" ht="12.9">
      <c r="T869" s="56" t="e">
        <v>#N/A</v>
      </c>
      <c r="U869" s="56" t="e">
        <v>#REF!</v>
      </c>
      <c r="V869" s="57" t="e">
        <v>#REF!</v>
      </c>
      <c r="W869" s="58" t="e">
        <v>#N/A</v>
      </c>
      <c r="X869" s="56" t="e">
        <v>#N/A</v>
      </c>
    </row>
    <row r="870" spans="20:24" ht="12.9">
      <c r="T870" s="56" t="e">
        <v>#N/A</v>
      </c>
      <c r="U870" s="56" t="e">
        <v>#REF!</v>
      </c>
      <c r="V870" s="57" t="e">
        <v>#REF!</v>
      </c>
      <c r="W870" s="58" t="e">
        <v>#N/A</v>
      </c>
      <c r="X870" s="56" t="e">
        <v>#N/A</v>
      </c>
    </row>
    <row r="871" spans="20:24" ht="12.9">
      <c r="T871" s="56" t="e">
        <v>#N/A</v>
      </c>
      <c r="U871" s="56" t="e">
        <v>#REF!</v>
      </c>
      <c r="V871" s="57" t="e">
        <v>#REF!</v>
      </c>
      <c r="W871" s="58" t="e">
        <v>#N/A</v>
      </c>
      <c r="X871" s="56" t="e">
        <v>#N/A</v>
      </c>
    </row>
    <row r="872" spans="20:24" ht="12.9">
      <c r="T872" s="56" t="e">
        <v>#N/A</v>
      </c>
      <c r="U872" s="56" t="e">
        <v>#REF!</v>
      </c>
      <c r="V872" s="57" t="e">
        <v>#REF!</v>
      </c>
      <c r="W872" s="58" t="e">
        <v>#N/A</v>
      </c>
      <c r="X872" s="56" t="e">
        <v>#N/A</v>
      </c>
    </row>
    <row r="873" spans="20:24" ht="12.9">
      <c r="T873" s="56" t="e">
        <v>#N/A</v>
      </c>
      <c r="U873" s="56" t="e">
        <v>#REF!</v>
      </c>
      <c r="V873" s="57" t="e">
        <v>#REF!</v>
      </c>
      <c r="W873" s="58" t="e">
        <v>#N/A</v>
      </c>
      <c r="X873" s="56" t="e">
        <v>#N/A</v>
      </c>
    </row>
    <row r="874" spans="20:24" ht="12.9">
      <c r="T874" s="56" t="e">
        <v>#N/A</v>
      </c>
      <c r="U874" s="56" t="e">
        <v>#REF!</v>
      </c>
      <c r="V874" s="57" t="e">
        <v>#REF!</v>
      </c>
      <c r="W874" s="58" t="e">
        <v>#N/A</v>
      </c>
      <c r="X874" s="56" t="e">
        <v>#N/A</v>
      </c>
    </row>
    <row r="875" spans="20:24" ht="12.9">
      <c r="T875" s="56" t="e">
        <v>#N/A</v>
      </c>
      <c r="U875" s="56" t="e">
        <v>#REF!</v>
      </c>
      <c r="V875" s="57" t="e">
        <v>#REF!</v>
      </c>
      <c r="W875" s="58" t="e">
        <v>#N/A</v>
      </c>
      <c r="X875" s="56" t="e">
        <v>#N/A</v>
      </c>
    </row>
    <row r="876" spans="20:24" ht="12.9">
      <c r="T876" s="56" t="e">
        <v>#N/A</v>
      </c>
      <c r="U876" s="56" t="e">
        <v>#REF!</v>
      </c>
      <c r="V876" s="57" t="e">
        <v>#REF!</v>
      </c>
      <c r="W876" s="58" t="e">
        <v>#N/A</v>
      </c>
      <c r="X876" s="56" t="e">
        <v>#N/A</v>
      </c>
    </row>
    <row r="877" spans="20:24" ht="12.9">
      <c r="T877" s="56" t="e">
        <v>#N/A</v>
      </c>
      <c r="U877" s="56" t="e">
        <v>#REF!</v>
      </c>
      <c r="V877" s="57" t="e">
        <v>#REF!</v>
      </c>
      <c r="W877" s="58" t="e">
        <v>#N/A</v>
      </c>
      <c r="X877" s="56" t="e">
        <v>#N/A</v>
      </c>
    </row>
    <row r="878" spans="20:24" ht="12.9">
      <c r="T878" s="56" t="e">
        <v>#N/A</v>
      </c>
      <c r="U878" s="56" t="e">
        <v>#REF!</v>
      </c>
      <c r="V878" s="57" t="e">
        <v>#REF!</v>
      </c>
      <c r="W878" s="58" t="e">
        <v>#N/A</v>
      </c>
      <c r="X878" s="56" t="e">
        <v>#N/A</v>
      </c>
    </row>
    <row r="879" spans="20:24" ht="12.9">
      <c r="T879" s="56" t="e">
        <v>#N/A</v>
      </c>
      <c r="U879" s="56" t="e">
        <v>#REF!</v>
      </c>
      <c r="V879" s="57" t="e">
        <v>#REF!</v>
      </c>
      <c r="W879" s="58" t="e">
        <v>#N/A</v>
      </c>
      <c r="X879" s="56" t="e">
        <v>#N/A</v>
      </c>
    </row>
    <row r="880" spans="20:24" ht="12.9">
      <c r="T880" s="56" t="e">
        <v>#N/A</v>
      </c>
      <c r="U880" s="56" t="e">
        <v>#REF!</v>
      </c>
      <c r="V880" s="57" t="e">
        <v>#REF!</v>
      </c>
      <c r="W880" s="58" t="e">
        <v>#N/A</v>
      </c>
      <c r="X880" s="56" t="e">
        <v>#N/A</v>
      </c>
    </row>
    <row r="881" spans="20:24" ht="12.9">
      <c r="T881" s="56" t="e">
        <v>#N/A</v>
      </c>
      <c r="U881" s="56" t="e">
        <v>#REF!</v>
      </c>
      <c r="V881" s="57" t="e">
        <v>#REF!</v>
      </c>
      <c r="W881" s="58" t="e">
        <v>#N/A</v>
      </c>
      <c r="X881" s="56" t="e">
        <v>#N/A</v>
      </c>
    </row>
    <row r="882" spans="20:24" ht="12.9">
      <c r="T882" s="56" t="e">
        <v>#N/A</v>
      </c>
      <c r="U882" s="56" t="e">
        <v>#REF!</v>
      </c>
      <c r="V882" s="57" t="e">
        <v>#REF!</v>
      </c>
      <c r="W882" s="58" t="e">
        <v>#N/A</v>
      </c>
      <c r="X882" s="56" t="e">
        <v>#N/A</v>
      </c>
    </row>
    <row r="883" spans="20:24" ht="12.9">
      <c r="T883" s="56" t="e">
        <v>#N/A</v>
      </c>
      <c r="U883" s="56" t="e">
        <v>#REF!</v>
      </c>
      <c r="V883" s="57" t="e">
        <v>#REF!</v>
      </c>
      <c r="W883" s="58" t="e">
        <v>#N/A</v>
      </c>
      <c r="X883" s="56" t="e">
        <v>#N/A</v>
      </c>
    </row>
    <row r="884" spans="20:24" ht="12.9">
      <c r="T884" s="56" t="e">
        <v>#N/A</v>
      </c>
      <c r="U884" s="56" t="e">
        <v>#REF!</v>
      </c>
      <c r="V884" s="57" t="e">
        <v>#REF!</v>
      </c>
      <c r="W884" s="58" t="e">
        <v>#N/A</v>
      </c>
      <c r="X884" s="56" t="e">
        <v>#N/A</v>
      </c>
    </row>
    <row r="885" spans="20:24" ht="12.9">
      <c r="T885" s="56" t="e">
        <v>#N/A</v>
      </c>
      <c r="U885" s="56" t="e">
        <v>#REF!</v>
      </c>
      <c r="V885" s="57" t="e">
        <v>#REF!</v>
      </c>
      <c r="W885" s="58" t="e">
        <v>#N/A</v>
      </c>
      <c r="X885" s="56" t="e">
        <v>#N/A</v>
      </c>
    </row>
    <row r="886" spans="20:24" ht="12.9">
      <c r="T886" s="56" t="e">
        <v>#N/A</v>
      </c>
      <c r="U886" s="56" t="e">
        <v>#REF!</v>
      </c>
      <c r="V886" s="57" t="e">
        <v>#REF!</v>
      </c>
      <c r="W886" s="58" t="e">
        <v>#N/A</v>
      </c>
      <c r="X886" s="56" t="e">
        <v>#N/A</v>
      </c>
    </row>
    <row r="887" spans="20:24" ht="12.9">
      <c r="T887" s="56" t="e">
        <v>#N/A</v>
      </c>
      <c r="U887" s="56" t="e">
        <v>#REF!</v>
      </c>
      <c r="V887" s="57" t="e">
        <v>#REF!</v>
      </c>
      <c r="W887" s="58" t="e">
        <v>#N/A</v>
      </c>
      <c r="X887" s="56" t="e">
        <v>#N/A</v>
      </c>
    </row>
    <row r="888" spans="20:24" ht="12.9">
      <c r="T888" s="56" t="e">
        <v>#N/A</v>
      </c>
      <c r="U888" s="56" t="e">
        <v>#REF!</v>
      </c>
      <c r="V888" s="57" t="e">
        <v>#REF!</v>
      </c>
      <c r="W888" s="58" t="e">
        <v>#N/A</v>
      </c>
      <c r="X888" s="56" t="e">
        <v>#N/A</v>
      </c>
    </row>
    <row r="889" spans="20:24" ht="12.9">
      <c r="T889" s="56" t="e">
        <v>#N/A</v>
      </c>
      <c r="U889" s="56" t="e">
        <v>#REF!</v>
      </c>
      <c r="V889" s="57" t="e">
        <v>#REF!</v>
      </c>
      <c r="W889" s="58" t="e">
        <v>#N/A</v>
      </c>
      <c r="X889" s="56" t="e">
        <v>#N/A</v>
      </c>
    </row>
    <row r="890" spans="20:24" ht="12.9">
      <c r="T890" s="56" t="e">
        <v>#N/A</v>
      </c>
      <c r="U890" s="56" t="e">
        <v>#REF!</v>
      </c>
      <c r="V890" s="57" t="e">
        <v>#REF!</v>
      </c>
      <c r="W890" s="58" t="e">
        <v>#N/A</v>
      </c>
      <c r="X890" s="56" t="e">
        <v>#N/A</v>
      </c>
    </row>
    <row r="891" spans="20:24" ht="12.9">
      <c r="T891" s="56" t="e">
        <v>#N/A</v>
      </c>
      <c r="U891" s="56" t="e">
        <v>#REF!</v>
      </c>
      <c r="V891" s="57" t="e">
        <v>#REF!</v>
      </c>
      <c r="W891" s="58" t="e">
        <v>#N/A</v>
      </c>
      <c r="X891" s="56" t="e">
        <v>#N/A</v>
      </c>
    </row>
    <row r="892" spans="20:24" ht="12.9">
      <c r="T892" s="56" t="e">
        <v>#N/A</v>
      </c>
      <c r="U892" s="56" t="e">
        <v>#REF!</v>
      </c>
      <c r="V892" s="57" t="e">
        <v>#REF!</v>
      </c>
      <c r="W892" s="58" t="e">
        <v>#N/A</v>
      </c>
      <c r="X892" s="56" t="e">
        <v>#N/A</v>
      </c>
    </row>
    <row r="893" spans="20:24" ht="12.9">
      <c r="T893" s="56" t="e">
        <v>#N/A</v>
      </c>
      <c r="U893" s="56" t="e">
        <v>#REF!</v>
      </c>
      <c r="V893" s="57" t="e">
        <v>#REF!</v>
      </c>
      <c r="W893" s="58" t="e">
        <v>#N/A</v>
      </c>
      <c r="X893" s="56" t="e">
        <v>#N/A</v>
      </c>
    </row>
    <row r="894" spans="20:24" ht="12.9">
      <c r="T894" s="56" t="e">
        <v>#N/A</v>
      </c>
      <c r="U894" s="56" t="e">
        <v>#REF!</v>
      </c>
      <c r="V894" s="57" t="e">
        <v>#REF!</v>
      </c>
      <c r="W894" s="58" t="e">
        <v>#N/A</v>
      </c>
      <c r="X894" s="56" t="e">
        <v>#N/A</v>
      </c>
    </row>
    <row r="895" spans="20:24" ht="12.9">
      <c r="T895" s="56" t="e">
        <v>#N/A</v>
      </c>
      <c r="U895" s="56" t="e">
        <v>#REF!</v>
      </c>
      <c r="V895" s="57" t="e">
        <v>#REF!</v>
      </c>
      <c r="W895" s="58" t="e">
        <v>#N/A</v>
      </c>
      <c r="X895" s="56" t="e">
        <v>#N/A</v>
      </c>
    </row>
    <row r="896" spans="20:24" ht="12.9">
      <c r="T896" s="56" t="e">
        <v>#N/A</v>
      </c>
      <c r="U896" s="56" t="e">
        <v>#REF!</v>
      </c>
      <c r="V896" s="57" t="e">
        <v>#REF!</v>
      </c>
      <c r="W896" s="58" t="e">
        <v>#N/A</v>
      </c>
      <c r="X896" s="56" t="e">
        <v>#N/A</v>
      </c>
    </row>
    <row r="897" spans="20:24" ht="12.9">
      <c r="T897" s="56" t="e">
        <v>#N/A</v>
      </c>
      <c r="U897" s="56" t="e">
        <v>#REF!</v>
      </c>
      <c r="V897" s="57" t="e">
        <v>#REF!</v>
      </c>
      <c r="W897" s="58" t="e">
        <v>#N/A</v>
      </c>
      <c r="X897" s="56" t="e">
        <v>#N/A</v>
      </c>
    </row>
    <row r="898" spans="20:24" ht="12.9">
      <c r="T898" s="56" t="e">
        <v>#N/A</v>
      </c>
      <c r="U898" s="56" t="e">
        <v>#REF!</v>
      </c>
      <c r="V898" s="57" t="e">
        <v>#REF!</v>
      </c>
      <c r="W898" s="58" t="e">
        <v>#N/A</v>
      </c>
      <c r="X898" s="56" t="e">
        <v>#N/A</v>
      </c>
    </row>
    <row r="899" spans="20:24" ht="12.9">
      <c r="T899" s="56" t="e">
        <v>#N/A</v>
      </c>
      <c r="U899" s="56" t="e">
        <v>#REF!</v>
      </c>
      <c r="V899" s="57" t="e">
        <v>#REF!</v>
      </c>
      <c r="W899" s="58" t="e">
        <v>#N/A</v>
      </c>
      <c r="X899" s="56" t="e">
        <v>#N/A</v>
      </c>
    </row>
    <row r="900" spans="20:24" ht="12.9">
      <c r="T900" s="56" t="e">
        <v>#N/A</v>
      </c>
      <c r="U900" s="56" t="e">
        <v>#REF!</v>
      </c>
      <c r="V900" s="57" t="e">
        <v>#REF!</v>
      </c>
      <c r="W900" s="58" t="e">
        <v>#N/A</v>
      </c>
      <c r="X900" s="56" t="e">
        <v>#N/A</v>
      </c>
    </row>
    <row r="901" spans="20:24" ht="12.9">
      <c r="T901" s="56" t="e">
        <v>#N/A</v>
      </c>
      <c r="U901" s="56" t="e">
        <v>#REF!</v>
      </c>
      <c r="V901" s="57" t="e">
        <v>#REF!</v>
      </c>
      <c r="W901" s="58" t="e">
        <v>#N/A</v>
      </c>
      <c r="X901" s="56" t="e">
        <v>#N/A</v>
      </c>
    </row>
    <row r="902" spans="20:24" ht="12.9">
      <c r="T902" s="56" t="e">
        <v>#N/A</v>
      </c>
      <c r="U902" s="56" t="e">
        <v>#REF!</v>
      </c>
      <c r="V902" s="57" t="e">
        <v>#REF!</v>
      </c>
      <c r="W902" s="58" t="e">
        <v>#N/A</v>
      </c>
      <c r="X902" s="56" t="e">
        <v>#N/A</v>
      </c>
    </row>
    <row r="903" spans="20:24" ht="12.9">
      <c r="T903" s="56" t="e">
        <v>#N/A</v>
      </c>
      <c r="U903" s="56" t="e">
        <v>#REF!</v>
      </c>
      <c r="V903" s="57" t="e">
        <v>#REF!</v>
      </c>
      <c r="W903" s="58" t="e">
        <v>#N/A</v>
      </c>
      <c r="X903" s="56" t="e">
        <v>#N/A</v>
      </c>
    </row>
    <row r="904" spans="20:24" ht="12.9">
      <c r="T904" s="56" t="e">
        <v>#N/A</v>
      </c>
      <c r="U904" s="56" t="e">
        <v>#REF!</v>
      </c>
      <c r="V904" s="57" t="e">
        <v>#REF!</v>
      </c>
      <c r="W904" s="58" t="e">
        <v>#N/A</v>
      </c>
      <c r="X904" s="56" t="e">
        <v>#N/A</v>
      </c>
    </row>
    <row r="905" spans="20:24" ht="12.9">
      <c r="T905" s="56" t="e">
        <v>#N/A</v>
      </c>
      <c r="U905" s="56" t="e">
        <v>#REF!</v>
      </c>
      <c r="V905" s="57" t="e">
        <v>#REF!</v>
      </c>
      <c r="W905" s="58" t="e">
        <v>#N/A</v>
      </c>
      <c r="X905" s="56" t="e">
        <v>#N/A</v>
      </c>
    </row>
    <row r="906" spans="20:24" ht="12.9">
      <c r="T906" s="56" t="e">
        <v>#N/A</v>
      </c>
      <c r="U906" s="56" t="e">
        <v>#REF!</v>
      </c>
      <c r="V906" s="57" t="e">
        <v>#REF!</v>
      </c>
      <c r="W906" s="58" t="e">
        <v>#N/A</v>
      </c>
      <c r="X906" s="56" t="e">
        <v>#N/A</v>
      </c>
    </row>
    <row r="907" spans="20:24" ht="12.9">
      <c r="T907" s="56" t="e">
        <v>#N/A</v>
      </c>
      <c r="U907" s="56" t="e">
        <v>#REF!</v>
      </c>
      <c r="V907" s="57" t="e">
        <v>#REF!</v>
      </c>
      <c r="W907" s="58" t="e">
        <v>#N/A</v>
      </c>
      <c r="X907" s="56" t="e">
        <v>#N/A</v>
      </c>
    </row>
    <row r="908" spans="20:24" ht="12.9">
      <c r="T908" s="56" t="e">
        <v>#N/A</v>
      </c>
      <c r="U908" s="56" t="e">
        <v>#REF!</v>
      </c>
      <c r="V908" s="57" t="e">
        <v>#REF!</v>
      </c>
      <c r="W908" s="58" t="e">
        <v>#N/A</v>
      </c>
      <c r="X908" s="56" t="e">
        <v>#N/A</v>
      </c>
    </row>
    <row r="909" spans="20:24" ht="12.9">
      <c r="T909" s="56" t="e">
        <v>#N/A</v>
      </c>
      <c r="U909" s="56" t="e">
        <v>#REF!</v>
      </c>
      <c r="V909" s="57" t="e">
        <v>#REF!</v>
      </c>
      <c r="W909" s="58" t="e">
        <v>#N/A</v>
      </c>
      <c r="X909" s="56" t="e">
        <v>#N/A</v>
      </c>
    </row>
    <row r="910" spans="20:24" ht="12.9">
      <c r="T910" s="56" t="e">
        <v>#N/A</v>
      </c>
      <c r="U910" s="56" t="e">
        <v>#REF!</v>
      </c>
      <c r="V910" s="57" t="e">
        <v>#REF!</v>
      </c>
      <c r="W910" s="58" t="e">
        <v>#N/A</v>
      </c>
      <c r="X910" s="56" t="e">
        <v>#N/A</v>
      </c>
    </row>
    <row r="911" spans="20:24" ht="12.9">
      <c r="T911" s="56" t="e">
        <v>#N/A</v>
      </c>
      <c r="U911" s="56" t="e">
        <v>#REF!</v>
      </c>
      <c r="V911" s="57" t="e">
        <v>#REF!</v>
      </c>
      <c r="W911" s="58" t="e">
        <v>#N/A</v>
      </c>
      <c r="X911" s="56" t="e">
        <v>#N/A</v>
      </c>
    </row>
    <row r="912" spans="20:24" ht="12.9">
      <c r="T912" s="56" t="e">
        <v>#N/A</v>
      </c>
      <c r="U912" s="56" t="e">
        <v>#REF!</v>
      </c>
      <c r="V912" s="57" t="e">
        <v>#REF!</v>
      </c>
      <c r="W912" s="58" t="e">
        <v>#N/A</v>
      </c>
      <c r="X912" s="56" t="e">
        <v>#N/A</v>
      </c>
    </row>
    <row r="913" spans="20:24" ht="12.9">
      <c r="T913" s="56" t="e">
        <v>#N/A</v>
      </c>
      <c r="U913" s="56" t="e">
        <v>#REF!</v>
      </c>
      <c r="V913" s="57" t="e">
        <v>#REF!</v>
      </c>
      <c r="W913" s="58" t="e">
        <v>#N/A</v>
      </c>
      <c r="X913" s="56" t="e">
        <v>#N/A</v>
      </c>
    </row>
    <row r="914" spans="20:24" ht="12.9">
      <c r="T914" s="56" t="e">
        <v>#N/A</v>
      </c>
      <c r="U914" s="56" t="e">
        <v>#REF!</v>
      </c>
      <c r="V914" s="57" t="e">
        <v>#REF!</v>
      </c>
      <c r="W914" s="58" t="e">
        <v>#N/A</v>
      </c>
      <c r="X914" s="56" t="e">
        <v>#N/A</v>
      </c>
    </row>
    <row r="915" spans="20:24" ht="12.9">
      <c r="T915" s="56" t="e">
        <v>#N/A</v>
      </c>
      <c r="U915" s="56" t="e">
        <v>#REF!</v>
      </c>
      <c r="V915" s="57" t="e">
        <v>#REF!</v>
      </c>
      <c r="W915" s="58" t="e">
        <v>#N/A</v>
      </c>
      <c r="X915" s="56" t="e">
        <v>#N/A</v>
      </c>
    </row>
    <row r="916" spans="20:24" ht="12.9">
      <c r="T916" s="56" t="e">
        <v>#N/A</v>
      </c>
      <c r="U916" s="56" t="e">
        <v>#REF!</v>
      </c>
      <c r="V916" s="57" t="e">
        <v>#REF!</v>
      </c>
      <c r="W916" s="58" t="e">
        <v>#N/A</v>
      </c>
      <c r="X916" s="56" t="e">
        <v>#N/A</v>
      </c>
    </row>
    <row r="917" spans="20:24" ht="12.9">
      <c r="T917" s="56" t="e">
        <v>#N/A</v>
      </c>
      <c r="U917" s="56" t="e">
        <v>#REF!</v>
      </c>
      <c r="V917" s="57" t="e">
        <v>#REF!</v>
      </c>
      <c r="W917" s="58" t="e">
        <v>#N/A</v>
      </c>
      <c r="X917" s="56" t="e">
        <v>#N/A</v>
      </c>
    </row>
    <row r="918" spans="20:24" ht="12.9">
      <c r="T918" s="56" t="e">
        <v>#N/A</v>
      </c>
      <c r="U918" s="56" t="e">
        <v>#REF!</v>
      </c>
      <c r="V918" s="57" t="e">
        <v>#REF!</v>
      </c>
      <c r="W918" s="58" t="e">
        <v>#N/A</v>
      </c>
      <c r="X918" s="56" t="e">
        <v>#N/A</v>
      </c>
    </row>
    <row r="919" spans="20:24" ht="12.9">
      <c r="T919" s="56" t="e">
        <v>#N/A</v>
      </c>
      <c r="U919" s="56" t="e">
        <v>#REF!</v>
      </c>
      <c r="V919" s="57" t="e">
        <v>#REF!</v>
      </c>
      <c r="W919" s="58" t="e">
        <v>#N/A</v>
      </c>
      <c r="X919" s="56" t="e">
        <v>#N/A</v>
      </c>
    </row>
    <row r="920" spans="20:24" ht="12.9">
      <c r="T920" s="56"/>
      <c r="U920" s="56"/>
      <c r="V920" s="57"/>
      <c r="W920" s="58"/>
      <c r="X920" s="56" t="str">
        <v/>
      </c>
    </row>
    <row r="921" spans="20:24" ht="12.9">
      <c r="T921" s="56"/>
      <c r="U921" s="56"/>
      <c r="V921" s="57"/>
      <c r="W921" s="58"/>
      <c r="X921" s="56" t="str">
        <v/>
      </c>
    </row>
    <row r="922" spans="20:24" ht="12.9">
      <c r="T922" s="56"/>
      <c r="U922" s="56"/>
      <c r="V922" s="57"/>
      <c r="W922" s="58"/>
      <c r="X922" s="56" t="str">
        <v/>
      </c>
    </row>
    <row r="923" spans="20:24" ht="12.9">
      <c r="T923" s="56"/>
      <c r="U923" s="56"/>
      <c r="V923" s="57"/>
      <c r="W923" s="58"/>
      <c r="X923" s="56" t="str">
        <v/>
      </c>
    </row>
    <row r="924" spans="20:24" ht="12.9">
      <c r="T924" s="56"/>
      <c r="U924" s="56"/>
      <c r="V924" s="57"/>
      <c r="W924" s="58"/>
      <c r="X924" s="56" t="str">
        <v/>
      </c>
    </row>
    <row r="925" spans="20:24" ht="12.9">
      <c r="T925" s="56"/>
      <c r="U925" s="56"/>
      <c r="V925" s="57"/>
      <c r="W925" s="58"/>
      <c r="X925" s="56" t="str">
        <v/>
      </c>
    </row>
    <row r="926" spans="20:24" ht="12.9">
      <c r="T926" s="56"/>
      <c r="U926" s="56"/>
      <c r="V926" s="57"/>
      <c r="W926" s="58"/>
      <c r="X926" s="56" t="str">
        <v/>
      </c>
    </row>
    <row r="927" spans="20:24" ht="12.9">
      <c r="T927" s="56"/>
      <c r="U927" s="56"/>
      <c r="V927" s="57"/>
      <c r="W927" s="58"/>
      <c r="X927" s="56" t="str">
        <v/>
      </c>
    </row>
    <row r="928" spans="20:24" ht="12.9">
      <c r="T928" s="56"/>
      <c r="U928" s="56"/>
      <c r="V928" s="57"/>
      <c r="W928" s="58"/>
      <c r="X928" s="56" t="str">
        <v/>
      </c>
    </row>
    <row r="929" spans="20:24" ht="12.9">
      <c r="T929" s="56"/>
      <c r="U929" s="56"/>
      <c r="V929" s="57"/>
      <c r="W929" s="58"/>
      <c r="X929" s="56" t="str">
        <v/>
      </c>
    </row>
    <row r="930" spans="20:24" ht="12.9">
      <c r="T930" s="56"/>
      <c r="U930" s="56"/>
      <c r="V930" s="57"/>
      <c r="W930" s="58"/>
      <c r="X930" s="56" t="str">
        <v/>
      </c>
    </row>
    <row r="931" spans="20:24" ht="12.9">
      <c r="T931" s="56"/>
      <c r="U931" s="56"/>
      <c r="V931" s="57"/>
      <c r="W931" s="58"/>
      <c r="X931" s="56" t="str">
        <v/>
      </c>
    </row>
    <row r="932" spans="20:24" ht="12.9">
      <c r="T932" s="56"/>
      <c r="U932" s="56"/>
      <c r="V932" s="57"/>
      <c r="W932" s="58"/>
      <c r="X932" s="56" t="str">
        <v/>
      </c>
    </row>
    <row r="933" spans="20:24" ht="12.9">
      <c r="T933" s="56"/>
      <c r="U933" s="56"/>
      <c r="V933" s="57"/>
      <c r="W933" s="58"/>
      <c r="X933" s="56" t="str">
        <v/>
      </c>
    </row>
    <row r="934" spans="20:24" ht="12.9">
      <c r="T934" s="56"/>
      <c r="U934" s="56"/>
      <c r="V934" s="57"/>
      <c r="W934" s="58"/>
      <c r="X934" s="56" t="str">
        <v/>
      </c>
    </row>
    <row r="935" spans="20:24" ht="12.9">
      <c r="T935" s="56"/>
      <c r="U935" s="56"/>
      <c r="V935" s="57"/>
      <c r="W935" s="58"/>
      <c r="X935" s="56" t="str">
        <v/>
      </c>
    </row>
    <row r="936" spans="20:24" ht="12.9">
      <c r="T936" s="56"/>
      <c r="U936" s="56"/>
      <c r="V936" s="57"/>
      <c r="W936" s="58"/>
      <c r="X936" s="56" t="str">
        <v/>
      </c>
    </row>
    <row r="937" spans="20:24" ht="12.9">
      <c r="T937" s="56"/>
      <c r="U937" s="56"/>
      <c r="V937" s="57"/>
      <c r="W937" s="58"/>
      <c r="X937" s="56" t="str">
        <v/>
      </c>
    </row>
    <row r="938" spans="20:24" ht="12.9">
      <c r="T938" s="56"/>
      <c r="U938" s="56"/>
      <c r="V938" s="57"/>
      <c r="W938" s="58"/>
      <c r="X938" s="56" t="str">
        <v/>
      </c>
    </row>
    <row r="939" spans="20:24" ht="12.9">
      <c r="T939" s="56"/>
      <c r="U939" s="56"/>
      <c r="V939" s="57"/>
      <c r="W939" s="58"/>
      <c r="X939" s="56" t="str">
        <v/>
      </c>
    </row>
    <row r="940" spans="20:24" ht="12.9">
      <c r="T940" s="56"/>
      <c r="U940" s="56"/>
      <c r="V940" s="57"/>
      <c r="W940" s="58"/>
      <c r="X940" s="56" t="str">
        <v/>
      </c>
    </row>
    <row r="941" spans="20:24" ht="12.9">
      <c r="T941" s="56"/>
      <c r="U941" s="56"/>
      <c r="V941" s="57"/>
      <c r="W941" s="58"/>
      <c r="X941" s="56" t="str">
        <v/>
      </c>
    </row>
    <row r="942" spans="20:24" ht="12.9">
      <c r="T942" s="56"/>
      <c r="U942" s="56"/>
      <c r="V942" s="57"/>
      <c r="W942" s="58"/>
      <c r="X942" s="56" t="str">
        <v/>
      </c>
    </row>
    <row r="943" spans="20:24" ht="12.9">
      <c r="T943" s="56"/>
      <c r="U943" s="56"/>
      <c r="V943" s="57"/>
      <c r="W943" s="58"/>
      <c r="X943" s="56" t="str">
        <v/>
      </c>
    </row>
    <row r="944" spans="20:24" ht="12.9">
      <c r="T944" s="56"/>
      <c r="U944" s="56"/>
      <c r="V944" s="57"/>
      <c r="W944" s="58"/>
      <c r="X944" s="56" t="str">
        <v/>
      </c>
    </row>
    <row r="945" spans="20:24" ht="12.9">
      <c r="T945" s="56"/>
      <c r="U945" s="56"/>
      <c r="V945" s="57"/>
      <c r="W945" s="58"/>
      <c r="X945" s="56" t="str">
        <v/>
      </c>
    </row>
    <row r="946" spans="20:24" ht="12.9">
      <c r="T946" s="56"/>
      <c r="U946" s="56"/>
      <c r="V946" s="57"/>
      <c r="W946" s="58"/>
      <c r="X946" s="56" t="str">
        <v/>
      </c>
    </row>
    <row r="947" spans="20:24" ht="12.9">
      <c r="T947" s="56"/>
      <c r="U947" s="56"/>
      <c r="V947" s="57"/>
      <c r="W947" s="58"/>
      <c r="X947" s="56" t="str">
        <v/>
      </c>
    </row>
    <row r="948" spans="20:24" ht="12.9">
      <c r="T948" s="56"/>
      <c r="U948" s="56"/>
      <c r="V948" s="57"/>
      <c r="W948" s="58"/>
      <c r="X948" s="56" t="str">
        <v/>
      </c>
    </row>
    <row r="949" spans="20:24" ht="12.9">
      <c r="T949" s="56"/>
      <c r="U949" s="56"/>
      <c r="V949" s="57"/>
      <c r="W949" s="58"/>
      <c r="X949" s="56" t="str">
        <v/>
      </c>
    </row>
    <row r="950" spans="20:24" ht="12.9">
      <c r="T950" s="56"/>
      <c r="U950" s="56"/>
      <c r="V950" s="57"/>
      <c r="W950" s="58"/>
      <c r="X950" s="56" t="str">
        <v/>
      </c>
    </row>
    <row r="951" spans="20:24" ht="12.9">
      <c r="T951" s="56"/>
      <c r="U951" s="56"/>
      <c r="V951" s="57"/>
      <c r="W951" s="58"/>
      <c r="X951" s="56" t="str">
        <v/>
      </c>
    </row>
    <row r="952" spans="20:24" ht="12.9">
      <c r="T952" s="56"/>
      <c r="U952" s="56"/>
      <c r="V952" s="57"/>
      <c r="W952" s="58"/>
      <c r="X952" s="56" t="str">
        <v/>
      </c>
    </row>
    <row r="953" spans="20:24" ht="12.9">
      <c r="T953" s="56"/>
      <c r="U953" s="56"/>
      <c r="V953" s="57"/>
      <c r="W953" s="58"/>
      <c r="X953" s="56" t="str">
        <v/>
      </c>
    </row>
    <row r="954" spans="20:24" ht="12.9">
      <c r="T954" s="56"/>
      <c r="U954" s="56"/>
      <c r="V954" s="57"/>
      <c r="W954" s="58"/>
      <c r="X954" s="56" t="str">
        <v/>
      </c>
    </row>
    <row r="955" spans="20:24" ht="12.9">
      <c r="T955" s="56"/>
      <c r="U955" s="56"/>
      <c r="V955" s="57"/>
      <c r="W955" s="58"/>
      <c r="X955" s="56" t="str">
        <v/>
      </c>
    </row>
    <row r="956" spans="20:24" ht="12.9">
      <c r="T956" s="56"/>
      <c r="U956" s="56"/>
      <c r="V956" s="57"/>
      <c r="W956" s="58"/>
      <c r="X956" s="56" t="str">
        <v/>
      </c>
    </row>
    <row r="957" spans="20:24" ht="12.9">
      <c r="T957" s="56"/>
      <c r="U957" s="56"/>
      <c r="V957" s="57"/>
      <c r="W957" s="58"/>
      <c r="X957" s="56" t="str">
        <v/>
      </c>
    </row>
    <row r="958" spans="20:24" ht="12.9">
      <c r="T958" s="56"/>
      <c r="U958" s="56"/>
      <c r="V958" s="57"/>
      <c r="W958" s="58"/>
      <c r="X958" s="56" t="str">
        <v/>
      </c>
    </row>
    <row r="959" spans="20:24" ht="12.9">
      <c r="T959" s="56"/>
      <c r="U959" s="56"/>
      <c r="V959" s="57"/>
      <c r="W959" s="58"/>
      <c r="X959" s="56" t="str">
        <v/>
      </c>
    </row>
    <row r="960" spans="20:24" ht="12.9">
      <c r="T960" s="56"/>
      <c r="U960" s="56"/>
      <c r="V960" s="57"/>
      <c r="W960" s="58"/>
      <c r="X960" s="56" t="str">
        <v/>
      </c>
    </row>
    <row r="961" spans="20:24" ht="12.9">
      <c r="T961" s="56"/>
      <c r="U961" s="56"/>
      <c r="V961" s="57"/>
      <c r="W961" s="58"/>
      <c r="X961" s="56" t="str">
        <v/>
      </c>
    </row>
    <row r="962" spans="20:24" ht="12.9">
      <c r="T962" s="56"/>
      <c r="U962" s="56"/>
      <c r="V962" s="57"/>
      <c r="W962" s="58"/>
      <c r="X962" s="56" t="str">
        <v/>
      </c>
    </row>
    <row r="963" spans="20:24" ht="12.9">
      <c r="T963" s="56"/>
      <c r="U963" s="56"/>
      <c r="V963" s="57"/>
      <c r="W963" s="58"/>
      <c r="X963" s="56" t="str">
        <v/>
      </c>
    </row>
    <row r="964" spans="20:24" ht="12.9">
      <c r="T964" s="56"/>
      <c r="U964" s="56"/>
      <c r="V964" s="57"/>
      <c r="W964" s="58"/>
      <c r="X964" s="56" t="str">
        <v/>
      </c>
    </row>
    <row r="965" spans="20:24" ht="12.9">
      <c r="T965" s="56"/>
      <c r="U965" s="56"/>
      <c r="V965" s="57"/>
      <c r="W965" s="58"/>
      <c r="X965" s="56" t="str">
        <v/>
      </c>
    </row>
    <row r="966" spans="20:24" ht="12.9">
      <c r="T966" s="56"/>
      <c r="U966" s="56"/>
      <c r="V966" s="57"/>
      <c r="W966" s="58"/>
      <c r="X966" s="56" t="str">
        <v/>
      </c>
    </row>
    <row r="967" spans="20:24" ht="12.9">
      <c r="T967" s="56"/>
      <c r="U967" s="56"/>
      <c r="V967" s="57"/>
      <c r="W967" s="58"/>
      <c r="X967" s="56" t="str">
        <v/>
      </c>
    </row>
    <row r="968" spans="20:24" ht="12.9">
      <c r="T968" s="56"/>
      <c r="U968" s="56"/>
      <c r="V968" s="57"/>
      <c r="W968" s="58"/>
      <c r="X968" s="56" t="str">
        <v/>
      </c>
    </row>
    <row r="969" spans="20:24" ht="12.9">
      <c r="T969" s="56"/>
      <c r="U969" s="56"/>
      <c r="V969" s="57"/>
      <c r="W969" s="58"/>
      <c r="X969" s="56" t="str">
        <v/>
      </c>
    </row>
    <row r="970" spans="20:24" ht="12.9">
      <c r="T970" s="56"/>
      <c r="U970" s="56"/>
      <c r="V970" s="57"/>
      <c r="W970" s="58"/>
      <c r="X970" s="56" t="str">
        <v/>
      </c>
    </row>
    <row r="971" spans="20:24" ht="12.9">
      <c r="T971" s="56"/>
      <c r="U971" s="56"/>
      <c r="V971" s="57"/>
      <c r="W971" s="58"/>
      <c r="X971" s="56" t="str">
        <v/>
      </c>
    </row>
    <row r="972" spans="20:24" ht="12.9">
      <c r="T972" s="56"/>
      <c r="U972" s="56"/>
      <c r="V972" s="57"/>
      <c r="W972" s="58"/>
      <c r="X972" s="56" t="str">
        <v/>
      </c>
    </row>
    <row r="973" spans="20:24" ht="12.9">
      <c r="T973" s="56"/>
      <c r="U973" s="56"/>
      <c r="V973" s="57"/>
      <c r="W973" s="58"/>
      <c r="X973" s="56" t="str">
        <v/>
      </c>
    </row>
    <row r="974" spans="20:24" ht="12.9">
      <c r="T974" s="56"/>
      <c r="U974" s="56"/>
      <c r="V974" s="57"/>
      <c r="W974" s="58"/>
      <c r="X974" s="56" t="str">
        <v/>
      </c>
    </row>
    <row r="975" spans="20:24" ht="12.9">
      <c r="T975" s="56"/>
      <c r="U975" s="56"/>
      <c r="V975" s="57"/>
      <c r="W975" s="58"/>
      <c r="X975" s="56" t="str">
        <v/>
      </c>
    </row>
    <row r="976" spans="20:24" ht="12.9">
      <c r="T976" s="56"/>
      <c r="U976" s="56"/>
      <c r="V976" s="57"/>
      <c r="W976" s="58"/>
      <c r="X976" s="56" t="str">
        <v/>
      </c>
    </row>
    <row r="977" spans="20:24" ht="12.9">
      <c r="T977" s="56"/>
      <c r="U977" s="56"/>
      <c r="V977" s="57"/>
      <c r="W977" s="58"/>
      <c r="X977" s="56" t="str">
        <v/>
      </c>
    </row>
    <row r="978" spans="20:24" ht="12.9">
      <c r="T978" s="56"/>
      <c r="U978" s="56"/>
      <c r="V978" s="57"/>
      <c r="W978" s="58"/>
      <c r="X978" s="56" t="str">
        <v/>
      </c>
    </row>
    <row r="979" spans="20:24" ht="12.9">
      <c r="T979" s="56"/>
      <c r="U979" s="56"/>
      <c r="V979" s="57"/>
      <c r="W979" s="58"/>
      <c r="X979" s="56" t="str">
        <v/>
      </c>
    </row>
    <row r="980" spans="20:24" ht="12.9">
      <c r="T980" s="56"/>
      <c r="U980" s="56"/>
      <c r="V980" s="57"/>
      <c r="W980" s="58"/>
      <c r="X980" s="56" t="str">
        <v/>
      </c>
    </row>
    <row r="981" spans="20:24" ht="12.9">
      <c r="T981" s="56"/>
      <c r="U981" s="56"/>
      <c r="V981" s="57"/>
      <c r="W981" s="58"/>
      <c r="X981" s="56" t="str">
        <v/>
      </c>
    </row>
    <row r="982" spans="20:24" ht="12.9">
      <c r="T982" s="56"/>
      <c r="U982" s="56"/>
      <c r="V982" s="57"/>
      <c r="W982" s="58"/>
      <c r="X982" s="56" t="str">
        <v/>
      </c>
    </row>
    <row r="983" spans="20:24" ht="12.9">
      <c r="T983" s="56"/>
      <c r="U983" s="56"/>
      <c r="V983" s="57"/>
      <c r="W983" s="58"/>
      <c r="X983" s="56" t="str">
        <v/>
      </c>
    </row>
    <row r="984" spans="20:24" ht="12.9">
      <c r="T984" s="56"/>
      <c r="U984" s="56"/>
      <c r="V984" s="57"/>
      <c r="W984" s="58"/>
      <c r="X984" s="56" t="str">
        <v/>
      </c>
    </row>
    <row r="985" spans="20:24" ht="12.9">
      <c r="T985" s="56"/>
      <c r="U985" s="56"/>
      <c r="V985" s="57"/>
      <c r="W985" s="58"/>
      <c r="X985" s="56" t="str">
        <v/>
      </c>
    </row>
    <row r="986" spans="20:24" ht="12.9">
      <c r="T986" s="56"/>
      <c r="U986" s="56"/>
      <c r="V986" s="57"/>
      <c r="W986" s="58"/>
      <c r="X986" s="56" t="str">
        <v/>
      </c>
    </row>
    <row r="987" spans="20:24" ht="12.9">
      <c r="T987" s="56"/>
      <c r="U987" s="56"/>
      <c r="V987" s="57"/>
      <c r="W987" s="58"/>
      <c r="X987" s="56" t="str">
        <v/>
      </c>
    </row>
    <row r="988" spans="20:24" ht="12.9">
      <c r="T988" s="56"/>
      <c r="U988" s="56"/>
      <c r="V988" s="57"/>
      <c r="W988" s="58"/>
      <c r="X988" s="56" t="str">
        <v/>
      </c>
    </row>
    <row r="989" spans="20:24" ht="12.9">
      <c r="T989" s="56"/>
      <c r="U989" s="56"/>
      <c r="V989" s="57"/>
      <c r="W989" s="58"/>
      <c r="X989" s="56" t="str">
        <v/>
      </c>
    </row>
    <row r="990" spans="20:24" ht="12.9">
      <c r="T990" s="56"/>
      <c r="U990" s="56"/>
      <c r="V990" s="57"/>
      <c r="W990" s="58"/>
      <c r="X990" s="56" t="str">
        <v/>
      </c>
    </row>
    <row r="991" spans="20:24" ht="12.9">
      <c r="T991" s="56"/>
      <c r="U991" s="56"/>
      <c r="V991" s="57"/>
      <c r="W991" s="58"/>
      <c r="X991" s="56" t="str">
        <v/>
      </c>
    </row>
    <row r="992" spans="20:24" ht="12.9">
      <c r="T992" s="56"/>
      <c r="U992" s="56"/>
      <c r="V992" s="57"/>
      <c r="W992" s="58"/>
      <c r="X992" s="56" t="str">
        <v/>
      </c>
    </row>
    <row r="993" spans="20:24" ht="12.9">
      <c r="T993" s="56"/>
      <c r="U993" s="56"/>
      <c r="V993" s="57"/>
      <c r="W993" s="58"/>
      <c r="X993" s="56" t="str">
        <v/>
      </c>
    </row>
    <row r="994" spans="20:24" ht="12.9">
      <c r="T994" s="56"/>
      <c r="U994" s="56"/>
      <c r="V994" s="57"/>
      <c r="W994" s="58"/>
      <c r="X994" s="56" t="str">
        <v/>
      </c>
    </row>
    <row r="995" spans="20:24" ht="12.9">
      <c r="T995" s="56"/>
      <c r="U995" s="56"/>
      <c r="V995" s="57"/>
      <c r="W995" s="58"/>
      <c r="X995" s="56" t="str">
        <v/>
      </c>
    </row>
    <row r="996" spans="20:24" ht="12.9">
      <c r="T996" s="56"/>
      <c r="U996" s="56"/>
      <c r="V996" s="57"/>
      <c r="W996" s="58"/>
      <c r="X996" s="56" t="str">
        <v/>
      </c>
    </row>
    <row r="997" spans="20:24" ht="12.9">
      <c r="T997" s="56"/>
      <c r="U997" s="56"/>
      <c r="V997" s="57"/>
      <c r="W997" s="58"/>
      <c r="X997" s="56" t="str">
        <v/>
      </c>
    </row>
    <row r="998" spans="20:24" ht="12.9">
      <c r="T998" s="56"/>
      <c r="U998" s="56"/>
      <c r="V998" s="57"/>
      <c r="W998" s="58"/>
      <c r="X998" s="56" t="str">
        <v/>
      </c>
    </row>
    <row r="999" spans="20:24" ht="12.9">
      <c r="T999" s="56"/>
      <c r="U999" s="56"/>
      <c r="V999" s="57"/>
      <c r="W999" s="58"/>
      <c r="X999" s="56" t="str">
        <v/>
      </c>
    </row>
    <row r="1000" spans="20:24" ht="12.9">
      <c r="T1000" s="56"/>
      <c r="U1000" s="56"/>
      <c r="V1000" s="57"/>
      <c r="W1000" s="58"/>
      <c r="X1000" s="56" t="str">
        <v/>
      </c>
    </row>
    <row r="1001" spans="20:24" ht="12.9">
      <c r="T1001" s="56"/>
      <c r="U1001" s="56"/>
      <c r="V1001" s="57"/>
      <c r="W1001" s="58"/>
      <c r="X1001" s="56" t="str">
        <v/>
      </c>
    </row>
    <row r="1002" spans="20:24" ht="12.9">
      <c r="T1002" s="56"/>
      <c r="U1002" s="56"/>
      <c r="V1002" s="57"/>
      <c r="W1002" s="58"/>
      <c r="X1002" s="56" t="str">
        <v/>
      </c>
    </row>
    <row r="1003" spans="20:24" ht="12.9">
      <c r="T1003" s="56"/>
      <c r="U1003" s="56"/>
      <c r="V1003" s="57"/>
      <c r="W1003" s="58"/>
      <c r="X1003" s="56" t="str">
        <v/>
      </c>
    </row>
    <row r="1004" spans="20:24" ht="12.9">
      <c r="T1004" s="56"/>
      <c r="U1004" s="56"/>
      <c r="V1004" s="57"/>
      <c r="W1004" s="58"/>
      <c r="X1004" s="56" t="str">
        <v/>
      </c>
    </row>
    <row r="1005" spans="20:24" ht="12.9">
      <c r="T1005" s="56"/>
      <c r="U1005" s="56"/>
      <c r="V1005" s="57"/>
      <c r="W1005" s="58"/>
      <c r="X1005" s="56" t="str">
        <v/>
      </c>
    </row>
    <row r="1006" spans="20:24" ht="12.9">
      <c r="T1006" s="56"/>
      <c r="U1006" s="56"/>
      <c r="V1006" s="57"/>
      <c r="W1006" s="58"/>
      <c r="X1006" s="56" t="str">
        <v/>
      </c>
    </row>
    <row r="1007" spans="20:24" ht="12.9">
      <c r="T1007" s="56"/>
      <c r="U1007" s="56"/>
      <c r="V1007" s="57"/>
      <c r="W1007" s="58"/>
      <c r="X1007" s="56" t="str">
        <v/>
      </c>
    </row>
    <row r="1008" spans="20:24" ht="12.9">
      <c r="T1008" s="56"/>
      <c r="U1008" s="56"/>
      <c r="V1008" s="57"/>
      <c r="W1008" s="58"/>
      <c r="X1008" s="56" t="str">
        <v/>
      </c>
    </row>
    <row r="1009" spans="20:24" ht="12.9">
      <c r="T1009" s="56"/>
      <c r="U1009" s="56"/>
      <c r="V1009" s="57"/>
      <c r="W1009" s="58"/>
      <c r="X1009" s="56" t="str">
        <v/>
      </c>
    </row>
    <row r="1010" spans="20:24" ht="12.9">
      <c r="T1010" s="56"/>
      <c r="U1010" s="56"/>
      <c r="V1010" s="57"/>
      <c r="W1010" s="58"/>
      <c r="X1010" s="56" t="str">
        <v/>
      </c>
    </row>
    <row r="1011" spans="20:24" ht="12.9">
      <c r="T1011" s="56"/>
      <c r="U1011" s="56"/>
      <c r="V1011" s="57"/>
      <c r="W1011" s="58"/>
      <c r="X1011" s="56" t="str">
        <v/>
      </c>
    </row>
    <row r="1012" spans="20:24" ht="12.9">
      <c r="T1012" s="56"/>
      <c r="U1012" s="56"/>
      <c r="V1012" s="57"/>
      <c r="W1012" s="58"/>
      <c r="X1012" s="56" t="str">
        <v/>
      </c>
    </row>
    <row r="1013" spans="20:24" ht="12.9">
      <c r="T1013" s="56"/>
      <c r="U1013" s="56"/>
      <c r="V1013" s="57"/>
      <c r="W1013" s="58"/>
      <c r="X1013" s="56" t="str">
        <v/>
      </c>
    </row>
    <row r="1014" spans="20:24" ht="12.9">
      <c r="T1014" s="56"/>
      <c r="U1014" s="56"/>
      <c r="V1014" s="57"/>
      <c r="W1014" s="58"/>
      <c r="X1014" s="56" t="str">
        <v/>
      </c>
    </row>
    <row r="1015" spans="20:24" ht="12.9">
      <c r="T1015" s="56"/>
      <c r="U1015" s="56"/>
      <c r="V1015" s="57"/>
      <c r="W1015" s="58"/>
      <c r="X1015" s="56" t="str">
        <v/>
      </c>
    </row>
    <row r="1016" spans="20:24" ht="12.9">
      <c r="T1016" s="56"/>
      <c r="U1016" s="56"/>
      <c r="V1016" s="57"/>
      <c r="W1016" s="58"/>
      <c r="X1016" s="56" t="str">
        <v/>
      </c>
    </row>
    <row r="1017" spans="20:24" ht="12.9">
      <c r="T1017" s="56"/>
      <c r="U1017" s="56"/>
      <c r="V1017" s="57"/>
      <c r="W1017" s="58"/>
      <c r="X1017" s="56" t="str">
        <v/>
      </c>
    </row>
    <row r="1018" spans="20:24" ht="12.9">
      <c r="T1018" s="56"/>
      <c r="U1018" s="56"/>
      <c r="V1018" s="57"/>
      <c r="W1018" s="58"/>
      <c r="X1018" s="56" t="str">
        <v/>
      </c>
    </row>
    <row r="1019" spans="20:24" ht="12.9">
      <c r="T1019" s="56"/>
      <c r="U1019" s="56"/>
      <c r="V1019" s="57"/>
      <c r="W1019" s="58"/>
      <c r="X1019" s="56" t="str">
        <v/>
      </c>
    </row>
    <row r="1020" spans="20:24" ht="12.9">
      <c r="T1020" s="56"/>
      <c r="U1020" s="56"/>
      <c r="V1020" s="57"/>
      <c r="W1020" s="58"/>
      <c r="X1020" s="56" t="str">
        <v/>
      </c>
    </row>
    <row r="1021" spans="20:24" ht="12.9">
      <c r="T1021" s="56"/>
      <c r="U1021" s="56"/>
      <c r="V1021" s="57"/>
      <c r="W1021" s="58"/>
      <c r="X1021" s="56" t="str">
        <v/>
      </c>
    </row>
    <row r="1022" spans="20:24" ht="12.9">
      <c r="T1022" s="56"/>
      <c r="U1022" s="56"/>
      <c r="V1022" s="57"/>
      <c r="W1022" s="58"/>
      <c r="X1022" s="56" t="str">
        <v/>
      </c>
    </row>
    <row r="1023" spans="20:24" ht="12.9">
      <c r="T1023" s="56"/>
      <c r="U1023" s="56"/>
      <c r="V1023" s="57"/>
      <c r="W1023" s="58"/>
      <c r="X1023" s="56" t="str">
        <v/>
      </c>
    </row>
    <row r="1024" spans="20:24" ht="12.9">
      <c r="T1024" s="56"/>
      <c r="U1024" s="56"/>
      <c r="V1024" s="57"/>
      <c r="W1024" s="58"/>
      <c r="X1024" s="56" t="str">
        <v/>
      </c>
    </row>
    <row r="1025" spans="20:24" ht="12.9">
      <c r="T1025" s="56"/>
      <c r="U1025" s="56"/>
      <c r="V1025" s="57"/>
      <c r="W1025" s="58"/>
      <c r="X1025" s="56" t="str">
        <v/>
      </c>
    </row>
    <row r="1026" spans="20:24" ht="12.9">
      <c r="T1026" s="56"/>
      <c r="U1026" s="56"/>
      <c r="V1026" s="57"/>
      <c r="W1026" s="58"/>
      <c r="X1026" s="56" t="str">
        <v/>
      </c>
    </row>
    <row r="1027" spans="20:24" ht="12.9">
      <c r="T1027" s="56"/>
      <c r="U1027" s="56"/>
      <c r="V1027" s="57"/>
      <c r="W1027" s="58"/>
      <c r="X1027" s="56" t="str">
        <v/>
      </c>
    </row>
    <row r="1028" spans="20:24" ht="12.9">
      <c r="T1028" s="56"/>
      <c r="U1028" s="56"/>
      <c r="V1028" s="57"/>
      <c r="W1028" s="58"/>
      <c r="X1028" s="56" t="str">
        <v/>
      </c>
    </row>
    <row r="1029" spans="20:24" ht="12.9">
      <c r="T1029" s="56"/>
      <c r="U1029" s="56"/>
      <c r="V1029" s="57"/>
      <c r="W1029" s="58"/>
      <c r="X1029" s="56" t="str">
        <v/>
      </c>
    </row>
    <row r="1030" spans="20:24" ht="12.9">
      <c r="T1030" s="56"/>
      <c r="U1030" s="56"/>
      <c r="V1030" s="57"/>
      <c r="W1030" s="58"/>
      <c r="X1030" s="56" t="str">
        <v/>
      </c>
    </row>
    <row r="1031" spans="20:24" ht="12.9">
      <c r="T1031" s="56"/>
      <c r="U1031" s="56"/>
      <c r="V1031" s="57"/>
      <c r="W1031" s="58"/>
      <c r="X1031" s="56" t="str">
        <v/>
      </c>
    </row>
    <row r="1032" spans="20:24" ht="12.9">
      <c r="T1032" s="56"/>
      <c r="U1032" s="56"/>
      <c r="V1032" s="57"/>
      <c r="W1032" s="58"/>
      <c r="X1032" s="56" t="str">
        <v/>
      </c>
    </row>
    <row r="1033" spans="20:24" ht="12.9">
      <c r="T1033" s="56"/>
      <c r="U1033" s="56"/>
      <c r="V1033" s="57"/>
      <c r="W1033" s="58"/>
      <c r="X1033" s="56" t="str">
        <v/>
      </c>
    </row>
    <row r="1034" spans="20:24" ht="12.9">
      <c r="T1034" s="56"/>
      <c r="U1034" s="56"/>
      <c r="V1034" s="57"/>
      <c r="W1034" s="58"/>
      <c r="X1034" s="56" t="str">
        <v/>
      </c>
    </row>
    <row r="1035" spans="20:24" ht="12.9">
      <c r="T1035" s="56"/>
      <c r="U1035" s="56"/>
      <c r="V1035" s="57"/>
      <c r="W1035" s="58"/>
      <c r="X1035" s="56" t="str">
        <v/>
      </c>
    </row>
    <row r="1036" spans="20:24" ht="12.9">
      <c r="T1036" s="56"/>
      <c r="U1036" s="56"/>
      <c r="V1036" s="57"/>
      <c r="W1036" s="58"/>
      <c r="X1036" s="56" t="str">
        <v/>
      </c>
    </row>
    <row r="1037" spans="20:24" ht="12.9">
      <c r="T1037" s="56"/>
      <c r="U1037" s="56"/>
      <c r="V1037" s="57"/>
      <c r="W1037" s="58"/>
      <c r="X1037" s="56" t="str">
        <v/>
      </c>
    </row>
    <row r="1038" spans="20:24" ht="12.9">
      <c r="T1038" s="56"/>
      <c r="U1038" s="56"/>
      <c r="V1038" s="57"/>
      <c r="W1038" s="58"/>
      <c r="X1038" s="56" t="str">
        <v/>
      </c>
    </row>
    <row r="1039" spans="20:24" ht="12.9">
      <c r="T1039" s="56"/>
      <c r="U1039" s="56"/>
      <c r="V1039" s="57"/>
      <c r="W1039" s="58"/>
      <c r="X1039" s="56" t="str">
        <v/>
      </c>
    </row>
    <row r="1040" spans="20:24" ht="12.9">
      <c r="T1040" s="56"/>
      <c r="U1040" s="56"/>
      <c r="V1040" s="57"/>
      <c r="W1040" s="58"/>
      <c r="X1040" s="56" t="str">
        <v/>
      </c>
    </row>
    <row r="1041" spans="20:24" ht="12.9">
      <c r="T1041" s="56"/>
      <c r="U1041" s="56"/>
      <c r="V1041" s="57"/>
      <c r="W1041" s="58"/>
      <c r="X1041" s="56" t="str">
        <v/>
      </c>
    </row>
    <row r="1042" spans="20:24" ht="12.9">
      <c r="T1042" s="56"/>
      <c r="U1042" s="56"/>
      <c r="V1042" s="57"/>
      <c r="W1042" s="58"/>
      <c r="X1042" s="56" t="str">
        <v/>
      </c>
    </row>
    <row r="1043" spans="20:24" ht="12.9">
      <c r="T1043" s="56"/>
      <c r="U1043" s="56"/>
      <c r="V1043" s="57"/>
      <c r="W1043" s="58"/>
      <c r="X1043" s="56" t="str">
        <v/>
      </c>
    </row>
    <row r="1044" spans="20:24" ht="12.9">
      <c r="T1044" s="56"/>
      <c r="U1044" s="56"/>
      <c r="V1044" s="57"/>
      <c r="W1044" s="58"/>
      <c r="X1044" s="56" t="str">
        <v/>
      </c>
    </row>
    <row r="1045" spans="20:24" ht="12.9">
      <c r="T1045" s="56"/>
      <c r="U1045" s="56"/>
      <c r="V1045" s="57"/>
      <c r="W1045" s="58"/>
      <c r="X1045" s="56" t="str">
        <v/>
      </c>
    </row>
    <row r="1046" spans="20:24" ht="12.9">
      <c r="T1046" s="56"/>
      <c r="U1046" s="56"/>
      <c r="V1046" s="57"/>
      <c r="W1046" s="58"/>
      <c r="X1046" s="56" t="str">
        <v/>
      </c>
    </row>
    <row r="1047" spans="20:24" ht="12.9">
      <c r="T1047" s="56"/>
      <c r="U1047" s="56"/>
      <c r="V1047" s="57"/>
      <c r="W1047" s="58"/>
      <c r="X1047" s="56" t="str">
        <v/>
      </c>
    </row>
    <row r="1048" spans="20:24" ht="12.9">
      <c r="T1048" s="56"/>
      <c r="U1048" s="56"/>
      <c r="V1048" s="57"/>
      <c r="W1048" s="58"/>
      <c r="X1048" s="56" t="str">
        <v/>
      </c>
    </row>
    <row r="1049" spans="20:24" ht="12.9">
      <c r="T1049" s="56"/>
      <c r="U1049" s="56"/>
      <c r="V1049" s="57"/>
      <c r="W1049" s="58"/>
      <c r="X1049" s="56" t="str">
        <v/>
      </c>
    </row>
    <row r="1050" spans="20:24" ht="12.9">
      <c r="T1050" s="56"/>
      <c r="U1050" s="56"/>
      <c r="V1050" s="57"/>
      <c r="W1050" s="58"/>
      <c r="X1050" s="56" t="str">
        <v/>
      </c>
    </row>
    <row r="1051" spans="20:24" ht="12.9">
      <c r="T1051" s="56"/>
      <c r="U1051" s="56"/>
      <c r="V1051" s="57"/>
      <c r="W1051" s="58"/>
      <c r="X1051" s="56" t="str">
        <v/>
      </c>
    </row>
    <row r="1052" spans="20:24" ht="12.9">
      <c r="T1052" s="56"/>
      <c r="U1052" s="56"/>
      <c r="V1052" s="57"/>
      <c r="W1052" s="58"/>
      <c r="X1052" s="56" t="str">
        <v/>
      </c>
    </row>
    <row r="1053" spans="20:24" ht="12.9">
      <c r="T1053" s="56"/>
      <c r="U1053" s="56"/>
      <c r="V1053" s="57"/>
      <c r="W1053" s="58"/>
      <c r="X1053" s="56" t="str">
        <v/>
      </c>
    </row>
    <row r="1054" spans="20:24" ht="12.9">
      <c r="T1054" s="56"/>
      <c r="U1054" s="56"/>
      <c r="V1054" s="57"/>
      <c r="W1054" s="58"/>
      <c r="X1054" s="56" t="str">
        <v/>
      </c>
    </row>
    <row r="1055" spans="20:24" ht="12.9">
      <c r="T1055" s="56"/>
      <c r="U1055" s="56"/>
      <c r="V1055" s="57"/>
      <c r="W1055" s="58"/>
      <c r="X1055" s="56" t="str">
        <v/>
      </c>
    </row>
    <row r="1056" spans="20:24" ht="12.9">
      <c r="T1056" s="56"/>
      <c r="U1056" s="56"/>
      <c r="V1056" s="57"/>
      <c r="W1056" s="58"/>
      <c r="X1056" s="56" t="str">
        <v/>
      </c>
    </row>
    <row r="1057" spans="20:24" ht="12.9">
      <c r="T1057" s="56"/>
      <c r="U1057" s="56"/>
      <c r="V1057" s="57"/>
      <c r="W1057" s="58"/>
      <c r="X1057" s="56" t="str">
        <v/>
      </c>
    </row>
    <row r="1058" spans="20:24" ht="12.9">
      <c r="T1058" s="56"/>
      <c r="U1058" s="56"/>
      <c r="V1058" s="57"/>
      <c r="W1058" s="58"/>
      <c r="X1058" s="56" t="str">
        <v/>
      </c>
    </row>
    <row r="1059" spans="20:24" ht="12.9">
      <c r="T1059" s="56"/>
      <c r="U1059" s="56"/>
      <c r="V1059" s="57"/>
      <c r="W1059" s="58"/>
      <c r="X1059" s="56" t="str">
        <v/>
      </c>
    </row>
    <row r="1060" spans="20:24" ht="12.9">
      <c r="T1060" s="56"/>
      <c r="U1060" s="56"/>
      <c r="V1060" s="57"/>
      <c r="W1060" s="58"/>
      <c r="X1060" s="56" t="str">
        <v/>
      </c>
    </row>
    <row r="1061" spans="20:24" ht="12.9">
      <c r="T1061" s="56"/>
      <c r="U1061" s="56"/>
      <c r="V1061" s="57"/>
      <c r="W1061" s="58"/>
      <c r="X1061" s="56" t="str">
        <v/>
      </c>
    </row>
    <row r="1062" spans="20:24" ht="12.9">
      <c r="T1062" s="56"/>
      <c r="U1062" s="56"/>
      <c r="V1062" s="57"/>
      <c r="W1062" s="58"/>
      <c r="X1062" s="56" t="str">
        <v/>
      </c>
    </row>
    <row r="1063" spans="20:24" ht="12.9">
      <c r="T1063" s="56"/>
      <c r="U1063" s="56"/>
      <c r="V1063" s="57"/>
      <c r="W1063" s="58"/>
      <c r="X1063" s="56" t="str">
        <v/>
      </c>
    </row>
    <row r="1064" spans="20:24" ht="12.9">
      <c r="T1064" s="56"/>
      <c r="U1064" s="56"/>
      <c r="V1064" s="57"/>
      <c r="W1064" s="58"/>
      <c r="X1064" s="56" t="str">
        <v/>
      </c>
    </row>
    <row r="1065" spans="20:24" ht="12.9">
      <c r="T1065" s="56"/>
      <c r="U1065" s="56"/>
      <c r="V1065" s="57"/>
      <c r="W1065" s="58"/>
      <c r="X1065" s="56" t="str">
        <v/>
      </c>
    </row>
    <row r="1066" spans="20:24" ht="12.9">
      <c r="T1066" s="56"/>
      <c r="U1066" s="56"/>
      <c r="V1066" s="57"/>
      <c r="W1066" s="58"/>
      <c r="X1066" s="56" t="str">
        <v/>
      </c>
    </row>
    <row r="1067" spans="20:24" ht="12.9">
      <c r="T1067" s="56"/>
      <c r="U1067" s="56"/>
      <c r="V1067" s="57"/>
      <c r="W1067" s="58"/>
      <c r="X1067" s="56" t="str">
        <v/>
      </c>
    </row>
    <row r="1068" spans="20:24" ht="12.9">
      <c r="T1068" s="56"/>
      <c r="U1068" s="56"/>
      <c r="V1068" s="57"/>
      <c r="W1068" s="58"/>
      <c r="X1068" s="56" t="str">
        <v/>
      </c>
    </row>
    <row r="1069" spans="20:24" ht="12.9">
      <c r="T1069" s="56"/>
      <c r="U1069" s="56"/>
      <c r="V1069" s="57"/>
      <c r="W1069" s="58"/>
      <c r="X1069" s="56" t="str">
        <v/>
      </c>
    </row>
    <row r="1070" spans="20:24" ht="12.9">
      <c r="T1070" s="56"/>
      <c r="U1070" s="56"/>
      <c r="V1070" s="57"/>
      <c r="W1070" s="58"/>
      <c r="X1070" s="56" t="str">
        <v/>
      </c>
    </row>
    <row r="1071" spans="20:24" ht="12.9">
      <c r="T1071" s="56"/>
      <c r="U1071" s="56"/>
      <c r="V1071" s="57"/>
      <c r="W1071" s="58"/>
      <c r="X1071" s="56" t="str">
        <v/>
      </c>
    </row>
    <row r="1072" spans="20:24" ht="12.9">
      <c r="T1072" s="56"/>
      <c r="U1072" s="56"/>
      <c r="V1072" s="57"/>
      <c r="W1072" s="58"/>
      <c r="X1072" s="56" t="str">
        <v/>
      </c>
    </row>
    <row r="1073" spans="20:24" ht="12.9">
      <c r="T1073" s="56"/>
      <c r="U1073" s="56"/>
      <c r="V1073" s="57"/>
      <c r="W1073" s="58"/>
      <c r="X1073" s="56" t="str">
        <v/>
      </c>
    </row>
    <row r="1074" spans="20:24" ht="12.9">
      <c r="T1074" s="56"/>
      <c r="U1074" s="56"/>
      <c r="V1074" s="57"/>
      <c r="W1074" s="58"/>
      <c r="X1074" s="56" t="str">
        <v/>
      </c>
    </row>
    <row r="1075" spans="20:24" ht="12.9">
      <c r="T1075" s="56"/>
      <c r="U1075" s="56"/>
      <c r="V1075" s="57"/>
      <c r="W1075" s="58"/>
      <c r="X1075" s="56" t="str">
        <v/>
      </c>
    </row>
    <row r="1076" spans="20:24" ht="12.9">
      <c r="T1076" s="56"/>
      <c r="U1076" s="56"/>
      <c r="V1076" s="57"/>
      <c r="W1076" s="58"/>
      <c r="X1076" s="56" t="str">
        <v/>
      </c>
    </row>
    <row r="1077" spans="20:24" ht="12.9">
      <c r="T1077" s="56"/>
      <c r="U1077" s="56"/>
      <c r="V1077" s="57"/>
      <c r="W1077" s="58"/>
      <c r="X1077" s="56" t="str">
        <v/>
      </c>
    </row>
    <row r="1078" spans="20:24" ht="12.9">
      <c r="T1078" s="56"/>
      <c r="U1078" s="56"/>
      <c r="V1078" s="57"/>
      <c r="W1078" s="58"/>
      <c r="X1078" s="56" t="str">
        <v/>
      </c>
    </row>
    <row r="1079" spans="20:24" ht="12.9">
      <c r="T1079" s="56"/>
      <c r="U1079" s="56"/>
      <c r="V1079" s="57"/>
      <c r="W1079" s="58"/>
      <c r="X1079" s="56" t="str">
        <v/>
      </c>
    </row>
    <row r="1080" spans="20:24" ht="12.9">
      <c r="T1080" s="56"/>
      <c r="U1080" s="56"/>
      <c r="V1080" s="57"/>
      <c r="W1080" s="58"/>
      <c r="X1080" s="56" t="str">
        <v/>
      </c>
    </row>
    <row r="1081" spans="20:24" ht="12.9">
      <c r="T1081" s="56"/>
      <c r="U1081" s="56"/>
      <c r="V1081" s="57"/>
      <c r="W1081" s="58"/>
      <c r="X1081" s="56" t="str">
        <v/>
      </c>
    </row>
    <row r="1082" spans="20:24" ht="12.9">
      <c r="T1082" s="56"/>
      <c r="U1082" s="56"/>
      <c r="V1082" s="57"/>
      <c r="W1082" s="58"/>
      <c r="X1082" s="56" t="str">
        <v/>
      </c>
    </row>
    <row r="1083" spans="20:24" ht="12.9">
      <c r="T1083" s="56"/>
      <c r="U1083" s="56"/>
      <c r="V1083" s="57"/>
      <c r="W1083" s="58"/>
      <c r="X1083" s="56" t="str">
        <v/>
      </c>
    </row>
    <row r="1084" spans="20:24" ht="12.9">
      <c r="T1084" s="56"/>
      <c r="U1084" s="56"/>
      <c r="V1084" s="57"/>
      <c r="W1084" s="58"/>
      <c r="X1084" s="56" t="str">
        <v/>
      </c>
    </row>
    <row r="1085" spans="20:24" ht="12.9">
      <c r="T1085" s="56"/>
      <c r="U1085" s="56"/>
      <c r="V1085" s="57"/>
      <c r="W1085" s="58"/>
      <c r="X1085" s="56" t="str">
        <v/>
      </c>
    </row>
    <row r="1086" spans="20:24" ht="12.9">
      <c r="T1086" s="56"/>
      <c r="U1086" s="56"/>
      <c r="V1086" s="57"/>
      <c r="W1086" s="58"/>
      <c r="X1086" s="56" t="str">
        <v/>
      </c>
    </row>
    <row r="1087" spans="20:24" ht="12.9">
      <c r="T1087" s="56"/>
      <c r="U1087" s="56"/>
      <c r="V1087" s="57"/>
      <c r="W1087" s="58"/>
      <c r="X1087" s="56" t="str">
        <v/>
      </c>
    </row>
    <row r="1088" spans="20:24" ht="12.9">
      <c r="T1088" s="56"/>
      <c r="U1088" s="56"/>
      <c r="V1088" s="57"/>
      <c r="W1088" s="58"/>
      <c r="X1088" s="56" t="str">
        <v/>
      </c>
    </row>
    <row r="1089" spans="20:24" ht="12.9">
      <c r="T1089" s="56"/>
      <c r="U1089" s="56"/>
      <c r="V1089" s="57"/>
      <c r="W1089" s="58"/>
      <c r="X1089" s="56" t="str">
        <v/>
      </c>
    </row>
    <row r="1090" spans="20:24" ht="12.9">
      <c r="T1090" s="56"/>
      <c r="U1090" s="56"/>
      <c r="V1090" s="57"/>
      <c r="W1090" s="58"/>
      <c r="X1090" s="56" t="str">
        <v/>
      </c>
    </row>
    <row r="1091" spans="20:24" ht="12.9">
      <c r="T1091" s="56"/>
      <c r="U1091" s="56"/>
      <c r="V1091" s="57"/>
      <c r="W1091" s="58"/>
      <c r="X1091" s="56" t="str">
        <v/>
      </c>
    </row>
    <row r="1092" spans="20:24" ht="12.9">
      <c r="T1092" s="56"/>
      <c r="U1092" s="56"/>
      <c r="V1092" s="57"/>
      <c r="W1092" s="58"/>
      <c r="X1092" s="56" t="str">
        <v/>
      </c>
    </row>
    <row r="1093" spans="20:24" ht="12.9">
      <c r="T1093" s="56"/>
      <c r="U1093" s="56"/>
      <c r="V1093" s="57"/>
      <c r="W1093" s="58"/>
      <c r="X1093" s="56" t="str">
        <v/>
      </c>
    </row>
    <row r="1094" spans="20:24" ht="12.9">
      <c r="T1094" s="56"/>
      <c r="U1094" s="56"/>
      <c r="V1094" s="57"/>
      <c r="W1094" s="58"/>
      <c r="X1094" s="56" t="str">
        <v/>
      </c>
    </row>
    <row r="1095" spans="20:24" ht="12.9">
      <c r="T1095" s="56"/>
      <c r="U1095" s="56"/>
      <c r="V1095" s="57"/>
      <c r="W1095" s="58"/>
      <c r="X1095" s="56" t="str">
        <v/>
      </c>
    </row>
    <row r="1096" spans="20:24" ht="12.9">
      <c r="T1096" s="56"/>
      <c r="U1096" s="56"/>
      <c r="V1096" s="57"/>
      <c r="W1096" s="58"/>
      <c r="X1096" s="56" t="str">
        <v/>
      </c>
    </row>
    <row r="1097" spans="20:24" ht="12.9">
      <c r="T1097" s="56"/>
      <c r="U1097" s="56"/>
      <c r="V1097" s="57"/>
      <c r="W1097" s="58"/>
      <c r="X1097" s="56" t="str">
        <v/>
      </c>
    </row>
    <row r="1098" spans="20:24" ht="12.9">
      <c r="T1098" s="56"/>
      <c r="U1098" s="56"/>
      <c r="V1098" s="57"/>
      <c r="W1098" s="58"/>
      <c r="X1098" s="56" t="str">
        <v/>
      </c>
    </row>
    <row r="1099" spans="20:24" ht="12.9">
      <c r="T1099" s="56"/>
      <c r="U1099" s="56"/>
      <c r="V1099" s="57"/>
      <c r="W1099" s="58"/>
      <c r="X1099" s="56" t="str">
        <v/>
      </c>
    </row>
    <row r="1100" spans="20:24" ht="12.9">
      <c r="T1100" s="56"/>
      <c r="U1100" s="56"/>
      <c r="V1100" s="57"/>
      <c r="W1100" s="58"/>
      <c r="X1100" s="56" t="str">
        <v/>
      </c>
    </row>
    <row r="1101" spans="20:24" ht="12.9">
      <c r="T1101" s="56"/>
      <c r="U1101" s="56"/>
      <c r="V1101" s="57"/>
      <c r="W1101" s="58"/>
      <c r="X1101" s="56" t="str">
        <v/>
      </c>
    </row>
    <row r="1102" spans="20:24" ht="12.9">
      <c r="T1102" s="56"/>
      <c r="U1102" s="56"/>
      <c r="V1102" s="57"/>
      <c r="W1102" s="58"/>
      <c r="X1102" s="56" t="str">
        <v/>
      </c>
    </row>
    <row r="1103" spans="20:24" ht="12.9">
      <c r="T1103" s="56"/>
      <c r="U1103" s="56"/>
      <c r="V1103" s="57"/>
      <c r="W1103" s="58"/>
      <c r="X1103" s="56" t="str">
        <v/>
      </c>
    </row>
    <row r="1104" spans="20:24" ht="12.9">
      <c r="T1104" s="56"/>
      <c r="U1104" s="56"/>
      <c r="V1104" s="57"/>
      <c r="W1104" s="58"/>
      <c r="X1104" s="56" t="str">
        <v/>
      </c>
    </row>
    <row r="1105" spans="20:24" ht="12.9">
      <c r="T1105" s="56"/>
      <c r="U1105" s="56"/>
      <c r="V1105" s="57"/>
      <c r="W1105" s="58"/>
      <c r="X1105" s="56" t="str">
        <v/>
      </c>
    </row>
    <row r="1106" spans="20:24" ht="12.9">
      <c r="T1106" s="56"/>
      <c r="U1106" s="56"/>
      <c r="V1106" s="57"/>
      <c r="W1106" s="58"/>
      <c r="X1106" s="56" t="str">
        <v/>
      </c>
    </row>
    <row r="1107" spans="20:24" ht="12.9">
      <c r="T1107" s="56"/>
      <c r="U1107" s="56"/>
      <c r="V1107" s="57"/>
      <c r="W1107" s="58"/>
      <c r="X1107" s="56" t="str">
        <v/>
      </c>
    </row>
    <row r="1108" spans="20:24" ht="12.9">
      <c r="T1108" s="56"/>
      <c r="U1108" s="56"/>
      <c r="V1108" s="57"/>
      <c r="W1108" s="58"/>
      <c r="X1108" s="56" t="str">
        <v/>
      </c>
    </row>
    <row r="1109" spans="20:24" ht="12.9">
      <c r="T1109" s="56"/>
      <c r="U1109" s="56"/>
      <c r="V1109" s="57"/>
      <c r="W1109" s="58"/>
      <c r="X1109" s="56" t="str">
        <v/>
      </c>
    </row>
    <row r="1110" spans="20:24" ht="12.9">
      <c r="T1110" s="56"/>
      <c r="U1110" s="56"/>
      <c r="V1110" s="57"/>
      <c r="W1110" s="58"/>
      <c r="X1110" s="56" t="str">
        <v/>
      </c>
    </row>
    <row r="1111" spans="20:24" ht="12.9">
      <c r="T1111" s="56"/>
      <c r="U1111" s="56"/>
      <c r="V1111" s="57"/>
      <c r="W1111" s="58"/>
      <c r="X1111" s="56" t="str">
        <v/>
      </c>
    </row>
    <row r="1112" spans="20:24" ht="12.9">
      <c r="T1112" s="56"/>
      <c r="U1112" s="56"/>
      <c r="V1112" s="57"/>
      <c r="W1112" s="58"/>
      <c r="X1112" s="56" t="str">
        <v/>
      </c>
    </row>
    <row r="1113" spans="20:24" ht="12.9">
      <c r="T1113" s="56"/>
      <c r="U1113" s="56"/>
      <c r="V1113" s="57"/>
      <c r="W1113" s="58"/>
      <c r="X1113" s="56" t="str">
        <v/>
      </c>
    </row>
    <row r="1114" spans="20:24" ht="12.9">
      <c r="T1114" s="56"/>
      <c r="U1114" s="56"/>
      <c r="V1114" s="57"/>
      <c r="W1114" s="58"/>
      <c r="X1114" s="56" t="str">
        <v/>
      </c>
    </row>
    <row r="1115" spans="20:24" ht="12.9">
      <c r="T1115" s="56"/>
      <c r="U1115" s="56"/>
      <c r="V1115" s="57"/>
      <c r="W1115" s="58"/>
      <c r="X1115" s="56" t="str">
        <v/>
      </c>
    </row>
    <row r="1116" spans="20:24" ht="12.9">
      <c r="T1116" s="56"/>
      <c r="U1116" s="56"/>
      <c r="V1116" s="57"/>
      <c r="W1116" s="58"/>
      <c r="X1116" s="56" t="str">
        <v/>
      </c>
    </row>
    <row r="1117" spans="20:24" ht="12.9">
      <c r="T1117" s="56"/>
      <c r="U1117" s="56"/>
      <c r="V1117" s="57"/>
      <c r="W1117" s="58"/>
      <c r="X1117" s="56" t="str">
        <v/>
      </c>
    </row>
    <row r="1118" spans="20:24" ht="12.9">
      <c r="T1118" s="56"/>
      <c r="U1118" s="56"/>
      <c r="V1118" s="57"/>
      <c r="W1118" s="58"/>
      <c r="X1118" s="56" t="str">
        <v/>
      </c>
    </row>
    <row r="1119" spans="20:24" ht="12.9">
      <c r="T1119" s="56"/>
      <c r="U1119" s="56"/>
      <c r="V1119" s="57"/>
      <c r="W1119" s="58"/>
      <c r="X1119" s="56" t="str">
        <v/>
      </c>
    </row>
    <row r="1120" spans="20:24" ht="12.9">
      <c r="T1120" s="56"/>
      <c r="U1120" s="56"/>
      <c r="V1120" s="57"/>
      <c r="W1120" s="58"/>
      <c r="X1120" s="56" t="str">
        <v/>
      </c>
    </row>
    <row r="1121" spans="20:24" ht="12.9">
      <c r="T1121" s="56"/>
      <c r="U1121" s="56"/>
      <c r="V1121" s="57"/>
      <c r="W1121" s="58"/>
      <c r="X1121" s="56" t="str">
        <v/>
      </c>
    </row>
    <row r="1122" spans="20:24" ht="12.9">
      <c r="T1122" s="56"/>
      <c r="U1122" s="56"/>
      <c r="V1122" s="57"/>
      <c r="W1122" s="58"/>
      <c r="X1122" s="56" t="str">
        <v/>
      </c>
    </row>
    <row r="1123" spans="20:24" ht="12.9">
      <c r="T1123" s="56"/>
      <c r="U1123" s="56"/>
      <c r="V1123" s="57"/>
      <c r="W1123" s="58"/>
      <c r="X1123" s="56" t="str">
        <v/>
      </c>
    </row>
    <row r="1124" spans="20:24" ht="12.9">
      <c r="T1124" s="56"/>
      <c r="U1124" s="56"/>
      <c r="V1124" s="57"/>
      <c r="W1124" s="58"/>
      <c r="X1124" s="56" t="str">
        <v/>
      </c>
    </row>
    <row r="1125" spans="20:24" ht="12.9">
      <c r="T1125" s="56"/>
      <c r="U1125" s="56"/>
      <c r="V1125" s="57"/>
      <c r="W1125" s="58"/>
      <c r="X1125" s="56" t="str">
        <v/>
      </c>
    </row>
    <row r="1126" spans="20:24" ht="12.9">
      <c r="T1126" s="56"/>
      <c r="U1126" s="56"/>
      <c r="V1126" s="57"/>
      <c r="W1126" s="58"/>
      <c r="X1126" s="56" t="str">
        <v/>
      </c>
    </row>
    <row r="1127" spans="20:24" ht="12.9">
      <c r="T1127" s="56"/>
      <c r="U1127" s="56"/>
      <c r="V1127" s="57"/>
      <c r="W1127" s="58"/>
      <c r="X1127" s="56" t="str">
        <v/>
      </c>
    </row>
    <row r="1128" spans="20:24" ht="12.9">
      <c r="T1128" s="56"/>
      <c r="U1128" s="56"/>
      <c r="V1128" s="57"/>
      <c r="W1128" s="58"/>
      <c r="X1128" s="56" t="str">
        <v/>
      </c>
    </row>
    <row r="1129" spans="20:24" ht="12.9">
      <c r="T1129" s="56"/>
      <c r="U1129" s="56"/>
      <c r="V1129" s="57"/>
      <c r="W1129" s="58"/>
      <c r="X1129" s="56" t="str">
        <v/>
      </c>
    </row>
    <row r="1130" spans="20:24" ht="12.9">
      <c r="T1130" s="56"/>
      <c r="U1130" s="56"/>
      <c r="V1130" s="57"/>
      <c r="W1130" s="58"/>
      <c r="X1130" s="56" t="str">
        <v/>
      </c>
    </row>
    <row r="1131" spans="20:24" ht="12.9">
      <c r="T1131" s="56"/>
      <c r="U1131" s="56"/>
      <c r="V1131" s="57"/>
      <c r="W1131" s="58"/>
      <c r="X1131" s="56" t="str">
        <v/>
      </c>
    </row>
  </sheetData>
  <mergeCells count="5">
    <mergeCell ref="B1:F1"/>
    <mergeCell ref="G1:K1"/>
    <mergeCell ref="A11:I11"/>
    <mergeCell ref="J11:R11"/>
    <mergeCell ref="A19:I1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P2510"/>
  <sheetViews>
    <sheetView workbookViewId="0"/>
  </sheetViews>
  <sheetFormatPr defaultColWidth="12.625" defaultRowHeight="15.8" customHeight="1"/>
  <cols>
    <col min="1" max="1" width="16.75" customWidth="1"/>
    <col min="2" max="2" width="39" customWidth="1"/>
    <col min="7" max="7" width="7.25" customWidth="1"/>
    <col min="8" max="8" width="64.75" customWidth="1"/>
  </cols>
  <sheetData>
    <row r="1" spans="1:16">
      <c r="A1" s="69" t="str">
        <f ca="1">IFERROR(__xludf.DUMMYFUNCTION("IMPORTRANGE(""1FPgvCnI_ep7V4N4wEP_6BBqL6SgAieGlYrsa41g0Rpw"",""SDS!A1:P"")
"),"Date")</f>
        <v>Date</v>
      </c>
      <c r="B1" s="69" t="str">
        <f ca="1">IFERROR(__xludf.DUMMYFUNCTION("""COMPUTED_VALUE"""),"Full Name")</f>
        <v>Full Name</v>
      </c>
      <c r="C1" s="70" t="str">
        <f ca="1">IFERROR(__xludf.DUMMYFUNCTION("""COMPUTED_VALUE"""),"Enrollment Number")</f>
        <v>Enrollment Number</v>
      </c>
      <c r="D1" s="70" t="str">
        <f ca="1">IFERROR(__xludf.DUMMYFUNCTION("""COMPUTED_VALUE"""),"Date of fee payment")</f>
        <v>Date of fee payment</v>
      </c>
      <c r="E1" s="70" t="str">
        <f ca="1">IFERROR(__xludf.DUMMYFUNCTION("""COMPUTED_VALUE"""),"Tuition Fees")</f>
        <v>Tuition Fees</v>
      </c>
      <c r="F1" s="70" t="str">
        <f ca="1">IFERROR(__xludf.DUMMYFUNCTION("""COMPUTED_VALUE"""),"Exam Fee or RKU Fee")</f>
        <v>Exam Fee or RKU Fee</v>
      </c>
      <c r="G1" s="70" t="str">
        <f ca="1">IFERROR(__xludf.DUMMYFUNCTION("""COMPUTED_VALUE"""),"CHECK BY AC")</f>
        <v>CHECK BY AC</v>
      </c>
      <c r="H1" s="69" t="str">
        <f ca="1">IFERROR(__xludf.DUMMYFUNCTION("""COMPUTED_VALUE"""),"Status")</f>
        <v>Status</v>
      </c>
      <c r="I1" s="59" t="str">
        <f ca="1">IFERROR(__xludf.DUMMYFUNCTION("""COMPUTED_VALUE"""),"Transaction receipt")</f>
        <v>Transaction receipt</v>
      </c>
      <c r="J1" s="59"/>
      <c r="K1" s="59"/>
      <c r="L1" s="59"/>
      <c r="M1" s="59"/>
      <c r="N1" s="59"/>
      <c r="O1" s="59"/>
      <c r="P1" s="59"/>
    </row>
    <row r="2" spans="1:16">
      <c r="A2" s="71">
        <f ca="1">IFERROR(__xludf.DUMMYFUNCTION("""COMPUTED_VALUE"""),45357.8887224305)</f>
        <v>45357.8887224305</v>
      </c>
      <c r="B2" s="59" t="str">
        <f ca="1">IFERROR(__xludf.DUMMYFUNCTION("""COMPUTED_VALUE"""),"Roshan Patel ")</f>
        <v xml:space="preserve">Roshan Patel </v>
      </c>
      <c r="C2" s="72" t="str">
        <f ca="1">IFERROR(__xludf.DUMMYFUNCTION("""COMPUTED_VALUE"""),"21SDSCV01602 ")</f>
        <v xml:space="preserve">21SDSCV01602 </v>
      </c>
      <c r="D2" s="73">
        <f ca="1">IFERROR(__xludf.DUMMYFUNCTION("""COMPUTED_VALUE"""),45357)</f>
        <v>45357</v>
      </c>
      <c r="E2" s="74">
        <f ca="1">IFERROR(__xludf.DUMMYFUNCTION("""COMPUTED_VALUE"""),36250)</f>
        <v>36250</v>
      </c>
      <c r="F2" s="72">
        <f ca="1">IFERROR(__xludf.DUMMYFUNCTION("""COMPUTED_VALUE"""),0)</f>
        <v>0</v>
      </c>
      <c r="G2" s="75"/>
      <c r="H2" s="59"/>
      <c r="I2" s="76" t="str">
        <f ca="1">IFERROR(__xludf.DUMMYFUNCTION("""COMPUTED_VALUE"""),"https://drive.google.com/open?id=1AZou6AOvAvsB93SIEALVlG-rqOreJAs8")</f>
        <v>https://drive.google.com/open?id=1AZou6AOvAvsB93SIEALVlG-rqOreJAs8</v>
      </c>
      <c r="J2" s="59"/>
      <c r="K2" s="59"/>
      <c r="L2" s="59"/>
      <c r="M2" s="59"/>
      <c r="N2" s="59"/>
      <c r="O2" s="59"/>
      <c r="P2" s="59"/>
    </row>
    <row r="3" spans="1:16">
      <c r="A3" s="71">
        <f ca="1">IFERROR(__xludf.DUMMYFUNCTION("""COMPUTED_VALUE"""),45357.8877467476)</f>
        <v>45357.887746747598</v>
      </c>
      <c r="B3" s="59" t="str">
        <f ca="1">IFERROR(__xludf.DUMMYFUNCTION("""COMPUTED_VALUE"""),"Ranpariya Prutha Chandrakantbhai ")</f>
        <v xml:space="preserve">Ranpariya Prutha Chandrakantbhai </v>
      </c>
      <c r="C3" s="72" t="str">
        <f ca="1">IFERROR(__xludf.DUMMYFUNCTION("""COMPUTED_VALUE"""),"21SDSCE01042")</f>
        <v>21SDSCE01042</v>
      </c>
      <c r="D3" s="73">
        <f ca="1">IFERROR(__xludf.DUMMYFUNCTION("""COMPUTED_VALUE"""),45357)</f>
        <v>45357</v>
      </c>
      <c r="E3" s="74">
        <f ca="1">IFERROR(__xludf.DUMMYFUNCTION("""COMPUTED_VALUE"""),25000)</f>
        <v>25000</v>
      </c>
      <c r="F3" s="72">
        <f ca="1">IFERROR(__xludf.DUMMYFUNCTION("""COMPUTED_VALUE"""),0)</f>
        <v>0</v>
      </c>
      <c r="G3" s="75"/>
      <c r="H3" s="59"/>
      <c r="I3" s="76" t="str">
        <f ca="1">IFERROR(__xludf.DUMMYFUNCTION("""COMPUTED_VALUE"""),"https://drive.google.com/open?id=1S66012kS0elfXY0MfiKJ6WGuzGVhC4vC")</f>
        <v>https://drive.google.com/open?id=1S66012kS0elfXY0MfiKJ6WGuzGVhC4vC</v>
      </c>
      <c r="J3" s="59"/>
      <c r="K3" s="59"/>
      <c r="L3" s="59"/>
      <c r="M3" s="59"/>
      <c r="N3" s="59"/>
      <c r="O3" s="59"/>
      <c r="P3" s="59"/>
    </row>
    <row r="4" spans="1:16">
      <c r="A4" s="71">
        <f ca="1">IFERROR(__xludf.DUMMYFUNCTION("""COMPUTED_VALUE"""),45357.7557037037)</f>
        <v>45357.755703703697</v>
      </c>
      <c r="B4" s="59" t="str">
        <f ca="1">IFERROR(__xludf.DUMMYFUNCTION("""COMPUTED_VALUE"""),"Rishab Kumar Srivastav ")</f>
        <v xml:space="preserve">Rishab Kumar Srivastav </v>
      </c>
      <c r="C4" s="72" t="str">
        <f ca="1">IFERROR(__xludf.DUMMYFUNCTION("""COMPUTED_VALUE"""),"22SDSME01052")</f>
        <v>22SDSME01052</v>
      </c>
      <c r="D4" s="73">
        <f ca="1">IFERROR(__xludf.DUMMYFUNCTION("""COMPUTED_VALUE"""),45328)</f>
        <v>45328</v>
      </c>
      <c r="E4" s="72"/>
      <c r="F4" s="72">
        <f ca="1">IFERROR(__xludf.DUMMYFUNCTION("""COMPUTED_VALUE"""),3000)</f>
        <v>3000</v>
      </c>
      <c r="G4" s="75"/>
      <c r="H4" s="59"/>
      <c r="I4" s="76" t="str">
        <f ca="1">IFERROR(__xludf.DUMMYFUNCTION("""COMPUTED_VALUE"""),"https://drive.google.com/open?id=1sOSxMCLkBzze0d40m9EiiMboCvtaEQg_")</f>
        <v>https://drive.google.com/open?id=1sOSxMCLkBzze0d40m9EiiMboCvtaEQg_</v>
      </c>
      <c r="J4" s="59"/>
      <c r="K4" s="59"/>
      <c r="L4" s="59"/>
      <c r="M4" s="59"/>
      <c r="N4" s="59"/>
      <c r="O4" s="59"/>
      <c r="P4" s="59"/>
    </row>
    <row r="5" spans="1:16">
      <c r="A5" s="71">
        <f ca="1">IFERROR(__xludf.DUMMYFUNCTION("""COMPUTED_VALUE"""),45357.7314206134)</f>
        <v>45357.731420613403</v>
      </c>
      <c r="B5" s="59" t="str">
        <f ca="1">IFERROR(__xludf.DUMMYFUNCTION("""COMPUTED_VALUE"""),"Ranpariya Prutha Chandrakantbhai")</f>
        <v>Ranpariya Prutha Chandrakantbhai</v>
      </c>
      <c r="C5" s="72" t="str">
        <f ca="1">IFERROR(__xludf.DUMMYFUNCTION("""COMPUTED_VALUE"""),"21SDSCE01042")</f>
        <v>21SDSCE01042</v>
      </c>
      <c r="D5" s="73">
        <f ca="1">IFERROR(__xludf.DUMMYFUNCTION("""COMPUTED_VALUE"""),45357)</f>
        <v>45357</v>
      </c>
      <c r="E5" s="74">
        <f ca="1">IFERROR(__xludf.DUMMYFUNCTION("""COMPUTED_VALUE"""),25000)</f>
        <v>25000</v>
      </c>
      <c r="F5" s="72"/>
      <c r="G5" s="75"/>
      <c r="H5" s="59"/>
      <c r="I5" s="76" t="str">
        <f ca="1">IFERROR(__xludf.DUMMYFUNCTION("""COMPUTED_VALUE"""),"https://drive.google.com/open?id=1ivs7moe19O9t1r6DQWbbSsw0BOdQRIVb")</f>
        <v>https://drive.google.com/open?id=1ivs7moe19O9t1r6DQWbbSsw0BOdQRIVb</v>
      </c>
      <c r="J5" s="59"/>
      <c r="K5" s="59"/>
      <c r="L5" s="59"/>
      <c r="M5" s="59"/>
      <c r="N5" s="59"/>
      <c r="O5" s="59"/>
      <c r="P5" s="59"/>
    </row>
    <row r="6" spans="1:16">
      <c r="A6" s="71">
        <f ca="1">IFERROR(__xludf.DUMMYFUNCTION("""COMPUTED_VALUE"""),45357.6060729398)</f>
        <v>45357.606072939801</v>
      </c>
      <c r="B6" s="59" t="str">
        <f ca="1">IFERROR(__xludf.DUMMYFUNCTION("""COMPUTED_VALUE"""),"Mohammad Siddiqui ")</f>
        <v xml:space="preserve">Mohammad Siddiqui </v>
      </c>
      <c r="C6" s="72" t="str">
        <f ca="1">IFERROR(__xludf.DUMMYFUNCTION("""COMPUTED_VALUE"""),"23SDSCE01167")</f>
        <v>23SDSCE01167</v>
      </c>
      <c r="D6" s="73">
        <f ca="1">IFERROR(__xludf.DUMMYFUNCTION("""COMPUTED_VALUE"""),45357)</f>
        <v>45357</v>
      </c>
      <c r="E6" s="72"/>
      <c r="F6" s="72">
        <f ca="1">IFERROR(__xludf.DUMMYFUNCTION("""COMPUTED_VALUE"""),30500)</f>
        <v>30500</v>
      </c>
      <c r="G6" s="75"/>
      <c r="H6" s="59"/>
      <c r="I6" s="76" t="str">
        <f ca="1">IFERROR(__xludf.DUMMYFUNCTION("""COMPUTED_VALUE"""),"https://drive.google.com/open?id=19nbDcjwmp-QoCnxc68FrVv09VcfLTMeE")</f>
        <v>https://drive.google.com/open?id=19nbDcjwmp-QoCnxc68FrVv09VcfLTMeE</v>
      </c>
      <c r="J6" s="59"/>
      <c r="K6" s="59"/>
      <c r="L6" s="59"/>
      <c r="M6" s="59"/>
      <c r="N6" s="59"/>
      <c r="O6" s="59"/>
      <c r="P6" s="59"/>
    </row>
    <row r="7" spans="1:16">
      <c r="A7" s="71">
        <f ca="1">IFERROR(__xludf.DUMMYFUNCTION("""COMPUTED_VALUE"""),45353.9888968055)</f>
        <v>45353.988896805502</v>
      </c>
      <c r="B7" s="59" t="str">
        <f ca="1">IFERROR(__xludf.DUMMYFUNCTION("""COMPUTED_VALUE"""),"Rohit Kumar ")</f>
        <v xml:space="preserve">Rohit Kumar </v>
      </c>
      <c r="C7" s="72" t="str">
        <f ca="1">IFERROR(__xludf.DUMMYFUNCTION("""COMPUTED_VALUE"""),"22SDSCE01230")</f>
        <v>22SDSCE01230</v>
      </c>
      <c r="D7" s="73">
        <f ca="1">IFERROR(__xludf.DUMMYFUNCTION("""COMPUTED_VALUE"""),45337)</f>
        <v>45337</v>
      </c>
      <c r="E7" s="74">
        <f ca="1">IFERROR(__xludf.DUMMYFUNCTION("""COMPUTED_VALUE"""),85000)</f>
        <v>85000</v>
      </c>
      <c r="F7" s="72"/>
      <c r="G7" s="75"/>
      <c r="H7" s="59"/>
      <c r="I7" s="76" t="str">
        <f ca="1">IFERROR(__xludf.DUMMYFUNCTION("""COMPUTED_VALUE"""),"https://drive.google.com/open?id=1K95GuDyzBtdEGRkpHxZ9cHV2Rjrv1ib8")</f>
        <v>https://drive.google.com/open?id=1K95GuDyzBtdEGRkpHxZ9cHV2Rjrv1ib8</v>
      </c>
      <c r="J7" s="59"/>
      <c r="K7" s="59"/>
      <c r="L7" s="59"/>
      <c r="M7" s="59"/>
      <c r="N7" s="59"/>
      <c r="O7" s="59"/>
      <c r="P7" s="59"/>
    </row>
    <row r="8" spans="1:16">
      <c r="A8" s="71">
        <f ca="1">IFERROR(__xludf.DUMMYFUNCTION("""COMPUTED_VALUE"""),45351.4535709143)</f>
        <v>45351.453570914302</v>
      </c>
      <c r="B8" s="59" t="str">
        <f ca="1">IFERROR(__xludf.DUMMYFUNCTION("""COMPUTED_VALUE"""),"Ramani Tejas AshokBhai")</f>
        <v>Ramani Tejas AshokBhai</v>
      </c>
      <c r="C8" s="72" t="str">
        <f ca="1">IFERROR(__xludf.DUMMYFUNCTION("""COMPUTED_VALUE"""),"21SDSCE01143")</f>
        <v>21SDSCE01143</v>
      </c>
      <c r="D8" s="73">
        <f ca="1">IFERROR(__xludf.DUMMYFUNCTION("""COMPUTED_VALUE"""),45351)</f>
        <v>45351</v>
      </c>
      <c r="E8" s="74">
        <f ca="1">IFERROR(__xludf.DUMMYFUNCTION("""COMPUTED_VALUE"""),25000)</f>
        <v>25000</v>
      </c>
      <c r="F8" s="72">
        <f ca="1">IFERROR(__xludf.DUMMYFUNCTION("""COMPUTED_VALUE"""),0)</f>
        <v>0</v>
      </c>
      <c r="G8" s="75"/>
      <c r="H8" s="59"/>
      <c r="I8" s="76" t="str">
        <f ca="1">IFERROR(__xludf.DUMMYFUNCTION("""COMPUTED_VALUE"""),"https://drive.google.com/open?id=1PxLu_UQUKRUVmRnKY0bfYrII17V1BFWN")</f>
        <v>https://drive.google.com/open?id=1PxLu_UQUKRUVmRnKY0bfYrII17V1BFWN</v>
      </c>
      <c r="J8" s="59"/>
      <c r="K8" s="59"/>
      <c r="L8" s="59"/>
      <c r="M8" s="59"/>
      <c r="N8" s="59"/>
      <c r="O8" s="59"/>
      <c r="P8" s="59"/>
    </row>
    <row r="9" spans="1:16">
      <c r="A9" s="71">
        <f ca="1">IFERROR(__xludf.DUMMYFUNCTION("""COMPUTED_VALUE"""),45348.6855318518)</f>
        <v>45348.685531851799</v>
      </c>
      <c r="B9" s="59" t="str">
        <f ca="1">IFERROR(__xludf.DUMMYFUNCTION("""COMPUTED_VALUE"""),"Mohd Sahil Hussain ")</f>
        <v xml:space="preserve">Mohd Sahil Hussain </v>
      </c>
      <c r="C9" s="72" t="str">
        <f ca="1">IFERROR(__xludf.DUMMYFUNCTION("""COMPUTED_VALUE"""),"22SDSCE01224")</f>
        <v>22SDSCE01224</v>
      </c>
      <c r="D9" s="73">
        <f ca="1">IFERROR(__xludf.DUMMYFUNCTION("""COMPUTED_VALUE"""),45348)</f>
        <v>45348</v>
      </c>
      <c r="E9" s="72"/>
      <c r="F9" s="72">
        <f ca="1">IFERROR(__xludf.DUMMYFUNCTION("""COMPUTED_VALUE"""),85000)</f>
        <v>85000</v>
      </c>
      <c r="G9" s="75"/>
      <c r="H9" s="59"/>
      <c r="I9" s="76" t="str">
        <f ca="1">IFERROR(__xludf.DUMMYFUNCTION("""COMPUTED_VALUE"""),"https://drive.google.com/open?id=1lkde8AdiIho_eSGpkKXbU0meOT8Aadbb")</f>
        <v>https://drive.google.com/open?id=1lkde8AdiIho_eSGpkKXbU0meOT8Aadbb</v>
      </c>
      <c r="J9" s="59"/>
      <c r="K9" s="59"/>
      <c r="L9" s="59"/>
      <c r="M9" s="59"/>
      <c r="N9" s="59"/>
      <c r="O9" s="59"/>
      <c r="P9" s="59"/>
    </row>
    <row r="10" spans="1:16">
      <c r="A10" s="71">
        <f ca="1">IFERROR(__xludf.DUMMYFUNCTION("""COMPUTED_VALUE"""),45348.6095745138)</f>
        <v>45348.609574513801</v>
      </c>
      <c r="B10" s="59" t="str">
        <f ca="1">IFERROR(__xludf.DUMMYFUNCTION("""COMPUTED_VALUE"""),"Komal Kumari")</f>
        <v>Komal Kumari</v>
      </c>
      <c r="C10" s="72" t="str">
        <f ca="1">IFERROR(__xludf.DUMMYFUNCTION("""COMPUTED_VALUE"""),"22SDSEE01013")</f>
        <v>22SDSEE01013</v>
      </c>
      <c r="D10" s="73">
        <f ca="1">IFERROR(__xludf.DUMMYFUNCTION("""COMPUTED_VALUE"""),45218)</f>
        <v>45218</v>
      </c>
      <c r="E10" s="74">
        <f ca="1">IFERROR(__xludf.DUMMYFUNCTION("""COMPUTED_VALUE"""),85000)</f>
        <v>85000</v>
      </c>
      <c r="F10" s="72"/>
      <c r="G10" s="75"/>
      <c r="H10" s="59"/>
      <c r="I10" s="76" t="str">
        <f ca="1">IFERROR(__xludf.DUMMYFUNCTION("""COMPUTED_VALUE"""),"https://drive.google.com/open?id=1tQFQQd_XL1IDvRlI512gSeh_D7wegKU8")</f>
        <v>https://drive.google.com/open?id=1tQFQQd_XL1IDvRlI512gSeh_D7wegKU8</v>
      </c>
      <c r="J10" s="59"/>
      <c r="K10" s="59"/>
      <c r="L10" s="59"/>
      <c r="M10" s="59"/>
      <c r="N10" s="59"/>
      <c r="O10" s="59"/>
      <c r="P10" s="59"/>
    </row>
    <row r="11" spans="1:16">
      <c r="A11" s="71">
        <f ca="1">IFERROR(__xludf.DUMMYFUNCTION("""COMPUTED_VALUE"""),45345.6816991898)</f>
        <v>45345.681699189801</v>
      </c>
      <c r="B11" s="59" t="str">
        <f ca="1">IFERROR(__xludf.DUMMYFUNCTION("""COMPUTED_VALUE"""),"Godhaniya jayesh sarmanbhai ")</f>
        <v xml:space="preserve">Godhaniya jayesh sarmanbhai </v>
      </c>
      <c r="C11" s="72" t="str">
        <f ca="1">IFERROR(__xludf.DUMMYFUNCTION("""COMPUTED_VALUE"""),"23SDSCE01213 ")</f>
        <v xml:space="preserve">23SDSCE01213 </v>
      </c>
      <c r="D11" s="73">
        <f ca="1">IFERROR(__xludf.DUMMYFUNCTION("""COMPUTED_VALUE"""),45345)</f>
        <v>45345</v>
      </c>
      <c r="E11" s="74">
        <f ca="1">IFERROR(__xludf.DUMMYFUNCTION("""COMPUTED_VALUE"""),25000)</f>
        <v>25000</v>
      </c>
      <c r="F11" s="72">
        <f ca="1">IFERROR(__xludf.DUMMYFUNCTION("""COMPUTED_VALUE"""),0)</f>
        <v>0</v>
      </c>
      <c r="G11" s="75"/>
      <c r="H11" s="59"/>
      <c r="I11" s="76" t="str">
        <f ca="1">IFERROR(__xludf.DUMMYFUNCTION("""COMPUTED_VALUE"""),"https://drive.google.com/open?id=1TcuJEPK_ClHAhm9m65N_bCOlneGmets4")</f>
        <v>https://drive.google.com/open?id=1TcuJEPK_ClHAhm9m65N_bCOlneGmets4</v>
      </c>
      <c r="J11" s="59"/>
      <c r="K11" s="59"/>
      <c r="L11" s="59"/>
      <c r="M11" s="59"/>
      <c r="N11" s="59"/>
      <c r="O11" s="59"/>
      <c r="P11" s="59"/>
    </row>
    <row r="12" spans="1:16">
      <c r="A12" s="71">
        <f ca="1">IFERROR(__xludf.DUMMYFUNCTION("""COMPUTED_VALUE"""),45343.508595081)</f>
        <v>45343.508595081003</v>
      </c>
      <c r="B12" s="59" t="str">
        <f ca="1">IFERROR(__xludf.DUMMYFUNCTION("""COMPUTED_VALUE"""),"Foram ghelani ")</f>
        <v xml:space="preserve">Foram ghelani </v>
      </c>
      <c r="C12" s="72" t="str">
        <f ca="1">IFERROR(__xludf.DUMMYFUNCTION("""COMPUTED_VALUE"""),"22SDSCE01044")</f>
        <v>22SDSCE01044</v>
      </c>
      <c r="D12" s="73">
        <f ca="1">IFERROR(__xludf.DUMMYFUNCTION("""COMPUTED_VALUE"""),45323)</f>
        <v>45323</v>
      </c>
      <c r="E12" s="74">
        <f ca="1">IFERROR(__xludf.DUMMYFUNCTION("""COMPUTED_VALUE"""),25000)</f>
        <v>25000</v>
      </c>
      <c r="F12" s="72">
        <f ca="1">IFERROR(__xludf.DUMMYFUNCTION("""COMPUTED_VALUE"""),28000)</f>
        <v>28000</v>
      </c>
      <c r="G12" s="75"/>
      <c r="H12" s="59"/>
      <c r="I12" s="76" t="str">
        <f ca="1">IFERROR(__xludf.DUMMYFUNCTION("""COMPUTED_VALUE"""),"https://drive.google.com/open?id=1XXFQnA75yiC14kxerpe-GaRaUcqTbGOU")</f>
        <v>https://drive.google.com/open?id=1XXFQnA75yiC14kxerpe-GaRaUcqTbGOU</v>
      </c>
      <c r="J12" s="59"/>
      <c r="K12" s="59"/>
      <c r="L12" s="59"/>
      <c r="M12" s="59"/>
      <c r="N12" s="59"/>
      <c r="O12" s="59"/>
      <c r="P12" s="59"/>
    </row>
    <row r="13" spans="1:16">
      <c r="A13" s="71">
        <f ca="1">IFERROR(__xludf.DUMMYFUNCTION("""COMPUTED_VALUE"""),45338.8849130787)</f>
        <v>45338.884913078698</v>
      </c>
      <c r="B13" s="59" t="str">
        <f ca="1">IFERROR(__xludf.DUMMYFUNCTION("""COMPUTED_VALUE"""),"Rani Kumari ")</f>
        <v xml:space="preserve">Rani Kumari </v>
      </c>
      <c r="C13" s="72" t="str">
        <f ca="1">IFERROR(__xludf.DUMMYFUNCTION("""COMPUTED_VALUE"""),"22SDSCE01244")</f>
        <v>22SDSCE01244</v>
      </c>
      <c r="D13" s="73">
        <f ca="1">IFERROR(__xludf.DUMMYFUNCTION("""COMPUTED_VALUE"""),45328)</f>
        <v>45328</v>
      </c>
      <c r="E13" s="74">
        <f ca="1">IFERROR(__xludf.DUMMYFUNCTION("""COMPUTED_VALUE"""),85000)</f>
        <v>85000</v>
      </c>
      <c r="F13" s="72"/>
      <c r="G13" s="75"/>
      <c r="H13" s="59"/>
      <c r="I13" s="76" t="str">
        <f ca="1">IFERROR(__xludf.DUMMYFUNCTION("""COMPUTED_VALUE"""),"https://drive.google.com/open?id=1QdrKJw-h65-yN69h3UQnnt2bAJoQFcgu")</f>
        <v>https://drive.google.com/open?id=1QdrKJw-h65-yN69h3UQnnt2bAJoQFcgu</v>
      </c>
      <c r="J13" s="59"/>
      <c r="K13" s="59"/>
      <c r="L13" s="59"/>
      <c r="M13" s="59"/>
      <c r="N13" s="59"/>
      <c r="O13" s="59"/>
      <c r="P13" s="59"/>
    </row>
    <row r="14" spans="1:16">
      <c r="A14" s="71">
        <f ca="1">IFERROR(__xludf.DUMMYFUNCTION("""COMPUTED_VALUE"""),45337.7462586805)</f>
        <v>45337.746258680498</v>
      </c>
      <c r="B14" s="59" t="str">
        <f ca="1">IFERROR(__xludf.DUMMYFUNCTION("""COMPUTED_VALUE"""),"md Amjad Husain")</f>
        <v>md Amjad Husain</v>
      </c>
      <c r="C14" s="72" t="str">
        <f ca="1">IFERROR(__xludf.DUMMYFUNCTION("""COMPUTED_VALUE"""),"21SDSCE01605")</f>
        <v>21SDSCE01605</v>
      </c>
      <c r="D14" s="73">
        <f ca="1">IFERROR(__xludf.DUMMYFUNCTION("""COMPUTED_VALUE"""),45333)</f>
        <v>45333</v>
      </c>
      <c r="E14" s="74">
        <f ca="1">IFERROR(__xludf.DUMMYFUNCTION("""COMPUTED_VALUE"""),30000)</f>
        <v>30000</v>
      </c>
      <c r="F14" s="72"/>
      <c r="G14" s="75"/>
      <c r="H14" s="59"/>
      <c r="I14" s="76" t="str">
        <f ca="1">IFERROR(__xludf.DUMMYFUNCTION("""COMPUTED_VALUE"""),"https://drive.google.com/open?id=1iPA3RU0OaRl2vm7AbipqvrduJ28Dypuj")</f>
        <v>https://drive.google.com/open?id=1iPA3RU0OaRl2vm7AbipqvrduJ28Dypuj</v>
      </c>
      <c r="J14" s="59"/>
      <c r="K14" s="59"/>
      <c r="L14" s="59"/>
      <c r="M14" s="59"/>
      <c r="N14" s="59"/>
      <c r="O14" s="59"/>
      <c r="P14" s="59"/>
    </row>
    <row r="15" spans="1:16">
      <c r="A15" s="71">
        <f ca="1">IFERROR(__xludf.DUMMYFUNCTION("""COMPUTED_VALUE"""),45335.8789511689)</f>
        <v>45335.878951168903</v>
      </c>
      <c r="B15" s="59" t="str">
        <f ca="1">IFERROR(__xludf.DUMMYFUNCTION("""COMPUTED_VALUE"""),"Kanchan Kumari ")</f>
        <v xml:space="preserve">Kanchan Kumari </v>
      </c>
      <c r="C15" s="72" t="str">
        <f ca="1">IFERROR(__xludf.DUMMYFUNCTION("""COMPUTED_VALUE"""),"22SDSCE01245")</f>
        <v>22SDSCE01245</v>
      </c>
      <c r="D15" s="73">
        <f ca="1">IFERROR(__xludf.DUMMYFUNCTION("""COMPUTED_VALUE"""),45236)</f>
        <v>45236</v>
      </c>
      <c r="E15" s="74">
        <f ca="1">IFERROR(__xludf.DUMMYFUNCTION("""COMPUTED_VALUE"""),85000)</f>
        <v>85000</v>
      </c>
      <c r="F15" s="72"/>
      <c r="G15" s="75"/>
      <c r="H15" s="59"/>
      <c r="I15" s="76" t="str">
        <f ca="1">IFERROR(__xludf.DUMMYFUNCTION("""COMPUTED_VALUE"""),"https://drive.google.com/open?id=1jhUmZ30mMICs0htPucc_spK4ptv0W3FY")</f>
        <v>https://drive.google.com/open?id=1jhUmZ30mMICs0htPucc_spK4ptv0W3FY</v>
      </c>
      <c r="J15" s="59"/>
      <c r="K15" s="59"/>
      <c r="L15" s="59"/>
      <c r="M15" s="59"/>
      <c r="N15" s="59"/>
      <c r="O15" s="59"/>
      <c r="P15" s="59"/>
    </row>
    <row r="16" spans="1:16">
      <c r="A16" s="71">
        <f ca="1">IFERROR(__xludf.DUMMYFUNCTION("""COMPUTED_VALUE"""),45332.9415727777)</f>
        <v>45332.941572777701</v>
      </c>
      <c r="B16" s="59" t="str">
        <f ca="1">IFERROR(__xludf.DUMMYFUNCTION("""COMPUTED_VALUE"""),"Dhinoja Nevil Hitenbhai ")</f>
        <v xml:space="preserve">Dhinoja Nevil Hitenbhai </v>
      </c>
      <c r="C16" s="72" t="str">
        <f ca="1">IFERROR(__xludf.DUMMYFUNCTION("""COMPUTED_VALUE"""),"21SDSCE01015")</f>
        <v>21SDSCE01015</v>
      </c>
      <c r="D16" s="73">
        <f ca="1">IFERROR(__xludf.DUMMYFUNCTION("""COMPUTED_VALUE"""),45332)</f>
        <v>45332</v>
      </c>
      <c r="E16" s="74">
        <f ca="1">IFERROR(__xludf.DUMMYFUNCTION("""COMPUTED_VALUE"""),25000)</f>
        <v>25000</v>
      </c>
      <c r="F16" s="72">
        <f ca="1">IFERROR(__xludf.DUMMYFUNCTION("""COMPUTED_VALUE"""),2500)</f>
        <v>2500</v>
      </c>
      <c r="G16" s="75"/>
      <c r="H16" s="59"/>
      <c r="I16" s="76" t="str">
        <f ca="1">IFERROR(__xludf.DUMMYFUNCTION("""COMPUTED_VALUE"""),"https://drive.google.com/open?id=18S0TuWbAsaSn9j4rjIs7OwD3qgv_CTv1")</f>
        <v>https://drive.google.com/open?id=18S0TuWbAsaSn9j4rjIs7OwD3qgv_CTv1</v>
      </c>
      <c r="J16" s="59"/>
      <c r="K16" s="59"/>
      <c r="L16" s="59"/>
      <c r="M16" s="59"/>
      <c r="N16" s="59"/>
      <c r="O16" s="59"/>
      <c r="P16" s="59"/>
    </row>
    <row r="17" spans="1:16">
      <c r="A17" s="71">
        <f ca="1">IFERROR(__xludf.DUMMYFUNCTION("""COMPUTED_VALUE"""),45332.4635167939)</f>
        <v>45332.463516793898</v>
      </c>
      <c r="B17" s="59" t="str">
        <f ca="1">IFERROR(__xludf.DUMMYFUNCTION("""COMPUTED_VALUE"""),"vatsal kotadiya")</f>
        <v>vatsal kotadiya</v>
      </c>
      <c r="C17" s="72" t="str">
        <f ca="1">IFERROR(__xludf.DUMMYFUNCTION("""COMPUTED_VALUE"""),"22SDSCE01055")</f>
        <v>22SDSCE01055</v>
      </c>
      <c r="D17" s="73">
        <f ca="1">IFERROR(__xludf.DUMMYFUNCTION("""COMPUTED_VALUE"""),45332)</f>
        <v>45332</v>
      </c>
      <c r="E17" s="74">
        <f ca="1">IFERROR(__xludf.DUMMYFUNCTION("""COMPUTED_VALUE"""),25000)</f>
        <v>25000</v>
      </c>
      <c r="F17" s="72"/>
      <c r="G17" s="75"/>
      <c r="H17" s="59"/>
      <c r="I17" s="76" t="str">
        <f ca="1">IFERROR(__xludf.DUMMYFUNCTION("""COMPUTED_VALUE"""),"https://drive.google.com/open?id=1kKHMC9NEuXABr12b0iwv9YHNuYk9LEpX")</f>
        <v>https://drive.google.com/open?id=1kKHMC9NEuXABr12b0iwv9YHNuYk9LEpX</v>
      </c>
      <c r="J17" s="59"/>
      <c r="K17" s="59"/>
      <c r="L17" s="59"/>
      <c r="M17" s="59"/>
      <c r="N17" s="59"/>
      <c r="O17" s="59"/>
      <c r="P17" s="59"/>
    </row>
    <row r="18" spans="1:16">
      <c r="A18" s="71">
        <f ca="1">IFERROR(__xludf.DUMMYFUNCTION("""COMPUTED_VALUE"""),45331.6339244444)</f>
        <v>45331.633924444403</v>
      </c>
      <c r="B18" s="59" t="str">
        <f ca="1">IFERROR(__xludf.DUMMYFUNCTION("""COMPUTED_VALUE"""),"vatsal kotadiya")</f>
        <v>vatsal kotadiya</v>
      </c>
      <c r="C18" s="72" t="str">
        <f ca="1">IFERROR(__xludf.DUMMYFUNCTION("""COMPUTED_VALUE"""),"22SDSCE01055")</f>
        <v>22SDSCE01055</v>
      </c>
      <c r="D18" s="73">
        <f ca="1">IFERROR(__xludf.DUMMYFUNCTION("""COMPUTED_VALUE"""),45331)</f>
        <v>45331</v>
      </c>
      <c r="E18" s="72"/>
      <c r="F18" s="72">
        <f ca="1">IFERROR(__xludf.DUMMYFUNCTION("""COMPUTED_VALUE"""),3000)</f>
        <v>3000</v>
      </c>
      <c r="G18" s="75"/>
      <c r="H18" s="59"/>
      <c r="I18" s="76" t="str">
        <f ca="1">IFERROR(__xludf.DUMMYFUNCTION("""COMPUTED_VALUE"""),"https://drive.google.com/open?id=1MLQisLDB6dRr5ve-t25_cqtevIf58Aj3")</f>
        <v>https://drive.google.com/open?id=1MLQisLDB6dRr5ve-t25_cqtevIf58Aj3</v>
      </c>
      <c r="J18" s="59"/>
      <c r="K18" s="59"/>
      <c r="L18" s="59"/>
      <c r="M18" s="59"/>
      <c r="N18" s="59"/>
      <c r="O18" s="59"/>
      <c r="P18" s="59"/>
    </row>
    <row r="19" spans="1:16">
      <c r="A19" s="71">
        <f ca="1">IFERROR(__xludf.DUMMYFUNCTION("""COMPUTED_VALUE"""),45331.517577118)</f>
        <v>45331.517577118</v>
      </c>
      <c r="B19" s="59" t="str">
        <f ca="1">IFERROR(__xludf.DUMMYFUNCTION("""COMPUTED_VALUE"""),"Bhavyarajsinh Girirajsinh jadeja")</f>
        <v>Bhavyarajsinh Girirajsinh jadeja</v>
      </c>
      <c r="C19" s="72" t="str">
        <f ca="1">IFERROR(__xludf.DUMMYFUNCTION("""COMPUTED_VALUE"""),"22SDSCE01220")</f>
        <v>22SDSCE01220</v>
      </c>
      <c r="D19" s="73">
        <f ca="1">IFERROR(__xludf.DUMMYFUNCTION("""COMPUTED_VALUE"""),45289)</f>
        <v>45289</v>
      </c>
      <c r="E19" s="74">
        <f ca="1">IFERROR(__xludf.DUMMYFUNCTION("""COMPUTED_VALUE"""),25000)</f>
        <v>25000</v>
      </c>
      <c r="F19" s="72">
        <f ca="1">IFERROR(__xludf.DUMMYFUNCTION("""COMPUTED_VALUE"""),3000)</f>
        <v>3000</v>
      </c>
      <c r="G19" s="75"/>
      <c r="H19" s="59"/>
      <c r="I19" s="76" t="str">
        <f ca="1">IFERROR(__xludf.DUMMYFUNCTION("""COMPUTED_VALUE"""),"https://drive.google.com/open?id=1DwoSKVhAiCTtmhsX9Hp5m-s3IIXKyL2B")</f>
        <v>https://drive.google.com/open?id=1DwoSKVhAiCTtmhsX9Hp5m-s3IIXKyL2B</v>
      </c>
      <c r="J19" s="59"/>
      <c r="K19" s="59"/>
      <c r="L19" s="59"/>
      <c r="M19" s="59"/>
      <c r="N19" s="59"/>
      <c r="O19" s="59"/>
      <c r="P19" s="59"/>
    </row>
    <row r="20" spans="1:16">
      <c r="A20" s="71">
        <f ca="1">IFERROR(__xludf.DUMMYFUNCTION("""COMPUTED_VALUE"""),45331.4979280555)</f>
        <v>45331.497928055498</v>
      </c>
      <c r="B20" s="59" t="str">
        <f ca="1">IFERROR(__xludf.DUMMYFUNCTION("""COMPUTED_VALUE"""),"Borad khush Atulbhai ")</f>
        <v xml:space="preserve">Borad khush Atulbhai </v>
      </c>
      <c r="C20" s="72" t="str">
        <f ca="1">IFERROR(__xludf.DUMMYFUNCTION("""COMPUTED_VALUE"""),"22SDSCE01022 ")</f>
        <v xml:space="preserve">22SDSCE01022 </v>
      </c>
      <c r="D20" s="73">
        <f ca="1">IFERROR(__xludf.DUMMYFUNCTION("""COMPUTED_VALUE"""),45331)</f>
        <v>45331</v>
      </c>
      <c r="E20" s="74">
        <f ca="1">IFERROR(__xludf.DUMMYFUNCTION("""COMPUTED_VALUE"""),0)</f>
        <v>0</v>
      </c>
      <c r="F20" s="72">
        <f ca="1">IFERROR(__xludf.DUMMYFUNCTION("""COMPUTED_VALUE"""),3000)</f>
        <v>3000</v>
      </c>
      <c r="G20" s="75"/>
      <c r="H20" s="59"/>
      <c r="I20" s="76" t="str">
        <f ca="1">IFERROR(__xludf.DUMMYFUNCTION("""COMPUTED_VALUE"""),"https://drive.google.com/open?id=1jp461rBrfAZWriC4AYTaN1iQG6pa8f5D")</f>
        <v>https://drive.google.com/open?id=1jp461rBrfAZWriC4AYTaN1iQG6pa8f5D</v>
      </c>
      <c r="J20" s="59"/>
      <c r="K20" s="59"/>
      <c r="L20" s="59"/>
      <c r="M20" s="59"/>
      <c r="N20" s="59"/>
      <c r="O20" s="59"/>
      <c r="P20" s="59"/>
    </row>
    <row r="21" spans="1:16">
      <c r="A21" s="71">
        <f ca="1">IFERROR(__xludf.DUMMYFUNCTION("""COMPUTED_VALUE"""),45331.4915362847)</f>
        <v>45331.491536284702</v>
      </c>
      <c r="B21" s="59" t="str">
        <f ca="1">IFERROR(__xludf.DUMMYFUNCTION("""COMPUTED_VALUE"""),"Moradiya moksh mehulkumar")</f>
        <v>Moradiya moksh mehulkumar</v>
      </c>
      <c r="C21" s="72" t="str">
        <f ca="1">IFERROR(__xludf.DUMMYFUNCTION("""COMPUTED_VALUE"""),"22SDSCE01073")</f>
        <v>22SDSCE01073</v>
      </c>
      <c r="D21" s="73">
        <f ca="1">IFERROR(__xludf.DUMMYFUNCTION("""COMPUTED_VALUE"""),45293)</f>
        <v>45293</v>
      </c>
      <c r="E21" s="72"/>
      <c r="F21" s="72">
        <f ca="1">IFERROR(__xludf.DUMMYFUNCTION("""COMPUTED_VALUE"""),3000)</f>
        <v>3000</v>
      </c>
      <c r="G21" s="75"/>
      <c r="H21" s="59"/>
      <c r="I21" s="76" t="str">
        <f ca="1">IFERROR(__xludf.DUMMYFUNCTION("""COMPUTED_VALUE"""),"https://drive.google.com/open?id=1N6S6qsEbohzG-sxINuplfD03hZEVYhEl")</f>
        <v>https://drive.google.com/open?id=1N6S6qsEbohzG-sxINuplfD03hZEVYhEl</v>
      </c>
      <c r="J21" s="59"/>
      <c r="K21" s="59"/>
      <c r="L21" s="59"/>
      <c r="M21" s="59"/>
      <c r="N21" s="59"/>
      <c r="O21" s="59"/>
      <c r="P21" s="59"/>
    </row>
    <row r="22" spans="1:16">
      <c r="A22" s="71">
        <f ca="1">IFERROR(__xludf.DUMMYFUNCTION("""COMPUTED_VALUE"""),45331.409111574)</f>
        <v>45331.409111574001</v>
      </c>
      <c r="B22" s="59" t="str">
        <f ca="1">IFERROR(__xludf.DUMMYFUNCTION("""COMPUTED_VALUE"""),"Hathila Laxmi sureshbhai")</f>
        <v>Hathila Laxmi sureshbhai</v>
      </c>
      <c r="C22" s="72" t="str">
        <f ca="1">IFERROR(__xludf.DUMMYFUNCTION("""COMPUTED_VALUE"""),"22SDSCE01048")</f>
        <v>22SDSCE01048</v>
      </c>
      <c r="D22" s="73">
        <f ca="1">IFERROR(__xludf.DUMMYFUNCTION("""COMPUTED_VALUE"""),45330)</f>
        <v>45330</v>
      </c>
      <c r="E22" s="72"/>
      <c r="F22" s="72">
        <f ca="1">IFERROR(__xludf.DUMMYFUNCTION("""COMPUTED_VALUE"""),3200)</f>
        <v>3200</v>
      </c>
      <c r="G22" s="75"/>
      <c r="H22" s="59"/>
      <c r="I22" s="76" t="str">
        <f ca="1">IFERROR(__xludf.DUMMYFUNCTION("""COMPUTED_VALUE"""),"https://drive.google.com/open?id=1Z2e4l0a8g1Ww3jM0m55JX_VtAYUlIV3-")</f>
        <v>https://drive.google.com/open?id=1Z2e4l0a8g1Ww3jM0m55JX_VtAYUlIV3-</v>
      </c>
      <c r="J22" s="59"/>
      <c r="K22" s="59"/>
      <c r="L22" s="59"/>
      <c r="M22" s="59"/>
      <c r="N22" s="59"/>
      <c r="O22" s="59"/>
      <c r="P22" s="59"/>
    </row>
    <row r="23" spans="1:16">
      <c r="A23" s="71">
        <f ca="1">IFERROR(__xludf.DUMMYFUNCTION("""COMPUTED_VALUE"""),45330.4100520833)</f>
        <v>45330.410052083302</v>
      </c>
      <c r="B23" s="59" t="str">
        <f ca="1">IFERROR(__xludf.DUMMYFUNCTION("""COMPUTED_VALUE"""),"ASODARIYA DHRUVIL JAGDISHBHAI ")</f>
        <v xml:space="preserve">ASODARIYA DHRUVIL JAGDISHBHAI </v>
      </c>
      <c r="C23" s="72" t="str">
        <f ca="1">IFERROR(__xludf.DUMMYFUNCTION("""COMPUTED_VALUE"""),"22SDSCE01128")</f>
        <v>22SDSCE01128</v>
      </c>
      <c r="D23" s="73">
        <f ca="1">IFERROR(__xludf.DUMMYFUNCTION("""COMPUTED_VALUE"""),45330)</f>
        <v>45330</v>
      </c>
      <c r="E23" s="74">
        <f ca="1">IFERROR(__xludf.DUMMYFUNCTION("""COMPUTED_VALUE"""),25000)</f>
        <v>25000</v>
      </c>
      <c r="F23" s="72">
        <f ca="1">IFERROR(__xludf.DUMMYFUNCTION("""COMPUTED_VALUE"""),0)</f>
        <v>0</v>
      </c>
      <c r="G23" s="75"/>
      <c r="H23" s="59"/>
      <c r="I23" s="76" t="str">
        <f ca="1">IFERROR(__xludf.DUMMYFUNCTION("""COMPUTED_VALUE"""),"https://drive.google.com/open?id=1-idRHZ_n-rqb3vpAtJeYg1JpsstbZyba")</f>
        <v>https://drive.google.com/open?id=1-idRHZ_n-rqb3vpAtJeYg1JpsstbZyba</v>
      </c>
      <c r="J23" s="59"/>
      <c r="K23" s="59"/>
      <c r="L23" s="59"/>
      <c r="M23" s="59"/>
      <c r="N23" s="59"/>
      <c r="O23" s="59"/>
      <c r="P23" s="59"/>
    </row>
    <row r="24" spans="1:16">
      <c r="A24" s="71">
        <f ca="1">IFERROR(__xludf.DUMMYFUNCTION("""COMPUTED_VALUE"""),45329.7055834722)</f>
        <v>45329.705583472198</v>
      </c>
      <c r="B24" s="59" t="str">
        <f ca="1">IFERROR(__xludf.DUMMYFUNCTION("""COMPUTED_VALUE"""),"Manoj Kewat")</f>
        <v>Manoj Kewat</v>
      </c>
      <c r="C24" s="72" t="str">
        <f ca="1">IFERROR(__xludf.DUMMYFUNCTION("""COMPUTED_VALUE"""),"22SDSCE01616")</f>
        <v>22SDSCE01616</v>
      </c>
      <c r="D24" s="73">
        <f ca="1">IFERROR(__xludf.DUMMYFUNCTION("""COMPUTED_VALUE"""),45329)</f>
        <v>45329</v>
      </c>
      <c r="E24" s="72"/>
      <c r="F24" s="72"/>
      <c r="G24" s="75"/>
      <c r="H24" s="59"/>
      <c r="I24" s="76" t="str">
        <f ca="1">IFERROR(__xludf.DUMMYFUNCTION("""COMPUTED_VALUE"""),"https://drive.google.com/open?id=1rsqL6YaddBW99Jh_C22WGeCbxcKo1qqq")</f>
        <v>https://drive.google.com/open?id=1rsqL6YaddBW99Jh_C22WGeCbxcKo1qqq</v>
      </c>
      <c r="J24" s="59"/>
      <c r="K24" s="59"/>
      <c r="L24" s="59"/>
      <c r="M24" s="59"/>
      <c r="N24" s="59"/>
      <c r="O24" s="59"/>
      <c r="P24" s="59"/>
    </row>
    <row r="25" spans="1:16">
      <c r="A25" s="71">
        <f ca="1">IFERROR(__xludf.DUMMYFUNCTION("""COMPUTED_VALUE"""),45329.6849030787)</f>
        <v>45329.684903078698</v>
      </c>
      <c r="B25" s="59" t="str">
        <f ca="1">IFERROR(__xludf.DUMMYFUNCTION("""COMPUTED_VALUE"""),"Shreyas Nirenbhai Bagda")</f>
        <v>Shreyas Nirenbhai Bagda</v>
      </c>
      <c r="C25" s="72" t="str">
        <f ca="1">IFERROR(__xludf.DUMMYFUNCTION("""COMPUTED_VALUE"""),"22SDSCE01130")</f>
        <v>22SDSCE01130</v>
      </c>
      <c r="D25" s="73">
        <f ca="1">IFERROR(__xludf.DUMMYFUNCTION("""COMPUTED_VALUE"""),45329)</f>
        <v>45329</v>
      </c>
      <c r="E25" s="74">
        <f ca="1">IFERROR(__xludf.DUMMYFUNCTION("""COMPUTED_VALUE"""),6250)</f>
        <v>6250</v>
      </c>
      <c r="F25" s="72">
        <f ca="1">IFERROR(__xludf.DUMMYFUNCTION("""COMPUTED_VALUE"""),0)</f>
        <v>0</v>
      </c>
      <c r="G25" s="75"/>
      <c r="H25" s="59"/>
      <c r="I25" s="76" t="str">
        <f ca="1">IFERROR(__xludf.DUMMYFUNCTION("""COMPUTED_VALUE"""),"https://drive.google.com/open?id=1YUg_omQRRgcXYkVaWYPJ0hpDwQsS_gNq")</f>
        <v>https://drive.google.com/open?id=1YUg_omQRRgcXYkVaWYPJ0hpDwQsS_gNq</v>
      </c>
      <c r="J25" s="59"/>
      <c r="K25" s="59"/>
      <c r="L25" s="59"/>
      <c r="M25" s="59"/>
      <c r="N25" s="59"/>
      <c r="O25" s="59"/>
      <c r="P25" s="59"/>
    </row>
    <row r="26" spans="1:16">
      <c r="A26" s="71">
        <f ca="1">IFERROR(__xludf.DUMMYFUNCTION("""COMPUTED_VALUE"""),45329.6460018055)</f>
        <v>45329.6460018055</v>
      </c>
      <c r="B26" s="59" t="str">
        <f ca="1">IFERROR(__xludf.DUMMYFUNCTION("""COMPUTED_VALUE"""),"Prashant Kumar ")</f>
        <v xml:space="preserve">Prashant Kumar </v>
      </c>
      <c r="C26" s="72" t="str">
        <f ca="1">IFERROR(__xludf.DUMMYFUNCTION("""COMPUTED_VALUE"""),"22SDSEE01041")</f>
        <v>22SDSEE01041</v>
      </c>
      <c r="D26" s="73">
        <f ca="1">IFERROR(__xludf.DUMMYFUNCTION("""COMPUTED_VALUE"""),45218)</f>
        <v>45218</v>
      </c>
      <c r="E26" s="74">
        <f ca="1">IFERROR(__xludf.DUMMYFUNCTION("""COMPUTED_VALUE"""),42500)</f>
        <v>42500</v>
      </c>
      <c r="F26" s="72">
        <f ca="1">IFERROR(__xludf.DUMMYFUNCTION("""COMPUTED_VALUE"""),85000)</f>
        <v>85000</v>
      </c>
      <c r="G26" s="75"/>
      <c r="H26" s="59"/>
      <c r="I26" s="76" t="str">
        <f ca="1">IFERROR(__xludf.DUMMYFUNCTION("""COMPUTED_VALUE"""),"https://drive.google.com/open?id=1sTGcVsLSwvpXBh8ClxiFnwf8T94hs5Ha")</f>
        <v>https://drive.google.com/open?id=1sTGcVsLSwvpXBh8ClxiFnwf8T94hs5Ha</v>
      </c>
      <c r="J26" s="59"/>
      <c r="K26" s="59"/>
      <c r="L26" s="59"/>
      <c r="M26" s="59"/>
      <c r="N26" s="59"/>
      <c r="O26" s="59"/>
      <c r="P26" s="59"/>
    </row>
    <row r="27" spans="1:16">
      <c r="A27" s="71">
        <f ca="1">IFERROR(__xludf.DUMMYFUNCTION("""COMPUTED_VALUE"""),45329.6012436458)</f>
        <v>45329.601243645797</v>
      </c>
      <c r="B27" s="59" t="str">
        <f ca="1">IFERROR(__xludf.DUMMYFUNCTION("""COMPUTED_VALUE"""),"Gajera parth")</f>
        <v>Gajera parth</v>
      </c>
      <c r="C27" s="72" t="str">
        <f ca="1">IFERROR(__xludf.DUMMYFUNCTION("""COMPUTED_VALUE"""),"23SDSCE01132")</f>
        <v>23SDSCE01132</v>
      </c>
      <c r="D27" s="73">
        <f ca="1">IFERROR(__xludf.DUMMYFUNCTION("""COMPUTED_VALUE"""),45299)</f>
        <v>45299</v>
      </c>
      <c r="E27" s="74">
        <f ca="1">IFERROR(__xludf.DUMMYFUNCTION("""COMPUTED_VALUE"""),27500)</f>
        <v>27500</v>
      </c>
      <c r="F27" s="72">
        <f ca="1">IFERROR(__xludf.DUMMYFUNCTION("""COMPUTED_VALUE"""),3000)</f>
        <v>3000</v>
      </c>
      <c r="G27" s="75"/>
      <c r="H27" s="59"/>
      <c r="I27" s="76" t="str">
        <f ca="1">IFERROR(__xludf.DUMMYFUNCTION("""COMPUTED_VALUE"""),"https://drive.google.com/open?id=1ev2hzHSiXHae9noJz8jwJGX0zIQuSoM-")</f>
        <v>https://drive.google.com/open?id=1ev2hzHSiXHae9noJz8jwJGX0zIQuSoM-</v>
      </c>
      <c r="J27" s="59"/>
      <c r="K27" s="59"/>
      <c r="L27" s="59"/>
      <c r="M27" s="59"/>
      <c r="N27" s="59"/>
      <c r="O27" s="59"/>
      <c r="P27" s="59"/>
    </row>
    <row r="28" spans="1:16">
      <c r="A28" s="71">
        <f ca="1">IFERROR(__xludf.DUMMYFUNCTION("""COMPUTED_VALUE"""),45329.4946848148)</f>
        <v>45329.494684814803</v>
      </c>
      <c r="B28" s="59" t="str">
        <f ca="1">IFERROR(__xludf.DUMMYFUNCTION("""COMPUTED_VALUE"""),"Vaghasiya mitul Sanjaybhai ")</f>
        <v xml:space="preserve">Vaghasiya mitul Sanjaybhai </v>
      </c>
      <c r="C28" s="72" t="str">
        <f ca="1">IFERROR(__xludf.DUMMYFUNCTION("""COMPUTED_VALUE"""),"22SDSCE01117")</f>
        <v>22SDSCE01117</v>
      </c>
      <c r="D28" s="73">
        <f ca="1">IFERROR(__xludf.DUMMYFUNCTION("""COMPUTED_VALUE"""),45329)</f>
        <v>45329</v>
      </c>
      <c r="E28" s="74">
        <f ca="1">IFERROR(__xludf.DUMMYFUNCTION("""COMPUTED_VALUE"""),25000)</f>
        <v>25000</v>
      </c>
      <c r="F28" s="72"/>
      <c r="G28" s="75"/>
      <c r="H28" s="59"/>
      <c r="I28" s="76" t="str">
        <f ca="1">IFERROR(__xludf.DUMMYFUNCTION("""COMPUTED_VALUE"""),"https://drive.google.com/open?id=1sQ52LANgXiZVg-9ua-BlUcgVx5WxyA2t")</f>
        <v>https://drive.google.com/open?id=1sQ52LANgXiZVg-9ua-BlUcgVx5WxyA2t</v>
      </c>
      <c r="J28" s="59"/>
      <c r="K28" s="59"/>
      <c r="L28" s="59"/>
      <c r="M28" s="59"/>
      <c r="N28" s="59"/>
      <c r="O28" s="59"/>
      <c r="P28" s="59"/>
    </row>
    <row r="29" spans="1:16">
      <c r="A29" s="71">
        <f ca="1">IFERROR(__xludf.DUMMYFUNCTION("""COMPUTED_VALUE"""),45328.5979811111)</f>
        <v>45328.597981111103</v>
      </c>
      <c r="B29" s="59" t="str">
        <f ca="1">IFERROR(__xludf.DUMMYFUNCTION("""COMPUTED_VALUE"""),"Istiyak Ali ")</f>
        <v xml:space="preserve">Istiyak Ali </v>
      </c>
      <c r="C29" s="72" t="str">
        <f ca="1">IFERROR(__xludf.DUMMYFUNCTION("""COMPUTED_VALUE"""),"22SDSEE01027")</f>
        <v>22SDSEE01027</v>
      </c>
      <c r="D29" s="73">
        <f ca="1">IFERROR(__xludf.DUMMYFUNCTION("""COMPUTED_VALUE"""),45236)</f>
        <v>45236</v>
      </c>
      <c r="E29" s="72"/>
      <c r="F29" s="72"/>
      <c r="G29" s="75"/>
      <c r="H29" s="59"/>
      <c r="I29" s="76" t="str">
        <f ca="1">IFERROR(__xludf.DUMMYFUNCTION("""COMPUTED_VALUE"""),"https://drive.google.com/open?id=18hnqtA7WCZ3GHL9pk4jgpB8Pvm7RTidI")</f>
        <v>https://drive.google.com/open?id=18hnqtA7WCZ3GHL9pk4jgpB8Pvm7RTidI</v>
      </c>
      <c r="J29" s="59"/>
      <c r="K29" s="59"/>
      <c r="L29" s="59"/>
      <c r="M29" s="59"/>
      <c r="N29" s="59"/>
      <c r="O29" s="59"/>
      <c r="P29" s="59"/>
    </row>
    <row r="30" spans="1:16">
      <c r="A30" s="71">
        <f ca="1">IFERROR(__xludf.DUMMYFUNCTION("""COMPUTED_VALUE"""),45328.5231465162)</f>
        <v>45328.5231465162</v>
      </c>
      <c r="B30" s="59" t="str">
        <f ca="1">IFERROR(__xludf.DUMMYFUNCTION("""COMPUTED_VALUE"""),"Pruthvi zankat ")</f>
        <v xml:space="preserve">Pruthvi zankat </v>
      </c>
      <c r="C30" s="72" t="str">
        <f ca="1">IFERROR(__xludf.DUMMYFUNCTION("""COMPUTED_VALUE"""),"22SDSCV01018")</f>
        <v>22SDSCV01018</v>
      </c>
      <c r="D30" s="73">
        <f ca="1">IFERROR(__xludf.DUMMYFUNCTION("""COMPUTED_VALUE"""),45328)</f>
        <v>45328</v>
      </c>
      <c r="E30" s="74">
        <f ca="1">IFERROR(__xludf.DUMMYFUNCTION("""COMPUTED_VALUE"""),0)</f>
        <v>0</v>
      </c>
      <c r="F30" s="72">
        <f ca="1">IFERROR(__xludf.DUMMYFUNCTION("""COMPUTED_VALUE"""),3000)</f>
        <v>3000</v>
      </c>
      <c r="G30" s="75"/>
      <c r="H30" s="59"/>
      <c r="I30" s="76" t="str">
        <f ca="1">IFERROR(__xludf.DUMMYFUNCTION("""COMPUTED_VALUE"""),"https://drive.google.com/open?id=1xp0zZXbsTmrOH7G7bKqnwiWByK_17499")</f>
        <v>https://drive.google.com/open?id=1xp0zZXbsTmrOH7G7bKqnwiWByK_17499</v>
      </c>
      <c r="J30" s="59"/>
      <c r="K30" s="59"/>
      <c r="L30" s="59"/>
      <c r="M30" s="59"/>
      <c r="N30" s="59"/>
      <c r="O30" s="59"/>
      <c r="P30" s="59"/>
    </row>
    <row r="31" spans="1:16">
      <c r="A31" s="71">
        <f ca="1">IFERROR(__xludf.DUMMYFUNCTION("""COMPUTED_VALUE"""),45328.5202256481)</f>
        <v>45328.520225648099</v>
      </c>
      <c r="B31" s="59" t="str">
        <f ca="1">IFERROR(__xludf.DUMMYFUNCTION("""COMPUTED_VALUE"""),"Pruthvi zankat ")</f>
        <v xml:space="preserve">Pruthvi zankat </v>
      </c>
      <c r="C31" s="72" t="str">
        <f ca="1">IFERROR(__xludf.DUMMYFUNCTION("""COMPUTED_VALUE"""),"22SDSCV01018")</f>
        <v>22SDSCV01018</v>
      </c>
      <c r="D31" s="73">
        <f ca="1">IFERROR(__xludf.DUMMYFUNCTION("""COMPUTED_VALUE"""),45328)</f>
        <v>45328</v>
      </c>
      <c r="E31" s="74">
        <f ca="1">IFERROR(__xludf.DUMMYFUNCTION("""COMPUTED_VALUE"""),25000)</f>
        <v>25000</v>
      </c>
      <c r="F31" s="72">
        <f ca="1">IFERROR(__xludf.DUMMYFUNCTION("""COMPUTED_VALUE"""),0)</f>
        <v>0</v>
      </c>
      <c r="G31" s="75"/>
      <c r="H31" s="59"/>
      <c r="I31" s="76" t="str">
        <f ca="1">IFERROR(__xludf.DUMMYFUNCTION("""COMPUTED_VALUE"""),"https://drive.google.com/open?id=1_CFzgo6_z7DOYZ_SDaS6ptmZjS9g_DVt")</f>
        <v>https://drive.google.com/open?id=1_CFzgo6_z7DOYZ_SDaS6ptmZjS9g_DVt</v>
      </c>
      <c r="J31" s="59"/>
      <c r="K31" s="59"/>
      <c r="L31" s="59"/>
      <c r="M31" s="59"/>
      <c r="N31" s="59"/>
      <c r="O31" s="59"/>
      <c r="P31" s="59"/>
    </row>
    <row r="32" spans="1:16">
      <c r="A32" s="71">
        <f ca="1">IFERROR(__xludf.DUMMYFUNCTION("""COMPUTED_VALUE"""),45328.4474995949)</f>
        <v>45328.447499594899</v>
      </c>
      <c r="B32" s="59" t="str">
        <f ca="1">IFERROR(__xludf.DUMMYFUNCTION("""COMPUTED_VALUE"""),"Chaudhari Harsh Kaushikkumar")</f>
        <v>Chaudhari Harsh Kaushikkumar</v>
      </c>
      <c r="C32" s="72" t="str">
        <f ca="1">IFERROR(__xludf.DUMMYFUNCTION("""COMPUTED_VALUE"""),"23SDSCE01232")</f>
        <v>23SDSCE01232</v>
      </c>
      <c r="D32" s="73">
        <f ca="1">IFERROR(__xludf.DUMMYFUNCTION("""COMPUTED_VALUE"""),45328)</f>
        <v>45328</v>
      </c>
      <c r="E32" s="74">
        <f ca="1">IFERROR(__xludf.DUMMYFUNCTION("""COMPUTED_VALUE"""),27500)</f>
        <v>27500</v>
      </c>
      <c r="F32" s="72">
        <f ca="1">IFERROR(__xludf.DUMMYFUNCTION("""COMPUTED_VALUE"""),3000)</f>
        <v>3000</v>
      </c>
      <c r="G32" s="75"/>
      <c r="H32" s="59"/>
      <c r="I32" s="76" t="str">
        <f ca="1">IFERROR(__xludf.DUMMYFUNCTION("""COMPUTED_VALUE"""),"https://drive.google.com/open?id=1L8NObJ0JawoV5IKCcfHJl9n2KD742LZx")</f>
        <v>https://drive.google.com/open?id=1L8NObJ0JawoV5IKCcfHJl9n2KD742LZx</v>
      </c>
      <c r="J32" s="59"/>
      <c r="K32" s="59"/>
      <c r="L32" s="59"/>
      <c r="M32" s="59"/>
      <c r="N32" s="59"/>
      <c r="O32" s="59"/>
      <c r="P32" s="59"/>
    </row>
    <row r="33" spans="1:16">
      <c r="A33" s="71">
        <f ca="1">IFERROR(__xludf.DUMMYFUNCTION("""COMPUTED_VALUE"""),45327.5534785532)</f>
        <v>45327.5534785532</v>
      </c>
      <c r="B33" s="59" t="str">
        <f ca="1">IFERROR(__xludf.DUMMYFUNCTION("""COMPUTED_VALUE"""),"Krishnu Gupta ")</f>
        <v xml:space="preserve">Krishnu Gupta </v>
      </c>
      <c r="C33" s="72" t="str">
        <f ca="1">IFERROR(__xludf.DUMMYFUNCTION("""COMPUTED_VALUE"""),"21Sdsce01604")</f>
        <v>21Sdsce01604</v>
      </c>
      <c r="D33" s="73">
        <f ca="1">IFERROR(__xludf.DUMMYFUNCTION("""COMPUTED_VALUE"""),45266)</f>
        <v>45266</v>
      </c>
      <c r="E33" s="72"/>
      <c r="F33" s="72"/>
      <c r="G33" s="75"/>
      <c r="H33" s="59" t="str">
        <f ca="1">IFERROR(__xludf.DUMMYFUNCTION("""COMPUTED_VALUE"""),"WRONG SNAPSHOT")</f>
        <v>WRONG SNAPSHOT</v>
      </c>
      <c r="I33" s="76" t="str">
        <f ca="1">IFERROR(__xludf.DUMMYFUNCTION("""COMPUTED_VALUE"""),"https://drive.google.com/open?id=13r1Tmbx-OtQ-AYEwsMbcAt2-lwHxo5vh")</f>
        <v>https://drive.google.com/open?id=13r1Tmbx-OtQ-AYEwsMbcAt2-lwHxo5vh</v>
      </c>
      <c r="J33" s="59"/>
      <c r="K33" s="59"/>
      <c r="L33" s="59"/>
      <c r="M33" s="59"/>
      <c r="N33" s="59"/>
      <c r="O33" s="59"/>
      <c r="P33" s="59"/>
    </row>
    <row r="34" spans="1:16">
      <c r="A34" s="71">
        <f ca="1">IFERROR(__xludf.DUMMYFUNCTION("""COMPUTED_VALUE"""),45327.5512050347)</f>
        <v>45327.551205034702</v>
      </c>
      <c r="B34" s="59" t="str">
        <f ca="1">IFERROR(__xludf.DUMMYFUNCTION("""COMPUTED_VALUE"""),"Krishnu Gupta ")</f>
        <v xml:space="preserve">Krishnu Gupta </v>
      </c>
      <c r="C34" s="72" t="str">
        <f ca="1">IFERROR(__xludf.DUMMYFUNCTION("""COMPUTED_VALUE"""),"21SDSCE01604")</f>
        <v>21SDSCE01604</v>
      </c>
      <c r="D34" s="73">
        <f ca="1">IFERROR(__xludf.DUMMYFUNCTION("""COMPUTED_VALUE"""),45266)</f>
        <v>45266</v>
      </c>
      <c r="E34" s="72"/>
      <c r="F34" s="72"/>
      <c r="G34" s="75"/>
      <c r="H34" s="59"/>
      <c r="I34" s="76" t="str">
        <f ca="1">IFERROR(__xludf.DUMMYFUNCTION("""COMPUTED_VALUE"""),"https://drive.google.com/open?id=11edTzuoOe9vvhA_bCMR1V22KuoQysbmh")</f>
        <v>https://drive.google.com/open?id=11edTzuoOe9vvhA_bCMR1V22KuoQysbmh</v>
      </c>
      <c r="J34" s="59"/>
      <c r="K34" s="59"/>
      <c r="L34" s="59"/>
      <c r="M34" s="59"/>
      <c r="N34" s="59"/>
      <c r="O34" s="59"/>
      <c r="P34" s="59"/>
    </row>
    <row r="35" spans="1:16">
      <c r="A35" s="71">
        <f ca="1">IFERROR(__xludf.DUMMYFUNCTION("""COMPUTED_VALUE"""),45327.5489079513)</f>
        <v>45327.548907951299</v>
      </c>
      <c r="B35" s="59" t="str">
        <f ca="1">IFERROR(__xludf.DUMMYFUNCTION("""COMPUTED_VALUE"""),"Krishnu Gupta")</f>
        <v>Krishnu Gupta</v>
      </c>
      <c r="C35" s="72" t="str">
        <f ca="1">IFERROR(__xludf.DUMMYFUNCTION("""COMPUTED_VALUE"""),"21SDSCE01604")</f>
        <v>21SDSCE01604</v>
      </c>
      <c r="D35" s="73">
        <f ca="1">IFERROR(__xludf.DUMMYFUNCTION("""COMPUTED_VALUE"""),45266)</f>
        <v>45266</v>
      </c>
      <c r="E35" s="74">
        <f ca="1">IFERROR(__xludf.DUMMYFUNCTION("""COMPUTED_VALUE"""),36200)</f>
        <v>36200</v>
      </c>
      <c r="F35" s="72"/>
      <c r="G35" s="75"/>
      <c r="H35" s="59"/>
      <c r="I35" s="76" t="str">
        <f ca="1">IFERROR(__xludf.DUMMYFUNCTION("""COMPUTED_VALUE"""),"https://drive.google.com/open?id=1EMyghZ62IwP-FzdvxX3JVqBFKjDU06A2")</f>
        <v>https://drive.google.com/open?id=1EMyghZ62IwP-FzdvxX3JVqBFKjDU06A2</v>
      </c>
      <c r="J35" s="59"/>
      <c r="K35" s="59"/>
      <c r="L35" s="59"/>
      <c r="M35" s="59"/>
      <c r="N35" s="59"/>
      <c r="O35" s="59"/>
      <c r="P35" s="59"/>
    </row>
    <row r="36" spans="1:16">
      <c r="A36" s="71">
        <f ca="1">IFERROR(__xludf.DUMMYFUNCTION("""COMPUTED_VALUE"""),45325.6383415509)</f>
        <v>45325.638341550897</v>
      </c>
      <c r="B36" s="59" t="str">
        <f ca="1">IFERROR(__xludf.DUMMYFUNCTION("""COMPUTED_VALUE"""),"Patel krishnaben jagubhai ")</f>
        <v xml:space="preserve">Patel krishnaben jagubhai </v>
      </c>
      <c r="C36" s="72" t="str">
        <f ca="1">IFERROR(__xludf.DUMMYFUNCTION("""COMPUTED_VALUE"""),"21SDSCV01014")</f>
        <v>21SDSCV01014</v>
      </c>
      <c r="D36" s="73">
        <f ca="1">IFERROR(__xludf.DUMMYFUNCTION("""COMPUTED_VALUE"""),45319)</f>
        <v>45319</v>
      </c>
      <c r="E36" s="72"/>
      <c r="F36" s="72">
        <f ca="1">IFERROR(__xludf.DUMMYFUNCTION("""COMPUTED_VALUE"""),3750)</f>
        <v>3750</v>
      </c>
      <c r="G36" s="75"/>
      <c r="H36" s="59"/>
      <c r="I36" s="76" t="str">
        <f ca="1">IFERROR(__xludf.DUMMYFUNCTION("""COMPUTED_VALUE"""),"https://drive.google.com/open?id=1I9mew95_jnqYhW4pvGXEDvQNpjUeDj0r")</f>
        <v>https://drive.google.com/open?id=1I9mew95_jnqYhW4pvGXEDvQNpjUeDj0r</v>
      </c>
      <c r="J36" s="59"/>
      <c r="K36" s="59"/>
      <c r="L36" s="59"/>
      <c r="M36" s="59"/>
      <c r="N36" s="59"/>
      <c r="O36" s="59"/>
      <c r="P36" s="59"/>
    </row>
    <row r="37" spans="1:16">
      <c r="A37" s="71">
        <f ca="1">IFERROR(__xludf.DUMMYFUNCTION("""COMPUTED_VALUE"""),45325.6364461921)</f>
        <v>45325.636446192097</v>
      </c>
      <c r="B37" s="59" t="str">
        <f ca="1">IFERROR(__xludf.DUMMYFUNCTION("""COMPUTED_VALUE"""),"Patel krishnaben jagubhai ")</f>
        <v xml:space="preserve">Patel krishnaben jagubhai </v>
      </c>
      <c r="C37" s="72" t="str">
        <f ca="1">IFERROR(__xludf.DUMMYFUNCTION("""COMPUTED_VALUE"""),"21SDSCV01014")</f>
        <v>21SDSCV01014</v>
      </c>
      <c r="D37" s="73">
        <f ca="1">IFERROR(__xludf.DUMMYFUNCTION("""COMPUTED_VALUE"""),45319)</f>
        <v>45319</v>
      </c>
      <c r="E37" s="74">
        <f ca="1">IFERROR(__xludf.DUMMYFUNCTION("""COMPUTED_VALUE"""),25000)</f>
        <v>25000</v>
      </c>
      <c r="F37" s="72"/>
      <c r="G37" s="75"/>
      <c r="H37" s="59"/>
      <c r="I37" s="76" t="str">
        <f ca="1">IFERROR(__xludf.DUMMYFUNCTION("""COMPUTED_VALUE"""),"https://drive.google.com/open?id=1UfyvmWMUSegujIbhWP7gCUqbAoLHHhMB")</f>
        <v>https://drive.google.com/open?id=1UfyvmWMUSegujIbhWP7gCUqbAoLHHhMB</v>
      </c>
      <c r="J37" s="59"/>
      <c r="K37" s="59"/>
      <c r="L37" s="59"/>
      <c r="M37" s="59"/>
      <c r="N37" s="59"/>
      <c r="O37" s="59"/>
      <c r="P37" s="59"/>
    </row>
    <row r="38" spans="1:16">
      <c r="A38" s="71">
        <f ca="1">IFERROR(__xludf.DUMMYFUNCTION("""COMPUTED_VALUE"""),45322.5927951504)</f>
        <v>45322.592795150398</v>
      </c>
      <c r="B38" s="59" t="str">
        <f ca="1">IFERROR(__xludf.DUMMYFUNCTION("""COMPUTED_VALUE"""),"Henish Popat ")</f>
        <v xml:space="preserve">Henish Popat </v>
      </c>
      <c r="C38" s="72" t="str">
        <f ca="1">IFERROR(__xludf.DUMMYFUNCTION("""COMPUTED_VALUE"""),"22SDSCE01217")</f>
        <v>22SDSCE01217</v>
      </c>
      <c r="D38" s="73">
        <f ca="1">IFERROR(__xludf.DUMMYFUNCTION("""COMPUTED_VALUE"""),45293)</f>
        <v>45293</v>
      </c>
      <c r="E38" s="74">
        <f ca="1">IFERROR(__xludf.DUMMYFUNCTION("""COMPUTED_VALUE"""),25000)</f>
        <v>25000</v>
      </c>
      <c r="F38" s="72">
        <f ca="1">IFERROR(__xludf.DUMMYFUNCTION("""COMPUTED_VALUE"""),3000)</f>
        <v>3000</v>
      </c>
      <c r="G38" s="75"/>
      <c r="H38" s="59"/>
      <c r="I38" s="76" t="str">
        <f ca="1">IFERROR(__xludf.DUMMYFUNCTION("""COMPUTED_VALUE"""),"https://drive.google.com/open?id=1uP7q6boB1R_h92N-UPgNXTNd60iNFH0b")</f>
        <v>https://drive.google.com/open?id=1uP7q6boB1R_h92N-UPgNXTNd60iNFH0b</v>
      </c>
      <c r="J38" s="59"/>
      <c r="K38" s="59"/>
      <c r="L38" s="59"/>
      <c r="M38" s="59"/>
      <c r="N38" s="59"/>
      <c r="O38" s="59"/>
      <c r="P38" s="59"/>
    </row>
    <row r="39" spans="1:16">
      <c r="A39" s="71">
        <f ca="1">IFERROR(__xludf.DUMMYFUNCTION("""COMPUTED_VALUE"""),45322.5157218518)</f>
        <v>45322.5157218518</v>
      </c>
      <c r="B39" s="59" t="str">
        <f ca="1">IFERROR(__xludf.DUMMYFUNCTION("""COMPUTED_VALUE"""),"Henish Popat ")</f>
        <v xml:space="preserve">Henish Popat </v>
      </c>
      <c r="C39" s="72" t="str">
        <f ca="1">IFERROR(__xludf.DUMMYFUNCTION("""COMPUTED_VALUE"""),"22SDSCE01217")</f>
        <v>22SDSCE01217</v>
      </c>
      <c r="D39" s="73">
        <f ca="1">IFERROR(__xludf.DUMMYFUNCTION("""COMPUTED_VALUE"""),45293)</f>
        <v>45293</v>
      </c>
      <c r="E39" s="74">
        <f ca="1">IFERROR(__xludf.DUMMYFUNCTION("""COMPUTED_VALUE"""),25000)</f>
        <v>25000</v>
      </c>
      <c r="F39" s="72">
        <f ca="1">IFERROR(__xludf.DUMMYFUNCTION("""COMPUTED_VALUE"""),3000)</f>
        <v>3000</v>
      </c>
      <c r="G39" s="75"/>
      <c r="H39" s="59"/>
      <c r="I39" s="76" t="str">
        <f ca="1">IFERROR(__xludf.DUMMYFUNCTION("""COMPUTED_VALUE"""),"https://drive.google.com/open?id=1yA2IU-IYcXqprJm_3fZz9x4E9qSrYVN9")</f>
        <v>https://drive.google.com/open?id=1yA2IU-IYcXqprJm_3fZz9x4E9qSrYVN9</v>
      </c>
      <c r="J39" s="59"/>
      <c r="K39" s="59"/>
      <c r="L39" s="59"/>
      <c r="M39" s="59"/>
      <c r="N39" s="59"/>
      <c r="O39" s="59"/>
      <c r="P39" s="59"/>
    </row>
    <row r="40" spans="1:16">
      <c r="A40" s="71">
        <f ca="1">IFERROR(__xludf.DUMMYFUNCTION("""COMPUTED_VALUE"""),45321.8739312847)</f>
        <v>45321.873931284703</v>
      </c>
      <c r="B40" s="59" t="str">
        <f ca="1">IFERROR(__xludf.DUMMYFUNCTION("""COMPUTED_VALUE"""),"Vansh AtulKumar vaja")</f>
        <v>Vansh AtulKumar vaja</v>
      </c>
      <c r="C40" s="72" t="str">
        <f ca="1">IFERROR(__xludf.DUMMYFUNCTION("""COMPUTED_VALUE"""),"22SDSCE01195")</f>
        <v>22SDSCE01195</v>
      </c>
      <c r="D40" s="73">
        <f ca="1">IFERROR(__xludf.DUMMYFUNCTION("""COMPUTED_VALUE"""),45300)</f>
        <v>45300</v>
      </c>
      <c r="E40" s="74">
        <f ca="1">IFERROR(__xludf.DUMMYFUNCTION("""COMPUTED_VALUE"""),25000)</f>
        <v>25000</v>
      </c>
      <c r="F40" s="72">
        <f ca="1">IFERROR(__xludf.DUMMYFUNCTION("""COMPUTED_VALUE"""),3000)</f>
        <v>3000</v>
      </c>
      <c r="G40" s="75"/>
      <c r="H40" s="59"/>
      <c r="I40" s="76" t="str">
        <f ca="1">IFERROR(__xludf.DUMMYFUNCTION("""COMPUTED_VALUE"""),"https://drive.google.com/open?id=1Ur3-DPiTcIoJv5RSjP6_7FymbkZQlpKo")</f>
        <v>https://drive.google.com/open?id=1Ur3-DPiTcIoJv5RSjP6_7FymbkZQlpKo</v>
      </c>
      <c r="J40" s="59"/>
      <c r="K40" s="59"/>
      <c r="L40" s="59"/>
      <c r="M40" s="59"/>
      <c r="N40" s="59"/>
      <c r="O40" s="59"/>
      <c r="P40" s="59"/>
    </row>
    <row r="41" spans="1:16">
      <c r="A41" s="71">
        <f ca="1">IFERROR(__xludf.DUMMYFUNCTION("""COMPUTED_VALUE"""),45321.4415558101)</f>
        <v>45321.441555810103</v>
      </c>
      <c r="B41" s="59" t="str">
        <f ca="1">IFERROR(__xludf.DUMMYFUNCTION("""COMPUTED_VALUE"""),"Daksh Manojbhai Bhuva")</f>
        <v>Daksh Manojbhai Bhuva</v>
      </c>
      <c r="C41" s="72" t="str">
        <f ca="1">IFERROR(__xludf.DUMMYFUNCTION("""COMPUTED_VALUE"""),"22SDSCE01136")</f>
        <v>22SDSCE01136</v>
      </c>
      <c r="D41" s="73">
        <f ca="1">IFERROR(__xludf.DUMMYFUNCTION("""COMPUTED_VALUE"""),45321)</f>
        <v>45321</v>
      </c>
      <c r="E41" s="74">
        <f ca="1">IFERROR(__xludf.DUMMYFUNCTION("""COMPUTED_VALUE"""),26000)</f>
        <v>26000</v>
      </c>
      <c r="F41" s="72">
        <f ca="1">IFERROR(__xludf.DUMMYFUNCTION("""COMPUTED_VALUE"""),3000)</f>
        <v>3000</v>
      </c>
      <c r="G41" s="75"/>
      <c r="H41" s="59"/>
      <c r="I41" s="76" t="str">
        <f ca="1">IFERROR(__xludf.DUMMYFUNCTION("""COMPUTED_VALUE"""),"https://drive.google.com/open?id=1_yBNu84rdo88lqXwNvKv95iZJnlhwGRC")</f>
        <v>https://drive.google.com/open?id=1_yBNu84rdo88lqXwNvKv95iZJnlhwGRC</v>
      </c>
      <c r="J41" s="59"/>
      <c r="K41" s="59"/>
      <c r="L41" s="59"/>
      <c r="M41" s="59"/>
      <c r="N41" s="59"/>
      <c r="O41" s="59"/>
      <c r="P41" s="59"/>
    </row>
    <row r="42" spans="1:16">
      <c r="A42" s="71">
        <f ca="1">IFERROR(__xludf.DUMMYFUNCTION("""COMPUTED_VALUE"""),45316.8747250231)</f>
        <v>45316.874725023103</v>
      </c>
      <c r="B42" s="59" t="str">
        <f ca="1">IFERROR(__xludf.DUMMYFUNCTION("""COMPUTED_VALUE"""),"Ramesh Das")</f>
        <v>Ramesh Das</v>
      </c>
      <c r="C42" s="72" t="str">
        <f ca="1">IFERROR(__xludf.DUMMYFUNCTION("""COMPUTED_VALUE"""),"21SDSCE01617")</f>
        <v>21SDSCE01617</v>
      </c>
      <c r="D42" s="73">
        <f ca="1">IFERROR(__xludf.DUMMYFUNCTION("""COMPUTED_VALUE"""),45316)</f>
        <v>45316</v>
      </c>
      <c r="E42" s="74">
        <f ca="1">IFERROR(__xludf.DUMMYFUNCTION("""COMPUTED_VALUE"""),1250)</f>
        <v>1250</v>
      </c>
      <c r="F42" s="72">
        <f ca="1">IFERROR(__xludf.DUMMYFUNCTION("""COMPUTED_VALUE"""),35000)</f>
        <v>35000</v>
      </c>
      <c r="G42" s="75"/>
      <c r="H42" s="59"/>
      <c r="I42" s="76" t="str">
        <f ca="1">IFERROR(__xludf.DUMMYFUNCTION("""COMPUTED_VALUE"""),"https://drive.google.com/open?id=1ejheO1DFT_ig9y3MDpTRnaVexmzz9tqs")</f>
        <v>https://drive.google.com/open?id=1ejheO1DFT_ig9y3MDpTRnaVexmzz9tqs</v>
      </c>
      <c r="J42" s="59"/>
      <c r="K42" s="59"/>
      <c r="L42" s="59"/>
      <c r="M42" s="59"/>
      <c r="N42" s="59"/>
      <c r="O42" s="59"/>
      <c r="P42" s="59"/>
    </row>
    <row r="43" spans="1:16">
      <c r="A43" s="71">
        <f ca="1">IFERROR(__xludf.DUMMYFUNCTION("""COMPUTED_VALUE"""),45315.4170788541)</f>
        <v>45315.417078854101</v>
      </c>
      <c r="B43" s="59" t="str">
        <f ca="1">IFERROR(__xludf.DUMMYFUNCTION("""COMPUTED_VALUE"""),"Baraiya Jeet Ashokbhai")</f>
        <v>Baraiya Jeet Ashokbhai</v>
      </c>
      <c r="C43" s="72" t="str">
        <f ca="1">IFERROR(__xludf.DUMMYFUNCTION("""COMPUTED_VALUE"""),"22SDSCE01010")</f>
        <v>22SDSCE01010</v>
      </c>
      <c r="D43" s="73">
        <f ca="1">IFERROR(__xludf.DUMMYFUNCTION("""COMPUTED_VALUE"""),45312)</f>
        <v>45312</v>
      </c>
      <c r="E43" s="74">
        <f ca="1">IFERROR(__xludf.DUMMYFUNCTION("""COMPUTED_VALUE"""),25200)</f>
        <v>25200</v>
      </c>
      <c r="F43" s="72">
        <f ca="1">IFERROR(__xludf.DUMMYFUNCTION("""COMPUTED_VALUE"""),3000)</f>
        <v>3000</v>
      </c>
      <c r="G43" s="75"/>
      <c r="H43" s="59" t="str">
        <f ca="1">IFERROR(__xludf.DUMMYFUNCTION("""COMPUTED_VALUE"""),"UPDATE")</f>
        <v>UPDATE</v>
      </c>
      <c r="I43" s="76" t="str">
        <f ca="1">IFERROR(__xludf.DUMMYFUNCTION("""COMPUTED_VALUE"""),"https://drive.google.com/open?id=1fWtTDnykqmUBjh97DBGirTGeJaZnayeL")</f>
        <v>https://drive.google.com/open?id=1fWtTDnykqmUBjh97DBGirTGeJaZnayeL</v>
      </c>
      <c r="J43" s="59"/>
      <c r="K43" s="59"/>
      <c r="L43" s="59"/>
      <c r="M43" s="59"/>
      <c r="N43" s="59"/>
      <c r="O43" s="59"/>
      <c r="P43" s="59"/>
    </row>
    <row r="44" spans="1:16">
      <c r="A44" s="71">
        <f ca="1">IFERROR(__xludf.DUMMYFUNCTION("""COMPUTED_VALUE"""),45313.4886431018)</f>
        <v>45313.488643101802</v>
      </c>
      <c r="B44" s="59" t="str">
        <f ca="1">IFERROR(__xludf.DUMMYFUNCTION("""COMPUTED_VALUE"""),"Param Nileshkumar Joshi")</f>
        <v>Param Nileshkumar Joshi</v>
      </c>
      <c r="C44" s="72" t="str">
        <f ca="1">IFERROR(__xludf.DUMMYFUNCTION("""COMPUTED_VALUE"""),"23SDSCE01217")</f>
        <v>23SDSCE01217</v>
      </c>
      <c r="D44" s="73">
        <f ca="1">IFERROR(__xludf.DUMMYFUNCTION("""COMPUTED_VALUE"""),45313)</f>
        <v>45313</v>
      </c>
      <c r="E44" s="74">
        <f ca="1">IFERROR(__xludf.DUMMYFUNCTION("""COMPUTED_VALUE"""),27500)</f>
        <v>27500</v>
      </c>
      <c r="F44" s="72">
        <f ca="1">IFERROR(__xludf.DUMMYFUNCTION("""COMPUTED_VALUE"""),3000)</f>
        <v>3000</v>
      </c>
      <c r="G44" s="75"/>
      <c r="H44" s="59" t="str">
        <f ca="1">IFERROR(__xludf.DUMMYFUNCTION("""COMPUTED_VALUE"""),"UPDATE")</f>
        <v>UPDATE</v>
      </c>
      <c r="I44" s="76" t="str">
        <f ca="1">IFERROR(__xludf.DUMMYFUNCTION("""COMPUTED_VALUE"""),"https://drive.google.com/open?id=1Nd384EA4DA1R8OPsDshgj_S7l2V9ni44")</f>
        <v>https://drive.google.com/open?id=1Nd384EA4DA1R8OPsDshgj_S7l2V9ni44</v>
      </c>
      <c r="J44" s="59"/>
      <c r="K44" s="59"/>
      <c r="L44" s="59"/>
      <c r="M44" s="59"/>
      <c r="N44" s="59"/>
      <c r="O44" s="59"/>
      <c r="P44" s="59"/>
    </row>
    <row r="45" spans="1:16">
      <c r="A45" s="71">
        <f ca="1">IFERROR(__xludf.DUMMYFUNCTION("""COMPUTED_VALUE"""),45312.6393228588)</f>
        <v>45312.639322858799</v>
      </c>
      <c r="B45" s="59" t="str">
        <f ca="1">IFERROR(__xludf.DUMMYFUNCTION("""COMPUTED_VALUE"""),"Goraniya karan")</f>
        <v>Goraniya karan</v>
      </c>
      <c r="C45" s="72" t="str">
        <f ca="1">IFERROR(__xludf.DUMMYFUNCTION("""COMPUTED_VALUE"""),"22SDSCE01152")</f>
        <v>22SDSCE01152</v>
      </c>
      <c r="D45" s="73">
        <f ca="1">IFERROR(__xludf.DUMMYFUNCTION("""COMPUTED_VALUE"""),45296)</f>
        <v>45296</v>
      </c>
      <c r="E45" s="74">
        <f ca="1">IFERROR(__xludf.DUMMYFUNCTION("""COMPUTED_VALUE"""),28000)</f>
        <v>28000</v>
      </c>
      <c r="F45" s="72">
        <f ca="1">IFERROR(__xludf.DUMMYFUNCTION("""COMPUTED_VALUE"""),3000)</f>
        <v>3000</v>
      </c>
      <c r="G45" s="75"/>
      <c r="H45" s="59" t="str">
        <f ca="1">IFERROR(__xludf.DUMMYFUNCTION("""COMPUTED_VALUE"""),"UPDATE")</f>
        <v>UPDATE</v>
      </c>
      <c r="I45" s="76" t="str">
        <f ca="1">IFERROR(__xludf.DUMMYFUNCTION("""COMPUTED_VALUE"""),"https://drive.google.com/open?id=1oQeqkqISIk__M3m-LcqFEHp9MTrBvu-4")</f>
        <v>https://drive.google.com/open?id=1oQeqkqISIk__M3m-LcqFEHp9MTrBvu-4</v>
      </c>
      <c r="J45" s="59"/>
      <c r="K45" s="59"/>
      <c r="L45" s="59"/>
      <c r="M45" s="59"/>
      <c r="N45" s="59"/>
      <c r="O45" s="59"/>
      <c r="P45" s="59"/>
    </row>
    <row r="46" spans="1:16">
      <c r="A46" s="71">
        <f ca="1">IFERROR(__xludf.DUMMYFUNCTION("""COMPUTED_VALUE"""),45311.5099815046)</f>
        <v>45311.509981504598</v>
      </c>
      <c r="B46" s="59" t="str">
        <f ca="1">IFERROR(__xludf.DUMMYFUNCTION("""COMPUTED_VALUE"""),"Vishal kumar ")</f>
        <v xml:space="preserve">Vishal kumar </v>
      </c>
      <c r="C46" s="72" t="str">
        <f ca="1">IFERROR(__xludf.DUMMYFUNCTION("""COMPUTED_VALUE"""),"22SDSME01060")</f>
        <v>22SDSME01060</v>
      </c>
      <c r="D46" s="73">
        <f ca="1">IFERROR(__xludf.DUMMYFUNCTION("""COMPUTED_VALUE"""),45276)</f>
        <v>45276</v>
      </c>
      <c r="E46" s="74">
        <f ca="1">IFERROR(__xludf.DUMMYFUNCTION("""COMPUTED_VALUE"""),85000)</f>
        <v>85000</v>
      </c>
      <c r="F46" s="72">
        <f ca="1">IFERROR(__xludf.DUMMYFUNCTION("""COMPUTED_VALUE"""),0)</f>
        <v>0</v>
      </c>
      <c r="G46" s="75"/>
      <c r="H46" s="59" t="str">
        <f ca="1">IFERROR(__xludf.DUMMYFUNCTION("""COMPUTED_VALUE"""),"UPDATE")</f>
        <v>UPDATE</v>
      </c>
      <c r="I46" s="76" t="str">
        <f ca="1">IFERROR(__xludf.DUMMYFUNCTION("""COMPUTED_VALUE"""),"https://drive.google.com/open?id=1f4g2mRWQ1Xc4EL89FRTGtPdH7_y7L26i")</f>
        <v>https://drive.google.com/open?id=1f4g2mRWQ1Xc4EL89FRTGtPdH7_y7L26i</v>
      </c>
      <c r="J46" s="59"/>
      <c r="K46" s="59"/>
      <c r="L46" s="59"/>
      <c r="M46" s="59"/>
      <c r="N46" s="59"/>
      <c r="O46" s="59"/>
      <c r="P46" s="59"/>
    </row>
    <row r="47" spans="1:16">
      <c r="A47" s="71">
        <f ca="1">IFERROR(__xludf.DUMMYFUNCTION("""COMPUTED_VALUE"""),45310.5608589351)</f>
        <v>45310.560858935103</v>
      </c>
      <c r="B47" s="59" t="str">
        <f ca="1">IFERROR(__xludf.DUMMYFUNCTION("""COMPUTED_VALUE"""),"Sanjay Thakur")</f>
        <v>Sanjay Thakur</v>
      </c>
      <c r="C47" s="72" t="str">
        <f ca="1">IFERROR(__xludf.DUMMYFUNCTION("""COMPUTED_VALUE"""),"22SDSCV01604")</f>
        <v>22SDSCV01604</v>
      </c>
      <c r="D47" s="73">
        <f ca="1">IFERROR(__xludf.DUMMYFUNCTION("""COMPUTED_VALUE"""),45310)</f>
        <v>45310</v>
      </c>
      <c r="E47" s="74">
        <f ca="1">IFERROR(__xludf.DUMMYFUNCTION("""COMPUTED_VALUE"""),0)</f>
        <v>0</v>
      </c>
      <c r="F47" s="72">
        <f ca="1">IFERROR(__xludf.DUMMYFUNCTION("""COMPUTED_VALUE"""),0)</f>
        <v>0</v>
      </c>
      <c r="G47" s="75"/>
      <c r="H47" s="59" t="str">
        <f ca="1">IFERROR(__xludf.DUMMYFUNCTION("""COMPUTED_VALUE"""),"UPDATE")</f>
        <v>UPDATE</v>
      </c>
      <c r="I47" s="76" t="str">
        <f ca="1">IFERROR(__xludf.DUMMYFUNCTION("""COMPUTED_VALUE"""),"https://drive.google.com/open?id=1rVbwhKD1WmJeYnwsGB7Y7AhkauH4ZpiK")</f>
        <v>https://drive.google.com/open?id=1rVbwhKD1WmJeYnwsGB7Y7AhkauH4ZpiK</v>
      </c>
      <c r="J47" s="59"/>
      <c r="K47" s="59"/>
      <c r="L47" s="59"/>
      <c r="M47" s="59"/>
      <c r="N47" s="59"/>
      <c r="O47" s="59"/>
      <c r="P47" s="59"/>
    </row>
    <row r="48" spans="1:16">
      <c r="A48" s="71">
        <f ca="1">IFERROR(__xludf.DUMMYFUNCTION("""COMPUTED_VALUE"""),45310.5418579398)</f>
        <v>45310.541857939803</v>
      </c>
      <c r="B48" s="59" t="str">
        <f ca="1">IFERROR(__xludf.DUMMYFUNCTION("""COMPUTED_VALUE"""),"Karan Rajan bhai devmurari ")</f>
        <v xml:space="preserve">Karan Rajan bhai devmurari </v>
      </c>
      <c r="C48" s="72" t="str">
        <f ca="1">IFERROR(__xludf.DUMMYFUNCTION("""COMPUTED_VALUE"""),"23SDSCE01211")</f>
        <v>23SDSCE01211</v>
      </c>
      <c r="D48" s="73">
        <f ca="1">IFERROR(__xludf.DUMMYFUNCTION("""COMPUTED_VALUE"""),45310)</f>
        <v>45310</v>
      </c>
      <c r="E48" s="74">
        <f ca="1">IFERROR(__xludf.DUMMYFUNCTION("""COMPUTED_VALUE"""),27500)</f>
        <v>27500</v>
      </c>
      <c r="F48" s="72">
        <f ca="1">IFERROR(__xludf.DUMMYFUNCTION("""COMPUTED_VALUE"""),4000)</f>
        <v>4000</v>
      </c>
      <c r="G48" s="75"/>
      <c r="H48" s="59" t="str">
        <f ca="1">IFERROR(__xludf.DUMMYFUNCTION("""COMPUTED_VALUE"""),"UPDATE")</f>
        <v>UPDATE</v>
      </c>
      <c r="I48" s="76" t="str">
        <f ca="1">IFERROR(__xludf.DUMMYFUNCTION("""COMPUTED_VALUE"""),"https://drive.google.com/open?id=1gpMzB_FRNh4fScZzcNIJCxVj8c9pwUKS")</f>
        <v>https://drive.google.com/open?id=1gpMzB_FRNh4fScZzcNIJCxVj8c9pwUKS</v>
      </c>
      <c r="J48" s="59"/>
      <c r="K48" s="59"/>
      <c r="L48" s="59"/>
      <c r="M48" s="59"/>
      <c r="N48" s="59"/>
      <c r="O48" s="59"/>
      <c r="P48" s="59"/>
    </row>
    <row r="49" spans="1:16">
      <c r="A49" s="71">
        <f ca="1">IFERROR(__xludf.DUMMYFUNCTION("""COMPUTED_VALUE"""),45309.8084713773)</f>
        <v>45309.808471377299</v>
      </c>
      <c r="B49" s="59" t="str">
        <f ca="1">IFERROR(__xludf.DUMMYFUNCTION("""COMPUTED_VALUE"""),"DOBARIYA YASH NILESHBHAI ")</f>
        <v xml:space="preserve">DOBARIYA YASH NILESHBHAI </v>
      </c>
      <c r="C49" s="72" t="str">
        <f ca="1">IFERROR(__xludf.DUMMYFUNCTION("""COMPUTED_VALUE"""),"22SDSCE01145")</f>
        <v>22SDSCE01145</v>
      </c>
      <c r="D49" s="73">
        <f ca="1">IFERROR(__xludf.DUMMYFUNCTION("""COMPUTED_VALUE"""),45309)</f>
        <v>45309</v>
      </c>
      <c r="E49" s="72"/>
      <c r="F49" s="72">
        <f ca="1">IFERROR(__xludf.DUMMYFUNCTION("""COMPUTED_VALUE"""),3000)</f>
        <v>3000</v>
      </c>
      <c r="G49" s="75"/>
      <c r="H49" s="59" t="str">
        <f ca="1">IFERROR(__xludf.DUMMYFUNCTION("""COMPUTED_VALUE"""),"UPDATE")</f>
        <v>UPDATE</v>
      </c>
      <c r="I49" s="76" t="str">
        <f ca="1">IFERROR(__xludf.DUMMYFUNCTION("""COMPUTED_VALUE"""),"https://drive.google.com/open?id=1vOpt7CdpRnTwGCglslGeXnmIAlUY_WkO")</f>
        <v>https://drive.google.com/open?id=1vOpt7CdpRnTwGCglslGeXnmIAlUY_WkO</v>
      </c>
      <c r="J49" s="59"/>
      <c r="K49" s="59"/>
      <c r="L49" s="59"/>
      <c r="M49" s="59"/>
      <c r="N49" s="59"/>
      <c r="O49" s="59"/>
      <c r="P49" s="59"/>
    </row>
    <row r="50" spans="1:16">
      <c r="A50" s="71">
        <f ca="1">IFERROR(__xludf.DUMMYFUNCTION("""COMPUTED_VALUE"""),45309.8066566203)</f>
        <v>45309.806656620298</v>
      </c>
      <c r="B50" s="59" t="str">
        <f ca="1">IFERROR(__xludf.DUMMYFUNCTION("""COMPUTED_VALUE"""),"DOBARIYA YASH NILESHBHAI")</f>
        <v>DOBARIYA YASH NILESHBHAI</v>
      </c>
      <c r="C50" s="72" t="str">
        <f ca="1">IFERROR(__xludf.DUMMYFUNCTION("""COMPUTED_VALUE"""),"22SDSCE01145")</f>
        <v>22SDSCE01145</v>
      </c>
      <c r="D50" s="73">
        <f ca="1">IFERROR(__xludf.DUMMYFUNCTION("""COMPUTED_VALUE"""),45309)</f>
        <v>45309</v>
      </c>
      <c r="E50" s="74">
        <f ca="1">IFERROR(__xludf.DUMMYFUNCTION("""COMPUTED_VALUE"""),25000)</f>
        <v>25000</v>
      </c>
      <c r="F50" s="72"/>
      <c r="G50" s="75"/>
      <c r="H50" s="59" t="str">
        <f ca="1">IFERROR(__xludf.DUMMYFUNCTION("""COMPUTED_VALUE"""),"UPDATE")</f>
        <v>UPDATE</v>
      </c>
      <c r="I50" s="76" t="str">
        <f ca="1">IFERROR(__xludf.DUMMYFUNCTION("""COMPUTED_VALUE"""),"https://drive.google.com/open?id=1_lKSIx0ygDrtOkvXU-saIf2wS15Rjuo-")</f>
        <v>https://drive.google.com/open?id=1_lKSIx0ygDrtOkvXU-saIf2wS15Rjuo-</v>
      </c>
      <c r="J50" s="59"/>
      <c r="K50" s="59"/>
      <c r="L50" s="59"/>
      <c r="M50" s="59"/>
      <c r="N50" s="59"/>
      <c r="O50" s="59"/>
      <c r="P50" s="59"/>
    </row>
    <row r="51" spans="1:16">
      <c r="A51" s="71">
        <f ca="1">IFERROR(__xludf.DUMMYFUNCTION("""COMPUTED_VALUE"""),45308.6347910763)</f>
        <v>45308.6347910763</v>
      </c>
      <c r="B51" s="59" t="str">
        <f ca="1">IFERROR(__xludf.DUMMYFUNCTION("""COMPUTED_VALUE"""),"PADIYA BHARGEY JYOTINDRABHAI")</f>
        <v>PADIYA BHARGEY JYOTINDRABHAI</v>
      </c>
      <c r="C51" s="72" t="str">
        <f ca="1">IFERROR(__xludf.DUMMYFUNCTION("""COMPUTED_VALUE"""),"23SDSCE01165")</f>
        <v>23SDSCE01165</v>
      </c>
      <c r="D51" s="73">
        <f ca="1">IFERROR(__xludf.DUMMYFUNCTION("""COMPUTED_VALUE"""),45308)</f>
        <v>45308</v>
      </c>
      <c r="E51" s="74">
        <f ca="1">IFERROR(__xludf.DUMMYFUNCTION("""COMPUTED_VALUE"""),1000)</f>
        <v>1000</v>
      </c>
      <c r="F51" s="72">
        <f ca="1">IFERROR(__xludf.DUMMYFUNCTION("""COMPUTED_VALUE"""),0)</f>
        <v>0</v>
      </c>
      <c r="G51" s="75"/>
      <c r="H51" s="59" t="str">
        <f ca="1">IFERROR(__xludf.DUMMYFUNCTION("""COMPUTED_VALUE"""),"UPDATED")</f>
        <v>UPDATED</v>
      </c>
      <c r="I51" s="76" t="str">
        <f ca="1">IFERROR(__xludf.DUMMYFUNCTION("""COMPUTED_VALUE"""),"https://drive.google.com/open?id=1E9CKMxL7AOlcm3B7Pxq89hd5QkgKmiLI")</f>
        <v>https://drive.google.com/open?id=1E9CKMxL7AOlcm3B7Pxq89hd5QkgKmiLI</v>
      </c>
      <c r="J51" s="59"/>
      <c r="K51" s="59"/>
      <c r="L51" s="59"/>
      <c r="M51" s="59"/>
      <c r="N51" s="59"/>
      <c r="O51" s="59"/>
      <c r="P51" s="59"/>
    </row>
    <row r="52" spans="1:16">
      <c r="A52" s="71">
        <f ca="1">IFERROR(__xludf.DUMMYFUNCTION("""COMPUTED_VALUE"""),45308.6342122106)</f>
        <v>45308.6342122106</v>
      </c>
      <c r="B52" s="59" t="str">
        <f ca="1">IFERROR(__xludf.DUMMYFUNCTION("""COMPUTED_VALUE"""),"Kakdiya jaydeep kishorbhai")</f>
        <v>Kakdiya jaydeep kishorbhai</v>
      </c>
      <c r="C52" s="72" t="str">
        <f ca="1">IFERROR(__xludf.DUMMYFUNCTION("""COMPUTED_VALUE"""),"23sdsme01010")</f>
        <v>23sdsme01010</v>
      </c>
      <c r="D52" s="73">
        <f ca="1">IFERROR(__xludf.DUMMYFUNCTION("""COMPUTED_VALUE"""),45308)</f>
        <v>45308</v>
      </c>
      <c r="E52" s="74">
        <f ca="1">IFERROR(__xludf.DUMMYFUNCTION("""COMPUTED_VALUE"""),21250)</f>
        <v>21250</v>
      </c>
      <c r="F52" s="72">
        <f ca="1">IFERROR(__xludf.DUMMYFUNCTION("""COMPUTED_VALUE"""),3000)</f>
        <v>3000</v>
      </c>
      <c r="G52" s="75"/>
      <c r="H52" s="59" t="str">
        <f ca="1">IFERROR(__xludf.DUMMYFUNCTION("""COMPUTED_VALUE"""),"UPDATED")</f>
        <v>UPDATED</v>
      </c>
      <c r="I52" s="76" t="str">
        <f ca="1">IFERROR(__xludf.DUMMYFUNCTION("""COMPUTED_VALUE"""),"https://drive.google.com/open?id=1o97jO6gIsWnhyiMoCBwTxXxgFD1qei2D")</f>
        <v>https://drive.google.com/open?id=1o97jO6gIsWnhyiMoCBwTxXxgFD1qei2D</v>
      </c>
      <c r="J52" s="59"/>
      <c r="K52" s="59"/>
      <c r="L52" s="59"/>
      <c r="M52" s="59"/>
      <c r="N52" s="59"/>
      <c r="O52" s="59"/>
      <c r="P52" s="59"/>
    </row>
    <row r="53" spans="1:16">
      <c r="A53" s="71">
        <f ca="1">IFERROR(__xludf.DUMMYFUNCTION("""COMPUTED_VALUE"""),45308.5077716319)</f>
        <v>45308.507771631899</v>
      </c>
      <c r="B53" s="59" t="str">
        <f ca="1">IFERROR(__xludf.DUMMYFUNCTION("""COMPUTED_VALUE"""),"Prabind Mandal ")</f>
        <v xml:space="preserve">Prabind Mandal </v>
      </c>
      <c r="C53" s="72" t="str">
        <f ca="1">IFERROR(__xludf.DUMMYFUNCTION("""COMPUTED_VALUE"""),"22SDSCE01602")</f>
        <v>22SDSCE01602</v>
      </c>
      <c r="D53" s="73">
        <f ca="1">IFERROR(__xludf.DUMMYFUNCTION("""COMPUTED_VALUE"""),45302)</f>
        <v>45302</v>
      </c>
      <c r="E53" s="72"/>
      <c r="F53" s="72"/>
      <c r="G53" s="75"/>
      <c r="H53" s="59" t="str">
        <f ca="1">IFERROR(__xludf.DUMMYFUNCTION("""COMPUTED_VALUE"""),"UPDATED")</f>
        <v>UPDATED</v>
      </c>
      <c r="I53" s="76" t="str">
        <f ca="1">IFERROR(__xludf.DUMMYFUNCTION("""COMPUTED_VALUE"""),"https://drive.google.com/open?id=1MGVf9SjB0h1TDhUmm3RJfJCkG0dQsKl5")</f>
        <v>https://drive.google.com/open?id=1MGVf9SjB0h1TDhUmm3RJfJCkG0dQsKl5</v>
      </c>
      <c r="J53" s="59"/>
      <c r="K53" s="59"/>
      <c r="L53" s="59"/>
      <c r="M53" s="59"/>
      <c r="N53" s="59"/>
      <c r="O53" s="59"/>
      <c r="P53" s="59"/>
    </row>
    <row r="54" spans="1:16">
      <c r="A54" s="71">
        <f ca="1">IFERROR(__xludf.DUMMYFUNCTION("""COMPUTED_VALUE"""),45308.4033736226)</f>
        <v>45308.403373622597</v>
      </c>
      <c r="B54" s="59" t="str">
        <f ca="1">IFERROR(__xludf.DUMMYFUNCTION("""COMPUTED_VALUE"""),"Bhut Milap Bharatbhai")</f>
        <v>Bhut Milap Bharatbhai</v>
      </c>
      <c r="C54" s="72" t="str">
        <f ca="1">IFERROR(__xludf.DUMMYFUNCTION("""COMPUTED_VALUE"""),"22SDSCE01135")</f>
        <v>22SDSCE01135</v>
      </c>
      <c r="D54" s="73">
        <f ca="1">IFERROR(__xludf.DUMMYFUNCTION("""COMPUTED_VALUE"""),45308)</f>
        <v>45308</v>
      </c>
      <c r="E54" s="72"/>
      <c r="F54" s="72">
        <f ca="1">IFERROR(__xludf.DUMMYFUNCTION("""COMPUTED_VALUE"""),3000)</f>
        <v>3000</v>
      </c>
      <c r="G54" s="75"/>
      <c r="H54" s="59" t="str">
        <f ca="1">IFERROR(__xludf.DUMMYFUNCTION("""COMPUTED_VALUE"""),"UPDATED")</f>
        <v>UPDATED</v>
      </c>
      <c r="I54" s="76" t="str">
        <f ca="1">IFERROR(__xludf.DUMMYFUNCTION("""COMPUTED_VALUE"""),"https://drive.google.com/open?id=1jeZBpOKN6Pb8QLqZzXJUwl5DqUyjOgXi")</f>
        <v>https://drive.google.com/open?id=1jeZBpOKN6Pb8QLqZzXJUwl5DqUyjOgXi</v>
      </c>
      <c r="J54" s="59"/>
      <c r="K54" s="59"/>
      <c r="L54" s="59"/>
      <c r="M54" s="59"/>
      <c r="N54" s="59"/>
      <c r="O54" s="59"/>
      <c r="P54" s="59"/>
    </row>
    <row r="55" spans="1:16">
      <c r="A55" s="71">
        <f ca="1">IFERROR(__xludf.DUMMYFUNCTION("""COMPUTED_VALUE"""),45307.5472352199)</f>
        <v>45307.547235219899</v>
      </c>
      <c r="B55" s="59" t="str">
        <f ca="1">IFERROR(__xludf.DUMMYFUNCTION("""COMPUTED_VALUE"""),"Pruthvi zankat ")</f>
        <v xml:space="preserve">Pruthvi zankat </v>
      </c>
      <c r="C55" s="72" t="str">
        <f ca="1">IFERROR(__xludf.DUMMYFUNCTION("""COMPUTED_VALUE"""),"22SDSCV01018")</f>
        <v>22SDSCV01018</v>
      </c>
      <c r="D55" s="73">
        <f ca="1">IFERROR(__xludf.DUMMYFUNCTION("""COMPUTED_VALUE"""),45307)</f>
        <v>45307</v>
      </c>
      <c r="E55" s="74">
        <f ca="1">IFERROR(__xludf.DUMMYFUNCTION("""COMPUTED_VALUE"""),0)</f>
        <v>0</v>
      </c>
      <c r="F55" s="72">
        <f ca="1">IFERROR(__xludf.DUMMYFUNCTION("""COMPUTED_VALUE"""),0)</f>
        <v>0</v>
      </c>
      <c r="G55" s="75"/>
      <c r="H55" s="59"/>
      <c r="I55" s="76" t="str">
        <f ca="1">IFERROR(__xludf.DUMMYFUNCTION("""COMPUTED_VALUE"""),"https://drive.google.com/open?id=1PsJnu2vE0cZCoKHa5jMq6fg0tbZTyB9o")</f>
        <v>https://drive.google.com/open?id=1PsJnu2vE0cZCoKHa5jMq6fg0tbZTyB9o</v>
      </c>
      <c r="J55" s="59"/>
      <c r="K55" s="59"/>
      <c r="L55" s="59"/>
      <c r="M55" s="59"/>
      <c r="N55" s="59"/>
      <c r="O55" s="59"/>
      <c r="P55" s="59"/>
    </row>
    <row r="56" spans="1:16">
      <c r="A56" s="71">
        <f ca="1">IFERROR(__xludf.DUMMYFUNCTION("""COMPUTED_VALUE"""),45307.4400024305)</f>
        <v>45307.4400024305</v>
      </c>
      <c r="B56" s="59" t="str">
        <f ca="1">IFERROR(__xludf.DUMMYFUNCTION("""COMPUTED_VALUE"""),"Bijay kumar muraw")</f>
        <v>Bijay kumar muraw</v>
      </c>
      <c r="C56" s="72" t="str">
        <f ca="1">IFERROR(__xludf.DUMMYFUNCTION("""COMPUTED_VALUE"""),"22SDSCE01610")</f>
        <v>22SDSCE01610</v>
      </c>
      <c r="D56" s="73">
        <f ca="1">IFERROR(__xludf.DUMMYFUNCTION("""COMPUTED_VALUE"""),45307)</f>
        <v>45307</v>
      </c>
      <c r="E56" s="72"/>
      <c r="F56" s="72">
        <f ca="1">IFERROR(__xludf.DUMMYFUNCTION("""COMPUTED_VALUE"""),37500)</f>
        <v>37500</v>
      </c>
      <c r="G56" s="75"/>
      <c r="H56" s="59" t="str">
        <f ca="1">IFERROR(__xludf.DUMMYFUNCTION("""COMPUTED_VALUE"""),"UPDATED")</f>
        <v>UPDATED</v>
      </c>
      <c r="I56" s="76" t="str">
        <f ca="1">IFERROR(__xludf.DUMMYFUNCTION("""COMPUTED_VALUE"""),"https://drive.google.com/open?id=15uX4rMTYlaElTmlPQyWh_DgBjG8UwDti")</f>
        <v>https://drive.google.com/open?id=15uX4rMTYlaElTmlPQyWh_DgBjG8UwDti</v>
      </c>
      <c r="J56" s="59"/>
      <c r="K56" s="59"/>
      <c r="L56" s="59"/>
      <c r="M56" s="59"/>
      <c r="N56" s="59"/>
      <c r="O56" s="59"/>
      <c r="P56" s="59"/>
    </row>
    <row r="57" spans="1:16">
      <c r="A57" s="71">
        <f ca="1">IFERROR(__xludf.DUMMYFUNCTION("""COMPUTED_VALUE"""),45306.5155671527)</f>
        <v>45306.515567152703</v>
      </c>
      <c r="B57" s="59" t="str">
        <f ca="1">IFERROR(__xludf.DUMMYFUNCTION("""COMPUTED_VALUE"""),"Paghdar Parth hardasbhai ")</f>
        <v xml:space="preserve">Paghdar Parth hardasbhai </v>
      </c>
      <c r="C57" s="72" t="str">
        <f ca="1">IFERROR(__xludf.DUMMYFUNCTION("""COMPUTED_VALUE"""),"23SDSCE01107")</f>
        <v>23SDSCE01107</v>
      </c>
      <c r="D57" s="73">
        <f ca="1">IFERROR(__xludf.DUMMYFUNCTION("""COMPUTED_VALUE"""),45306)</f>
        <v>45306</v>
      </c>
      <c r="E57" s="74">
        <f ca="1">IFERROR(__xludf.DUMMYFUNCTION("""COMPUTED_VALUE"""),27500)</f>
        <v>27500</v>
      </c>
      <c r="F57" s="72">
        <f ca="1">IFERROR(__xludf.DUMMYFUNCTION("""COMPUTED_VALUE"""),3200)</f>
        <v>3200</v>
      </c>
      <c r="G57" s="75"/>
      <c r="H57" s="59" t="str">
        <f ca="1">IFERROR(__xludf.DUMMYFUNCTION("""COMPUTED_VALUE"""),"UPDATED")</f>
        <v>UPDATED</v>
      </c>
      <c r="I57" s="76" t="str">
        <f ca="1">IFERROR(__xludf.DUMMYFUNCTION("""COMPUTED_VALUE"""),"https://drive.google.com/open?id=1lTgn6pbdOSCZrLE_qJL2BfFAv866hj-o")</f>
        <v>https://drive.google.com/open?id=1lTgn6pbdOSCZrLE_qJL2BfFAv866hj-o</v>
      </c>
      <c r="J57" s="59"/>
      <c r="K57" s="59"/>
      <c r="L57" s="59"/>
      <c r="M57" s="59"/>
      <c r="N57" s="59"/>
      <c r="O57" s="59"/>
      <c r="P57" s="59"/>
    </row>
    <row r="58" spans="1:16">
      <c r="A58" s="71">
        <f ca="1">IFERROR(__xludf.DUMMYFUNCTION("""COMPUTED_VALUE"""),45305.3673823495)</f>
        <v>45305.367382349497</v>
      </c>
      <c r="B58" s="59" t="str">
        <f ca="1">IFERROR(__xludf.DUMMYFUNCTION("""COMPUTED_VALUE"""),"Chandan yadav ")</f>
        <v xml:space="preserve">Chandan yadav </v>
      </c>
      <c r="C58" s="72" t="str">
        <f ca="1">IFERROR(__xludf.DUMMYFUNCTION("""COMPUTED_VALUE"""),"21SDSCV01605")</f>
        <v>21SDSCV01605</v>
      </c>
      <c r="D58" s="73">
        <f ca="1">IFERROR(__xludf.DUMMYFUNCTION("""COMPUTED_VALUE"""),45304)</f>
        <v>45304</v>
      </c>
      <c r="E58" s="72"/>
      <c r="F58" s="72"/>
      <c r="G58" s="75"/>
      <c r="H58" s="59" t="str">
        <f ca="1">IFERROR(__xludf.DUMMYFUNCTION("""COMPUTED_VALUE"""),"UPDATED")</f>
        <v>UPDATED</v>
      </c>
      <c r="I58" s="76" t="str">
        <f ca="1">IFERROR(__xludf.DUMMYFUNCTION("""COMPUTED_VALUE"""),"https://drive.google.com/open?id=1ibbtppjubJOpFduOe5sj7IQPPfM00CJx")</f>
        <v>https://drive.google.com/open?id=1ibbtppjubJOpFduOe5sj7IQPPfM00CJx</v>
      </c>
      <c r="J58" s="59"/>
      <c r="K58" s="59"/>
      <c r="L58" s="59"/>
      <c r="M58" s="59"/>
      <c r="N58" s="59"/>
      <c r="O58" s="59"/>
      <c r="P58" s="59"/>
    </row>
    <row r="59" spans="1:16">
      <c r="A59" s="71">
        <f ca="1">IFERROR(__xludf.DUMMYFUNCTION("""COMPUTED_VALUE"""),45303.6992803703)</f>
        <v>45303.699280370303</v>
      </c>
      <c r="B59" s="59" t="str">
        <f ca="1">IFERROR(__xludf.DUMMYFUNCTION("""COMPUTED_VALUE"""),"Jayrajsinh Rathore")</f>
        <v>Jayrajsinh Rathore</v>
      </c>
      <c r="C59" s="72" t="str">
        <f ca="1">IFERROR(__xludf.DUMMYFUNCTION("""COMPUTED_VALUE"""),"23SDSCE01027")</f>
        <v>23SDSCE01027</v>
      </c>
      <c r="D59" s="73">
        <f ca="1">IFERROR(__xludf.DUMMYFUNCTION("""COMPUTED_VALUE"""),45303)</f>
        <v>45303</v>
      </c>
      <c r="E59" s="74">
        <f ca="1">IFERROR(__xludf.DUMMYFUNCTION("""COMPUTED_VALUE"""),27500)</f>
        <v>27500</v>
      </c>
      <c r="F59" s="72">
        <f ca="1">IFERROR(__xludf.DUMMYFUNCTION("""COMPUTED_VALUE"""),3000)</f>
        <v>3000</v>
      </c>
      <c r="G59" s="75"/>
      <c r="H59" s="59" t="str">
        <f ca="1">IFERROR(__xludf.DUMMYFUNCTION("""COMPUTED_VALUE"""),"UPDATED")</f>
        <v>UPDATED</v>
      </c>
      <c r="I59" s="76" t="str">
        <f ca="1">IFERROR(__xludf.DUMMYFUNCTION("""COMPUTED_VALUE"""),"https://drive.google.com/open?id=121Vyvf5qUrcRZULYaZwjXR132oxQoBeE")</f>
        <v>https://drive.google.com/open?id=121Vyvf5qUrcRZULYaZwjXR132oxQoBeE</v>
      </c>
      <c r="J59" s="59"/>
      <c r="K59" s="59"/>
      <c r="L59" s="59"/>
      <c r="M59" s="59"/>
      <c r="N59" s="59"/>
      <c r="O59" s="59"/>
      <c r="P59" s="59"/>
    </row>
    <row r="60" spans="1:16">
      <c r="A60" s="71">
        <f ca="1">IFERROR(__xludf.DUMMYFUNCTION("""COMPUTED_VALUE"""),45303.5980491203)</f>
        <v>45303.598049120301</v>
      </c>
      <c r="B60" s="59" t="str">
        <f ca="1">IFERROR(__xludf.DUMMYFUNCTION("""COMPUTED_VALUE"""),"HIRAPARA OMI")</f>
        <v>HIRAPARA OMI</v>
      </c>
      <c r="C60" s="72" t="str">
        <f ca="1">IFERROR(__xludf.DUMMYFUNCTION("""COMPUTED_VALUE"""),"23SDSCE01216")</f>
        <v>23SDSCE01216</v>
      </c>
      <c r="D60" s="73">
        <f ca="1">IFERROR(__xludf.DUMMYFUNCTION("""COMPUTED_VALUE"""),45627)</f>
        <v>45627</v>
      </c>
      <c r="E60" s="74">
        <f ca="1">IFERROR(__xludf.DUMMYFUNCTION("""COMPUTED_VALUE"""),27500)</f>
        <v>27500</v>
      </c>
      <c r="F60" s="72">
        <f ca="1">IFERROR(__xludf.DUMMYFUNCTION("""COMPUTED_VALUE"""),3000)</f>
        <v>3000</v>
      </c>
      <c r="G60" s="75"/>
      <c r="H60" s="59" t="str">
        <f ca="1">IFERROR(__xludf.DUMMYFUNCTION("""COMPUTED_VALUE"""),"UPDATED")</f>
        <v>UPDATED</v>
      </c>
      <c r="I60" s="76" t="str">
        <f ca="1">IFERROR(__xludf.DUMMYFUNCTION("""COMPUTED_VALUE"""),"https://drive.google.com/open?id=1HZtMZicwnSms7wo437vwCdtgXSGszatU")</f>
        <v>https://drive.google.com/open?id=1HZtMZicwnSms7wo437vwCdtgXSGszatU</v>
      </c>
      <c r="J60" s="59"/>
      <c r="K60" s="59"/>
      <c r="L60" s="59"/>
      <c r="M60" s="59"/>
      <c r="N60" s="59"/>
      <c r="O60" s="59"/>
      <c r="P60" s="59"/>
    </row>
    <row r="61" spans="1:16">
      <c r="A61" s="71">
        <f ca="1">IFERROR(__xludf.DUMMYFUNCTION("""COMPUTED_VALUE"""),45302.4529908449)</f>
        <v>45302.452990844897</v>
      </c>
      <c r="B61" s="59" t="str">
        <f ca="1">IFERROR(__xludf.DUMMYFUNCTION("""COMPUTED_VALUE"""),"Anand kummar prakash bhai")</f>
        <v>Anand kummar prakash bhai</v>
      </c>
      <c r="C61" s="72" t="str">
        <f ca="1">IFERROR(__xludf.DUMMYFUNCTION("""COMPUTED_VALUE"""),"23SDSCE01222")</f>
        <v>23SDSCE01222</v>
      </c>
      <c r="D61" s="73">
        <f ca="1">IFERROR(__xludf.DUMMYFUNCTION("""COMPUTED_VALUE"""),45302)</f>
        <v>45302</v>
      </c>
      <c r="E61" s="74">
        <f ca="1">IFERROR(__xludf.DUMMYFUNCTION("""COMPUTED_VALUE"""),3000)</f>
        <v>3000</v>
      </c>
      <c r="F61" s="72">
        <f ca="1">IFERROR(__xludf.DUMMYFUNCTION("""COMPUTED_VALUE"""),27500)</f>
        <v>27500</v>
      </c>
      <c r="G61" s="75"/>
      <c r="H61" s="59" t="str">
        <f ca="1">IFERROR(__xludf.DUMMYFUNCTION("""COMPUTED_VALUE"""),"UPDATED")</f>
        <v>UPDATED</v>
      </c>
      <c r="I61" s="76" t="str">
        <f ca="1">IFERROR(__xludf.DUMMYFUNCTION("""COMPUTED_VALUE"""),"https://drive.google.com/open?id=1RbQRcED2wQYrojY9BNmdiMNDsmHPPoHI")</f>
        <v>https://drive.google.com/open?id=1RbQRcED2wQYrojY9BNmdiMNDsmHPPoHI</v>
      </c>
      <c r="J61" s="59"/>
      <c r="K61" s="59"/>
      <c r="L61" s="59"/>
      <c r="M61" s="59"/>
      <c r="N61" s="59"/>
      <c r="O61" s="59"/>
      <c r="P61" s="59"/>
    </row>
    <row r="62" spans="1:16">
      <c r="A62" s="71">
        <f ca="1">IFERROR(__xludf.DUMMYFUNCTION("""COMPUTED_VALUE"""),45301.616847581)</f>
        <v>45301.616847580997</v>
      </c>
      <c r="B62" s="59" t="str">
        <f ca="1">IFERROR(__xludf.DUMMYFUNCTION("""COMPUTED_VALUE"""),"Rajiv Kumar Mahato ")</f>
        <v xml:space="preserve">Rajiv Kumar Mahato </v>
      </c>
      <c r="C62" s="72" t="str">
        <f ca="1">IFERROR(__xludf.DUMMYFUNCTION("""COMPUTED_VALUE"""),"21SDSCE01606")</f>
        <v>21SDSCE01606</v>
      </c>
      <c r="D62" s="73">
        <f ca="1">IFERROR(__xludf.DUMMYFUNCTION("""COMPUTED_VALUE"""),45301)</f>
        <v>45301</v>
      </c>
      <c r="E62" s="72"/>
      <c r="F62" s="72"/>
      <c r="G62" s="75"/>
      <c r="H62" s="59" t="str">
        <f ca="1">IFERROR(__xludf.DUMMYFUNCTION("""COMPUTED_VALUE"""),"UPDATED")</f>
        <v>UPDATED</v>
      </c>
      <c r="I62" s="76" t="str">
        <f ca="1">IFERROR(__xludf.DUMMYFUNCTION("""COMPUTED_VALUE"""),"https://drive.google.com/open?id=19d-r6fDfVUMVsoDIbBz6kc1B67occqRI")</f>
        <v>https://drive.google.com/open?id=19d-r6fDfVUMVsoDIbBz6kc1B67occqRI</v>
      </c>
      <c r="J62" s="59"/>
      <c r="K62" s="59"/>
      <c r="L62" s="59"/>
      <c r="M62" s="59"/>
      <c r="N62" s="59"/>
      <c r="O62" s="59"/>
      <c r="P62" s="59"/>
    </row>
    <row r="63" spans="1:16">
      <c r="A63" s="71">
        <f ca="1">IFERROR(__xludf.DUMMYFUNCTION("""COMPUTED_VALUE"""),45301.6051589467)</f>
        <v>45301.605158946702</v>
      </c>
      <c r="B63" s="59" t="str">
        <f ca="1">IFERROR(__xludf.DUMMYFUNCTION("""COMPUTED_VALUE"""),"Vekariya Nimesh Rameshbhai")</f>
        <v>Vekariya Nimesh Rameshbhai</v>
      </c>
      <c r="C63" s="72" t="str">
        <f ca="1">IFERROR(__xludf.DUMMYFUNCTION("""COMPUTED_VALUE"""),"23SDSCE01174")</f>
        <v>23SDSCE01174</v>
      </c>
      <c r="D63" s="73">
        <f ca="1">IFERROR(__xludf.DUMMYFUNCTION("""COMPUTED_VALUE"""),45288)</f>
        <v>45288</v>
      </c>
      <c r="E63" s="74">
        <f ca="1">IFERROR(__xludf.DUMMYFUNCTION("""COMPUTED_VALUE"""),27500)</f>
        <v>27500</v>
      </c>
      <c r="F63" s="72"/>
      <c r="G63" s="75"/>
      <c r="H63" s="59" t="str">
        <f ca="1">IFERROR(__xludf.DUMMYFUNCTION("""COMPUTED_VALUE"""),"UPDATED")</f>
        <v>UPDATED</v>
      </c>
      <c r="I63" s="76" t="str">
        <f ca="1">IFERROR(__xludf.DUMMYFUNCTION("""COMPUTED_VALUE"""),"https://drive.google.com/open?id=10uB-n8ODFH6h9cVfBul6e2XqD9l3db0_")</f>
        <v>https://drive.google.com/open?id=10uB-n8ODFH6h9cVfBul6e2XqD9l3db0_</v>
      </c>
      <c r="J63" s="59"/>
      <c r="K63" s="59"/>
      <c r="L63" s="59"/>
      <c r="M63" s="59"/>
      <c r="N63" s="59"/>
      <c r="O63" s="59"/>
      <c r="P63" s="59"/>
    </row>
    <row r="64" spans="1:16">
      <c r="A64" s="71">
        <f ca="1">IFERROR(__xludf.DUMMYFUNCTION("""COMPUTED_VALUE"""),45301.5440069212)</f>
        <v>45301.544006921198</v>
      </c>
      <c r="B64" s="59" t="str">
        <f ca="1">IFERROR(__xludf.DUMMYFUNCTION("""COMPUTED_VALUE"""),"RAUSHAN KUMAR")</f>
        <v>RAUSHAN KUMAR</v>
      </c>
      <c r="C64" s="72" t="str">
        <f ca="1">IFERROR(__xludf.DUMMYFUNCTION("""COMPUTED_VALUE"""),"22SDSCE01229")</f>
        <v>22SDSCE01229</v>
      </c>
      <c r="D64" s="73">
        <f ca="1">IFERROR(__xludf.DUMMYFUNCTION("""COMPUTED_VALUE"""),45218)</f>
        <v>45218</v>
      </c>
      <c r="E64" s="72"/>
      <c r="F64" s="72"/>
      <c r="G64" s="75"/>
      <c r="H64" s="59" t="str">
        <f ca="1">IFERROR(__xludf.DUMMYFUNCTION("""COMPUTED_VALUE"""),"UPDATED")</f>
        <v>UPDATED</v>
      </c>
      <c r="I64" s="76" t="str">
        <f ca="1">IFERROR(__xludf.DUMMYFUNCTION("""COMPUTED_VALUE"""),"https://drive.google.com/open?id=1T7nNABslCtl3qJzq4OfnragFhbtepTdv")</f>
        <v>https://drive.google.com/open?id=1T7nNABslCtl3qJzq4OfnragFhbtepTdv</v>
      </c>
      <c r="J64" s="59"/>
      <c r="K64" s="59"/>
      <c r="L64" s="59"/>
      <c r="M64" s="59"/>
      <c r="N64" s="59"/>
      <c r="O64" s="59"/>
      <c r="P64" s="59"/>
    </row>
    <row r="65" spans="1:16">
      <c r="A65" s="71">
        <f ca="1">IFERROR(__xludf.DUMMYFUNCTION("""COMPUTED_VALUE"""),45300.9553310995)</f>
        <v>45300.955331099503</v>
      </c>
      <c r="B65" s="59" t="str">
        <f ca="1">IFERROR(__xludf.DUMMYFUNCTION("""COMPUTED_VALUE"""),"SATYAJEET NIDHI")</f>
        <v>SATYAJEET NIDHI</v>
      </c>
      <c r="C65" s="72" t="str">
        <f ca="1">IFERROR(__xludf.DUMMYFUNCTION("""COMPUTED_VALUE"""),"22SDSME01046")</f>
        <v>22SDSME01046</v>
      </c>
      <c r="D65" s="73">
        <f ca="1">IFERROR(__xludf.DUMMYFUNCTION("""COMPUTED_VALUE"""),45261)</f>
        <v>45261</v>
      </c>
      <c r="E65" s="72"/>
      <c r="F65" s="72"/>
      <c r="G65" s="75"/>
      <c r="H65" s="59" t="str">
        <f ca="1">IFERROR(__xludf.DUMMYFUNCTION("""COMPUTED_VALUE"""),"UPDATED")</f>
        <v>UPDATED</v>
      </c>
      <c r="I65" s="76" t="str">
        <f ca="1">IFERROR(__xludf.DUMMYFUNCTION("""COMPUTED_VALUE"""),"https://drive.google.com/open?id=1qvvvq75c8qY3pLzXP2122dvf3sMhNl8n")</f>
        <v>https://drive.google.com/open?id=1qvvvq75c8qY3pLzXP2122dvf3sMhNl8n</v>
      </c>
      <c r="J65" s="59"/>
      <c r="K65" s="59"/>
      <c r="L65" s="59"/>
      <c r="M65" s="59"/>
      <c r="N65" s="59"/>
      <c r="O65" s="59"/>
      <c r="P65" s="59"/>
    </row>
    <row r="66" spans="1:16">
      <c r="A66" s="71">
        <f ca="1">IFERROR(__xludf.DUMMYFUNCTION("""COMPUTED_VALUE"""),45300.8158199189)</f>
        <v>45300.815819918898</v>
      </c>
      <c r="B66" s="59" t="str">
        <f ca="1">IFERROR(__xludf.DUMMYFUNCTION("""COMPUTED_VALUE"""),"Keshvala vipul jethabhai")</f>
        <v>Keshvala vipul jethabhai</v>
      </c>
      <c r="C66" s="72" t="str">
        <f ca="1">IFERROR(__xludf.DUMMYFUNCTION("""COMPUTED_VALUE"""),"22SDSCE01159")</f>
        <v>22SDSCE01159</v>
      </c>
      <c r="D66" s="73">
        <f ca="1">IFERROR(__xludf.DUMMYFUNCTION("""COMPUTED_VALUE"""),45536)</f>
        <v>45536</v>
      </c>
      <c r="E66" s="74">
        <f ca="1">IFERROR(__xludf.DUMMYFUNCTION("""COMPUTED_VALUE"""),25000)</f>
        <v>25000</v>
      </c>
      <c r="F66" s="72">
        <f ca="1">IFERROR(__xludf.DUMMYFUNCTION("""COMPUTED_VALUE"""),3000)</f>
        <v>3000</v>
      </c>
      <c r="G66" s="75"/>
      <c r="H66" s="59" t="str">
        <f ca="1">IFERROR(__xludf.DUMMYFUNCTION("""COMPUTED_VALUE"""),"UPDATED")</f>
        <v>UPDATED</v>
      </c>
      <c r="I66" s="76" t="str">
        <f ca="1">IFERROR(__xludf.DUMMYFUNCTION("""COMPUTED_VALUE"""),"https://drive.google.com/open?id=1Li8TUcO3lMno8ZOf916Wr7_yQRsiXQSx")</f>
        <v>https://drive.google.com/open?id=1Li8TUcO3lMno8ZOf916Wr7_yQRsiXQSx</v>
      </c>
      <c r="J66" s="59"/>
      <c r="K66" s="59"/>
      <c r="L66" s="59"/>
      <c r="M66" s="59"/>
      <c r="N66" s="59"/>
      <c r="O66" s="59"/>
      <c r="P66" s="59"/>
    </row>
    <row r="67" spans="1:16">
      <c r="A67" s="71">
        <f ca="1">IFERROR(__xludf.DUMMYFUNCTION("""COMPUTED_VALUE"""),45300.8145235185)</f>
        <v>45300.8145235185</v>
      </c>
      <c r="B67" s="59" t="str">
        <f ca="1">IFERROR(__xludf.DUMMYFUNCTION("""COMPUTED_VALUE"""),"Jitkumar Arvindbhai mavani ")</f>
        <v xml:space="preserve">Jitkumar Arvindbhai mavani </v>
      </c>
      <c r="C67" s="72" t="str">
        <f ca="1">IFERROR(__xludf.DUMMYFUNCTION("""COMPUTED_VALUE"""),"22SDSCE01172")</f>
        <v>22SDSCE01172</v>
      </c>
      <c r="D67" s="73">
        <f ca="1">IFERROR(__xludf.DUMMYFUNCTION("""COMPUTED_VALUE"""),45285)</f>
        <v>45285</v>
      </c>
      <c r="E67" s="72"/>
      <c r="F67" s="72">
        <f ca="1">IFERROR(__xludf.DUMMYFUNCTION("""COMPUTED_VALUE"""),3000)</f>
        <v>3000</v>
      </c>
      <c r="G67" s="75"/>
      <c r="H67" s="59" t="str">
        <f ca="1">IFERROR(__xludf.DUMMYFUNCTION("""COMPUTED_VALUE"""),"UPDATED")</f>
        <v>UPDATED</v>
      </c>
      <c r="I67" s="76" t="str">
        <f ca="1">IFERROR(__xludf.DUMMYFUNCTION("""COMPUTED_VALUE"""),"https://drive.google.com/open?id=18sSMJfB7y4i1uqbX_VXftay4nElE-mql")</f>
        <v>https://drive.google.com/open?id=18sSMJfB7y4i1uqbX_VXftay4nElE-mql</v>
      </c>
      <c r="J67" s="59"/>
      <c r="K67" s="59"/>
      <c r="L67" s="59"/>
      <c r="M67" s="59"/>
      <c r="N67" s="59"/>
      <c r="O67" s="59"/>
      <c r="P67" s="59"/>
    </row>
    <row r="68" spans="1:16">
      <c r="A68" s="71">
        <f ca="1">IFERROR(__xludf.DUMMYFUNCTION("""COMPUTED_VALUE"""),45300.810724456)</f>
        <v>45300.810724456001</v>
      </c>
      <c r="B68" s="59" t="str">
        <f ca="1">IFERROR(__xludf.DUMMYFUNCTION("""COMPUTED_VALUE"""),"Jitkumar Arvindbhai mavani ")</f>
        <v xml:space="preserve">Jitkumar Arvindbhai mavani </v>
      </c>
      <c r="C68" s="72" t="str">
        <f ca="1">IFERROR(__xludf.DUMMYFUNCTION("""COMPUTED_VALUE"""),"22SDSCE01172")</f>
        <v>22SDSCE01172</v>
      </c>
      <c r="D68" s="73">
        <f ca="1">IFERROR(__xludf.DUMMYFUNCTION("""COMPUTED_VALUE"""),45285)</f>
        <v>45285</v>
      </c>
      <c r="E68" s="74">
        <f ca="1">IFERROR(__xludf.DUMMYFUNCTION("""COMPUTED_VALUE"""),25000)</f>
        <v>25000</v>
      </c>
      <c r="F68" s="72"/>
      <c r="G68" s="75"/>
      <c r="H68" s="59" t="str">
        <f ca="1">IFERROR(__xludf.DUMMYFUNCTION("""COMPUTED_VALUE"""),"UPDATED")</f>
        <v>UPDATED</v>
      </c>
      <c r="I68" s="76" t="str">
        <f ca="1">IFERROR(__xludf.DUMMYFUNCTION("""COMPUTED_VALUE"""),"https://drive.google.com/open?id=1D_VMVR5VSucIkacH7Ef3SaEU6HswSLDU")</f>
        <v>https://drive.google.com/open?id=1D_VMVR5VSucIkacH7Ef3SaEU6HswSLDU</v>
      </c>
      <c r="J68" s="59"/>
      <c r="K68" s="59"/>
      <c r="L68" s="59"/>
      <c r="M68" s="59"/>
      <c r="N68" s="59"/>
      <c r="O68" s="59"/>
      <c r="P68" s="59"/>
    </row>
    <row r="69" spans="1:16">
      <c r="A69" s="71">
        <f ca="1">IFERROR(__xludf.DUMMYFUNCTION("""COMPUTED_VALUE"""),45300.7933818634)</f>
        <v>45300.793381863397</v>
      </c>
      <c r="B69" s="59" t="str">
        <f ca="1">IFERROR(__xludf.DUMMYFUNCTION("""COMPUTED_VALUE"""),"Vansh vaja")</f>
        <v>Vansh vaja</v>
      </c>
      <c r="C69" s="72" t="str">
        <f ca="1">IFERROR(__xludf.DUMMYFUNCTION("""COMPUTED_VALUE"""),"22SDSCE01195")</f>
        <v>22SDSCE01195</v>
      </c>
      <c r="D69" s="73">
        <f ca="1">IFERROR(__xludf.DUMMYFUNCTION("""COMPUTED_VALUE"""),45300)</f>
        <v>45300</v>
      </c>
      <c r="E69" s="74">
        <f ca="1">IFERROR(__xludf.DUMMYFUNCTION("""COMPUTED_VALUE"""),25000)</f>
        <v>25000</v>
      </c>
      <c r="F69" s="72">
        <f ca="1">IFERROR(__xludf.DUMMYFUNCTION("""COMPUTED_VALUE"""),3000)</f>
        <v>3000</v>
      </c>
      <c r="G69" s="75"/>
      <c r="H69" s="59" t="str">
        <f ca="1">IFERROR(__xludf.DUMMYFUNCTION("""COMPUTED_VALUE"""),"UPDATED")</f>
        <v>UPDATED</v>
      </c>
      <c r="I69" s="76" t="str">
        <f ca="1">IFERROR(__xludf.DUMMYFUNCTION("""COMPUTED_VALUE"""),"https://drive.google.com/open?id=1cqLu53ZIJHq8HZb8RftcXxLtsL_Tr5ZD")</f>
        <v>https://drive.google.com/open?id=1cqLu53ZIJHq8HZb8RftcXxLtsL_Tr5ZD</v>
      </c>
      <c r="J69" s="59"/>
      <c r="K69" s="59"/>
      <c r="L69" s="59"/>
      <c r="M69" s="59"/>
      <c r="N69" s="59"/>
      <c r="O69" s="59"/>
      <c r="P69" s="59"/>
    </row>
    <row r="70" spans="1:16">
      <c r="A70" s="71">
        <f ca="1">IFERROR(__xludf.DUMMYFUNCTION("""COMPUTED_VALUE"""),45300.6011888657)</f>
        <v>45300.601188865701</v>
      </c>
      <c r="B70" s="59" t="str">
        <f ca="1">IFERROR(__xludf.DUMMYFUNCTION("""COMPUTED_VALUE"""),"Vekariya Dev Vijaybhai")</f>
        <v>Vekariya Dev Vijaybhai</v>
      </c>
      <c r="C70" s="72" t="str">
        <f ca="1">IFERROR(__xludf.DUMMYFUNCTION("""COMPUTED_VALUE"""),"23SDSCE01077")</f>
        <v>23SDSCE01077</v>
      </c>
      <c r="D70" s="73">
        <f ca="1">IFERROR(__xludf.DUMMYFUNCTION("""COMPUTED_VALUE"""),45299)</f>
        <v>45299</v>
      </c>
      <c r="E70" s="74">
        <f ca="1">IFERROR(__xludf.DUMMYFUNCTION("""COMPUTED_VALUE"""),17500)</f>
        <v>17500</v>
      </c>
      <c r="F70" s="72">
        <f ca="1">IFERROR(__xludf.DUMMYFUNCTION("""COMPUTED_VALUE"""),3000)</f>
        <v>3000</v>
      </c>
      <c r="G70" s="75"/>
      <c r="H70" s="59" t="str">
        <f ca="1">IFERROR(__xludf.DUMMYFUNCTION("""COMPUTED_VALUE"""),"UPDATED")</f>
        <v>UPDATED</v>
      </c>
      <c r="I70" s="76" t="str">
        <f ca="1">IFERROR(__xludf.DUMMYFUNCTION("""COMPUTED_VALUE"""),"https://drive.google.com/open?id=1nxa6HhNH5KCYAzdSfW0T8I9ZTxiS5a30")</f>
        <v>https://drive.google.com/open?id=1nxa6HhNH5KCYAzdSfW0T8I9ZTxiS5a30</v>
      </c>
      <c r="J70" s="59"/>
      <c r="K70" s="59"/>
      <c r="L70" s="59"/>
      <c r="M70" s="59"/>
      <c r="N70" s="59"/>
      <c r="O70" s="59"/>
      <c r="P70" s="59"/>
    </row>
    <row r="71" spans="1:16">
      <c r="A71" s="71">
        <f ca="1">IFERROR(__xludf.DUMMYFUNCTION("""COMPUTED_VALUE"""),45300.4280759606)</f>
        <v>45300.428075960597</v>
      </c>
      <c r="B71" s="59" t="str">
        <f ca="1">IFERROR(__xludf.DUMMYFUNCTION("""COMPUTED_VALUE"""),"Shiv Sagar kohar ")</f>
        <v xml:space="preserve">Shiv Sagar kohar </v>
      </c>
      <c r="C71" s="72" t="str">
        <f ca="1">IFERROR(__xludf.DUMMYFUNCTION("""COMPUTED_VALUE"""),"22SDSCE01625")</f>
        <v>22SDSCE01625</v>
      </c>
      <c r="D71" s="73">
        <f ca="1">IFERROR(__xludf.DUMMYFUNCTION("""COMPUTED_VALUE"""),45300)</f>
        <v>45300</v>
      </c>
      <c r="E71" s="72"/>
      <c r="F71" s="72"/>
      <c r="G71" s="75"/>
      <c r="H71" s="59" t="str">
        <f ca="1">IFERROR(__xludf.DUMMYFUNCTION("""COMPUTED_VALUE"""),"UPDATED")</f>
        <v>UPDATED</v>
      </c>
      <c r="I71" s="76" t="str">
        <f ca="1">IFERROR(__xludf.DUMMYFUNCTION("""COMPUTED_VALUE"""),"https://drive.google.com/open?id=124Pzavi9aZZ9A6YbAGuZ02TPg3K072tv")</f>
        <v>https://drive.google.com/open?id=124Pzavi9aZZ9A6YbAGuZ02TPg3K072tv</v>
      </c>
      <c r="J71" s="59"/>
      <c r="K71" s="59"/>
      <c r="L71" s="59"/>
      <c r="M71" s="59"/>
      <c r="N71" s="59"/>
      <c r="O71" s="59"/>
      <c r="P71" s="59"/>
    </row>
    <row r="72" spans="1:16">
      <c r="A72" s="71">
        <f ca="1">IFERROR(__xludf.DUMMYFUNCTION("""COMPUTED_VALUE"""),45299.8453284259)</f>
        <v>45299.845328425901</v>
      </c>
      <c r="B72" s="59" t="str">
        <f ca="1">IFERROR(__xludf.DUMMYFUNCTION("""COMPUTED_VALUE"""),"RAMANI UTTAM RAJESHBHAI")</f>
        <v>RAMANI UTTAM RAJESHBHAI</v>
      </c>
      <c r="C72" s="72" t="str">
        <f ca="1">IFERROR(__xludf.DUMMYFUNCTION("""COMPUTED_VALUE"""),"22SDSCE01060")</f>
        <v>22SDSCE01060</v>
      </c>
      <c r="D72" s="73">
        <f ca="1">IFERROR(__xludf.DUMMYFUNCTION("""COMPUTED_VALUE"""),45291)</f>
        <v>45291</v>
      </c>
      <c r="E72" s="72"/>
      <c r="F72" s="72">
        <f ca="1">IFERROR(__xludf.DUMMYFUNCTION("""COMPUTED_VALUE"""),3000)</f>
        <v>3000</v>
      </c>
      <c r="G72" s="75"/>
      <c r="H72" s="59" t="str">
        <f ca="1">IFERROR(__xludf.DUMMYFUNCTION("""COMPUTED_VALUE"""),"UPDATED")</f>
        <v>UPDATED</v>
      </c>
      <c r="I72" s="76" t="str">
        <f ca="1">IFERROR(__xludf.DUMMYFUNCTION("""COMPUTED_VALUE"""),"https://drive.google.com/open?id=1aQwiteMm4EXKie1XfdpNawvgBkyeKnKH")</f>
        <v>https://drive.google.com/open?id=1aQwiteMm4EXKie1XfdpNawvgBkyeKnKH</v>
      </c>
      <c r="J72" s="59"/>
      <c r="K72" s="59"/>
      <c r="L72" s="59"/>
      <c r="M72" s="59"/>
      <c r="N72" s="59"/>
      <c r="O72" s="59"/>
      <c r="P72" s="59"/>
    </row>
    <row r="73" spans="1:16">
      <c r="A73" s="71">
        <f ca="1">IFERROR(__xludf.DUMMYFUNCTION("""COMPUTED_VALUE"""),45299.6066150231)</f>
        <v>45299.606615023098</v>
      </c>
      <c r="B73" s="59" t="str">
        <f ca="1">IFERROR(__xludf.DUMMYFUNCTION("""COMPUTED_VALUE"""),"Mahmad ahad dayatar")</f>
        <v>Mahmad ahad dayatar</v>
      </c>
      <c r="C73" s="72" t="str">
        <f ca="1">IFERROR(__xludf.DUMMYFUNCTION("""COMPUTED_VALUE"""),"23SDSCE01129")</f>
        <v>23SDSCE01129</v>
      </c>
      <c r="D73" s="73">
        <f ca="1">IFERROR(__xludf.DUMMYFUNCTION("""COMPUTED_VALUE"""),45299)</f>
        <v>45299</v>
      </c>
      <c r="E73" s="74">
        <f ca="1">IFERROR(__xludf.DUMMYFUNCTION("""COMPUTED_VALUE"""),27500)</f>
        <v>27500</v>
      </c>
      <c r="F73" s="72">
        <f ca="1">IFERROR(__xludf.DUMMYFUNCTION("""COMPUTED_VALUE"""),3000)</f>
        <v>3000</v>
      </c>
      <c r="G73" s="75"/>
      <c r="H73" s="59" t="str">
        <f ca="1">IFERROR(__xludf.DUMMYFUNCTION("""COMPUTED_VALUE"""),"UPDATED")</f>
        <v>UPDATED</v>
      </c>
      <c r="I73" s="76" t="str">
        <f ca="1">IFERROR(__xludf.DUMMYFUNCTION("""COMPUTED_VALUE"""),"https://drive.google.com/open?id=12k4xzdM31SN4qnJbME9jY0R0tepVbog7")</f>
        <v>https://drive.google.com/open?id=12k4xzdM31SN4qnJbME9jY0R0tepVbog7</v>
      </c>
      <c r="J73" s="59"/>
      <c r="K73" s="59"/>
      <c r="L73" s="59"/>
      <c r="M73" s="59"/>
      <c r="N73" s="59"/>
      <c r="O73" s="59"/>
      <c r="P73" s="59"/>
    </row>
    <row r="74" spans="1:16">
      <c r="A74" s="71">
        <f ca="1">IFERROR(__xludf.DUMMYFUNCTION("""COMPUTED_VALUE"""),45299.6032398263)</f>
        <v>45299.603239826298</v>
      </c>
      <c r="B74" s="59" t="str">
        <f ca="1">IFERROR(__xludf.DUMMYFUNCTION("""COMPUTED_VALUE"""),"Parth gajera")</f>
        <v>Parth gajera</v>
      </c>
      <c r="C74" s="72" t="str">
        <f ca="1">IFERROR(__xludf.DUMMYFUNCTION("""COMPUTED_VALUE"""),"22SDSCE01132")</f>
        <v>22SDSCE01132</v>
      </c>
      <c r="D74" s="73">
        <f ca="1">IFERROR(__xludf.DUMMYFUNCTION("""COMPUTED_VALUE"""),45299)</f>
        <v>45299</v>
      </c>
      <c r="E74" s="74">
        <f ca="1">IFERROR(__xludf.DUMMYFUNCTION("""COMPUTED_VALUE"""),27500)</f>
        <v>27500</v>
      </c>
      <c r="F74" s="72">
        <f ca="1">IFERROR(__xludf.DUMMYFUNCTION("""COMPUTED_VALUE"""),3000)</f>
        <v>3000</v>
      </c>
      <c r="G74" s="75"/>
      <c r="H74" s="59" t="str">
        <f ca="1">IFERROR(__xludf.DUMMYFUNCTION("""COMPUTED_VALUE"""),"UPDATED")</f>
        <v>UPDATED</v>
      </c>
      <c r="I74" s="76" t="str">
        <f ca="1">IFERROR(__xludf.DUMMYFUNCTION("""COMPUTED_VALUE"""),"https://drive.google.com/open?id=1muB_u7l9SPL2tPnHsLrOcaHSdv3ENBnE")</f>
        <v>https://drive.google.com/open?id=1muB_u7l9SPL2tPnHsLrOcaHSdv3ENBnE</v>
      </c>
      <c r="J74" s="59"/>
      <c r="K74" s="59"/>
      <c r="L74" s="59"/>
      <c r="M74" s="59"/>
      <c r="N74" s="59"/>
      <c r="O74" s="59"/>
      <c r="P74" s="59"/>
    </row>
    <row r="75" spans="1:16">
      <c r="A75" s="71">
        <f ca="1">IFERROR(__xludf.DUMMYFUNCTION("""COMPUTED_VALUE"""),45299.5214422106)</f>
        <v>45299.5214422106</v>
      </c>
      <c r="B75" s="59" t="str">
        <f ca="1">IFERROR(__xludf.DUMMYFUNCTION("""COMPUTED_VALUE"""),"Prachi ketankumar Thanki ")</f>
        <v xml:space="preserve">Prachi ketankumar Thanki </v>
      </c>
      <c r="C75" s="72" t="str">
        <f ca="1">IFERROR(__xludf.DUMMYFUNCTION("""COMPUTED_VALUE"""),"23SDSCE01171")</f>
        <v>23SDSCE01171</v>
      </c>
      <c r="D75" s="73">
        <f ca="1">IFERROR(__xludf.DUMMYFUNCTION("""COMPUTED_VALUE"""),45299)</f>
        <v>45299</v>
      </c>
      <c r="E75" s="74">
        <f ca="1">IFERROR(__xludf.DUMMYFUNCTION("""COMPUTED_VALUE"""),21250)</f>
        <v>21250</v>
      </c>
      <c r="F75" s="72">
        <f ca="1">IFERROR(__xludf.DUMMYFUNCTION("""COMPUTED_VALUE"""),3000)</f>
        <v>3000</v>
      </c>
      <c r="G75" s="75"/>
      <c r="H75" s="59" t="str">
        <f ca="1">IFERROR(__xludf.DUMMYFUNCTION("""COMPUTED_VALUE"""),"UPDATED")</f>
        <v>UPDATED</v>
      </c>
      <c r="I75" s="76" t="str">
        <f ca="1">IFERROR(__xludf.DUMMYFUNCTION("""COMPUTED_VALUE"""),"https://drive.google.com/open?id=1O4_AlVamDYzu1voga7oWhJ9nlKFHjCvV")</f>
        <v>https://drive.google.com/open?id=1O4_AlVamDYzu1voga7oWhJ9nlKFHjCvV</v>
      </c>
      <c r="J75" s="59"/>
      <c r="K75" s="59"/>
      <c r="L75" s="59"/>
      <c r="M75" s="59"/>
      <c r="N75" s="59"/>
      <c r="O75" s="59"/>
      <c r="P75" s="59"/>
    </row>
    <row r="76" spans="1:16">
      <c r="A76" s="71">
        <f ca="1">IFERROR(__xludf.DUMMYFUNCTION("""COMPUTED_VALUE"""),45299.4282631134)</f>
        <v>45299.428263113397</v>
      </c>
      <c r="B76" s="59" t="str">
        <f ca="1">IFERROR(__xludf.DUMMYFUNCTION("""COMPUTED_VALUE"""),"VALA JAYDEEP DHIRUBHAI")</f>
        <v>VALA JAYDEEP DHIRUBHAI</v>
      </c>
      <c r="C76" s="72" t="str">
        <f ca="1">IFERROR(__xludf.DUMMYFUNCTION("""COMPUTED_VALUE"""),"23SDSCV01010")</f>
        <v>23SDSCV01010</v>
      </c>
      <c r="D76" s="73">
        <f ca="1">IFERROR(__xludf.DUMMYFUNCTION("""COMPUTED_VALUE"""),45299)</f>
        <v>45299</v>
      </c>
      <c r="E76" s="74">
        <f ca="1">IFERROR(__xludf.DUMMYFUNCTION("""COMPUTED_VALUE"""),0)</f>
        <v>0</v>
      </c>
      <c r="F76" s="72">
        <f ca="1">IFERROR(__xludf.DUMMYFUNCTION("""COMPUTED_VALUE"""),3000)</f>
        <v>3000</v>
      </c>
      <c r="G76" s="75"/>
      <c r="H76" s="59" t="str">
        <f ca="1">IFERROR(__xludf.DUMMYFUNCTION("""COMPUTED_VALUE"""),"UPDATED")</f>
        <v>UPDATED</v>
      </c>
      <c r="I76" s="76" t="str">
        <f ca="1">IFERROR(__xludf.DUMMYFUNCTION("""COMPUTED_VALUE"""),"https://drive.google.com/open?id=13Wo2-SzgoMMO3blLc0c5ghOC-khFjwIS")</f>
        <v>https://drive.google.com/open?id=13Wo2-SzgoMMO3blLc0c5ghOC-khFjwIS</v>
      </c>
      <c r="J76" s="59"/>
      <c r="K76" s="59"/>
      <c r="L76" s="59"/>
      <c r="M76" s="59"/>
      <c r="N76" s="59"/>
      <c r="O76" s="59"/>
      <c r="P76" s="59"/>
    </row>
    <row r="77" spans="1:16">
      <c r="A77" s="71">
        <f ca="1">IFERROR(__xludf.DUMMYFUNCTION("""COMPUTED_VALUE"""),45297.5788502083)</f>
        <v>45297.578850208301</v>
      </c>
      <c r="B77" s="59" t="str">
        <f ca="1">IFERROR(__xludf.DUMMYFUNCTION("""COMPUTED_VALUE"""),"Amrut masani")</f>
        <v>Amrut masani</v>
      </c>
      <c r="C77" s="72" t="str">
        <f ca="1">IFERROR(__xludf.DUMMYFUNCTION("""COMPUTED_VALUE"""),"23SDSCE01102")</f>
        <v>23SDSCE01102</v>
      </c>
      <c r="D77" s="73">
        <f ca="1">IFERROR(__xludf.DUMMYFUNCTION("""COMPUTED_VALUE"""),45297)</f>
        <v>45297</v>
      </c>
      <c r="E77" s="74">
        <f ca="1">IFERROR(__xludf.DUMMYFUNCTION("""COMPUTED_VALUE"""),27500)</f>
        <v>27500</v>
      </c>
      <c r="F77" s="72">
        <f ca="1">IFERROR(__xludf.DUMMYFUNCTION("""COMPUTED_VALUE"""),3200)</f>
        <v>3200</v>
      </c>
      <c r="G77" s="75"/>
      <c r="H77" s="59" t="str">
        <f ca="1">IFERROR(__xludf.DUMMYFUNCTION("""COMPUTED_VALUE"""),"UPDATED")</f>
        <v>UPDATED</v>
      </c>
      <c r="I77" s="76" t="str">
        <f ca="1">IFERROR(__xludf.DUMMYFUNCTION("""COMPUTED_VALUE"""),"https://drive.google.com/open?id=1Wrc7xRuqXuxGfht4o46RYvgovUQheta7")</f>
        <v>https://drive.google.com/open?id=1Wrc7xRuqXuxGfht4o46RYvgovUQheta7</v>
      </c>
      <c r="J77" s="59"/>
      <c r="K77" s="59"/>
      <c r="L77" s="59"/>
      <c r="M77" s="59"/>
      <c r="N77" s="59"/>
      <c r="O77" s="59"/>
      <c r="P77" s="59"/>
    </row>
    <row r="78" spans="1:16">
      <c r="A78" s="71">
        <f ca="1">IFERROR(__xludf.DUMMYFUNCTION("""COMPUTED_VALUE"""),45297.4867963194)</f>
        <v>45297.486796319397</v>
      </c>
      <c r="B78" s="59" t="str">
        <f ca="1">IFERROR(__xludf.DUMMYFUNCTION("""COMPUTED_VALUE"""),"Ramani nandani K")</f>
        <v>Ramani nandani K</v>
      </c>
      <c r="C78" s="72" t="str">
        <f ca="1">IFERROR(__xludf.DUMMYFUNCTION("""COMPUTED_VALUE"""),"23SDSCE01223")</f>
        <v>23SDSCE01223</v>
      </c>
      <c r="D78" s="73">
        <f ca="1">IFERROR(__xludf.DUMMYFUNCTION("""COMPUTED_VALUE"""),45297)</f>
        <v>45297</v>
      </c>
      <c r="E78" s="72"/>
      <c r="F78" s="72">
        <f ca="1">IFERROR(__xludf.DUMMYFUNCTION("""COMPUTED_VALUE"""),3000)</f>
        <v>3000</v>
      </c>
      <c r="G78" s="75"/>
      <c r="H78" s="59" t="str">
        <f ca="1">IFERROR(__xludf.DUMMYFUNCTION("""COMPUTED_VALUE"""),"UPDATED")</f>
        <v>UPDATED</v>
      </c>
      <c r="I78" s="76" t="str">
        <f ca="1">IFERROR(__xludf.DUMMYFUNCTION("""COMPUTED_VALUE"""),"https://drive.google.com/open?id=1NVomb-tiRZM3rNoKHmXNHPBHlXZqiMdj")</f>
        <v>https://drive.google.com/open?id=1NVomb-tiRZM3rNoKHmXNHPBHlXZqiMdj</v>
      </c>
      <c r="J78" s="59"/>
      <c r="K78" s="59"/>
      <c r="L78" s="59"/>
      <c r="M78" s="59"/>
      <c r="N78" s="59"/>
      <c r="O78" s="59"/>
      <c r="P78" s="59"/>
    </row>
    <row r="79" spans="1:16">
      <c r="A79" s="71">
        <f ca="1">IFERROR(__xludf.DUMMYFUNCTION("""COMPUTED_VALUE"""),45297.3688095949)</f>
        <v>45297.368809594896</v>
      </c>
      <c r="B79" s="59" t="str">
        <f ca="1">IFERROR(__xludf.DUMMYFUNCTION("""COMPUTED_VALUE"""),"Tank drashti ashokbhai ")</f>
        <v xml:space="preserve">Tank drashti ashokbhai </v>
      </c>
      <c r="C79" s="72" t="str">
        <f ca="1">IFERROR(__xludf.DUMMYFUNCTION("""COMPUTED_VALUE"""),"22SDSCE01063")</f>
        <v>22SDSCE01063</v>
      </c>
      <c r="D79" s="73">
        <f ca="1">IFERROR(__xludf.DUMMYFUNCTION("""COMPUTED_VALUE"""),45292)</f>
        <v>45292</v>
      </c>
      <c r="E79" s="72"/>
      <c r="F79" s="72">
        <f ca="1">IFERROR(__xludf.DUMMYFUNCTION("""COMPUTED_VALUE"""),3000)</f>
        <v>3000</v>
      </c>
      <c r="G79" s="75"/>
      <c r="H79" s="59" t="str">
        <f ca="1">IFERROR(__xludf.DUMMYFUNCTION("""COMPUTED_VALUE"""),"UPDATED")</f>
        <v>UPDATED</v>
      </c>
      <c r="I79" s="76" t="str">
        <f ca="1">IFERROR(__xludf.DUMMYFUNCTION("""COMPUTED_VALUE"""),"https://drive.google.com/open?id=10Ct6FAZPFK76Ce9gGAzxW9b8ybmLVBqR")</f>
        <v>https://drive.google.com/open?id=10Ct6FAZPFK76Ce9gGAzxW9b8ybmLVBqR</v>
      </c>
      <c r="J79" s="59"/>
      <c r="K79" s="59"/>
      <c r="L79" s="59"/>
      <c r="M79" s="59"/>
      <c r="N79" s="59"/>
      <c r="O79" s="59"/>
      <c r="P79" s="59"/>
    </row>
    <row r="80" spans="1:16">
      <c r="A80" s="71">
        <f ca="1">IFERROR(__xludf.DUMMYFUNCTION("""COMPUTED_VALUE"""),45296.6297388773)</f>
        <v>45296.629738877302</v>
      </c>
      <c r="B80" s="59" t="str">
        <f ca="1">IFERROR(__xludf.DUMMYFUNCTION("""COMPUTED_VALUE"""),"Khatra jenil chandubhai ")</f>
        <v xml:space="preserve">Khatra jenil chandubhai </v>
      </c>
      <c r="C80" s="72" t="str">
        <f ca="1">IFERROR(__xludf.DUMMYFUNCTION("""COMPUTED_VALUE"""),"23SDSCE01183")</f>
        <v>23SDSCE01183</v>
      </c>
      <c r="D80" s="73">
        <f ca="1">IFERROR(__xludf.DUMMYFUNCTION("""COMPUTED_VALUE"""),45296)</f>
        <v>45296</v>
      </c>
      <c r="E80" s="74">
        <f ca="1">IFERROR(__xludf.DUMMYFUNCTION("""COMPUTED_VALUE"""),27500)</f>
        <v>27500</v>
      </c>
      <c r="F80" s="72">
        <f ca="1">IFERROR(__xludf.DUMMYFUNCTION("""COMPUTED_VALUE"""),0)</f>
        <v>0</v>
      </c>
      <c r="G80" s="75"/>
      <c r="H80" s="59" t="str">
        <f ca="1">IFERROR(__xludf.DUMMYFUNCTION("""COMPUTED_VALUE"""),"UPDATED")</f>
        <v>UPDATED</v>
      </c>
      <c r="I80" s="76" t="str">
        <f ca="1">IFERROR(__xludf.DUMMYFUNCTION("""COMPUTED_VALUE"""),"https://drive.google.com/open?id=1hUR2ayTA_zK8G9ySwqh87C7FbJ0x5C5G")</f>
        <v>https://drive.google.com/open?id=1hUR2ayTA_zK8G9ySwqh87C7FbJ0x5C5G</v>
      </c>
      <c r="J80" s="59"/>
      <c r="K80" s="59"/>
      <c r="L80" s="59"/>
      <c r="M80" s="59"/>
      <c r="N80" s="59"/>
      <c r="O80" s="59"/>
      <c r="P80" s="59"/>
    </row>
    <row r="81" spans="1:16">
      <c r="A81" s="71">
        <f ca="1">IFERROR(__xludf.DUMMYFUNCTION("""COMPUTED_VALUE"""),45296.602694155)</f>
        <v>45296.602694155001</v>
      </c>
      <c r="B81" s="59" t="str">
        <f ca="1">IFERROR(__xludf.DUMMYFUNCTION("""COMPUTED_VALUE"""),"Bhayani janvi R")</f>
        <v>Bhayani janvi R</v>
      </c>
      <c r="C81" s="72" t="str">
        <f ca="1">IFERROR(__xludf.DUMMYFUNCTION("""COMPUTED_VALUE"""),"23SDSCE01205")</f>
        <v>23SDSCE01205</v>
      </c>
      <c r="D81" s="73">
        <f ca="1">IFERROR(__xludf.DUMMYFUNCTION("""COMPUTED_VALUE"""),45296)</f>
        <v>45296</v>
      </c>
      <c r="E81" s="72"/>
      <c r="F81" s="72">
        <f ca="1">IFERROR(__xludf.DUMMYFUNCTION("""COMPUTED_VALUE"""),3000)</f>
        <v>3000</v>
      </c>
      <c r="G81" s="75"/>
      <c r="H81" s="59" t="str">
        <f ca="1">IFERROR(__xludf.DUMMYFUNCTION("""COMPUTED_VALUE"""),"UPDATED")</f>
        <v>UPDATED</v>
      </c>
      <c r="I81" s="76" t="str">
        <f ca="1">IFERROR(__xludf.DUMMYFUNCTION("""COMPUTED_VALUE"""),"https://drive.google.com/open?id=1-32p-9RHHiihlWN6RouIBx2lw6Jogw_u")</f>
        <v>https://drive.google.com/open?id=1-32p-9RHHiihlWN6RouIBx2lw6Jogw_u</v>
      </c>
      <c r="J81" s="59"/>
      <c r="K81" s="59"/>
      <c r="L81" s="59"/>
      <c r="M81" s="59"/>
      <c r="N81" s="59"/>
      <c r="O81" s="59"/>
      <c r="P81" s="59"/>
    </row>
    <row r="82" spans="1:16">
      <c r="A82" s="71">
        <f ca="1">IFERROR(__xludf.DUMMYFUNCTION("""COMPUTED_VALUE"""),45296.59585103)</f>
        <v>45296.595851029997</v>
      </c>
      <c r="B82" s="59" t="str">
        <f ca="1">IFERROR(__xludf.DUMMYFUNCTION("""COMPUTED_VALUE"""),"Bhayani janvi R")</f>
        <v>Bhayani janvi R</v>
      </c>
      <c r="C82" s="72" t="str">
        <f ca="1">IFERROR(__xludf.DUMMYFUNCTION("""COMPUTED_VALUE"""),"23SDSCE01205")</f>
        <v>23SDSCE01205</v>
      </c>
      <c r="D82" s="73">
        <f ca="1">IFERROR(__xludf.DUMMYFUNCTION("""COMPUTED_VALUE"""),45296)</f>
        <v>45296</v>
      </c>
      <c r="E82" s="72"/>
      <c r="F82" s="72">
        <f ca="1">IFERROR(__xludf.DUMMYFUNCTION("""COMPUTED_VALUE"""),3000)</f>
        <v>3000</v>
      </c>
      <c r="G82" s="75"/>
      <c r="H82" s="59" t="str">
        <f ca="1">IFERROR(__xludf.DUMMYFUNCTION("""COMPUTED_VALUE"""),"UPDATED")</f>
        <v>UPDATED</v>
      </c>
      <c r="I82" s="76" t="str">
        <f ca="1">IFERROR(__xludf.DUMMYFUNCTION("""COMPUTED_VALUE"""),"https://drive.google.com/open?id=1IDDCa5WOn6_jlysjwY46ejvsJ5akoQoT")</f>
        <v>https://drive.google.com/open?id=1IDDCa5WOn6_jlysjwY46ejvsJ5akoQoT</v>
      </c>
      <c r="J82" s="59"/>
      <c r="K82" s="59"/>
      <c r="L82" s="59"/>
      <c r="M82" s="59"/>
      <c r="N82" s="59"/>
      <c r="O82" s="59"/>
      <c r="P82" s="59"/>
    </row>
    <row r="83" spans="1:16">
      <c r="A83" s="71">
        <f ca="1">IFERROR(__xludf.DUMMYFUNCTION("""COMPUTED_VALUE"""),45296.5857834953)</f>
        <v>45296.585783495299</v>
      </c>
      <c r="B83" s="59" t="str">
        <f ca="1">IFERROR(__xludf.DUMMYFUNCTION("""COMPUTED_VALUE"""),"Mitesh Ravji Siyani")</f>
        <v>Mitesh Ravji Siyani</v>
      </c>
      <c r="C83" s="72" t="str">
        <f ca="1">IFERROR(__xludf.DUMMYFUNCTION("""COMPUTED_VALUE"""),"23SDSCE01031")</f>
        <v>23SDSCE01031</v>
      </c>
      <c r="D83" s="73">
        <f ca="1">IFERROR(__xludf.DUMMYFUNCTION("""COMPUTED_VALUE"""),45289)</f>
        <v>45289</v>
      </c>
      <c r="E83" s="72"/>
      <c r="F83" s="72"/>
      <c r="G83" s="75"/>
      <c r="H83" s="59" t="str">
        <f ca="1">IFERROR(__xludf.DUMMYFUNCTION("""COMPUTED_VALUE"""),"UPDATED")</f>
        <v>UPDATED</v>
      </c>
      <c r="I83" s="76" t="str">
        <f ca="1">IFERROR(__xludf.DUMMYFUNCTION("""COMPUTED_VALUE"""),"https://drive.google.com/open?id=1o4WmcveZVxKYPhO2b_8ewVub12f7_Dx_")</f>
        <v>https://drive.google.com/open?id=1o4WmcveZVxKYPhO2b_8ewVub12f7_Dx_</v>
      </c>
      <c r="J83" s="59"/>
      <c r="K83" s="59"/>
      <c r="L83" s="59"/>
      <c r="M83" s="59"/>
      <c r="N83" s="59"/>
      <c r="O83" s="59"/>
      <c r="P83" s="59"/>
    </row>
    <row r="84" spans="1:16">
      <c r="A84" s="71">
        <f ca="1">IFERROR(__xludf.DUMMYFUNCTION("""COMPUTED_VALUE"""),45296.5202654513)</f>
        <v>45296.520265451298</v>
      </c>
      <c r="B84" s="59" t="str">
        <f ca="1">IFERROR(__xludf.DUMMYFUNCTION("""COMPUTED_VALUE"""),"Dharmik MukeshBhai Vekariya ")</f>
        <v xml:space="preserve">Dharmik MukeshBhai Vekariya </v>
      </c>
      <c r="C84" s="72" t="str">
        <f ca="1">IFERROR(__xludf.DUMMYFUNCTION("""COMPUTED_VALUE"""),"23SDSCE01200")</f>
        <v>23SDSCE01200</v>
      </c>
      <c r="D84" s="73">
        <f ca="1">IFERROR(__xludf.DUMMYFUNCTION("""COMPUTED_VALUE"""),45296)</f>
        <v>45296</v>
      </c>
      <c r="E84" s="74">
        <f ca="1">IFERROR(__xludf.DUMMYFUNCTION("""COMPUTED_VALUE"""),0)</f>
        <v>0</v>
      </c>
      <c r="F84" s="72">
        <f ca="1">IFERROR(__xludf.DUMMYFUNCTION("""COMPUTED_VALUE"""),0)</f>
        <v>0</v>
      </c>
      <c r="G84" s="75"/>
      <c r="H84" s="59" t="str">
        <f ca="1">IFERROR(__xludf.DUMMYFUNCTION("""COMPUTED_VALUE"""),"UPDATED")</f>
        <v>UPDATED</v>
      </c>
      <c r="I84" s="76" t="str">
        <f ca="1">IFERROR(__xludf.DUMMYFUNCTION("""COMPUTED_VALUE"""),"https://drive.google.com/open?id=1uYJkUroP0BRkyH12UfDjlowWMA3GN6G9")</f>
        <v>https://drive.google.com/open?id=1uYJkUroP0BRkyH12UfDjlowWMA3GN6G9</v>
      </c>
      <c r="J84" s="59"/>
      <c r="K84" s="59"/>
      <c r="L84" s="59"/>
      <c r="M84" s="59"/>
      <c r="N84" s="59"/>
      <c r="O84" s="59"/>
      <c r="P84" s="59"/>
    </row>
    <row r="85" spans="1:16">
      <c r="A85" s="71">
        <f ca="1">IFERROR(__xludf.DUMMYFUNCTION("""COMPUTED_VALUE"""),45296.4893493634)</f>
        <v>45296.489349363401</v>
      </c>
      <c r="B85" s="59" t="str">
        <f ca="1">IFERROR(__xludf.DUMMYFUNCTION("""COMPUTED_VALUE"""),"Dharmik MukeshBhai Vekariya ")</f>
        <v xml:space="preserve">Dharmik MukeshBhai Vekariya </v>
      </c>
      <c r="C85" s="72" t="str">
        <f ca="1">IFERROR(__xludf.DUMMYFUNCTION("""COMPUTED_VALUE"""),"23SDSCE01200")</f>
        <v>23SDSCE01200</v>
      </c>
      <c r="D85" s="73">
        <f ca="1">IFERROR(__xludf.DUMMYFUNCTION("""COMPUTED_VALUE"""),45296)</f>
        <v>45296</v>
      </c>
      <c r="E85" s="74">
        <f ca="1">IFERROR(__xludf.DUMMYFUNCTION("""COMPUTED_VALUE"""),27500)</f>
        <v>27500</v>
      </c>
      <c r="F85" s="72">
        <f ca="1">IFERROR(__xludf.DUMMYFUNCTION("""COMPUTED_VALUE"""),3000)</f>
        <v>3000</v>
      </c>
      <c r="G85" s="75"/>
      <c r="H85" s="59" t="str">
        <f ca="1">IFERROR(__xludf.DUMMYFUNCTION("""COMPUTED_VALUE"""),"UPDATED")</f>
        <v>UPDATED</v>
      </c>
      <c r="I85" s="76" t="str">
        <f ca="1">IFERROR(__xludf.DUMMYFUNCTION("""COMPUTED_VALUE"""),"https://drive.google.com/open?id=177CmtDRWr83Ncxzsfbyn9aPCbTXBu45b")</f>
        <v>https://drive.google.com/open?id=177CmtDRWr83Ncxzsfbyn9aPCbTXBu45b</v>
      </c>
      <c r="J85" s="59"/>
      <c r="K85" s="59"/>
      <c r="L85" s="59"/>
      <c r="M85" s="59"/>
      <c r="N85" s="59"/>
      <c r="O85" s="59"/>
      <c r="P85" s="59"/>
    </row>
    <row r="86" spans="1:16">
      <c r="A86" s="71">
        <f ca="1">IFERROR(__xludf.DUMMYFUNCTION("""COMPUTED_VALUE"""),45295.9827642129)</f>
        <v>45295.982764212902</v>
      </c>
      <c r="B86" s="59" t="str">
        <f ca="1">IFERROR(__xludf.DUMMYFUNCTION("""COMPUTED_VALUE"""),"Mithlesh Kumar Yadav ")</f>
        <v xml:space="preserve">Mithlesh Kumar Yadav </v>
      </c>
      <c r="C86" s="72" t="str">
        <f ca="1">IFERROR(__xludf.DUMMYFUNCTION("""COMPUTED_VALUE"""),"22SDSCV01602")</f>
        <v>22SDSCV01602</v>
      </c>
      <c r="D86" s="73">
        <f ca="1">IFERROR(__xludf.DUMMYFUNCTION("""COMPUTED_VALUE"""),45295)</f>
        <v>45295</v>
      </c>
      <c r="E86" s="74">
        <f ca="1">IFERROR(__xludf.DUMMYFUNCTION("""COMPUTED_VALUE"""),37500)</f>
        <v>37500</v>
      </c>
      <c r="F86" s="72">
        <f ca="1">IFERROR(__xludf.DUMMYFUNCTION("""COMPUTED_VALUE"""),37500)</f>
        <v>37500</v>
      </c>
      <c r="G86" s="75"/>
      <c r="H86" s="59"/>
      <c r="I86" s="76" t="str">
        <f ca="1">IFERROR(__xludf.DUMMYFUNCTION("""COMPUTED_VALUE"""),"https://drive.google.com/open?id=1QO7e3sCfrqcpqHdR0lUFQmJw86gbuJpn")</f>
        <v>https://drive.google.com/open?id=1QO7e3sCfrqcpqHdR0lUFQmJw86gbuJpn</v>
      </c>
      <c r="J86" s="59"/>
      <c r="K86" s="59"/>
      <c r="L86" s="59"/>
      <c r="M86" s="59"/>
      <c r="N86" s="59"/>
      <c r="O86" s="59"/>
      <c r="P86" s="59"/>
    </row>
    <row r="87" spans="1:16">
      <c r="A87" s="71">
        <f ca="1">IFERROR(__xludf.DUMMYFUNCTION("""COMPUTED_VALUE"""),45295.7763419791)</f>
        <v>45295.776341979101</v>
      </c>
      <c r="B87" s="59" t="str">
        <f ca="1">IFERROR(__xludf.DUMMYFUNCTION("""COMPUTED_VALUE"""),"Abdul Hakim ")</f>
        <v xml:space="preserve">Abdul Hakim </v>
      </c>
      <c r="C87" s="72" t="str">
        <f ca="1">IFERROR(__xludf.DUMMYFUNCTION("""COMPUTED_VALUE"""),"22SDSCE01621")</f>
        <v>22SDSCE01621</v>
      </c>
      <c r="D87" s="73">
        <f ca="1">IFERROR(__xludf.DUMMYFUNCTION("""COMPUTED_VALUE"""),45295)</f>
        <v>45295</v>
      </c>
      <c r="E87" s="72"/>
      <c r="F87" s="72"/>
      <c r="G87" s="75"/>
      <c r="H87" s="59"/>
      <c r="I87" s="76" t="str">
        <f ca="1">IFERROR(__xludf.DUMMYFUNCTION("""COMPUTED_VALUE"""),"https://drive.google.com/open?id=1zgLp740Cz_3YILWXutPn6InL6pRJFU2d")</f>
        <v>https://drive.google.com/open?id=1zgLp740Cz_3YILWXutPn6InL6pRJFU2d</v>
      </c>
      <c r="J87" s="59"/>
      <c r="K87" s="59"/>
      <c r="L87" s="59"/>
      <c r="M87" s="59"/>
      <c r="N87" s="59"/>
      <c r="O87" s="59"/>
      <c r="P87" s="59"/>
    </row>
    <row r="88" spans="1:16">
      <c r="A88" s="71">
        <f ca="1">IFERROR(__xludf.DUMMYFUNCTION("""COMPUTED_VALUE"""),45295.7750139583)</f>
        <v>45295.7750139583</v>
      </c>
      <c r="B88" s="59" t="str">
        <f ca="1">IFERROR(__xludf.DUMMYFUNCTION("""COMPUTED_VALUE"""),"Shira Manav chandubhai")</f>
        <v>Shira Manav chandubhai</v>
      </c>
      <c r="C88" s="72" t="str">
        <f ca="1">IFERROR(__xludf.DUMMYFUNCTION("""COMPUTED_VALUE"""),"22SDSCE01104")</f>
        <v>22SDSCE01104</v>
      </c>
      <c r="D88" s="73">
        <f ca="1">IFERROR(__xludf.DUMMYFUNCTION("""COMPUTED_VALUE"""),45295)</f>
        <v>45295</v>
      </c>
      <c r="E88" s="74">
        <f ca="1">IFERROR(__xludf.DUMMYFUNCTION("""COMPUTED_VALUE"""),12500)</f>
        <v>12500</v>
      </c>
      <c r="F88" s="72">
        <f ca="1">IFERROR(__xludf.DUMMYFUNCTION("""COMPUTED_VALUE"""),3000)</f>
        <v>3000</v>
      </c>
      <c r="G88" s="75"/>
      <c r="H88" s="59" t="str">
        <f ca="1">IFERROR(__xludf.DUMMYFUNCTION("""COMPUTED_VALUE"""),"UPDATED")</f>
        <v>UPDATED</v>
      </c>
      <c r="I88" s="76" t="str">
        <f ca="1">IFERROR(__xludf.DUMMYFUNCTION("""COMPUTED_VALUE"""),"https://drive.google.com/open?id=1h9zNZ6Db4sQoDCzurMpuCtuzndJLyuII")</f>
        <v>https://drive.google.com/open?id=1h9zNZ6Db4sQoDCzurMpuCtuzndJLyuII</v>
      </c>
      <c r="J88" s="59"/>
      <c r="K88" s="59"/>
      <c r="L88" s="59"/>
      <c r="M88" s="59"/>
      <c r="N88" s="59"/>
      <c r="O88" s="59"/>
      <c r="P88" s="59"/>
    </row>
    <row r="89" spans="1:16">
      <c r="A89" s="71">
        <f ca="1">IFERROR(__xludf.DUMMYFUNCTION("""COMPUTED_VALUE"""),45295.6876591898)</f>
        <v>45295.687659189804</v>
      </c>
      <c r="B89" s="59" t="str">
        <f ca="1">IFERROR(__xludf.DUMMYFUNCTION("""COMPUTED_VALUE"""),"Makwana vivek madhubhai")</f>
        <v>Makwana vivek madhubhai</v>
      </c>
      <c r="C89" s="72" t="str">
        <f ca="1">IFERROR(__xludf.DUMMYFUNCTION("""COMPUTED_VALUE"""),"22SDSCE01170")</f>
        <v>22SDSCE01170</v>
      </c>
      <c r="D89" s="73">
        <f ca="1">IFERROR(__xludf.DUMMYFUNCTION("""COMPUTED_VALUE"""),45292)</f>
        <v>45292</v>
      </c>
      <c r="E89" s="72"/>
      <c r="F89" s="72">
        <f ca="1">IFERROR(__xludf.DUMMYFUNCTION("""COMPUTED_VALUE"""),3000)</f>
        <v>3000</v>
      </c>
      <c r="G89" s="75"/>
      <c r="H89" s="59" t="str">
        <f ca="1">IFERROR(__xludf.DUMMYFUNCTION("""COMPUTED_VALUE"""),"UPDATED")</f>
        <v>UPDATED</v>
      </c>
      <c r="I89" s="76" t="str">
        <f ca="1">IFERROR(__xludf.DUMMYFUNCTION("""COMPUTED_VALUE"""),"https://drive.google.com/open?id=15HbCy_-8cdI5SSK2Ry6tkCHcwXv4J1ku")</f>
        <v>https://drive.google.com/open?id=15HbCy_-8cdI5SSK2Ry6tkCHcwXv4J1ku</v>
      </c>
      <c r="J89" s="59"/>
      <c r="K89" s="59"/>
      <c r="L89" s="59"/>
      <c r="M89" s="59"/>
      <c r="N89" s="59"/>
      <c r="O89" s="59"/>
      <c r="P89" s="59"/>
    </row>
    <row r="90" spans="1:16">
      <c r="A90" s="71">
        <f ca="1">IFERROR(__xludf.DUMMYFUNCTION("""COMPUTED_VALUE"""),45295.5514586111)</f>
        <v>45295.551458611102</v>
      </c>
      <c r="B90" s="59" t="str">
        <f ca="1">IFERROR(__xludf.DUMMYFUNCTION("""COMPUTED_VALUE"""),"Vishva mehta")</f>
        <v>Vishva mehta</v>
      </c>
      <c r="C90" s="72" t="str">
        <f ca="1">IFERROR(__xludf.DUMMYFUNCTION("""COMPUTED_VALUE"""),"23SDSCE01020")</f>
        <v>23SDSCE01020</v>
      </c>
      <c r="D90" s="73">
        <f ca="1">IFERROR(__xludf.DUMMYFUNCTION("""COMPUTED_VALUE"""),45295)</f>
        <v>45295</v>
      </c>
      <c r="E90" s="74">
        <f ca="1">IFERROR(__xludf.DUMMYFUNCTION("""COMPUTED_VALUE"""),27500)</f>
        <v>27500</v>
      </c>
      <c r="F90" s="72">
        <f ca="1">IFERROR(__xludf.DUMMYFUNCTION("""COMPUTED_VALUE"""),3000)</f>
        <v>3000</v>
      </c>
      <c r="G90" s="75"/>
      <c r="H90" s="59" t="str">
        <f ca="1">IFERROR(__xludf.DUMMYFUNCTION("""COMPUTED_VALUE"""),"UPDATED")</f>
        <v>UPDATED</v>
      </c>
      <c r="I90" s="76" t="str">
        <f ca="1">IFERROR(__xludf.DUMMYFUNCTION("""COMPUTED_VALUE"""),"https://drive.google.com/open?id=1Ibau1cu3GkgRCUS_PqIRKJkcD09p78Hh")</f>
        <v>https://drive.google.com/open?id=1Ibau1cu3GkgRCUS_PqIRKJkcD09p78Hh</v>
      </c>
      <c r="J90" s="59"/>
      <c r="K90" s="59"/>
      <c r="L90" s="59"/>
      <c r="M90" s="59"/>
      <c r="N90" s="59"/>
      <c r="O90" s="59"/>
      <c r="P90" s="59"/>
    </row>
    <row r="91" spans="1:16">
      <c r="A91" s="71">
        <f ca="1">IFERROR(__xludf.DUMMYFUNCTION("""COMPUTED_VALUE"""),45295.5153296875)</f>
        <v>45295.5153296875</v>
      </c>
      <c r="B91" s="59" t="str">
        <f ca="1">IFERROR(__xludf.DUMMYFUNCTION("""COMPUTED_VALUE"""),"Keraliya Veeraj Saileshbhai")</f>
        <v>Keraliya Veeraj Saileshbhai</v>
      </c>
      <c r="C91" s="72" t="str">
        <f ca="1">IFERROR(__xludf.DUMMYFUNCTION("""COMPUTED_VALUE"""),"23SDSEE01007")</f>
        <v>23SDSEE01007</v>
      </c>
      <c r="D91" s="73">
        <f ca="1">IFERROR(__xludf.DUMMYFUNCTION("""COMPUTED_VALUE"""),45295)</f>
        <v>45295</v>
      </c>
      <c r="E91" s="74">
        <f ca="1">IFERROR(__xludf.DUMMYFUNCTION("""COMPUTED_VALUE"""),27500)</f>
        <v>27500</v>
      </c>
      <c r="F91" s="72">
        <f ca="1">IFERROR(__xludf.DUMMYFUNCTION("""COMPUTED_VALUE"""),3000)</f>
        <v>3000</v>
      </c>
      <c r="G91" s="75"/>
      <c r="H91" s="59" t="str">
        <f ca="1">IFERROR(__xludf.DUMMYFUNCTION("""COMPUTED_VALUE"""),"UPDATED")</f>
        <v>UPDATED</v>
      </c>
      <c r="I91" s="76" t="str">
        <f ca="1">IFERROR(__xludf.DUMMYFUNCTION("""COMPUTED_VALUE"""),"https://drive.google.com/open?id=1kxS-CSUKs_OJ5jWUx0xJrh_H5qx5kJNI")</f>
        <v>https://drive.google.com/open?id=1kxS-CSUKs_OJ5jWUx0xJrh_H5qx5kJNI</v>
      </c>
      <c r="J91" s="59"/>
      <c r="K91" s="59"/>
      <c r="L91" s="59"/>
      <c r="M91" s="59"/>
      <c r="N91" s="59"/>
      <c r="O91" s="59"/>
      <c r="P91" s="59"/>
    </row>
    <row r="92" spans="1:16">
      <c r="A92" s="71">
        <f ca="1">IFERROR(__xludf.DUMMYFUNCTION("""COMPUTED_VALUE"""),45295.5079616898)</f>
        <v>45295.5079616898</v>
      </c>
      <c r="B92" s="59" t="str">
        <f ca="1">IFERROR(__xludf.DUMMYFUNCTION("""COMPUTED_VALUE"""),"Borad Khush Atulbhai ")</f>
        <v xml:space="preserve">Borad Khush Atulbhai </v>
      </c>
      <c r="C92" s="72" t="str">
        <f ca="1">IFERROR(__xludf.DUMMYFUNCTION("""COMPUTED_VALUE"""),"22SDSCE01022 ")</f>
        <v xml:space="preserve">22SDSCE01022 </v>
      </c>
      <c r="D92" s="73">
        <f ca="1">IFERROR(__xludf.DUMMYFUNCTION("""COMPUTED_VALUE"""),45295)</f>
        <v>45295</v>
      </c>
      <c r="E92" s="74">
        <f ca="1">IFERROR(__xludf.DUMMYFUNCTION("""COMPUTED_VALUE"""),12500)</f>
        <v>12500</v>
      </c>
      <c r="F92" s="72">
        <f ca="1">IFERROR(__xludf.DUMMYFUNCTION("""COMPUTED_VALUE"""),0)</f>
        <v>0</v>
      </c>
      <c r="G92" s="75"/>
      <c r="H92" s="59" t="str">
        <f ca="1">IFERROR(__xludf.DUMMYFUNCTION("""COMPUTED_VALUE"""),"UPDATED")</f>
        <v>UPDATED</v>
      </c>
      <c r="I92" s="76" t="str">
        <f ca="1">IFERROR(__xludf.DUMMYFUNCTION("""COMPUTED_VALUE"""),"https://drive.google.com/open?id=1AxuKLaI6Vrq5eDz8a-khKlufkKRinYL9")</f>
        <v>https://drive.google.com/open?id=1AxuKLaI6Vrq5eDz8a-khKlufkKRinYL9</v>
      </c>
      <c r="J92" s="59"/>
      <c r="K92" s="59"/>
      <c r="L92" s="59"/>
      <c r="M92" s="59"/>
      <c r="N92" s="59"/>
      <c r="O92" s="59"/>
      <c r="P92" s="59"/>
    </row>
    <row r="93" spans="1:16">
      <c r="A93" s="71">
        <f ca="1">IFERROR(__xludf.DUMMYFUNCTION("""COMPUTED_VALUE"""),45295.4279484143)</f>
        <v>45295.427948414297</v>
      </c>
      <c r="B93" s="59" t="str">
        <f ca="1">IFERROR(__xludf.DUMMYFUNCTION("""COMPUTED_VALUE"""),"Riya sachinbhai popat")</f>
        <v>Riya sachinbhai popat</v>
      </c>
      <c r="C93" s="72" t="str">
        <f ca="1">IFERROR(__xludf.DUMMYFUNCTION("""COMPUTED_VALUE"""),"23SDSCE01111")</f>
        <v>23SDSCE01111</v>
      </c>
      <c r="D93" s="73">
        <f ca="1">IFERROR(__xludf.DUMMYFUNCTION("""COMPUTED_VALUE"""),45295)</f>
        <v>45295</v>
      </c>
      <c r="E93" s="72"/>
      <c r="F93" s="72">
        <f ca="1">IFERROR(__xludf.DUMMYFUNCTION("""COMPUTED_VALUE"""),3000)</f>
        <v>3000</v>
      </c>
      <c r="G93" s="75"/>
      <c r="H93" s="59" t="str">
        <f ca="1">IFERROR(__xludf.DUMMYFUNCTION("""COMPUTED_VALUE"""),"WRONG SNAPSHOT")</f>
        <v>WRONG SNAPSHOT</v>
      </c>
      <c r="I93" s="76" t="str">
        <f ca="1">IFERROR(__xludf.DUMMYFUNCTION("""COMPUTED_VALUE"""),"https://drive.google.com/open?id=1m6z5iwDbasjnRn6PhuMP6pxvuqT8NFBX")</f>
        <v>https://drive.google.com/open?id=1m6z5iwDbasjnRn6PhuMP6pxvuqT8NFBX</v>
      </c>
      <c r="J93" s="59"/>
      <c r="K93" s="59"/>
      <c r="L93" s="59"/>
      <c r="M93" s="59"/>
      <c r="N93" s="59"/>
      <c r="O93" s="59"/>
      <c r="P93" s="59"/>
    </row>
    <row r="94" spans="1:16">
      <c r="A94" s="71">
        <f ca="1">IFERROR(__xludf.DUMMYFUNCTION("""COMPUTED_VALUE"""),45295.3275469675)</f>
        <v>45295.327546967499</v>
      </c>
      <c r="B94" s="59" t="str">
        <f ca="1">IFERROR(__xludf.DUMMYFUNCTION("""COMPUTED_VALUE"""),"Sapariya yash")</f>
        <v>Sapariya yash</v>
      </c>
      <c r="C94" s="72" t="str">
        <f ca="1">IFERROR(__xludf.DUMMYFUNCTION("""COMPUTED_VALUE"""),"23SDSCE01194")</f>
        <v>23SDSCE01194</v>
      </c>
      <c r="D94" s="73">
        <f ca="1">IFERROR(__xludf.DUMMYFUNCTION("""COMPUTED_VALUE"""),45294)</f>
        <v>45294</v>
      </c>
      <c r="E94" s="74">
        <f ca="1">IFERROR(__xludf.DUMMYFUNCTION("""COMPUTED_VALUE"""),21250)</f>
        <v>21250</v>
      </c>
      <c r="F94" s="72">
        <f ca="1">IFERROR(__xludf.DUMMYFUNCTION("""COMPUTED_VALUE"""),3000)</f>
        <v>3000</v>
      </c>
      <c r="G94" s="75"/>
      <c r="H94" s="59" t="str">
        <f ca="1">IFERROR(__xludf.DUMMYFUNCTION("""COMPUTED_VALUE"""),"UPDATED")</f>
        <v>UPDATED</v>
      </c>
      <c r="I94" s="76" t="str">
        <f ca="1">IFERROR(__xludf.DUMMYFUNCTION("""COMPUTED_VALUE"""),"https://drive.google.com/open?id=12bexvZxDUFjyy9j5mYUJIuTMM-jweBDL")</f>
        <v>https://drive.google.com/open?id=12bexvZxDUFjyy9j5mYUJIuTMM-jweBDL</v>
      </c>
      <c r="J94" s="59"/>
      <c r="K94" s="59"/>
      <c r="L94" s="59"/>
      <c r="M94" s="59"/>
      <c r="N94" s="59"/>
      <c r="O94" s="59"/>
      <c r="P94" s="59"/>
    </row>
    <row r="95" spans="1:16">
      <c r="A95" s="71">
        <f ca="1">IFERROR(__xludf.DUMMYFUNCTION("""COMPUTED_VALUE"""),45294.9413451388)</f>
        <v>45294.941345138803</v>
      </c>
      <c r="B95" s="59" t="str">
        <f ca="1">IFERROR(__xludf.DUMMYFUNCTION("""COMPUTED_VALUE"""),"Jadeja Divyrajsinh Krushnasinh")</f>
        <v>Jadeja Divyrajsinh Krushnasinh</v>
      </c>
      <c r="C95" s="72" t="str">
        <f ca="1">IFERROR(__xludf.DUMMYFUNCTION("""COMPUTED_VALUE"""),"23SDSCE01054")</f>
        <v>23SDSCE01054</v>
      </c>
      <c r="D95" s="73">
        <f ca="1">IFERROR(__xludf.DUMMYFUNCTION("""COMPUTED_VALUE"""),45294)</f>
        <v>45294</v>
      </c>
      <c r="E95" s="72"/>
      <c r="F95" s="72">
        <f ca="1">IFERROR(__xludf.DUMMYFUNCTION("""COMPUTED_VALUE"""),3000)</f>
        <v>3000</v>
      </c>
      <c r="G95" s="75"/>
      <c r="H95" s="59" t="str">
        <f ca="1">IFERROR(__xludf.DUMMYFUNCTION("""COMPUTED_VALUE"""),"UPDATED")</f>
        <v>UPDATED</v>
      </c>
      <c r="I95" s="76" t="str">
        <f ca="1">IFERROR(__xludf.DUMMYFUNCTION("""COMPUTED_VALUE"""),"https://drive.google.com/open?id=1RXwRvWF8p38pm7Fk3Bv5lRybaZp9Aphy")</f>
        <v>https://drive.google.com/open?id=1RXwRvWF8p38pm7Fk3Bv5lRybaZp9Aphy</v>
      </c>
      <c r="J95" s="59"/>
      <c r="K95" s="59"/>
      <c r="L95" s="59"/>
      <c r="M95" s="59"/>
      <c r="N95" s="59"/>
      <c r="O95" s="59"/>
      <c r="P95" s="59"/>
    </row>
    <row r="96" spans="1:16">
      <c r="A96" s="71">
        <f ca="1">IFERROR(__xludf.DUMMYFUNCTION("""COMPUTED_VALUE"""),45294.9396735069)</f>
        <v>45294.939673506902</v>
      </c>
      <c r="B96" s="59" t="str">
        <f ca="1">IFERROR(__xludf.DUMMYFUNCTION("""COMPUTED_VALUE"""),"Jadeja Divyrajsinh Krushnasinh")</f>
        <v>Jadeja Divyrajsinh Krushnasinh</v>
      </c>
      <c r="C96" s="72" t="str">
        <f ca="1">IFERROR(__xludf.DUMMYFUNCTION("""COMPUTED_VALUE"""),"23SDSCE01054")</f>
        <v>23SDSCE01054</v>
      </c>
      <c r="D96" s="73">
        <f ca="1">IFERROR(__xludf.DUMMYFUNCTION("""COMPUTED_VALUE"""),45294)</f>
        <v>45294</v>
      </c>
      <c r="E96" s="74">
        <f ca="1">IFERROR(__xludf.DUMMYFUNCTION("""COMPUTED_VALUE"""),21250)</f>
        <v>21250</v>
      </c>
      <c r="F96" s="72"/>
      <c r="G96" s="75"/>
      <c r="H96" s="59" t="str">
        <f ca="1">IFERROR(__xludf.DUMMYFUNCTION("""COMPUTED_VALUE"""),"UPDATED")</f>
        <v>UPDATED</v>
      </c>
      <c r="I96" s="76" t="str">
        <f ca="1">IFERROR(__xludf.DUMMYFUNCTION("""COMPUTED_VALUE"""),"https://drive.google.com/open?id=1T9oK5Y78bf0og-TLlI5DjfMCp_DncSsp")</f>
        <v>https://drive.google.com/open?id=1T9oK5Y78bf0og-TLlI5DjfMCp_DncSsp</v>
      </c>
      <c r="J96" s="59"/>
      <c r="K96" s="59"/>
      <c r="L96" s="59"/>
      <c r="M96" s="59"/>
      <c r="N96" s="59"/>
      <c r="O96" s="59"/>
      <c r="P96" s="59"/>
    </row>
    <row r="97" spans="1:16">
      <c r="A97" s="71">
        <f ca="1">IFERROR(__xludf.DUMMYFUNCTION("""COMPUTED_VALUE"""),45294.879987199)</f>
        <v>45294.879987198998</v>
      </c>
      <c r="B97" s="59" t="str">
        <f ca="1">IFERROR(__xludf.DUMMYFUNCTION("""COMPUTED_VALUE"""),"MAYARIYA SAHIL LAKHDEERBHAI")</f>
        <v>MAYARIYA SAHIL LAKHDEERBHAI</v>
      </c>
      <c r="C97" s="72" t="str">
        <f ca="1">IFERROR(__xludf.DUMMYFUNCTION("""COMPUTED_VALUE"""),"22SDSCE01173")</f>
        <v>22SDSCE01173</v>
      </c>
      <c r="D97" s="73">
        <f ca="1">IFERROR(__xludf.DUMMYFUNCTION("""COMPUTED_VALUE"""),45293)</f>
        <v>45293</v>
      </c>
      <c r="E97" s="72"/>
      <c r="F97" s="72">
        <f ca="1">IFERROR(__xludf.DUMMYFUNCTION("""COMPUTED_VALUE"""),3000)</f>
        <v>3000</v>
      </c>
      <c r="G97" s="75"/>
      <c r="H97" s="59" t="str">
        <f ca="1">IFERROR(__xludf.DUMMYFUNCTION("""COMPUTED_VALUE"""),"UPDATED")</f>
        <v>UPDATED</v>
      </c>
      <c r="I97" s="76" t="str">
        <f ca="1">IFERROR(__xludf.DUMMYFUNCTION("""COMPUTED_VALUE"""),"https://drive.google.com/open?id=1Sj0dcEp5QLDAFBQ57zACgMpXmbam47ML")</f>
        <v>https://drive.google.com/open?id=1Sj0dcEp5QLDAFBQ57zACgMpXmbam47ML</v>
      </c>
      <c r="J97" s="59"/>
      <c r="K97" s="59"/>
      <c r="L97" s="59"/>
      <c r="M97" s="59"/>
      <c r="N97" s="59"/>
      <c r="O97" s="59"/>
      <c r="P97" s="59"/>
    </row>
    <row r="98" spans="1:16">
      <c r="A98" s="71">
        <f ca="1">IFERROR(__xludf.DUMMYFUNCTION("""COMPUTED_VALUE"""),45294.8275665856)</f>
        <v>45294.827566585598</v>
      </c>
      <c r="B98" s="59" t="str">
        <f ca="1">IFERROR(__xludf.DUMMYFUNCTION("""COMPUTED_VALUE"""),"Dadhaniya dhruvi niteshbhai")</f>
        <v>Dadhaniya dhruvi niteshbhai</v>
      </c>
      <c r="C98" s="72" t="str">
        <f ca="1">IFERROR(__xludf.DUMMYFUNCTION("""COMPUTED_VALUE"""),"22SDSCE01033")</f>
        <v>22SDSCE01033</v>
      </c>
      <c r="D98" s="73">
        <f ca="1">IFERROR(__xludf.DUMMYFUNCTION("""COMPUTED_VALUE"""),45294)</f>
        <v>45294</v>
      </c>
      <c r="E98" s="74">
        <f ca="1">IFERROR(__xludf.DUMMYFUNCTION("""COMPUTED_VALUE"""),3000)</f>
        <v>3000</v>
      </c>
      <c r="F98" s="72">
        <f ca="1">IFERROR(__xludf.DUMMYFUNCTION("""COMPUTED_VALUE"""),25000)</f>
        <v>25000</v>
      </c>
      <c r="G98" s="75"/>
      <c r="H98" s="59" t="str">
        <f ca="1">IFERROR(__xludf.DUMMYFUNCTION("""COMPUTED_VALUE"""),"UPDATED")</f>
        <v>UPDATED</v>
      </c>
      <c r="I98" s="76" t="str">
        <f ca="1">IFERROR(__xludf.DUMMYFUNCTION("""COMPUTED_VALUE"""),"https://drive.google.com/open?id=1sErDAO3aHruP6cWR1ogaJf9EzP1rPIdQ")</f>
        <v>https://drive.google.com/open?id=1sErDAO3aHruP6cWR1ogaJf9EzP1rPIdQ</v>
      </c>
      <c r="J98" s="59"/>
      <c r="K98" s="59"/>
      <c r="L98" s="59"/>
      <c r="M98" s="59"/>
      <c r="N98" s="59"/>
      <c r="O98" s="59"/>
      <c r="P98" s="59"/>
    </row>
    <row r="99" spans="1:16">
      <c r="A99" s="71">
        <f ca="1">IFERROR(__xludf.DUMMYFUNCTION("""COMPUTED_VALUE"""),45294.78997353)</f>
        <v>45294.789973530002</v>
      </c>
      <c r="B99" s="59" t="str">
        <f ca="1">IFERROR(__xludf.DUMMYFUNCTION("""COMPUTED_VALUE"""),"Anas Firozbhai Bilakhia ")</f>
        <v xml:space="preserve">Anas Firozbhai Bilakhia </v>
      </c>
      <c r="C99" s="72" t="str">
        <f ca="1">IFERROR(__xludf.DUMMYFUNCTION("""COMPUTED_VALUE"""),"23SDSCE01206")</f>
        <v>23SDSCE01206</v>
      </c>
      <c r="D99" s="73">
        <f ca="1">IFERROR(__xludf.DUMMYFUNCTION("""COMPUTED_VALUE"""),45293)</f>
        <v>45293</v>
      </c>
      <c r="E99" s="74">
        <f ca="1">IFERROR(__xludf.DUMMYFUNCTION("""COMPUTED_VALUE"""),21250)</f>
        <v>21250</v>
      </c>
      <c r="F99" s="72">
        <f ca="1">IFERROR(__xludf.DUMMYFUNCTION("""COMPUTED_VALUE"""),3000)</f>
        <v>3000</v>
      </c>
      <c r="G99" s="75"/>
      <c r="H99" s="59" t="str">
        <f ca="1">IFERROR(__xludf.DUMMYFUNCTION("""COMPUTED_VALUE"""),"UPDATED")</f>
        <v>UPDATED</v>
      </c>
      <c r="I99" s="76" t="str">
        <f ca="1">IFERROR(__xludf.DUMMYFUNCTION("""COMPUTED_VALUE"""),"https://drive.google.com/open?id=1QQ7tVoGXDOV1ZVZSvCrZ4OZquqw-Hv-b")</f>
        <v>https://drive.google.com/open?id=1QQ7tVoGXDOV1ZVZSvCrZ4OZquqw-Hv-b</v>
      </c>
      <c r="J99" s="59"/>
      <c r="K99" s="59"/>
      <c r="L99" s="59"/>
      <c r="M99" s="59"/>
      <c r="N99" s="59"/>
      <c r="O99" s="59"/>
      <c r="P99" s="59"/>
    </row>
    <row r="100" spans="1:16">
      <c r="A100" s="71">
        <f ca="1">IFERROR(__xludf.DUMMYFUNCTION("""COMPUTED_VALUE"""),45294.7614967013)</f>
        <v>45294.7614967013</v>
      </c>
      <c r="B100" s="59" t="str">
        <f ca="1">IFERROR(__xludf.DUMMYFUNCTION("""COMPUTED_VALUE"""),"Ronak senghani")</f>
        <v>Ronak senghani</v>
      </c>
      <c r="C100" s="72" t="str">
        <f ca="1">IFERROR(__xludf.DUMMYFUNCTION("""COMPUTED_VALUE"""),"22SDSCV01011")</f>
        <v>22SDSCV01011</v>
      </c>
      <c r="D100" s="73">
        <f ca="1">IFERROR(__xludf.DUMMYFUNCTION("""COMPUTED_VALUE"""),45294)</f>
        <v>45294</v>
      </c>
      <c r="E100" s="74">
        <f ca="1">IFERROR(__xludf.DUMMYFUNCTION("""COMPUTED_VALUE"""),25000)</f>
        <v>25000</v>
      </c>
      <c r="F100" s="72">
        <f ca="1">IFERROR(__xludf.DUMMYFUNCTION("""COMPUTED_VALUE"""),3000)</f>
        <v>3000</v>
      </c>
      <c r="G100" s="75"/>
      <c r="H100" s="59" t="str">
        <f ca="1">IFERROR(__xludf.DUMMYFUNCTION("""COMPUTED_VALUE"""),"UPDATED")</f>
        <v>UPDATED</v>
      </c>
      <c r="I100" s="76" t="str">
        <f ca="1">IFERROR(__xludf.DUMMYFUNCTION("""COMPUTED_VALUE"""),"https://drive.google.com/open?id=1mgylAbdFaoaFjsH7nXmZRJKauQQuT8r0")</f>
        <v>https://drive.google.com/open?id=1mgylAbdFaoaFjsH7nXmZRJKauQQuT8r0</v>
      </c>
      <c r="J100" s="59"/>
      <c r="K100" s="59"/>
      <c r="L100" s="59"/>
      <c r="M100" s="59"/>
      <c r="N100" s="59"/>
      <c r="O100" s="59"/>
      <c r="P100" s="59"/>
    </row>
    <row r="101" spans="1:16">
      <c r="A101" s="71">
        <f ca="1">IFERROR(__xludf.DUMMYFUNCTION("""COMPUTED_VALUE"""),45294.7185594097)</f>
        <v>45294.718559409703</v>
      </c>
      <c r="B101" s="59" t="str">
        <f ca="1">IFERROR(__xludf.DUMMYFUNCTION("""COMPUTED_VALUE"""),"Jigar Sarvaiya harshadbhai")</f>
        <v>Jigar Sarvaiya harshadbhai</v>
      </c>
      <c r="C101" s="72" t="str">
        <f ca="1">IFERROR(__xludf.DUMMYFUNCTION("""COMPUTED_VALUE"""),"23SDSCE01227")</f>
        <v>23SDSCE01227</v>
      </c>
      <c r="D101" s="73">
        <f ca="1">IFERROR(__xludf.DUMMYFUNCTION("""COMPUTED_VALUE"""),45294)</f>
        <v>45294</v>
      </c>
      <c r="E101" s="74">
        <f ca="1">IFERROR(__xludf.DUMMYFUNCTION("""COMPUTED_VALUE"""),27500)</f>
        <v>27500</v>
      </c>
      <c r="F101" s="72">
        <f ca="1">IFERROR(__xludf.DUMMYFUNCTION("""COMPUTED_VALUE"""),3000)</f>
        <v>3000</v>
      </c>
      <c r="G101" s="75"/>
      <c r="H101" s="59" t="str">
        <f ca="1">IFERROR(__xludf.DUMMYFUNCTION("""COMPUTED_VALUE"""),"UPDATED")</f>
        <v>UPDATED</v>
      </c>
      <c r="I101" s="76" t="str">
        <f ca="1">IFERROR(__xludf.DUMMYFUNCTION("""COMPUTED_VALUE"""),"https://drive.google.com/open?id=1owEuttzjnqBj7k8lWo6XGWSAAmfiZt_v")</f>
        <v>https://drive.google.com/open?id=1owEuttzjnqBj7k8lWo6XGWSAAmfiZt_v</v>
      </c>
      <c r="J101" s="59"/>
      <c r="K101" s="59"/>
      <c r="L101" s="59"/>
      <c r="M101" s="59"/>
      <c r="N101" s="59"/>
      <c r="O101" s="59"/>
      <c r="P101" s="59"/>
    </row>
    <row r="102" spans="1:16">
      <c r="A102" s="71">
        <f ca="1">IFERROR(__xludf.DUMMYFUNCTION("""COMPUTED_VALUE"""),45294.6988423726)</f>
        <v>45294.6988423726</v>
      </c>
      <c r="B102" s="59" t="str">
        <f ca="1">IFERROR(__xludf.DUMMYFUNCTION("""COMPUTED_VALUE"""),"NILESH DIXIT")</f>
        <v>NILESH DIXIT</v>
      </c>
      <c r="C102" s="72" t="str">
        <f ca="1">IFERROR(__xludf.DUMMYFUNCTION("""COMPUTED_VALUE"""),"22SDSCE01223")</f>
        <v>22SDSCE01223</v>
      </c>
      <c r="D102" s="73">
        <f ca="1">IFERROR(__xludf.DUMMYFUNCTION("""COMPUTED_VALUE"""),45282)</f>
        <v>45282</v>
      </c>
      <c r="E102" s="74">
        <f ca="1">IFERROR(__xludf.DUMMYFUNCTION("""COMPUTED_VALUE"""),85000)</f>
        <v>85000</v>
      </c>
      <c r="F102" s="72"/>
      <c r="G102" s="75"/>
      <c r="H102" s="59" t="str">
        <f ca="1">IFERROR(__xludf.DUMMYFUNCTION("""COMPUTED_VALUE"""),"UPDATED")</f>
        <v>UPDATED</v>
      </c>
      <c r="I102" s="76" t="str">
        <f ca="1">IFERROR(__xludf.DUMMYFUNCTION("""COMPUTED_VALUE"""),"https://drive.google.com/open?id=1vzCQfWwpx6-wHCZtyaUr5jtII2XqJt9R")</f>
        <v>https://drive.google.com/open?id=1vzCQfWwpx6-wHCZtyaUr5jtII2XqJt9R</v>
      </c>
      <c r="J102" s="59"/>
      <c r="K102" s="59"/>
      <c r="L102" s="59"/>
      <c r="M102" s="59"/>
      <c r="N102" s="59"/>
      <c r="O102" s="59"/>
      <c r="P102" s="59"/>
    </row>
    <row r="103" spans="1:16">
      <c r="A103" s="71">
        <f ca="1">IFERROR(__xludf.DUMMYFUNCTION("""COMPUTED_VALUE"""),45294.6876381944)</f>
        <v>45294.687638194402</v>
      </c>
      <c r="B103" s="59" t="str">
        <f ca="1">IFERROR(__xludf.DUMMYFUNCTION("""COMPUTED_VALUE"""),"Shahmadar Noman h.")</f>
        <v>Shahmadar Noman h.</v>
      </c>
      <c r="C103" s="72" t="str">
        <f ca="1">IFERROR(__xludf.DUMMYFUNCTION("""COMPUTED_VALUE"""),"23SDSCE01119")</f>
        <v>23SDSCE01119</v>
      </c>
      <c r="D103" s="73">
        <f ca="1">IFERROR(__xludf.DUMMYFUNCTION("""COMPUTED_VALUE"""),45294)</f>
        <v>45294</v>
      </c>
      <c r="E103" s="74">
        <f ca="1">IFERROR(__xludf.DUMMYFUNCTION("""COMPUTED_VALUE"""),27500)</f>
        <v>27500</v>
      </c>
      <c r="F103" s="72">
        <f ca="1">IFERROR(__xludf.DUMMYFUNCTION("""COMPUTED_VALUE"""),3200)</f>
        <v>3200</v>
      </c>
      <c r="G103" s="75"/>
      <c r="H103" s="59" t="str">
        <f ca="1">IFERROR(__xludf.DUMMYFUNCTION("""COMPUTED_VALUE"""),"UPDATED")</f>
        <v>UPDATED</v>
      </c>
      <c r="I103" s="76" t="str">
        <f ca="1">IFERROR(__xludf.DUMMYFUNCTION("""COMPUTED_VALUE"""),"https://drive.google.com/open?id=1Vahkv98GLQiLiMIDEsN7xLmHBl9HFgPi")</f>
        <v>https://drive.google.com/open?id=1Vahkv98GLQiLiMIDEsN7xLmHBl9HFgPi</v>
      </c>
      <c r="J103" s="59"/>
      <c r="K103" s="59"/>
      <c r="L103" s="59"/>
      <c r="M103" s="59"/>
      <c r="N103" s="59"/>
      <c r="O103" s="59"/>
      <c r="P103" s="59"/>
    </row>
    <row r="104" spans="1:16">
      <c r="A104" s="71">
        <f ca="1">IFERROR(__xludf.DUMMYFUNCTION("""COMPUTED_VALUE"""),45294.6854647453)</f>
        <v>45294.6854647453</v>
      </c>
      <c r="B104" s="59" t="str">
        <f ca="1">IFERROR(__xludf.DUMMYFUNCTION("""COMPUTED_VALUE"""),"bagda shreyas nirenbhai")</f>
        <v>bagda shreyas nirenbhai</v>
      </c>
      <c r="C104" s="72" t="str">
        <f ca="1">IFERROR(__xludf.DUMMYFUNCTION("""COMPUTED_VALUE"""),"22SDSCE01130")</f>
        <v>22SDSCE01130</v>
      </c>
      <c r="D104" s="73">
        <f ca="1">IFERROR(__xludf.DUMMYFUNCTION("""COMPUTED_VALUE"""),45290)</f>
        <v>45290</v>
      </c>
      <c r="E104" s="74">
        <f ca="1">IFERROR(__xludf.DUMMYFUNCTION("""COMPUTED_VALUE"""),18750)</f>
        <v>18750</v>
      </c>
      <c r="F104" s="72">
        <f ca="1">IFERROR(__xludf.DUMMYFUNCTION("""COMPUTED_VALUE"""),3000)</f>
        <v>3000</v>
      </c>
      <c r="G104" s="75"/>
      <c r="H104" s="59" t="str">
        <f ca="1">IFERROR(__xludf.DUMMYFUNCTION("""COMPUTED_VALUE"""),"UPDATED")</f>
        <v>UPDATED</v>
      </c>
      <c r="I104" s="76" t="str">
        <f ca="1">IFERROR(__xludf.DUMMYFUNCTION("""COMPUTED_VALUE"""),"https://drive.google.com/open?id=1xhUUhy4YmqrOxAQ1xpVpIoNZfhu9Wtu-")</f>
        <v>https://drive.google.com/open?id=1xhUUhy4YmqrOxAQ1xpVpIoNZfhu9Wtu-</v>
      </c>
      <c r="J104" s="59"/>
      <c r="K104" s="59"/>
      <c r="L104" s="59"/>
      <c r="M104" s="59"/>
      <c r="N104" s="59"/>
      <c r="O104" s="59"/>
      <c r="P104" s="59"/>
    </row>
    <row r="105" spans="1:16">
      <c r="A105" s="71">
        <f ca="1">IFERROR(__xludf.DUMMYFUNCTION("""COMPUTED_VALUE"""),45294.6833070254)</f>
        <v>45294.6833070254</v>
      </c>
      <c r="B105" s="59" t="str">
        <f ca="1">IFERROR(__xludf.DUMMYFUNCTION("""COMPUTED_VALUE"""),"Sakariya Siddharth ashvinbhai")</f>
        <v>Sakariya Siddharth ashvinbhai</v>
      </c>
      <c r="C105" s="72" t="str">
        <f ca="1">IFERROR(__xludf.DUMMYFUNCTION("""COMPUTED_VALUE"""),"23SDSCE01241")</f>
        <v>23SDSCE01241</v>
      </c>
      <c r="D105" s="73">
        <f ca="1">IFERROR(__xludf.DUMMYFUNCTION("""COMPUTED_VALUE"""),45294)</f>
        <v>45294</v>
      </c>
      <c r="E105" s="74">
        <f ca="1">IFERROR(__xludf.DUMMYFUNCTION("""COMPUTED_VALUE"""),27700)</f>
        <v>27700</v>
      </c>
      <c r="F105" s="72">
        <f ca="1">IFERROR(__xludf.DUMMYFUNCTION("""COMPUTED_VALUE"""),3000)</f>
        <v>3000</v>
      </c>
      <c r="G105" s="75"/>
      <c r="H105" s="59" t="str">
        <f ca="1">IFERROR(__xludf.DUMMYFUNCTION("""COMPUTED_VALUE"""),"UPDATED")</f>
        <v>UPDATED</v>
      </c>
      <c r="I105" s="76" t="str">
        <f ca="1">IFERROR(__xludf.DUMMYFUNCTION("""COMPUTED_VALUE"""),"https://drive.google.com/open?id=16iJ4fsvAEvGkmuklSxwcUW6-kvnu3Otw")</f>
        <v>https://drive.google.com/open?id=16iJ4fsvAEvGkmuklSxwcUW6-kvnu3Otw</v>
      </c>
      <c r="J105" s="59"/>
      <c r="K105" s="59"/>
      <c r="L105" s="59"/>
      <c r="M105" s="59"/>
      <c r="N105" s="59"/>
      <c r="O105" s="59"/>
      <c r="P105" s="59"/>
    </row>
    <row r="106" spans="1:16">
      <c r="A106" s="71">
        <f ca="1">IFERROR(__xludf.DUMMYFUNCTION("""COMPUTED_VALUE"""),45294.623189375)</f>
        <v>45294.623189375001</v>
      </c>
      <c r="B106" s="59" t="str">
        <f ca="1">IFERROR(__xludf.DUMMYFUNCTION("""COMPUTED_VALUE"""),"Nanera Punitkumar")</f>
        <v>Nanera Punitkumar</v>
      </c>
      <c r="C106" s="72" t="str">
        <f ca="1">IFERROR(__xludf.DUMMYFUNCTION("""COMPUTED_VALUE"""),"23SDSCE01143")</f>
        <v>23SDSCE01143</v>
      </c>
      <c r="D106" s="73">
        <f ca="1">IFERROR(__xludf.DUMMYFUNCTION("""COMPUTED_VALUE"""),45294)</f>
        <v>45294</v>
      </c>
      <c r="E106" s="74">
        <f ca="1">IFERROR(__xludf.DUMMYFUNCTION("""COMPUTED_VALUE"""),27500)</f>
        <v>27500</v>
      </c>
      <c r="F106" s="72">
        <f ca="1">IFERROR(__xludf.DUMMYFUNCTION("""COMPUTED_VALUE"""),3000)</f>
        <v>3000</v>
      </c>
      <c r="G106" s="75"/>
      <c r="H106" s="59" t="str">
        <f ca="1">IFERROR(__xludf.DUMMYFUNCTION("""COMPUTED_VALUE"""),"UPDATED")</f>
        <v>UPDATED</v>
      </c>
      <c r="I106" s="76" t="str">
        <f ca="1">IFERROR(__xludf.DUMMYFUNCTION("""COMPUTED_VALUE"""),"https://drive.google.com/open?id=1sekmtYAsnmKVaQXDiko_6hIN6W5nCqf_")</f>
        <v>https://drive.google.com/open?id=1sekmtYAsnmKVaQXDiko_6hIN6W5nCqf_</v>
      </c>
      <c r="J106" s="59"/>
      <c r="K106" s="59"/>
      <c r="L106" s="59"/>
      <c r="M106" s="59"/>
      <c r="N106" s="59"/>
      <c r="O106" s="59"/>
      <c r="P106" s="59"/>
    </row>
    <row r="107" spans="1:16">
      <c r="A107" s="71">
        <f ca="1">IFERROR(__xludf.DUMMYFUNCTION("""COMPUTED_VALUE"""),45294.5968010416)</f>
        <v>45294.596801041604</v>
      </c>
      <c r="B107" s="59" t="str">
        <f ca="1">IFERROR(__xludf.DUMMYFUNCTION("""COMPUTED_VALUE"""),"SAGAR")</f>
        <v>SAGAR</v>
      </c>
      <c r="C107" s="72" t="str">
        <f ca="1">IFERROR(__xludf.DUMMYFUNCTION("""COMPUTED_VALUE"""),"23SDSCE01142")</f>
        <v>23SDSCE01142</v>
      </c>
      <c r="D107" s="73">
        <f ca="1">IFERROR(__xludf.DUMMYFUNCTION("""COMPUTED_VALUE"""),45293)</f>
        <v>45293</v>
      </c>
      <c r="E107" s="74">
        <f ca="1">IFERROR(__xludf.DUMMYFUNCTION("""COMPUTED_VALUE"""),27500)</f>
        <v>27500</v>
      </c>
      <c r="F107" s="72">
        <f ca="1">IFERROR(__xludf.DUMMYFUNCTION("""COMPUTED_VALUE"""),3000)</f>
        <v>3000</v>
      </c>
      <c r="G107" s="75"/>
      <c r="H107" s="59" t="str">
        <f ca="1">IFERROR(__xludf.DUMMYFUNCTION("""COMPUTED_VALUE"""),"UPDATED")</f>
        <v>UPDATED</v>
      </c>
      <c r="I107" s="76" t="str">
        <f ca="1">IFERROR(__xludf.DUMMYFUNCTION("""COMPUTED_VALUE"""),"https://drive.google.com/open?id=1C0ZcyccCLWBxM19i2_XYfRraLAC279Gd")</f>
        <v>https://drive.google.com/open?id=1C0ZcyccCLWBxM19i2_XYfRraLAC279Gd</v>
      </c>
      <c r="J107" s="59"/>
      <c r="K107" s="59"/>
      <c r="L107" s="59"/>
      <c r="M107" s="59"/>
      <c r="N107" s="59"/>
      <c r="O107" s="59"/>
      <c r="P107" s="59"/>
    </row>
    <row r="108" spans="1:16">
      <c r="A108" s="71">
        <f ca="1">IFERROR(__xludf.DUMMYFUNCTION("""COMPUTED_VALUE"""),45294.5061753587)</f>
        <v>45294.5061753587</v>
      </c>
      <c r="B108" s="59" t="str">
        <f ca="1">IFERROR(__xludf.DUMMYFUNCTION("""COMPUTED_VALUE"""),"Kholiya jay rajeshbhai")</f>
        <v>Kholiya jay rajeshbhai</v>
      </c>
      <c r="C108" s="72" t="str">
        <f ca="1">IFERROR(__xludf.DUMMYFUNCTION("""COMPUTED_VALUE"""),"23SDSCE01099")</f>
        <v>23SDSCE01099</v>
      </c>
      <c r="D108" s="73">
        <f ca="1">IFERROR(__xludf.DUMMYFUNCTION("""COMPUTED_VALUE"""),45294)</f>
        <v>45294</v>
      </c>
      <c r="E108" s="72"/>
      <c r="F108" s="72">
        <f ca="1">IFERROR(__xludf.DUMMYFUNCTION("""COMPUTED_VALUE"""),3000)</f>
        <v>3000</v>
      </c>
      <c r="G108" s="75"/>
      <c r="H108" s="59" t="str">
        <f ca="1">IFERROR(__xludf.DUMMYFUNCTION("""COMPUTED_VALUE"""),"UPDATED")</f>
        <v>UPDATED</v>
      </c>
      <c r="I108" s="76" t="str">
        <f ca="1">IFERROR(__xludf.DUMMYFUNCTION("""COMPUTED_VALUE"""),"https://drive.google.com/open?id=1CCwF3PWCpRRz0mbWjN_gNNp5DRJvt4cf")</f>
        <v>https://drive.google.com/open?id=1CCwF3PWCpRRz0mbWjN_gNNp5DRJvt4cf</v>
      </c>
      <c r="J108" s="59"/>
      <c r="K108" s="59"/>
      <c r="L108" s="59"/>
      <c r="M108" s="59"/>
      <c r="N108" s="59"/>
      <c r="O108" s="59"/>
      <c r="P108" s="59"/>
    </row>
    <row r="109" spans="1:16">
      <c r="A109" s="71">
        <f ca="1">IFERROR(__xludf.DUMMYFUNCTION("""COMPUTED_VALUE"""),45294.5041533449)</f>
        <v>45294.504153344897</v>
      </c>
      <c r="B109" s="59" t="str">
        <f ca="1">IFERROR(__xludf.DUMMYFUNCTION("""COMPUTED_VALUE"""),"Alifiya Sadikot ")</f>
        <v xml:space="preserve">Alifiya Sadikot </v>
      </c>
      <c r="C109" s="72" t="str">
        <f ca="1">IFERROR(__xludf.DUMMYFUNCTION("""COMPUTED_VALUE"""),"22SDSCE01186")</f>
        <v>22SDSCE01186</v>
      </c>
      <c r="D109" s="73">
        <f ca="1">IFERROR(__xludf.DUMMYFUNCTION("""COMPUTED_VALUE"""),45294)</f>
        <v>45294</v>
      </c>
      <c r="E109" s="74">
        <f ca="1">IFERROR(__xludf.DUMMYFUNCTION("""COMPUTED_VALUE"""),25000)</f>
        <v>25000</v>
      </c>
      <c r="F109" s="72">
        <f ca="1">IFERROR(__xludf.DUMMYFUNCTION("""COMPUTED_VALUE"""),3000)</f>
        <v>3000</v>
      </c>
      <c r="G109" s="75"/>
      <c r="H109" s="59" t="str">
        <f ca="1">IFERROR(__xludf.DUMMYFUNCTION("""COMPUTED_VALUE"""),"UPDATED")</f>
        <v>UPDATED</v>
      </c>
      <c r="I109" s="76" t="str">
        <f ca="1">IFERROR(__xludf.DUMMYFUNCTION("""COMPUTED_VALUE"""),"https://drive.google.com/open?id=1LzMTN9w07HuExWEb4jApE4vNFVEj_CK7")</f>
        <v>https://drive.google.com/open?id=1LzMTN9w07HuExWEb4jApE4vNFVEj_CK7</v>
      </c>
      <c r="J109" s="59"/>
      <c r="K109" s="59"/>
      <c r="L109" s="59"/>
      <c r="M109" s="59"/>
      <c r="N109" s="59"/>
      <c r="O109" s="59"/>
      <c r="P109" s="59"/>
    </row>
    <row r="110" spans="1:16">
      <c r="A110" s="71">
        <f ca="1">IFERROR(__xludf.DUMMYFUNCTION("""COMPUTED_VALUE"""),45294.5033044328)</f>
        <v>45294.503304432801</v>
      </c>
      <c r="B110" s="59" t="str">
        <f ca="1">IFERROR(__xludf.DUMMYFUNCTION("""COMPUTED_VALUE"""),"Ranavaya Disha")</f>
        <v>Ranavaya Disha</v>
      </c>
      <c r="C110" s="72" t="str">
        <f ca="1">IFERROR(__xludf.DUMMYFUNCTION("""COMPUTED_VALUE"""),"22SDSCE01184")</f>
        <v>22SDSCE01184</v>
      </c>
      <c r="D110" s="73">
        <f ca="1">IFERROR(__xludf.DUMMYFUNCTION("""COMPUTED_VALUE"""),45293)</f>
        <v>45293</v>
      </c>
      <c r="E110" s="74">
        <f ca="1">IFERROR(__xludf.DUMMYFUNCTION("""COMPUTED_VALUE"""),25000)</f>
        <v>25000</v>
      </c>
      <c r="F110" s="72">
        <f ca="1">IFERROR(__xludf.DUMMYFUNCTION("""COMPUTED_VALUE"""),3000)</f>
        <v>3000</v>
      </c>
      <c r="G110" s="75"/>
      <c r="H110" s="59" t="str">
        <f ca="1">IFERROR(__xludf.DUMMYFUNCTION("""COMPUTED_VALUE"""),"UPDATED")</f>
        <v>UPDATED</v>
      </c>
      <c r="I110" s="76" t="str">
        <f ca="1">IFERROR(__xludf.DUMMYFUNCTION("""COMPUTED_VALUE"""),"https://drive.google.com/open?id=1SBudd6_xcYRTBj_yoVGOrOKTl3ta2SaF")</f>
        <v>https://drive.google.com/open?id=1SBudd6_xcYRTBj_yoVGOrOKTl3ta2SaF</v>
      </c>
      <c r="J110" s="59"/>
      <c r="K110" s="59"/>
      <c r="L110" s="59"/>
      <c r="M110" s="59"/>
      <c r="N110" s="59"/>
      <c r="O110" s="59"/>
      <c r="P110" s="59"/>
    </row>
    <row r="111" spans="1:16">
      <c r="A111" s="71">
        <f ca="1">IFERROR(__xludf.DUMMYFUNCTION("""COMPUTED_VALUE"""),45294.49054853)</f>
        <v>45294.490548529997</v>
      </c>
      <c r="B111" s="59" t="str">
        <f ca="1">IFERROR(__xludf.DUMMYFUNCTION("""COMPUTED_VALUE"""),"Goswami Parth ")</f>
        <v xml:space="preserve">Goswami Parth </v>
      </c>
      <c r="C111" s="72" t="str">
        <f ca="1">IFERROR(__xludf.DUMMYFUNCTION("""COMPUTED_VALUE"""),"23SDSCE01093")</f>
        <v>23SDSCE01093</v>
      </c>
      <c r="D111" s="73">
        <f ca="1">IFERROR(__xludf.DUMMYFUNCTION("""COMPUTED_VALUE"""),45293)</f>
        <v>45293</v>
      </c>
      <c r="E111" s="74">
        <f ca="1">IFERROR(__xludf.DUMMYFUNCTION("""COMPUTED_VALUE"""),27500)</f>
        <v>27500</v>
      </c>
      <c r="F111" s="72">
        <f ca="1">IFERROR(__xludf.DUMMYFUNCTION("""COMPUTED_VALUE"""),3000)</f>
        <v>3000</v>
      </c>
      <c r="G111" s="75"/>
      <c r="H111" s="59" t="str">
        <f ca="1">IFERROR(__xludf.DUMMYFUNCTION("""COMPUTED_VALUE"""),"UPDATED")</f>
        <v>UPDATED</v>
      </c>
      <c r="I111" s="76" t="str">
        <f ca="1">IFERROR(__xludf.DUMMYFUNCTION("""COMPUTED_VALUE"""),"https://drive.google.com/open?id=1Hag9kP68-1ulagUjuSM5TeMCpsl0oXZ-")</f>
        <v>https://drive.google.com/open?id=1Hag9kP68-1ulagUjuSM5TeMCpsl0oXZ-</v>
      </c>
      <c r="J111" s="59"/>
      <c r="K111" s="59"/>
      <c r="L111" s="59"/>
      <c r="M111" s="59"/>
      <c r="N111" s="59"/>
      <c r="O111" s="59"/>
      <c r="P111" s="59"/>
    </row>
    <row r="112" spans="1:16">
      <c r="A112" s="71">
        <f ca="1">IFERROR(__xludf.DUMMYFUNCTION("""COMPUTED_VALUE"""),45294.4810384374)</f>
        <v>45294.4810384374</v>
      </c>
      <c r="B112" s="59" t="str">
        <f ca="1">IFERROR(__xludf.DUMMYFUNCTION("""COMPUTED_VALUE"""),"Pranav Bhesaniya ")</f>
        <v xml:space="preserve">Pranav Bhesaniya </v>
      </c>
      <c r="C112" s="72" t="str">
        <f ca="1">IFERROR(__xludf.DUMMYFUNCTION("""COMPUTED_VALUE"""),"23SDSCV01001")</f>
        <v>23SDSCV01001</v>
      </c>
      <c r="D112" s="73">
        <f ca="1">IFERROR(__xludf.DUMMYFUNCTION("""COMPUTED_VALUE"""),45294)</f>
        <v>45294</v>
      </c>
      <c r="E112" s="74">
        <f ca="1">IFERROR(__xludf.DUMMYFUNCTION("""COMPUTED_VALUE"""),12000)</f>
        <v>12000</v>
      </c>
      <c r="F112" s="72">
        <f ca="1">IFERROR(__xludf.DUMMYFUNCTION("""COMPUTED_VALUE"""),3000)</f>
        <v>3000</v>
      </c>
      <c r="G112" s="75"/>
      <c r="H112" s="59" t="str">
        <f ca="1">IFERROR(__xludf.DUMMYFUNCTION("""COMPUTED_VALUE"""),"UPDATED")</f>
        <v>UPDATED</v>
      </c>
      <c r="I112" s="76" t="str">
        <f ca="1">IFERROR(__xludf.DUMMYFUNCTION("""COMPUTED_VALUE"""),"https://drive.google.com/open?id=1H5fiM4cstT7NMyHqCFh68ESKKvhH-dy5")</f>
        <v>https://drive.google.com/open?id=1H5fiM4cstT7NMyHqCFh68ESKKvhH-dy5</v>
      </c>
      <c r="J112" s="59"/>
      <c r="K112" s="59"/>
      <c r="L112" s="59"/>
      <c r="M112" s="59"/>
      <c r="N112" s="59"/>
      <c r="O112" s="59"/>
      <c r="P112" s="59"/>
    </row>
    <row r="113" spans="1:16">
      <c r="A113" s="71">
        <f ca="1">IFERROR(__xludf.DUMMYFUNCTION("""COMPUTED_VALUE"""),45294.460362824)</f>
        <v>45294.460362824</v>
      </c>
      <c r="B113" s="59" t="str">
        <f ca="1">IFERROR(__xludf.DUMMYFUNCTION("""COMPUTED_VALUE"""),"Harsh moladiya")</f>
        <v>Harsh moladiya</v>
      </c>
      <c r="C113" s="72" t="str">
        <f ca="1">IFERROR(__xludf.DUMMYFUNCTION("""COMPUTED_VALUE"""),"23SDSCE01186")</f>
        <v>23SDSCE01186</v>
      </c>
      <c r="D113" s="73">
        <f ca="1">IFERROR(__xludf.DUMMYFUNCTION("""COMPUTED_VALUE"""),45323)</f>
        <v>45323</v>
      </c>
      <c r="E113" s="74">
        <f ca="1">IFERROR(__xludf.DUMMYFUNCTION("""COMPUTED_VALUE"""),27500)</f>
        <v>27500</v>
      </c>
      <c r="F113" s="72">
        <f ca="1">IFERROR(__xludf.DUMMYFUNCTION("""COMPUTED_VALUE"""),3000)</f>
        <v>3000</v>
      </c>
      <c r="G113" s="75"/>
      <c r="H113" s="59" t="str">
        <f ca="1">IFERROR(__xludf.DUMMYFUNCTION("""COMPUTED_VALUE"""),"UPDATED")</f>
        <v>UPDATED</v>
      </c>
      <c r="I113" s="76" t="str">
        <f ca="1">IFERROR(__xludf.DUMMYFUNCTION("""COMPUTED_VALUE"""),"https://drive.google.com/open?id=157D9n5r2bFqtq4C6H3Mz8N1io5bFPErn")</f>
        <v>https://drive.google.com/open?id=157D9n5r2bFqtq4C6H3Mz8N1io5bFPErn</v>
      </c>
      <c r="J113" s="59"/>
      <c r="K113" s="59"/>
      <c r="L113" s="59"/>
      <c r="M113" s="59"/>
      <c r="N113" s="59"/>
      <c r="O113" s="59"/>
      <c r="P113" s="59"/>
    </row>
    <row r="114" spans="1:16">
      <c r="A114" s="71">
        <f ca="1">IFERROR(__xludf.DUMMYFUNCTION("""COMPUTED_VALUE"""),45294.4102846064)</f>
        <v>45294.410284606398</v>
      </c>
      <c r="B114" s="59" t="str">
        <f ca="1">IFERROR(__xludf.DUMMYFUNCTION("""COMPUTED_VALUE"""),"Pranshav ")</f>
        <v xml:space="preserve">Pranshav </v>
      </c>
      <c r="C114" s="72" t="str">
        <f ca="1">IFERROR(__xludf.DUMMYFUNCTION("""COMPUTED_VALUE"""),"23SDSCE01235")</f>
        <v>23SDSCE01235</v>
      </c>
      <c r="D114" s="73">
        <f ca="1">IFERROR(__xludf.DUMMYFUNCTION("""COMPUTED_VALUE"""),45293)</f>
        <v>45293</v>
      </c>
      <c r="E114" s="74">
        <f ca="1">IFERROR(__xludf.DUMMYFUNCTION("""COMPUTED_VALUE"""),27500)</f>
        <v>27500</v>
      </c>
      <c r="F114" s="72">
        <f ca="1">IFERROR(__xludf.DUMMYFUNCTION("""COMPUTED_VALUE"""),3000)</f>
        <v>3000</v>
      </c>
      <c r="G114" s="75"/>
      <c r="H114" s="59" t="str">
        <f ca="1">IFERROR(__xludf.DUMMYFUNCTION("""COMPUTED_VALUE"""),"UPDATED")</f>
        <v>UPDATED</v>
      </c>
      <c r="I114" s="76" t="str">
        <f ca="1">IFERROR(__xludf.DUMMYFUNCTION("""COMPUTED_VALUE"""),"https://drive.google.com/open?id=19dSM9EImr3VLOlzjzWEh7WOu3Gsut-kZ")</f>
        <v>https://drive.google.com/open?id=19dSM9EImr3VLOlzjzWEh7WOu3Gsut-kZ</v>
      </c>
      <c r="J114" s="59"/>
      <c r="K114" s="59"/>
      <c r="L114" s="59"/>
      <c r="M114" s="59"/>
      <c r="N114" s="59"/>
      <c r="O114" s="59"/>
      <c r="P114" s="59"/>
    </row>
    <row r="115" spans="1:16">
      <c r="A115" s="71">
        <f ca="1">IFERROR(__xludf.DUMMYFUNCTION("""COMPUTED_VALUE"""),45294.4088505902)</f>
        <v>45294.408850590196</v>
      </c>
      <c r="B115" s="59" t="str">
        <f ca="1">IFERROR(__xludf.DUMMYFUNCTION("""COMPUTED_VALUE"""),"Pranshav")</f>
        <v>Pranshav</v>
      </c>
      <c r="C115" s="72" t="str">
        <f ca="1">IFERROR(__xludf.DUMMYFUNCTION("""COMPUTED_VALUE"""),"23SDSCE01235")</f>
        <v>23SDSCE01235</v>
      </c>
      <c r="D115" s="73">
        <f ca="1">IFERROR(__xludf.DUMMYFUNCTION("""COMPUTED_VALUE"""),45293)</f>
        <v>45293</v>
      </c>
      <c r="E115" s="74">
        <f ca="1">IFERROR(__xludf.DUMMYFUNCTION("""COMPUTED_VALUE"""),27500)</f>
        <v>27500</v>
      </c>
      <c r="F115" s="72">
        <f ca="1">IFERROR(__xludf.DUMMYFUNCTION("""COMPUTED_VALUE"""),3000)</f>
        <v>3000</v>
      </c>
      <c r="G115" s="75"/>
      <c r="H115" s="59" t="str">
        <f ca="1">IFERROR(__xludf.DUMMYFUNCTION("""COMPUTED_VALUE"""),"UPDATED")</f>
        <v>UPDATED</v>
      </c>
      <c r="I115" s="76" t="str">
        <f ca="1">IFERROR(__xludf.DUMMYFUNCTION("""COMPUTED_VALUE"""),"https://drive.google.com/open?id=1-KCq71AFOOcii3wBzxuQ-wix9cdH9xAT")</f>
        <v>https://drive.google.com/open?id=1-KCq71AFOOcii3wBzxuQ-wix9cdH9xAT</v>
      </c>
      <c r="J115" s="59"/>
      <c r="K115" s="59"/>
      <c r="L115" s="59"/>
      <c r="M115" s="59"/>
      <c r="N115" s="59"/>
      <c r="O115" s="59"/>
      <c r="P115" s="59"/>
    </row>
    <row r="116" spans="1:16">
      <c r="A116" s="71">
        <f ca="1">IFERROR(__xludf.DUMMYFUNCTION("""COMPUTED_VALUE"""),45294.4036660301)</f>
        <v>45294.403666030099</v>
      </c>
      <c r="B116" s="59" t="str">
        <f ca="1">IFERROR(__xludf.DUMMYFUNCTION("""COMPUTED_VALUE"""),"Changela Dhyey Nipulbhai")</f>
        <v>Changela Dhyey Nipulbhai</v>
      </c>
      <c r="C116" s="72" t="str">
        <f ca="1">IFERROR(__xludf.DUMMYFUNCTION("""COMPUTED_VALUE"""),"22SDSCE01026")</f>
        <v>22SDSCE01026</v>
      </c>
      <c r="D116" s="73">
        <f ca="1">IFERROR(__xludf.DUMMYFUNCTION("""COMPUTED_VALUE"""),45294)</f>
        <v>45294</v>
      </c>
      <c r="E116" s="74">
        <f ca="1">IFERROR(__xludf.DUMMYFUNCTION("""COMPUTED_VALUE"""),25000)</f>
        <v>25000</v>
      </c>
      <c r="F116" s="72"/>
      <c r="G116" s="75"/>
      <c r="H116" s="59" t="str">
        <f ca="1">IFERROR(__xludf.DUMMYFUNCTION("""COMPUTED_VALUE"""),"UPDATED")</f>
        <v>UPDATED</v>
      </c>
      <c r="I116" s="76" t="str">
        <f ca="1">IFERROR(__xludf.DUMMYFUNCTION("""COMPUTED_VALUE"""),"https://drive.google.com/open?id=1N8voVaGNdhoYflJOegiiDjOM8Tpit6xn")</f>
        <v>https://drive.google.com/open?id=1N8voVaGNdhoYflJOegiiDjOM8Tpit6xn</v>
      </c>
      <c r="J116" s="59"/>
      <c r="K116" s="59"/>
      <c r="L116" s="59"/>
      <c r="M116" s="59"/>
      <c r="N116" s="59"/>
      <c r="O116" s="59"/>
      <c r="P116" s="59"/>
    </row>
    <row r="117" spans="1:16">
      <c r="A117" s="71">
        <f ca="1">IFERROR(__xludf.DUMMYFUNCTION("""COMPUTED_VALUE"""),45294.4021125347)</f>
        <v>45294.402112534699</v>
      </c>
      <c r="B117" s="59" t="str">
        <f ca="1">IFERROR(__xludf.DUMMYFUNCTION("""COMPUTED_VALUE"""),"Goti om pareshbhai ")</f>
        <v xml:space="preserve">Goti om pareshbhai </v>
      </c>
      <c r="C117" s="72" t="str">
        <f ca="1">IFERROR(__xludf.DUMMYFUNCTION("""COMPUTED_VALUE"""),"23SDSCE01214")</f>
        <v>23SDSCE01214</v>
      </c>
      <c r="D117" s="73">
        <f ca="1">IFERROR(__xludf.DUMMYFUNCTION("""COMPUTED_VALUE"""),45293)</f>
        <v>45293</v>
      </c>
      <c r="E117" s="74">
        <f ca="1">IFERROR(__xludf.DUMMYFUNCTION("""COMPUTED_VALUE"""),27500)</f>
        <v>27500</v>
      </c>
      <c r="F117" s="72"/>
      <c r="G117" s="75"/>
      <c r="H117" s="59" t="str">
        <f ca="1">IFERROR(__xludf.DUMMYFUNCTION("""COMPUTED_VALUE"""),"UPDATED")</f>
        <v>UPDATED</v>
      </c>
      <c r="I117" s="76" t="str">
        <f ca="1">IFERROR(__xludf.DUMMYFUNCTION("""COMPUTED_VALUE"""),"https://drive.google.com/open?id=1Ko0mMhVsJoFFAnVYsbMcrUVEejtkv5Lo")</f>
        <v>https://drive.google.com/open?id=1Ko0mMhVsJoFFAnVYsbMcrUVEejtkv5Lo</v>
      </c>
      <c r="J117" s="59"/>
      <c r="K117" s="59"/>
      <c r="L117" s="59"/>
      <c r="M117" s="59"/>
      <c r="N117" s="59"/>
      <c r="O117" s="59"/>
      <c r="P117" s="59"/>
    </row>
    <row r="118" spans="1:16">
      <c r="A118" s="71">
        <f ca="1">IFERROR(__xludf.DUMMYFUNCTION("""COMPUTED_VALUE"""),45294.3659962615)</f>
        <v>45294.365996261498</v>
      </c>
      <c r="B118" s="59" t="str">
        <f ca="1">IFERROR(__xludf.DUMMYFUNCTION("""COMPUTED_VALUE"""),"Dev Vinodbhai Ramjiyani ")</f>
        <v xml:space="preserve">Dev Vinodbhai Ramjiyani </v>
      </c>
      <c r="C118" s="72" t="str">
        <f ca="1">IFERROR(__xludf.DUMMYFUNCTION("""COMPUTED_VALUE"""),"22SDSCE01183")</f>
        <v>22SDSCE01183</v>
      </c>
      <c r="D118" s="73">
        <f ca="1">IFERROR(__xludf.DUMMYFUNCTION("""COMPUTED_VALUE"""),45294)</f>
        <v>45294</v>
      </c>
      <c r="E118" s="74">
        <f ca="1">IFERROR(__xludf.DUMMYFUNCTION("""COMPUTED_VALUE"""),25000)</f>
        <v>25000</v>
      </c>
      <c r="F118" s="72">
        <f ca="1">IFERROR(__xludf.DUMMYFUNCTION("""COMPUTED_VALUE"""),3000)</f>
        <v>3000</v>
      </c>
      <c r="G118" s="75"/>
      <c r="H118" s="59" t="str">
        <f ca="1">IFERROR(__xludf.DUMMYFUNCTION("""COMPUTED_VALUE"""),"UPDATED")</f>
        <v>UPDATED</v>
      </c>
      <c r="I118" s="76" t="str">
        <f ca="1">IFERROR(__xludf.DUMMYFUNCTION("""COMPUTED_VALUE"""),"https://drive.google.com/open?id=18innlZIPvhpa7NSxFp2-kxtg7Xh-CO-q")</f>
        <v>https://drive.google.com/open?id=18innlZIPvhpa7NSxFp2-kxtg7Xh-CO-q</v>
      </c>
      <c r="J118" s="59"/>
      <c r="K118" s="59"/>
      <c r="L118" s="59"/>
      <c r="M118" s="59"/>
      <c r="N118" s="59"/>
      <c r="O118" s="59"/>
      <c r="P118" s="59"/>
    </row>
    <row r="119" spans="1:16">
      <c r="A119" s="71">
        <f ca="1">IFERROR(__xludf.DUMMYFUNCTION("""COMPUTED_VALUE"""),45293.8959200115)</f>
        <v>45293.895920011499</v>
      </c>
      <c r="B119" s="59" t="str">
        <f ca="1">IFERROR(__xludf.DUMMYFUNCTION("""COMPUTED_VALUE"""),"Ghelani foram ghanshyambhai")</f>
        <v>Ghelani foram ghanshyambhai</v>
      </c>
      <c r="C119" s="72" t="str">
        <f ca="1">IFERROR(__xludf.DUMMYFUNCTION("""COMPUTED_VALUE"""),"22sdsce01044")</f>
        <v>22sdsce01044</v>
      </c>
      <c r="D119" s="73">
        <f ca="1">IFERROR(__xludf.DUMMYFUNCTION("""COMPUTED_VALUE"""),45293)</f>
        <v>45293</v>
      </c>
      <c r="E119" s="72"/>
      <c r="F119" s="72"/>
      <c r="G119" s="75"/>
      <c r="H119" s="59" t="str">
        <f ca="1">IFERROR(__xludf.DUMMYFUNCTION("""COMPUTED_VALUE"""),"UPDATED")</f>
        <v>UPDATED</v>
      </c>
      <c r="I119" s="76" t="str">
        <f ca="1">IFERROR(__xludf.DUMMYFUNCTION("""COMPUTED_VALUE"""),"https://drive.google.com/open?id=1Ig7_LsAX6rie_gaG8rhxeXT07vtP0f8U")</f>
        <v>https://drive.google.com/open?id=1Ig7_LsAX6rie_gaG8rhxeXT07vtP0f8U</v>
      </c>
      <c r="J119" s="59"/>
      <c r="K119" s="59"/>
      <c r="L119" s="59"/>
      <c r="M119" s="59"/>
      <c r="N119" s="59"/>
      <c r="O119" s="59"/>
      <c r="P119" s="59"/>
    </row>
    <row r="120" spans="1:16">
      <c r="A120" s="71">
        <f ca="1">IFERROR(__xludf.DUMMYFUNCTION("""COMPUTED_VALUE"""),45293.8941542824)</f>
        <v>45293.894154282403</v>
      </c>
      <c r="B120" s="59" t="str">
        <f ca="1">IFERROR(__xludf.DUMMYFUNCTION("""COMPUTED_VALUE"""),"Ghelani foram Ghanshyambhai")</f>
        <v>Ghelani foram Ghanshyambhai</v>
      </c>
      <c r="C120" s="72" t="str">
        <f ca="1">IFERROR(__xludf.DUMMYFUNCTION("""COMPUTED_VALUE"""),"22sdsce01044")</f>
        <v>22sdsce01044</v>
      </c>
      <c r="D120" s="73">
        <f ca="1">IFERROR(__xludf.DUMMYFUNCTION("""COMPUTED_VALUE"""),45293)</f>
        <v>45293</v>
      </c>
      <c r="E120" s="72"/>
      <c r="F120" s="72"/>
      <c r="G120" s="75"/>
      <c r="H120" s="59" t="str">
        <f ca="1">IFERROR(__xludf.DUMMYFUNCTION("""COMPUTED_VALUE"""),"UPDATED")</f>
        <v>UPDATED</v>
      </c>
      <c r="I120" s="76" t="str">
        <f ca="1">IFERROR(__xludf.DUMMYFUNCTION("""COMPUTED_VALUE"""),"https://drive.google.com/open?id=17iT2UyE3fvd_C3Af9gwhjtKQOoQaMeSa")</f>
        <v>https://drive.google.com/open?id=17iT2UyE3fvd_C3Af9gwhjtKQOoQaMeSa</v>
      </c>
      <c r="J120" s="59"/>
      <c r="K120" s="59"/>
      <c r="L120" s="59"/>
      <c r="M120" s="59"/>
      <c r="N120" s="59"/>
      <c r="O120" s="59"/>
      <c r="P120" s="59"/>
    </row>
    <row r="121" spans="1:16">
      <c r="A121" s="71">
        <f ca="1">IFERROR(__xludf.DUMMYFUNCTION("""COMPUTED_VALUE"""),45293.7399903703)</f>
        <v>45293.739990370297</v>
      </c>
      <c r="B121" s="59" t="str">
        <f ca="1">IFERROR(__xludf.DUMMYFUNCTION("""COMPUTED_VALUE"""),"Tulsi chandarana")</f>
        <v>Tulsi chandarana</v>
      </c>
      <c r="C121" s="72" t="str">
        <f ca="1">IFERROR(__xludf.DUMMYFUNCTION("""COMPUTED_VALUE"""),"23SDSCE01207")</f>
        <v>23SDSCE01207</v>
      </c>
      <c r="D121" s="73">
        <f ca="1">IFERROR(__xludf.DUMMYFUNCTION("""COMPUTED_VALUE"""),45293)</f>
        <v>45293</v>
      </c>
      <c r="E121" s="72"/>
      <c r="F121" s="72">
        <f ca="1">IFERROR(__xludf.DUMMYFUNCTION("""COMPUTED_VALUE"""),3000)</f>
        <v>3000</v>
      </c>
      <c r="G121" s="75"/>
      <c r="H121" s="59" t="str">
        <f ca="1">IFERROR(__xludf.DUMMYFUNCTION("""COMPUTED_VALUE"""),"UPDATED")</f>
        <v>UPDATED</v>
      </c>
      <c r="I121" s="76" t="str">
        <f ca="1">IFERROR(__xludf.DUMMYFUNCTION("""COMPUTED_VALUE"""),"https://drive.google.com/open?id=127EGRNmLrq7dw8-60mYV25m-k6JFUc7v")</f>
        <v>https://drive.google.com/open?id=127EGRNmLrq7dw8-60mYV25m-k6JFUc7v</v>
      </c>
      <c r="J121" s="59"/>
      <c r="K121" s="59"/>
      <c r="L121" s="59"/>
      <c r="M121" s="59"/>
      <c r="N121" s="59"/>
      <c r="O121" s="59"/>
      <c r="P121" s="59"/>
    </row>
    <row r="122" spans="1:16">
      <c r="A122" s="71">
        <f ca="1">IFERROR(__xludf.DUMMYFUNCTION("""COMPUTED_VALUE"""),45293.7376550694)</f>
        <v>45293.737655069403</v>
      </c>
      <c r="B122" s="59" t="str">
        <f ca="1">IFERROR(__xludf.DUMMYFUNCTION("""COMPUTED_VALUE"""),"Tulsi Chandarana")</f>
        <v>Tulsi Chandarana</v>
      </c>
      <c r="C122" s="72" t="str">
        <f ca="1">IFERROR(__xludf.DUMMYFUNCTION("""COMPUTED_VALUE"""),"23SDSCE01207")</f>
        <v>23SDSCE01207</v>
      </c>
      <c r="D122" s="73">
        <f ca="1">IFERROR(__xludf.DUMMYFUNCTION("""COMPUTED_VALUE"""),45293)</f>
        <v>45293</v>
      </c>
      <c r="E122" s="74">
        <f ca="1">IFERROR(__xludf.DUMMYFUNCTION("""COMPUTED_VALUE"""),27500)</f>
        <v>27500</v>
      </c>
      <c r="F122" s="72"/>
      <c r="G122" s="75"/>
      <c r="H122" s="59" t="str">
        <f ca="1">IFERROR(__xludf.DUMMYFUNCTION("""COMPUTED_VALUE"""),"UPDATED")</f>
        <v>UPDATED</v>
      </c>
      <c r="I122" s="76" t="str">
        <f ca="1">IFERROR(__xludf.DUMMYFUNCTION("""COMPUTED_VALUE"""),"https://drive.google.com/open?id=13TauMW-jfBETPFjk3ylSnKjOBF6BYp_h")</f>
        <v>https://drive.google.com/open?id=13TauMW-jfBETPFjk3ylSnKjOBF6BYp_h</v>
      </c>
      <c r="J122" s="59"/>
      <c r="K122" s="59"/>
      <c r="L122" s="59"/>
      <c r="M122" s="59"/>
      <c r="N122" s="59"/>
      <c r="O122" s="59"/>
      <c r="P122" s="59"/>
    </row>
    <row r="123" spans="1:16">
      <c r="A123" s="71">
        <f ca="1">IFERROR(__xludf.DUMMYFUNCTION("""COMPUTED_VALUE"""),45293.7340544791)</f>
        <v>45293.7340544791</v>
      </c>
      <c r="B123" s="59" t="str">
        <f ca="1">IFERROR(__xludf.DUMMYFUNCTION("""COMPUTED_VALUE"""),"Bathani Daksh Rajesh Bhai ")</f>
        <v xml:space="preserve">Bathani Daksh Rajesh Bhai </v>
      </c>
      <c r="C123" s="72" t="str">
        <f ca="1">IFERROR(__xludf.DUMMYFUNCTION("""COMPUTED_VALUE"""),"22SDSCE01131")</f>
        <v>22SDSCE01131</v>
      </c>
      <c r="D123" s="73">
        <f ca="1">IFERROR(__xludf.DUMMYFUNCTION("""COMPUTED_VALUE"""),45293)</f>
        <v>45293</v>
      </c>
      <c r="E123" s="74">
        <f ca="1">IFERROR(__xludf.DUMMYFUNCTION("""COMPUTED_VALUE"""),12500)</f>
        <v>12500</v>
      </c>
      <c r="F123" s="72">
        <f ca="1">IFERROR(__xludf.DUMMYFUNCTION("""COMPUTED_VALUE"""),3000)</f>
        <v>3000</v>
      </c>
      <c r="G123" s="75"/>
      <c r="H123" s="59" t="str">
        <f ca="1">IFERROR(__xludf.DUMMYFUNCTION("""COMPUTED_VALUE"""),"UPDATED")</f>
        <v>UPDATED</v>
      </c>
      <c r="I123" s="76" t="str">
        <f ca="1">IFERROR(__xludf.DUMMYFUNCTION("""COMPUTED_VALUE"""),"https://drive.google.com/open?id=1Ag9Weu-9tM3VO7IkB9mwmcZ0HKQKhaID")</f>
        <v>https://drive.google.com/open?id=1Ag9Weu-9tM3VO7IkB9mwmcZ0HKQKhaID</v>
      </c>
      <c r="J123" s="59"/>
      <c r="K123" s="59"/>
      <c r="L123" s="59"/>
      <c r="M123" s="59"/>
      <c r="N123" s="59"/>
      <c r="O123" s="59"/>
      <c r="P123" s="59"/>
    </row>
    <row r="124" spans="1:16">
      <c r="A124" s="71">
        <f ca="1">IFERROR(__xludf.DUMMYFUNCTION("""COMPUTED_VALUE"""),45293.7277956018)</f>
        <v>45293.727795601801</v>
      </c>
      <c r="B124" s="59" t="str">
        <f ca="1">IFERROR(__xludf.DUMMYFUNCTION("""COMPUTED_VALUE"""),"Metar Mahmadsadab Arifbhai")</f>
        <v>Metar Mahmadsadab Arifbhai</v>
      </c>
      <c r="C124" s="72" t="str">
        <f ca="1">IFERROR(__xludf.DUMMYFUNCTION("""COMPUTED_VALUE"""),"23SDSCE01139")</f>
        <v>23SDSCE01139</v>
      </c>
      <c r="D124" s="73">
        <f ca="1">IFERROR(__xludf.DUMMYFUNCTION("""COMPUTED_VALUE"""),45293)</f>
        <v>45293</v>
      </c>
      <c r="E124" s="74">
        <f ca="1">IFERROR(__xludf.DUMMYFUNCTION("""COMPUTED_VALUE"""),27500)</f>
        <v>27500</v>
      </c>
      <c r="F124" s="72">
        <f ca="1">IFERROR(__xludf.DUMMYFUNCTION("""COMPUTED_VALUE"""),3000)</f>
        <v>3000</v>
      </c>
      <c r="G124" s="75"/>
      <c r="H124" s="59" t="str">
        <f ca="1">IFERROR(__xludf.DUMMYFUNCTION("""COMPUTED_VALUE"""),"UPDATED")</f>
        <v>UPDATED</v>
      </c>
      <c r="I124" s="76" t="str">
        <f ca="1">IFERROR(__xludf.DUMMYFUNCTION("""COMPUTED_VALUE"""),"https://drive.google.com/open?id=1BKmgQr_BpK1TybYsPDnsxvb_KQ4gn0X4")</f>
        <v>https://drive.google.com/open?id=1BKmgQr_BpK1TybYsPDnsxvb_KQ4gn0X4</v>
      </c>
      <c r="J124" s="59"/>
      <c r="K124" s="59"/>
      <c r="L124" s="59"/>
      <c r="M124" s="59"/>
      <c r="N124" s="59"/>
      <c r="O124" s="59"/>
      <c r="P124" s="59"/>
    </row>
    <row r="125" spans="1:16">
      <c r="A125" s="71">
        <f ca="1">IFERROR(__xludf.DUMMYFUNCTION("""COMPUTED_VALUE"""),45293.7206611111)</f>
        <v>45293.720661111103</v>
      </c>
      <c r="B125" s="59" t="str">
        <f ca="1">IFERROR(__xludf.DUMMYFUNCTION("""COMPUTED_VALUE"""),"chavda kartik bharatbhai ")</f>
        <v xml:space="preserve">chavda kartik bharatbhai </v>
      </c>
      <c r="C125" s="72" t="str">
        <f ca="1">IFERROR(__xludf.DUMMYFUNCTION("""COMPUTED_VALUE"""),"22SDSCE01137")</f>
        <v>22SDSCE01137</v>
      </c>
      <c r="D125" s="73">
        <f ca="1">IFERROR(__xludf.DUMMYFUNCTION("""COMPUTED_VALUE"""),45293)</f>
        <v>45293</v>
      </c>
      <c r="E125" s="72"/>
      <c r="F125" s="72">
        <f ca="1">IFERROR(__xludf.DUMMYFUNCTION("""COMPUTED_VALUE"""),3000)</f>
        <v>3000</v>
      </c>
      <c r="G125" s="75"/>
      <c r="H125" s="59"/>
      <c r="I125" s="76" t="str">
        <f ca="1">IFERROR(__xludf.DUMMYFUNCTION("""COMPUTED_VALUE"""),"https://drive.google.com/open?id=1z2e0aMyZg9tzX41KqdWwz9jR2vJ8HD8W")</f>
        <v>https://drive.google.com/open?id=1z2e0aMyZg9tzX41KqdWwz9jR2vJ8HD8W</v>
      </c>
      <c r="J125" s="59"/>
      <c r="K125" s="59"/>
      <c r="L125" s="59"/>
      <c r="M125" s="59"/>
      <c r="N125" s="59"/>
      <c r="O125" s="59"/>
      <c r="P125" s="59"/>
    </row>
    <row r="126" spans="1:16">
      <c r="A126" s="71">
        <f ca="1">IFERROR(__xludf.DUMMYFUNCTION("""COMPUTED_VALUE"""),45293.7188673958)</f>
        <v>45293.718867395801</v>
      </c>
      <c r="B126" s="59" t="str">
        <f ca="1">IFERROR(__xludf.DUMMYFUNCTION("""COMPUTED_VALUE"""),"Kachhadiya krish vitthalbhai")</f>
        <v>Kachhadiya krish vitthalbhai</v>
      </c>
      <c r="C126" s="72" t="str">
        <f ca="1">IFERROR(__xludf.DUMMYFUNCTION("""COMPUTED_VALUE"""),"22SDSCE01051")</f>
        <v>22SDSCE01051</v>
      </c>
      <c r="D126" s="73">
        <f ca="1">IFERROR(__xludf.DUMMYFUNCTION("""COMPUTED_VALUE"""),45293)</f>
        <v>45293</v>
      </c>
      <c r="E126" s="72"/>
      <c r="F126" s="72">
        <f ca="1">IFERROR(__xludf.DUMMYFUNCTION("""COMPUTED_VALUE"""),3000)</f>
        <v>3000</v>
      </c>
      <c r="G126" s="75"/>
      <c r="H126" s="59" t="str">
        <f ca="1">IFERROR(__xludf.DUMMYFUNCTION("""COMPUTED_VALUE"""),"UPDATED")</f>
        <v>UPDATED</v>
      </c>
      <c r="I126" s="76" t="str">
        <f ca="1">IFERROR(__xludf.DUMMYFUNCTION("""COMPUTED_VALUE"""),"https://drive.google.com/open?id=12T5zX68UzQRS8R2ZLhdMML19icwXoIo2")</f>
        <v>https://drive.google.com/open?id=12T5zX68UzQRS8R2ZLhdMML19icwXoIo2</v>
      </c>
      <c r="J126" s="59"/>
      <c r="K126" s="59"/>
      <c r="L126" s="59"/>
      <c r="M126" s="59"/>
      <c r="N126" s="59"/>
      <c r="O126" s="59"/>
      <c r="P126" s="59"/>
    </row>
    <row r="127" spans="1:16">
      <c r="A127" s="71">
        <f ca="1">IFERROR(__xludf.DUMMYFUNCTION("""COMPUTED_VALUE"""),45293.6882290509)</f>
        <v>45293.688229050902</v>
      </c>
      <c r="B127" s="59" t="str">
        <f ca="1">IFERROR(__xludf.DUMMYFUNCTION("""COMPUTED_VALUE"""),"Anish adhikari")</f>
        <v>Anish adhikari</v>
      </c>
      <c r="C127" s="72" t="str">
        <f ca="1">IFERROR(__xludf.DUMMYFUNCTION("""COMPUTED_VALUE"""),"22SDSCE01620")</f>
        <v>22SDSCE01620</v>
      </c>
      <c r="D127" s="73">
        <f ca="1">IFERROR(__xludf.DUMMYFUNCTION("""COMPUTED_VALUE"""),45293)</f>
        <v>45293</v>
      </c>
      <c r="E127" s="72"/>
      <c r="F127" s="72"/>
      <c r="G127" s="75"/>
      <c r="H127" s="59" t="str">
        <f ca="1">IFERROR(__xludf.DUMMYFUNCTION("""COMPUTED_VALUE"""),"UPDATED")</f>
        <v>UPDATED</v>
      </c>
      <c r="I127" s="76" t="str">
        <f ca="1">IFERROR(__xludf.DUMMYFUNCTION("""COMPUTED_VALUE"""),"https://drive.google.com/open?id=1S2k6Hg5sRot7Oi2MaBpnck4U5p_LjOkm")</f>
        <v>https://drive.google.com/open?id=1S2k6Hg5sRot7Oi2MaBpnck4U5p_LjOkm</v>
      </c>
      <c r="J127" s="59"/>
      <c r="K127" s="59"/>
      <c r="L127" s="59"/>
      <c r="M127" s="59"/>
      <c r="N127" s="59"/>
      <c r="O127" s="59"/>
      <c r="P127" s="59"/>
    </row>
    <row r="128" spans="1:16">
      <c r="A128" s="71">
        <f ca="1">IFERROR(__xludf.DUMMYFUNCTION("""COMPUTED_VALUE"""),45293.6800119791)</f>
        <v>45293.680011979101</v>
      </c>
      <c r="B128" s="59" t="str">
        <f ca="1">IFERROR(__xludf.DUMMYFUNCTION("""COMPUTED_VALUE"""),"Davda Aryan Jagdishbhai")</f>
        <v>Davda Aryan Jagdishbhai</v>
      </c>
      <c r="C128" s="72" t="str">
        <f ca="1">IFERROR(__xludf.DUMMYFUNCTION("""COMPUTED_VALUE"""),"23SDSCE01008")</f>
        <v>23SDSCE01008</v>
      </c>
      <c r="D128" s="73">
        <f ca="1">IFERROR(__xludf.DUMMYFUNCTION("""COMPUTED_VALUE"""),45293)</f>
        <v>45293</v>
      </c>
      <c r="E128" s="72"/>
      <c r="F128" s="72">
        <f ca="1">IFERROR(__xludf.DUMMYFUNCTION("""COMPUTED_VALUE"""),3000)</f>
        <v>3000</v>
      </c>
      <c r="G128" s="75"/>
      <c r="H128" s="59" t="str">
        <f ca="1">IFERROR(__xludf.DUMMYFUNCTION("""COMPUTED_VALUE"""),"UPDATED")</f>
        <v>UPDATED</v>
      </c>
      <c r="I128" s="76" t="str">
        <f ca="1">IFERROR(__xludf.DUMMYFUNCTION("""COMPUTED_VALUE"""),"https://drive.google.com/open?id=1_1muZDqLKID8-C9x-W3bVvZTl0zkz2Ae")</f>
        <v>https://drive.google.com/open?id=1_1muZDqLKID8-C9x-W3bVvZTl0zkz2Ae</v>
      </c>
      <c r="J128" s="59"/>
      <c r="K128" s="59"/>
      <c r="L128" s="59"/>
      <c r="M128" s="59"/>
      <c r="N128" s="59"/>
      <c r="O128" s="59"/>
      <c r="P128" s="59"/>
    </row>
    <row r="129" spans="1:16">
      <c r="A129" s="71">
        <f ca="1">IFERROR(__xludf.DUMMYFUNCTION("""COMPUTED_VALUE"""),45293.6790890393)</f>
        <v>45293.679089039302</v>
      </c>
      <c r="B129" s="59" t="str">
        <f ca="1">IFERROR(__xludf.DUMMYFUNCTION("""COMPUTED_VALUE"""),"Dhaduk jeet")</f>
        <v>Dhaduk jeet</v>
      </c>
      <c r="C129" s="72" t="str">
        <f ca="1">IFERROR(__xludf.DUMMYFUNCTION("""COMPUTED_VALUE"""),"22SDSCE01139")</f>
        <v>22SDSCE01139</v>
      </c>
      <c r="D129" s="73">
        <f ca="1">IFERROR(__xludf.DUMMYFUNCTION("""COMPUTED_VALUE"""),45292)</f>
        <v>45292</v>
      </c>
      <c r="E129" s="74">
        <f ca="1">IFERROR(__xludf.DUMMYFUNCTION("""COMPUTED_VALUE"""),25000)</f>
        <v>25000</v>
      </c>
      <c r="F129" s="72">
        <f ca="1">IFERROR(__xludf.DUMMYFUNCTION("""COMPUTED_VALUE"""),3000)</f>
        <v>3000</v>
      </c>
      <c r="G129" s="75"/>
      <c r="H129" s="59" t="str">
        <f ca="1">IFERROR(__xludf.DUMMYFUNCTION("""COMPUTED_VALUE"""),"UPDATED")</f>
        <v>UPDATED</v>
      </c>
      <c r="I129" s="76" t="str">
        <f ca="1">IFERROR(__xludf.DUMMYFUNCTION("""COMPUTED_VALUE"""),"https://drive.google.com/open?id=1VTgKxrsFrS0GzgicmDDi-WWntRhsXBTO")</f>
        <v>https://drive.google.com/open?id=1VTgKxrsFrS0GzgicmDDi-WWntRhsXBTO</v>
      </c>
      <c r="J129" s="59"/>
      <c r="K129" s="59"/>
      <c r="L129" s="59"/>
      <c r="M129" s="59"/>
      <c r="N129" s="59"/>
      <c r="O129" s="59"/>
      <c r="P129" s="59"/>
    </row>
    <row r="130" spans="1:16">
      <c r="A130" s="71">
        <f ca="1">IFERROR(__xludf.DUMMYFUNCTION("""COMPUTED_VALUE"""),45293.6780875694)</f>
        <v>45293.678087569402</v>
      </c>
      <c r="B130" s="59" t="str">
        <f ca="1">IFERROR(__xludf.DUMMYFUNCTION("""COMPUTED_VALUE"""),"Parakhiya bhaktiben bipinkumar ")</f>
        <v xml:space="preserve">Parakhiya bhaktiben bipinkumar </v>
      </c>
      <c r="C130" s="72" t="str">
        <f ca="1">IFERROR(__xludf.DUMMYFUNCTION("""COMPUTED_VALUE"""),"22SDSCE01179")</f>
        <v>22SDSCE01179</v>
      </c>
      <c r="D130" s="73">
        <f ca="1">IFERROR(__xludf.DUMMYFUNCTION("""COMPUTED_VALUE"""),45293)</f>
        <v>45293</v>
      </c>
      <c r="E130" s="72"/>
      <c r="F130" s="72">
        <f ca="1">IFERROR(__xludf.DUMMYFUNCTION("""COMPUTED_VALUE"""),3000)</f>
        <v>3000</v>
      </c>
      <c r="G130" s="75"/>
      <c r="H130" s="59" t="str">
        <f ca="1">IFERROR(__xludf.DUMMYFUNCTION("""COMPUTED_VALUE"""),"UPDATED")</f>
        <v>UPDATED</v>
      </c>
      <c r="I130" s="76" t="str">
        <f ca="1">IFERROR(__xludf.DUMMYFUNCTION("""COMPUTED_VALUE"""),"https://drive.google.com/open?id=1n8SxVtD2t3cPMxD-I2LV-5yE8VdW9vnA")</f>
        <v>https://drive.google.com/open?id=1n8SxVtD2t3cPMxD-I2LV-5yE8VdW9vnA</v>
      </c>
      <c r="J130" s="59"/>
      <c r="K130" s="59"/>
      <c r="L130" s="59"/>
      <c r="M130" s="59"/>
      <c r="N130" s="59"/>
      <c r="O130" s="59"/>
      <c r="P130" s="59"/>
    </row>
    <row r="131" spans="1:16">
      <c r="A131" s="71">
        <f ca="1">IFERROR(__xludf.DUMMYFUNCTION("""COMPUTED_VALUE"""),45293.6698042013)</f>
        <v>45293.669804201301</v>
      </c>
      <c r="B131" s="59" t="str">
        <f ca="1">IFERROR(__xludf.DUMMYFUNCTION("""COMPUTED_VALUE"""),"Sumit Kumar Chaudhary ")</f>
        <v xml:space="preserve">Sumit Kumar Chaudhary </v>
      </c>
      <c r="C131" s="72" t="str">
        <f ca="1">IFERROR(__xludf.DUMMYFUNCTION("""COMPUTED_VALUE"""),"22SDSCE01615")</f>
        <v>22SDSCE01615</v>
      </c>
      <c r="D131" s="73">
        <f ca="1">IFERROR(__xludf.DUMMYFUNCTION("""COMPUTED_VALUE"""),45293)</f>
        <v>45293</v>
      </c>
      <c r="E131" s="72"/>
      <c r="F131" s="72"/>
      <c r="G131" s="75"/>
      <c r="H131" s="59" t="str">
        <f ca="1">IFERROR(__xludf.DUMMYFUNCTION("""COMPUTED_VALUE"""),"UPDATED")</f>
        <v>UPDATED</v>
      </c>
      <c r="I131" s="76" t="str">
        <f ca="1">IFERROR(__xludf.DUMMYFUNCTION("""COMPUTED_VALUE"""),"https://drive.google.com/open?id=1NL_HHQ4-5M-6of25EsiA6PEODsS3PxV_")</f>
        <v>https://drive.google.com/open?id=1NL_HHQ4-5M-6of25EsiA6PEODsS3PxV_</v>
      </c>
      <c r="J131" s="59"/>
      <c r="K131" s="59"/>
      <c r="L131" s="59"/>
      <c r="M131" s="59"/>
      <c r="N131" s="59"/>
      <c r="O131" s="59"/>
      <c r="P131" s="59"/>
    </row>
    <row r="132" spans="1:16">
      <c r="A132" s="71">
        <f ca="1">IFERROR(__xludf.DUMMYFUNCTION("""COMPUTED_VALUE"""),45293.6427152777)</f>
        <v>45293.642715277703</v>
      </c>
      <c r="B132" s="59" t="str">
        <f ca="1">IFERROR(__xludf.DUMMYFUNCTION("""COMPUTED_VALUE"""),"Godhaniya jayesh sarmanbhai ")</f>
        <v xml:space="preserve">Godhaniya jayesh sarmanbhai </v>
      </c>
      <c r="C132" s="72" t="str">
        <f ca="1">IFERROR(__xludf.DUMMYFUNCTION("""COMPUTED_VALUE"""),"23SDSCE01213")</f>
        <v>23SDSCE01213</v>
      </c>
      <c r="D132" s="73">
        <f ca="1">IFERROR(__xludf.DUMMYFUNCTION("""COMPUTED_VALUE"""),45293)</f>
        <v>45293</v>
      </c>
      <c r="E132" s="74">
        <f ca="1">IFERROR(__xludf.DUMMYFUNCTION("""COMPUTED_VALUE"""),2500)</f>
        <v>2500</v>
      </c>
      <c r="F132" s="72">
        <f ca="1">IFERROR(__xludf.DUMMYFUNCTION("""COMPUTED_VALUE"""),0)</f>
        <v>0</v>
      </c>
      <c r="G132" s="75"/>
      <c r="H132" s="59" t="str">
        <f ca="1">IFERROR(__xludf.DUMMYFUNCTION("""COMPUTED_VALUE"""),"UPDATED")</f>
        <v>UPDATED</v>
      </c>
      <c r="I132" s="76" t="str">
        <f ca="1">IFERROR(__xludf.DUMMYFUNCTION("""COMPUTED_VALUE"""),"https://drive.google.com/open?id=1DSvj5CFbxLRowp5X2SzrtP_hpSIOnJMi")</f>
        <v>https://drive.google.com/open?id=1DSvj5CFbxLRowp5X2SzrtP_hpSIOnJMi</v>
      </c>
      <c r="J132" s="59"/>
      <c r="K132" s="59"/>
      <c r="L132" s="59"/>
      <c r="M132" s="59"/>
      <c r="N132" s="59"/>
      <c r="O132" s="59"/>
      <c r="P132" s="59"/>
    </row>
    <row r="133" spans="1:16">
      <c r="A133" s="71">
        <f ca="1">IFERROR(__xludf.DUMMYFUNCTION("""COMPUTED_VALUE"""),45293.638541655)</f>
        <v>45293.638541654997</v>
      </c>
      <c r="B133" s="59" t="str">
        <f ca="1">IFERROR(__xludf.DUMMYFUNCTION("""COMPUTED_VALUE"""),"KRISHRAJSINH VALA ")</f>
        <v xml:space="preserve">KRISHRAJSINH VALA </v>
      </c>
      <c r="C133" s="72" t="str">
        <f ca="1">IFERROR(__xludf.DUMMYFUNCTION("""COMPUTED_VALUE"""),"22SDSCV01015")</f>
        <v>22SDSCV01015</v>
      </c>
      <c r="D133" s="73">
        <f ca="1">IFERROR(__xludf.DUMMYFUNCTION("""COMPUTED_VALUE"""),45293)</f>
        <v>45293</v>
      </c>
      <c r="E133" s="74">
        <f ca="1">IFERROR(__xludf.DUMMYFUNCTION("""COMPUTED_VALUE"""),25000)</f>
        <v>25000</v>
      </c>
      <c r="F133" s="72">
        <f ca="1">IFERROR(__xludf.DUMMYFUNCTION("""COMPUTED_VALUE"""),3000)</f>
        <v>3000</v>
      </c>
      <c r="G133" s="75"/>
      <c r="H133" s="59" t="str">
        <f ca="1">IFERROR(__xludf.DUMMYFUNCTION("""COMPUTED_VALUE"""),"UPDATED")</f>
        <v>UPDATED</v>
      </c>
      <c r="I133" s="76" t="str">
        <f ca="1">IFERROR(__xludf.DUMMYFUNCTION("""COMPUTED_VALUE"""),"https://drive.google.com/open?id=1cw-JKjuiQ2kxr7lhlLclBkvENkXKIAhs")</f>
        <v>https://drive.google.com/open?id=1cw-JKjuiQ2kxr7lhlLclBkvENkXKIAhs</v>
      </c>
      <c r="J133" s="59"/>
      <c r="K133" s="59"/>
      <c r="L133" s="59"/>
      <c r="M133" s="59"/>
      <c r="N133" s="59"/>
      <c r="O133" s="59"/>
      <c r="P133" s="59"/>
    </row>
    <row r="134" spans="1:16">
      <c r="A134" s="71">
        <f ca="1">IFERROR(__xludf.DUMMYFUNCTION("""COMPUTED_VALUE"""),45293.6360420138)</f>
        <v>45293.636042013801</v>
      </c>
      <c r="B134" s="59" t="str">
        <f ca="1">IFERROR(__xludf.DUMMYFUNCTION("""COMPUTED_VALUE"""),"Kabira Timir")</f>
        <v>Kabira Timir</v>
      </c>
      <c r="C134" s="72" t="str">
        <f ca="1">IFERROR(__xludf.DUMMYFUNCTION("""COMPUTED_VALUE"""),"23SDSCE01055")</f>
        <v>23SDSCE01055</v>
      </c>
      <c r="D134" s="73">
        <f ca="1">IFERROR(__xludf.DUMMYFUNCTION("""COMPUTED_VALUE"""),45293)</f>
        <v>45293</v>
      </c>
      <c r="E134" s="72"/>
      <c r="F134" s="72">
        <f ca="1">IFERROR(__xludf.DUMMYFUNCTION("""COMPUTED_VALUE"""),3000)</f>
        <v>3000</v>
      </c>
      <c r="G134" s="75"/>
      <c r="H134" s="59" t="str">
        <f ca="1">IFERROR(__xludf.DUMMYFUNCTION("""COMPUTED_VALUE"""),"UPDATED")</f>
        <v>UPDATED</v>
      </c>
      <c r="I134" s="76" t="str">
        <f ca="1">IFERROR(__xludf.DUMMYFUNCTION("""COMPUTED_VALUE"""),"https://drive.google.com/open?id=1WkNzNGSelJjF7korD72Ywh0VcdhWIGmz")</f>
        <v>https://drive.google.com/open?id=1WkNzNGSelJjF7korD72Ywh0VcdhWIGmz</v>
      </c>
      <c r="J134" s="59"/>
      <c r="K134" s="59"/>
      <c r="L134" s="59"/>
      <c r="M134" s="59"/>
      <c r="N134" s="59"/>
      <c r="O134" s="59"/>
      <c r="P134" s="59"/>
    </row>
    <row r="135" spans="1:16">
      <c r="A135" s="71">
        <f ca="1">IFERROR(__xludf.DUMMYFUNCTION("""COMPUTED_VALUE"""),45293.6344359838)</f>
        <v>45293.634435983797</v>
      </c>
      <c r="B135" s="59" t="str">
        <f ca="1">IFERROR(__xludf.DUMMYFUNCTION("""COMPUTED_VALUE"""),"KOTADIYA PRIYANSHU BHARATBHAI")</f>
        <v>KOTADIYA PRIYANSHU BHARATBHAI</v>
      </c>
      <c r="C135" s="72" t="str">
        <f ca="1">IFERROR(__xludf.DUMMYFUNCTION("""COMPUTED_VALUE"""),"23SDSCE01057")</f>
        <v>23SDSCE01057</v>
      </c>
      <c r="D135" s="73">
        <f ca="1">IFERROR(__xludf.DUMMYFUNCTION("""COMPUTED_VALUE"""),45293)</f>
        <v>45293</v>
      </c>
      <c r="E135" s="74">
        <f ca="1">IFERROR(__xludf.DUMMYFUNCTION("""COMPUTED_VALUE"""),21250)</f>
        <v>21250</v>
      </c>
      <c r="F135" s="72">
        <f ca="1">IFERROR(__xludf.DUMMYFUNCTION("""COMPUTED_VALUE"""),3000)</f>
        <v>3000</v>
      </c>
      <c r="G135" s="75"/>
      <c r="H135" s="59" t="str">
        <f ca="1">IFERROR(__xludf.DUMMYFUNCTION("""COMPUTED_VALUE"""),"UPDATED")</f>
        <v>UPDATED</v>
      </c>
      <c r="I135" s="76" t="str">
        <f ca="1">IFERROR(__xludf.DUMMYFUNCTION("""COMPUTED_VALUE"""),"https://drive.google.com/open?id=1dQF0A8xhghJW3nOiXtA2SNCKb3r2VU7Y")</f>
        <v>https://drive.google.com/open?id=1dQF0A8xhghJW3nOiXtA2SNCKb3r2VU7Y</v>
      </c>
      <c r="J135" s="59"/>
      <c r="K135" s="59"/>
      <c r="L135" s="59"/>
      <c r="M135" s="59"/>
      <c r="N135" s="59"/>
      <c r="O135" s="59"/>
      <c r="P135" s="59"/>
    </row>
    <row r="136" spans="1:16">
      <c r="A136" s="71">
        <f ca="1">IFERROR(__xludf.DUMMYFUNCTION("""COMPUTED_VALUE"""),45293.6313930439)</f>
        <v>45293.631393043899</v>
      </c>
      <c r="B136" s="59" t="str">
        <f ca="1">IFERROR(__xludf.DUMMYFUNCTION("""COMPUTED_VALUE"""),"Siroya Het Bipinbhai ")</f>
        <v xml:space="preserve">Siroya Het Bipinbhai </v>
      </c>
      <c r="C136" s="72" t="str">
        <f ca="1">IFERROR(__xludf.DUMMYFUNCTION("""COMPUTED_VALUE"""),"23SDSCE01030")</f>
        <v>23SDSCE01030</v>
      </c>
      <c r="D136" s="73">
        <f ca="1">IFERROR(__xludf.DUMMYFUNCTION("""COMPUTED_VALUE"""),45293)</f>
        <v>45293</v>
      </c>
      <c r="E136" s="72"/>
      <c r="F136" s="72">
        <f ca="1">IFERROR(__xludf.DUMMYFUNCTION("""COMPUTED_VALUE"""),3000)</f>
        <v>3000</v>
      </c>
      <c r="G136" s="75"/>
      <c r="H136" s="59" t="str">
        <f ca="1">IFERROR(__xludf.DUMMYFUNCTION("""COMPUTED_VALUE"""),"UPDATED")</f>
        <v>UPDATED</v>
      </c>
      <c r="I136" s="76" t="str">
        <f ca="1">IFERROR(__xludf.DUMMYFUNCTION("""COMPUTED_VALUE"""),"https://drive.google.com/open?id=12Bsu7-vdtQO-IthIA2gA1XRleCzN-Q8c")</f>
        <v>https://drive.google.com/open?id=12Bsu7-vdtQO-IthIA2gA1XRleCzN-Q8c</v>
      </c>
      <c r="J136" s="59"/>
      <c r="K136" s="59"/>
      <c r="L136" s="59"/>
      <c r="M136" s="59"/>
      <c r="N136" s="59"/>
      <c r="O136" s="59"/>
      <c r="P136" s="59"/>
    </row>
    <row r="137" spans="1:16">
      <c r="A137" s="71">
        <f ca="1">IFERROR(__xludf.DUMMYFUNCTION("""COMPUTED_VALUE"""),45293.6243369097)</f>
        <v>45293.624336909699</v>
      </c>
      <c r="B137" s="59" t="str">
        <f ca="1">IFERROR(__xludf.DUMMYFUNCTION("""COMPUTED_VALUE"""),"Paavan chandarana ")</f>
        <v xml:space="preserve">Paavan chandarana </v>
      </c>
      <c r="C137" s="72" t="str">
        <f ca="1">IFERROR(__xludf.DUMMYFUNCTION("""COMPUTED_VALUE"""),"22SDSCE01064")</f>
        <v>22SDSCE01064</v>
      </c>
      <c r="D137" s="73">
        <f ca="1">IFERROR(__xludf.DUMMYFUNCTION("""COMPUTED_VALUE"""),45293)</f>
        <v>45293</v>
      </c>
      <c r="E137" s="74">
        <f ca="1">IFERROR(__xludf.DUMMYFUNCTION("""COMPUTED_VALUE"""),25000)</f>
        <v>25000</v>
      </c>
      <c r="F137" s="72">
        <f ca="1">IFERROR(__xludf.DUMMYFUNCTION("""COMPUTED_VALUE"""),3000)</f>
        <v>3000</v>
      </c>
      <c r="G137" s="75"/>
      <c r="H137" s="59" t="str">
        <f ca="1">IFERROR(__xludf.DUMMYFUNCTION("""COMPUTED_VALUE"""),"UPDATED")</f>
        <v>UPDATED</v>
      </c>
      <c r="I137" s="76" t="str">
        <f ca="1">IFERROR(__xludf.DUMMYFUNCTION("""COMPUTED_VALUE"""),"https://drive.google.com/open?id=1_2QECUswFpf0a_xKUbEt6tzWXL0SvZEL")</f>
        <v>https://drive.google.com/open?id=1_2QECUswFpf0a_xKUbEt6tzWXL0SvZEL</v>
      </c>
      <c r="J137" s="59"/>
      <c r="K137" s="59"/>
      <c r="L137" s="59"/>
      <c r="M137" s="59"/>
      <c r="N137" s="59"/>
      <c r="O137" s="59"/>
      <c r="P137" s="59"/>
    </row>
    <row r="138" spans="1:16">
      <c r="A138" s="71">
        <f ca="1">IFERROR(__xludf.DUMMYFUNCTION("""COMPUTED_VALUE"""),45293.6181156018)</f>
        <v>45293.618115601799</v>
      </c>
      <c r="B138" s="59" t="str">
        <f ca="1">IFERROR(__xludf.DUMMYFUNCTION("""COMPUTED_VALUE"""),"Goti om pareshbhai ")</f>
        <v xml:space="preserve">Goti om pareshbhai </v>
      </c>
      <c r="C138" s="72" t="str">
        <f ca="1">IFERROR(__xludf.DUMMYFUNCTION("""COMPUTED_VALUE"""),"23SDSCE01214")</f>
        <v>23SDSCE01214</v>
      </c>
      <c r="D138" s="73">
        <f ca="1">IFERROR(__xludf.DUMMYFUNCTION("""COMPUTED_VALUE"""),45293)</f>
        <v>45293</v>
      </c>
      <c r="E138" s="74">
        <f ca="1">IFERROR(__xludf.DUMMYFUNCTION("""COMPUTED_VALUE"""),27500)</f>
        <v>27500</v>
      </c>
      <c r="F138" s="72"/>
      <c r="G138" s="75"/>
      <c r="H138" s="59" t="str">
        <f ca="1">IFERROR(__xludf.DUMMYFUNCTION("""COMPUTED_VALUE"""),"UPDATED")</f>
        <v>UPDATED</v>
      </c>
      <c r="I138" s="76" t="str">
        <f ca="1">IFERROR(__xludf.DUMMYFUNCTION("""COMPUTED_VALUE"""),"https://drive.google.com/open?id=1Jgkl2BGT0eAgUuJlmunGnIS7t5RX2PeU")</f>
        <v>https://drive.google.com/open?id=1Jgkl2BGT0eAgUuJlmunGnIS7t5RX2PeU</v>
      </c>
      <c r="J138" s="59"/>
      <c r="K138" s="59"/>
      <c r="L138" s="59"/>
      <c r="M138" s="59"/>
      <c r="N138" s="59"/>
      <c r="O138" s="59"/>
      <c r="P138" s="59"/>
    </row>
    <row r="139" spans="1:16">
      <c r="A139" s="71">
        <f ca="1">IFERROR(__xludf.DUMMYFUNCTION("""COMPUTED_VALUE"""),45293.6108878703)</f>
        <v>45293.610887870302</v>
      </c>
      <c r="B139" s="59" t="str">
        <f ca="1">IFERROR(__xludf.DUMMYFUNCTION("""COMPUTED_VALUE"""),"TRIVEDI SHIVAM SACHINBHAI")</f>
        <v>TRIVEDI SHIVAM SACHINBHAI</v>
      </c>
      <c r="C139" s="72" t="str">
        <f ca="1">IFERROR(__xludf.DUMMYFUNCTION("""COMPUTED_VALUE"""),"22SDSME01016")</f>
        <v>22SDSME01016</v>
      </c>
      <c r="D139" s="73">
        <f ca="1">IFERROR(__xludf.DUMMYFUNCTION("""COMPUTED_VALUE"""),45293)</f>
        <v>45293</v>
      </c>
      <c r="E139" s="72"/>
      <c r="F139" s="72">
        <f ca="1">IFERROR(__xludf.DUMMYFUNCTION("""COMPUTED_VALUE"""),3000)</f>
        <v>3000</v>
      </c>
      <c r="G139" s="75"/>
      <c r="H139" s="59" t="str">
        <f ca="1">IFERROR(__xludf.DUMMYFUNCTION("""COMPUTED_VALUE"""),"UPDATED")</f>
        <v>UPDATED</v>
      </c>
      <c r="I139" s="76" t="str">
        <f ca="1">IFERROR(__xludf.DUMMYFUNCTION("""COMPUTED_VALUE"""),"https://drive.google.com/open?id=1V8npQCqas70Ql1jYcrZcHCvXXSHjBNRx")</f>
        <v>https://drive.google.com/open?id=1V8npQCqas70Ql1jYcrZcHCvXXSHjBNRx</v>
      </c>
      <c r="J139" s="59"/>
      <c r="K139" s="59"/>
      <c r="L139" s="59"/>
      <c r="M139" s="59"/>
      <c r="N139" s="59"/>
      <c r="O139" s="59"/>
      <c r="P139" s="59"/>
    </row>
    <row r="140" spans="1:16">
      <c r="A140" s="71">
        <f ca="1">IFERROR(__xludf.DUMMYFUNCTION("""COMPUTED_VALUE"""),45293.6056159027)</f>
        <v>45293.605615902699</v>
      </c>
      <c r="B140" s="59" t="str">
        <f ca="1">IFERROR(__xludf.DUMMYFUNCTION("""COMPUTED_VALUE"""),"Vamaja raj ishvarbhai")</f>
        <v>Vamaja raj ishvarbhai</v>
      </c>
      <c r="C140" s="72" t="str">
        <f ca="1">IFERROR(__xludf.DUMMYFUNCTION("""COMPUTED_VALUE"""),"23sdsce01149")</f>
        <v>23sdsce01149</v>
      </c>
      <c r="D140" s="73">
        <f ca="1">IFERROR(__xludf.DUMMYFUNCTION("""COMPUTED_VALUE"""),45293)</f>
        <v>45293</v>
      </c>
      <c r="E140" s="74">
        <f ca="1">IFERROR(__xludf.DUMMYFUNCTION("""COMPUTED_VALUE"""),27500)</f>
        <v>27500</v>
      </c>
      <c r="F140" s="72">
        <f ca="1">IFERROR(__xludf.DUMMYFUNCTION("""COMPUTED_VALUE"""),3000)</f>
        <v>3000</v>
      </c>
      <c r="G140" s="75"/>
      <c r="H140" s="59" t="str">
        <f ca="1">IFERROR(__xludf.DUMMYFUNCTION("""COMPUTED_VALUE"""),"UPDATED")</f>
        <v>UPDATED</v>
      </c>
      <c r="I140" s="76" t="str">
        <f ca="1">IFERROR(__xludf.DUMMYFUNCTION("""COMPUTED_VALUE"""),"https://drive.google.com/open?id=19ABKDY_qBvSp9sF6WmaGLnITANJ78vcU")</f>
        <v>https://drive.google.com/open?id=19ABKDY_qBvSp9sF6WmaGLnITANJ78vcU</v>
      </c>
      <c r="J140" s="59"/>
      <c r="K140" s="59"/>
      <c r="L140" s="59"/>
      <c r="M140" s="59"/>
      <c r="N140" s="59"/>
      <c r="O140" s="59"/>
      <c r="P140" s="59"/>
    </row>
    <row r="141" spans="1:16">
      <c r="A141" s="71">
        <f ca="1">IFERROR(__xludf.DUMMYFUNCTION("""COMPUTED_VALUE"""),45293.6039379745)</f>
        <v>45293.603937974498</v>
      </c>
      <c r="B141" s="59" t="str">
        <f ca="1">IFERROR(__xludf.DUMMYFUNCTION("""COMPUTED_VALUE"""),"Rangani Kaushal Pravinbhai")</f>
        <v>Rangani Kaushal Pravinbhai</v>
      </c>
      <c r="C141" s="72" t="str">
        <f ca="1">IFERROR(__xludf.DUMMYFUNCTION("""COMPUTED_VALUE"""),"22SDSCE01095")</f>
        <v>22SDSCE01095</v>
      </c>
      <c r="D141" s="73">
        <f ca="1">IFERROR(__xludf.DUMMYFUNCTION("""COMPUTED_VALUE"""),45293)</f>
        <v>45293</v>
      </c>
      <c r="E141" s="74">
        <f ca="1">IFERROR(__xludf.DUMMYFUNCTION("""COMPUTED_VALUE"""),25000)</f>
        <v>25000</v>
      </c>
      <c r="F141" s="72">
        <f ca="1">IFERROR(__xludf.DUMMYFUNCTION("""COMPUTED_VALUE"""),3000)</f>
        <v>3000</v>
      </c>
      <c r="G141" s="75"/>
      <c r="H141" s="59" t="str">
        <f ca="1">IFERROR(__xludf.DUMMYFUNCTION("""COMPUTED_VALUE"""),"UPDATED")</f>
        <v>UPDATED</v>
      </c>
      <c r="I141" s="76" t="str">
        <f ca="1">IFERROR(__xludf.DUMMYFUNCTION("""COMPUTED_VALUE"""),"https://drive.google.com/open?id=1GhCw0Lq3z0uYzBXhoU_OaI3pqNNMmeDB")</f>
        <v>https://drive.google.com/open?id=1GhCw0Lq3z0uYzBXhoU_OaI3pqNNMmeDB</v>
      </c>
      <c r="J141" s="59"/>
      <c r="K141" s="59"/>
      <c r="L141" s="59"/>
      <c r="M141" s="59"/>
      <c r="N141" s="59"/>
      <c r="O141" s="59"/>
      <c r="P141" s="59"/>
    </row>
    <row r="142" spans="1:16">
      <c r="A142" s="71">
        <f ca="1">IFERROR(__xludf.DUMMYFUNCTION("""COMPUTED_VALUE"""),45293.6033373148)</f>
        <v>45293.603337314802</v>
      </c>
      <c r="B142" s="59" t="str">
        <f ca="1">IFERROR(__xludf.DUMMYFUNCTION("""COMPUTED_VALUE"""),"Godhaniya jayesh sarmanbhai")</f>
        <v>Godhaniya jayesh sarmanbhai</v>
      </c>
      <c r="C142" s="72" t="str">
        <f ca="1">IFERROR(__xludf.DUMMYFUNCTION("""COMPUTED_VALUE"""),"23SDSCE01213")</f>
        <v>23SDSCE01213</v>
      </c>
      <c r="D142" s="73">
        <f ca="1">IFERROR(__xludf.DUMMYFUNCTION("""COMPUTED_VALUE"""),45293)</f>
        <v>45293</v>
      </c>
      <c r="E142" s="74">
        <f ca="1">IFERROR(__xludf.DUMMYFUNCTION("""COMPUTED_VALUE"""),0)</f>
        <v>0</v>
      </c>
      <c r="F142" s="72">
        <f ca="1">IFERROR(__xludf.DUMMYFUNCTION("""COMPUTED_VALUE"""),3000)</f>
        <v>3000</v>
      </c>
      <c r="G142" s="75"/>
      <c r="H142" s="59" t="str">
        <f ca="1">IFERROR(__xludf.DUMMYFUNCTION("""COMPUTED_VALUE"""),"UPDATED")</f>
        <v>UPDATED</v>
      </c>
      <c r="I142" s="76" t="str">
        <f ca="1">IFERROR(__xludf.DUMMYFUNCTION("""COMPUTED_VALUE"""),"https://drive.google.com/open?id=1XxS2ByZGiAGa6J4t4LxOFFCKB19PntMO")</f>
        <v>https://drive.google.com/open?id=1XxS2ByZGiAGa6J4t4LxOFFCKB19PntMO</v>
      </c>
      <c r="J142" s="59"/>
      <c r="K142" s="59"/>
      <c r="L142" s="59"/>
      <c r="M142" s="59"/>
      <c r="N142" s="59"/>
      <c r="O142" s="59"/>
      <c r="P142" s="59"/>
    </row>
    <row r="143" spans="1:16">
      <c r="A143" s="71">
        <f ca="1">IFERROR(__xludf.DUMMYFUNCTION("""COMPUTED_VALUE"""),45293.5953873958)</f>
        <v>45293.595387395799</v>
      </c>
      <c r="B143" s="59" t="str">
        <f ca="1">IFERROR(__xludf.DUMMYFUNCTION("""COMPUTED_VALUE"""),"Dev Patel ")</f>
        <v xml:space="preserve">Dev Patel </v>
      </c>
      <c r="C143" s="72" t="str">
        <f ca="1">IFERROR(__xludf.DUMMYFUNCTION("""COMPUTED_VALUE"""),"22SDSCE01089")</f>
        <v>22SDSCE01089</v>
      </c>
      <c r="D143" s="73">
        <f ca="1">IFERROR(__xludf.DUMMYFUNCTION("""COMPUTED_VALUE"""),45291)</f>
        <v>45291</v>
      </c>
      <c r="E143" s="72"/>
      <c r="F143" s="72">
        <f ca="1">IFERROR(__xludf.DUMMYFUNCTION("""COMPUTED_VALUE"""),3000)</f>
        <v>3000</v>
      </c>
      <c r="G143" s="75"/>
      <c r="H143" s="59" t="str">
        <f ca="1">IFERROR(__xludf.DUMMYFUNCTION("""COMPUTED_VALUE"""),"UPDATED")</f>
        <v>UPDATED</v>
      </c>
      <c r="I143" s="76" t="str">
        <f ca="1">IFERROR(__xludf.DUMMYFUNCTION("""COMPUTED_VALUE"""),"https://drive.google.com/open?id=15y-tIDlmsZrZ8wFUSJtFzcrzo0Bn-4sA")</f>
        <v>https://drive.google.com/open?id=15y-tIDlmsZrZ8wFUSJtFzcrzo0Bn-4sA</v>
      </c>
      <c r="J143" s="59"/>
      <c r="K143" s="59"/>
      <c r="L143" s="59"/>
      <c r="M143" s="59"/>
      <c r="N143" s="59"/>
      <c r="O143" s="59"/>
      <c r="P143" s="59"/>
    </row>
    <row r="144" spans="1:16">
      <c r="A144" s="71">
        <f ca="1">IFERROR(__xludf.DUMMYFUNCTION("""COMPUTED_VALUE"""),45293.5927881944)</f>
        <v>45293.592788194401</v>
      </c>
      <c r="B144" s="59" t="str">
        <f ca="1">IFERROR(__xludf.DUMMYFUNCTION("""COMPUTED_VALUE"""),"Dev Patel")</f>
        <v>Dev Patel</v>
      </c>
      <c r="C144" s="72" t="str">
        <f ca="1">IFERROR(__xludf.DUMMYFUNCTION("""COMPUTED_VALUE"""),"22SDSCE01089")</f>
        <v>22SDSCE01089</v>
      </c>
      <c r="D144" s="73">
        <f ca="1">IFERROR(__xludf.DUMMYFUNCTION("""COMPUTED_VALUE"""),45291)</f>
        <v>45291</v>
      </c>
      <c r="E144" s="74">
        <f ca="1">IFERROR(__xludf.DUMMYFUNCTION("""COMPUTED_VALUE"""),25000)</f>
        <v>25000</v>
      </c>
      <c r="F144" s="72"/>
      <c r="G144" s="75"/>
      <c r="H144" s="59" t="str">
        <f ca="1">IFERROR(__xludf.DUMMYFUNCTION("""COMPUTED_VALUE"""),"UPDATED")</f>
        <v>UPDATED</v>
      </c>
      <c r="I144" s="76" t="str">
        <f ca="1">IFERROR(__xludf.DUMMYFUNCTION("""COMPUTED_VALUE"""),"https://drive.google.com/open?id=1wT0XdTVHgNbtfetjHDKP6KWTau0dIhe9")</f>
        <v>https://drive.google.com/open?id=1wT0XdTVHgNbtfetjHDKP6KWTau0dIhe9</v>
      </c>
      <c r="J144" s="59"/>
      <c r="K144" s="59"/>
      <c r="L144" s="59"/>
      <c r="M144" s="59"/>
      <c r="N144" s="59"/>
      <c r="O144" s="59"/>
      <c r="P144" s="59"/>
    </row>
    <row r="145" spans="1:16">
      <c r="A145" s="71">
        <f ca="1">IFERROR(__xludf.DUMMYFUNCTION("""COMPUTED_VALUE"""),45293.5694077083)</f>
        <v>45293.569407708303</v>
      </c>
      <c r="B145" s="59" t="str">
        <f ca="1">IFERROR(__xludf.DUMMYFUNCTION("""COMPUTED_VALUE"""),"Tahelyani jatin")</f>
        <v>Tahelyani jatin</v>
      </c>
      <c r="C145" s="72" t="str">
        <f ca="1">IFERROR(__xludf.DUMMYFUNCTION("""COMPUTED_VALUE"""),"23SDSCE01069")</f>
        <v>23SDSCE01069</v>
      </c>
      <c r="D145" s="73">
        <f ca="1">IFERROR(__xludf.DUMMYFUNCTION("""COMPUTED_VALUE"""),45293)</f>
        <v>45293</v>
      </c>
      <c r="E145" s="72"/>
      <c r="F145" s="72">
        <f ca="1">IFERROR(__xludf.DUMMYFUNCTION("""COMPUTED_VALUE"""),3000)</f>
        <v>3000</v>
      </c>
      <c r="G145" s="75"/>
      <c r="H145" s="59" t="str">
        <f ca="1">IFERROR(__xludf.DUMMYFUNCTION("""COMPUTED_VALUE"""),"UPDATED")</f>
        <v>UPDATED</v>
      </c>
      <c r="I145" s="76" t="str">
        <f ca="1">IFERROR(__xludf.DUMMYFUNCTION("""COMPUTED_VALUE"""),"https://drive.google.com/open?id=1IUr-YEZS7GGUN4H4n0zQDyvW3WTMOjgQ")</f>
        <v>https://drive.google.com/open?id=1IUr-YEZS7GGUN4H4n0zQDyvW3WTMOjgQ</v>
      </c>
      <c r="J145" s="59"/>
      <c r="K145" s="59"/>
      <c r="L145" s="59"/>
      <c r="M145" s="59"/>
      <c r="N145" s="59"/>
      <c r="O145" s="59"/>
      <c r="P145" s="59"/>
    </row>
    <row r="146" spans="1:16">
      <c r="A146" s="71">
        <f ca="1">IFERROR(__xludf.DUMMYFUNCTION("""COMPUTED_VALUE"""),45293.5666758564)</f>
        <v>45293.566675856397</v>
      </c>
      <c r="B146" s="59" t="str">
        <f ca="1">IFERROR(__xludf.DUMMYFUNCTION("""COMPUTED_VALUE"""),"Vasani utsav lakhmanbhai")</f>
        <v>Vasani utsav lakhmanbhai</v>
      </c>
      <c r="C146" s="72" t="str">
        <f ca="1">IFERROR(__xludf.DUMMYFUNCTION("""COMPUTED_VALUE"""),"22SDSCE01120")</f>
        <v>22SDSCE01120</v>
      </c>
      <c r="D146" s="73">
        <f ca="1">IFERROR(__xludf.DUMMYFUNCTION("""COMPUTED_VALUE"""),45293)</f>
        <v>45293</v>
      </c>
      <c r="E146" s="72"/>
      <c r="F146" s="72">
        <f ca="1">IFERROR(__xludf.DUMMYFUNCTION("""COMPUTED_VALUE"""),3000)</f>
        <v>3000</v>
      </c>
      <c r="G146" s="75"/>
      <c r="H146" s="59" t="str">
        <f ca="1">IFERROR(__xludf.DUMMYFUNCTION("""COMPUTED_VALUE"""),"UPDATED")</f>
        <v>UPDATED</v>
      </c>
      <c r="I146" s="76" t="str">
        <f ca="1">IFERROR(__xludf.DUMMYFUNCTION("""COMPUTED_VALUE"""),"https://drive.google.com/open?id=1QQmUCk_SkAInyobyZfgCOrd2dhuOdCAK")</f>
        <v>https://drive.google.com/open?id=1QQmUCk_SkAInyobyZfgCOrd2dhuOdCAK</v>
      </c>
      <c r="J146" s="59"/>
      <c r="K146" s="59"/>
      <c r="L146" s="59"/>
      <c r="M146" s="59"/>
      <c r="N146" s="59"/>
      <c r="O146" s="59"/>
      <c r="P146" s="59"/>
    </row>
    <row r="147" spans="1:16">
      <c r="A147" s="71">
        <f ca="1">IFERROR(__xludf.DUMMYFUNCTION("""COMPUTED_VALUE"""),45293.5595478472)</f>
        <v>45293.559547847202</v>
      </c>
      <c r="B147" s="59" t="str">
        <f ca="1">IFERROR(__xludf.DUMMYFUNCTION("""COMPUTED_VALUE"""),"BAMBHANIYA YASH DHANSUKH ")</f>
        <v xml:space="preserve">BAMBHANIYA YASH DHANSUKH </v>
      </c>
      <c r="C147" s="72" t="str">
        <f ca="1">IFERROR(__xludf.DUMMYFUNCTION("""COMPUTED_VALUE"""),"23SDSCE01204")</f>
        <v>23SDSCE01204</v>
      </c>
      <c r="D147" s="73">
        <f ca="1">IFERROR(__xludf.DUMMYFUNCTION("""COMPUTED_VALUE"""),45293)</f>
        <v>45293</v>
      </c>
      <c r="E147" s="74">
        <f ca="1">IFERROR(__xludf.DUMMYFUNCTION("""COMPUTED_VALUE"""),27500)</f>
        <v>27500</v>
      </c>
      <c r="F147" s="72">
        <f ca="1">IFERROR(__xludf.DUMMYFUNCTION("""COMPUTED_VALUE"""),3000)</f>
        <v>3000</v>
      </c>
      <c r="G147" s="75"/>
      <c r="H147" s="59" t="str">
        <f ca="1">IFERROR(__xludf.DUMMYFUNCTION("""COMPUTED_VALUE"""),"UPDATED")</f>
        <v>UPDATED</v>
      </c>
      <c r="I147" s="76" t="str">
        <f ca="1">IFERROR(__xludf.DUMMYFUNCTION("""COMPUTED_VALUE"""),"https://drive.google.com/open?id=1T6GyD91laBor-7GVnBv_qpHudSDLhHoH")</f>
        <v>https://drive.google.com/open?id=1T6GyD91laBor-7GVnBv_qpHudSDLhHoH</v>
      </c>
      <c r="J147" s="59"/>
      <c r="K147" s="59"/>
      <c r="L147" s="59"/>
      <c r="M147" s="59"/>
      <c r="N147" s="59"/>
      <c r="O147" s="59"/>
      <c r="P147" s="59"/>
    </row>
    <row r="148" spans="1:16">
      <c r="A148" s="71">
        <f ca="1">IFERROR(__xludf.DUMMYFUNCTION("""COMPUTED_VALUE"""),45293.5428819212)</f>
        <v>45293.542881921203</v>
      </c>
      <c r="B148" s="59" t="str">
        <f ca="1">IFERROR(__xludf.DUMMYFUNCTION("""COMPUTED_VALUE"""),"Domadiya pranav Nileshbhai ")</f>
        <v xml:space="preserve">Domadiya pranav Nileshbhai </v>
      </c>
      <c r="C148" s="72" t="str">
        <f ca="1">IFERROR(__xludf.DUMMYFUNCTION("""COMPUTED_VALUE"""),"23SDSCE01212")</f>
        <v>23SDSCE01212</v>
      </c>
      <c r="D148" s="73">
        <f ca="1">IFERROR(__xludf.DUMMYFUNCTION("""COMPUTED_VALUE"""),45293)</f>
        <v>45293</v>
      </c>
      <c r="E148" s="74">
        <f ca="1">IFERROR(__xludf.DUMMYFUNCTION("""COMPUTED_VALUE"""),27500)</f>
        <v>27500</v>
      </c>
      <c r="F148" s="72">
        <f ca="1">IFERROR(__xludf.DUMMYFUNCTION("""COMPUTED_VALUE"""),3000)</f>
        <v>3000</v>
      </c>
      <c r="G148" s="75"/>
      <c r="H148" s="59" t="str">
        <f ca="1">IFERROR(__xludf.DUMMYFUNCTION("""COMPUTED_VALUE"""),"UPDATED")</f>
        <v>UPDATED</v>
      </c>
      <c r="I148" s="76" t="str">
        <f ca="1">IFERROR(__xludf.DUMMYFUNCTION("""COMPUTED_VALUE"""),"https://drive.google.com/open?id=1JVzL36ptIN8ED-2sCXGSuZ6J2rywjet-")</f>
        <v>https://drive.google.com/open?id=1JVzL36ptIN8ED-2sCXGSuZ6J2rywjet-</v>
      </c>
      <c r="J148" s="59"/>
      <c r="K148" s="59"/>
      <c r="L148" s="59"/>
      <c r="M148" s="59"/>
      <c r="N148" s="59"/>
      <c r="O148" s="59"/>
      <c r="P148" s="59"/>
    </row>
    <row r="149" spans="1:16">
      <c r="A149" s="71">
        <f ca="1">IFERROR(__xludf.DUMMYFUNCTION("""COMPUTED_VALUE"""),45293.5418883217)</f>
        <v>45293.541888321699</v>
      </c>
      <c r="B149" s="59" t="str">
        <f ca="1">IFERROR(__xludf.DUMMYFUNCTION("""COMPUTED_VALUE"""),"Bhuva prinsa Mukeshbhai ")</f>
        <v xml:space="preserve">Bhuva prinsa Mukeshbhai </v>
      </c>
      <c r="C149" s="72" t="str">
        <f ca="1">IFERROR(__xludf.DUMMYFUNCTION("""COMPUTED_VALUE"""),"23SDSCE01081")</f>
        <v>23SDSCE01081</v>
      </c>
      <c r="D149" s="73">
        <f ca="1">IFERROR(__xludf.DUMMYFUNCTION("""COMPUTED_VALUE"""),45293)</f>
        <v>45293</v>
      </c>
      <c r="E149" s="72"/>
      <c r="F149" s="72">
        <f ca="1">IFERROR(__xludf.DUMMYFUNCTION("""COMPUTED_VALUE"""),3000)</f>
        <v>3000</v>
      </c>
      <c r="G149" s="75"/>
      <c r="H149" s="59" t="str">
        <f ca="1">IFERROR(__xludf.DUMMYFUNCTION("""COMPUTED_VALUE"""),"UPDATED")</f>
        <v>UPDATED</v>
      </c>
      <c r="I149" s="76" t="str">
        <f ca="1">IFERROR(__xludf.DUMMYFUNCTION("""COMPUTED_VALUE"""),"https://drive.google.com/open?id=1wXRTJXn8MhxKGZywxpq2FZMP3uuxQDmN")</f>
        <v>https://drive.google.com/open?id=1wXRTJXn8MhxKGZywxpq2FZMP3uuxQDmN</v>
      </c>
      <c r="J149" s="59"/>
      <c r="K149" s="59"/>
      <c r="L149" s="59"/>
      <c r="M149" s="59"/>
      <c r="N149" s="59"/>
      <c r="O149" s="59"/>
      <c r="P149" s="59"/>
    </row>
    <row r="150" spans="1:16">
      <c r="A150" s="71">
        <f ca="1">IFERROR(__xludf.DUMMYFUNCTION("""COMPUTED_VALUE"""),45293.5245489814)</f>
        <v>45293.524548981397</v>
      </c>
      <c r="B150" s="59" t="str">
        <f ca="1">IFERROR(__xludf.DUMMYFUNCTION("""COMPUTED_VALUE"""),"Nasit aayush ashvinbhai ")</f>
        <v xml:space="preserve">Nasit aayush ashvinbhai </v>
      </c>
      <c r="C150" s="72" t="str">
        <f ca="1">IFERROR(__xludf.DUMMYFUNCTION("""COMPUTED_VALUE"""),"22SDSCE01077")</f>
        <v>22SDSCE01077</v>
      </c>
      <c r="D150" s="73">
        <f ca="1">IFERROR(__xludf.DUMMYFUNCTION("""COMPUTED_VALUE"""),45293)</f>
        <v>45293</v>
      </c>
      <c r="E150" s="74">
        <f ca="1">IFERROR(__xludf.DUMMYFUNCTION("""COMPUTED_VALUE"""),12500)</f>
        <v>12500</v>
      </c>
      <c r="F150" s="72">
        <f ca="1">IFERROR(__xludf.DUMMYFUNCTION("""COMPUTED_VALUE"""),3000)</f>
        <v>3000</v>
      </c>
      <c r="G150" s="75"/>
      <c r="H150" s="59" t="str">
        <f ca="1">IFERROR(__xludf.DUMMYFUNCTION("""COMPUTED_VALUE"""),"UPDATED")</f>
        <v>UPDATED</v>
      </c>
      <c r="I150" s="76" t="str">
        <f ca="1">IFERROR(__xludf.DUMMYFUNCTION("""COMPUTED_VALUE"""),"https://drive.google.com/open?id=1_zPfJbmRqbaC2u3C8_aaV3lOva7fxSaW")</f>
        <v>https://drive.google.com/open?id=1_zPfJbmRqbaC2u3C8_aaV3lOva7fxSaW</v>
      </c>
      <c r="J150" s="59"/>
      <c r="K150" s="59"/>
      <c r="L150" s="59"/>
      <c r="M150" s="59"/>
      <c r="N150" s="59"/>
      <c r="O150" s="59"/>
      <c r="P150" s="59"/>
    </row>
    <row r="151" spans="1:16">
      <c r="A151" s="71">
        <f ca="1">IFERROR(__xludf.DUMMYFUNCTION("""COMPUTED_VALUE"""),45293.5193720949)</f>
        <v>45293.519372094903</v>
      </c>
      <c r="B151" s="59" t="str">
        <f ca="1">IFERROR(__xludf.DUMMYFUNCTION("""COMPUTED_VALUE"""),"Parekhiya yash bipinbhai")</f>
        <v>Parekhiya yash bipinbhai</v>
      </c>
      <c r="C151" s="72" t="str">
        <f ca="1">IFERROR(__xludf.DUMMYFUNCTION("""COMPUTED_VALUE"""),"23SDSCE01023")</f>
        <v>23SDSCE01023</v>
      </c>
      <c r="D151" s="73">
        <f ca="1">IFERROR(__xludf.DUMMYFUNCTION("""COMPUTED_VALUE"""),45293)</f>
        <v>45293</v>
      </c>
      <c r="E151" s="74">
        <f ca="1">IFERROR(__xludf.DUMMYFUNCTION("""COMPUTED_VALUE"""),0)</f>
        <v>0</v>
      </c>
      <c r="F151" s="72">
        <f ca="1">IFERROR(__xludf.DUMMYFUNCTION("""COMPUTED_VALUE"""),3000)</f>
        <v>3000</v>
      </c>
      <c r="G151" s="75"/>
      <c r="H151" s="59" t="str">
        <f ca="1">IFERROR(__xludf.DUMMYFUNCTION("""COMPUTED_VALUE"""),"UPDATED")</f>
        <v>UPDATED</v>
      </c>
      <c r="I151" s="76" t="str">
        <f ca="1">IFERROR(__xludf.DUMMYFUNCTION("""COMPUTED_VALUE"""),"https://drive.google.com/open?id=1jzmzJZ9Z2CjCwr4Vk57ZVHsMbMZ9Po9g")</f>
        <v>https://drive.google.com/open?id=1jzmzJZ9Z2CjCwr4Vk57ZVHsMbMZ9Po9g</v>
      </c>
      <c r="J151" s="59"/>
      <c r="K151" s="59"/>
      <c r="L151" s="59"/>
      <c r="M151" s="59"/>
      <c r="N151" s="59"/>
      <c r="O151" s="59"/>
      <c r="P151" s="59"/>
    </row>
    <row r="152" spans="1:16">
      <c r="A152" s="71">
        <f ca="1">IFERROR(__xludf.DUMMYFUNCTION("""COMPUTED_VALUE"""),45293.514246956)</f>
        <v>45293.514246956001</v>
      </c>
      <c r="B152" s="59" t="str">
        <f ca="1">IFERROR(__xludf.DUMMYFUNCTION("""COMPUTED_VALUE"""),"Gohel Amit Kishorbhai ")</f>
        <v xml:space="preserve">Gohel Amit Kishorbhai </v>
      </c>
      <c r="C152" s="72" t="str">
        <f ca="1">IFERROR(__xludf.DUMMYFUNCTION("""COMPUTED_VALUE"""),"22SDSEE01007")</f>
        <v>22SDSEE01007</v>
      </c>
      <c r="D152" s="73">
        <f ca="1">IFERROR(__xludf.DUMMYFUNCTION("""COMPUTED_VALUE"""),45293)</f>
        <v>45293</v>
      </c>
      <c r="E152" s="72"/>
      <c r="F152" s="72">
        <f ca="1">IFERROR(__xludf.DUMMYFUNCTION("""COMPUTED_VALUE"""),3000)</f>
        <v>3000</v>
      </c>
      <c r="G152" s="75"/>
      <c r="H152" s="59" t="str">
        <f ca="1">IFERROR(__xludf.DUMMYFUNCTION("""COMPUTED_VALUE"""),"UPDATED")</f>
        <v>UPDATED</v>
      </c>
      <c r="I152" s="76" t="str">
        <f ca="1">IFERROR(__xludf.DUMMYFUNCTION("""COMPUTED_VALUE"""),"https://drive.google.com/open?id=1t1KG_oaWOr3C4HuR3fh2VG-AXJ-eSMmi")</f>
        <v>https://drive.google.com/open?id=1t1KG_oaWOr3C4HuR3fh2VG-AXJ-eSMmi</v>
      </c>
      <c r="J152" s="59"/>
      <c r="K152" s="59"/>
      <c r="L152" s="59"/>
      <c r="M152" s="59"/>
      <c r="N152" s="59"/>
      <c r="O152" s="59"/>
      <c r="P152" s="59"/>
    </row>
    <row r="153" spans="1:16">
      <c r="A153" s="71">
        <f ca="1">IFERROR(__xludf.DUMMYFUNCTION("""COMPUTED_VALUE"""),45293.5129561689)</f>
        <v>45293.512956168903</v>
      </c>
      <c r="B153" s="59" t="str">
        <f ca="1">IFERROR(__xludf.DUMMYFUNCTION("""COMPUTED_VALUE"""),"Gohel Amit Kishorbhai ")</f>
        <v xml:space="preserve">Gohel Amit Kishorbhai </v>
      </c>
      <c r="C153" s="72" t="str">
        <f ca="1">IFERROR(__xludf.DUMMYFUNCTION("""COMPUTED_VALUE"""),"22SDSEE01007")</f>
        <v>22SDSEE01007</v>
      </c>
      <c r="D153" s="73">
        <f ca="1">IFERROR(__xludf.DUMMYFUNCTION("""COMPUTED_VALUE"""),45293)</f>
        <v>45293</v>
      </c>
      <c r="E153" s="74">
        <f ca="1">IFERROR(__xludf.DUMMYFUNCTION("""COMPUTED_VALUE"""),2500)</f>
        <v>2500</v>
      </c>
      <c r="F153" s="72"/>
      <c r="G153" s="75"/>
      <c r="H153" s="59" t="str">
        <f ca="1">IFERROR(__xludf.DUMMYFUNCTION("""COMPUTED_VALUE"""),"UPDATED")</f>
        <v>UPDATED</v>
      </c>
      <c r="I153" s="76" t="str">
        <f ca="1">IFERROR(__xludf.DUMMYFUNCTION("""COMPUTED_VALUE"""),"https://drive.google.com/open?id=1eUlnZIoZg9_9fJrovSAHusHOmJMoOnrt")</f>
        <v>https://drive.google.com/open?id=1eUlnZIoZg9_9fJrovSAHusHOmJMoOnrt</v>
      </c>
      <c r="J153" s="59"/>
      <c r="K153" s="59"/>
      <c r="L153" s="59"/>
      <c r="M153" s="59"/>
      <c r="N153" s="59"/>
      <c r="O153" s="59"/>
      <c r="P153" s="59"/>
    </row>
    <row r="154" spans="1:16">
      <c r="A154" s="71">
        <f ca="1">IFERROR(__xludf.DUMMYFUNCTION("""COMPUTED_VALUE"""),45293.509554456)</f>
        <v>45293.509554456003</v>
      </c>
      <c r="B154" s="59" t="str">
        <f ca="1">IFERROR(__xludf.DUMMYFUNCTION("""COMPUTED_VALUE"""),"Het kansagra")</f>
        <v>Het kansagra</v>
      </c>
      <c r="C154" s="72" t="str">
        <f ca="1">IFERROR(__xludf.DUMMYFUNCTION("""COMPUTED_VALUE"""),"23SDSCE01218")</f>
        <v>23SDSCE01218</v>
      </c>
      <c r="D154" s="73">
        <f ca="1">IFERROR(__xludf.DUMMYFUNCTION("""COMPUTED_VALUE"""),45292)</f>
        <v>45292</v>
      </c>
      <c r="E154" s="74">
        <f ca="1">IFERROR(__xludf.DUMMYFUNCTION("""COMPUTED_VALUE"""),27500)</f>
        <v>27500</v>
      </c>
      <c r="F154" s="72">
        <f ca="1">IFERROR(__xludf.DUMMYFUNCTION("""COMPUTED_VALUE"""),3000)</f>
        <v>3000</v>
      </c>
      <c r="G154" s="75"/>
      <c r="H154" s="59" t="str">
        <f ca="1">IFERROR(__xludf.DUMMYFUNCTION("""COMPUTED_VALUE"""),"UPDATED")</f>
        <v>UPDATED</v>
      </c>
      <c r="I154" s="76" t="str">
        <f ca="1">IFERROR(__xludf.DUMMYFUNCTION("""COMPUTED_VALUE"""),"https://drive.google.com/open?id=1Nfj98VIfaUSMFk-f0O7u3rjxpYrj3FOi")</f>
        <v>https://drive.google.com/open?id=1Nfj98VIfaUSMFk-f0O7u3rjxpYrj3FOi</v>
      </c>
      <c r="J154" s="59"/>
      <c r="K154" s="59"/>
      <c r="L154" s="59"/>
      <c r="M154" s="59"/>
      <c r="N154" s="59"/>
      <c r="O154" s="59"/>
      <c r="P154" s="59"/>
    </row>
    <row r="155" spans="1:16">
      <c r="A155" s="71">
        <f ca="1">IFERROR(__xludf.DUMMYFUNCTION("""COMPUTED_VALUE"""),45293.5063715162)</f>
        <v>45293.506371516203</v>
      </c>
      <c r="B155" s="59" t="str">
        <f ca="1">IFERROR(__xludf.DUMMYFUNCTION("""COMPUTED_VALUE"""),"Ramani Priyanshi Vipulbhai ")</f>
        <v xml:space="preserve">Ramani Priyanshi Vipulbhai </v>
      </c>
      <c r="C155" s="72" t="str">
        <f ca="1">IFERROR(__xludf.DUMMYFUNCTION("""COMPUTED_VALUE"""),"22SDSCE01182")</f>
        <v>22SDSCE01182</v>
      </c>
      <c r="D155" s="73">
        <f ca="1">IFERROR(__xludf.DUMMYFUNCTION("""COMPUTED_VALUE"""),45293)</f>
        <v>45293</v>
      </c>
      <c r="E155" s="74">
        <f ca="1">IFERROR(__xludf.DUMMYFUNCTION("""COMPUTED_VALUE"""),0)</f>
        <v>0</v>
      </c>
      <c r="F155" s="72">
        <f ca="1">IFERROR(__xludf.DUMMYFUNCTION("""COMPUTED_VALUE"""),3000)</f>
        <v>3000</v>
      </c>
      <c r="G155" s="75"/>
      <c r="H155" s="59" t="str">
        <f ca="1">IFERROR(__xludf.DUMMYFUNCTION("""COMPUTED_VALUE"""),"UPDATED")</f>
        <v>UPDATED</v>
      </c>
      <c r="I155" s="76" t="str">
        <f ca="1">IFERROR(__xludf.DUMMYFUNCTION("""COMPUTED_VALUE"""),"https://drive.google.com/open?id=1nqqGIlYUH09LlI1MSDpNNDT1gMMXlT05")</f>
        <v>https://drive.google.com/open?id=1nqqGIlYUH09LlI1MSDpNNDT1gMMXlT05</v>
      </c>
      <c r="J155" s="59"/>
      <c r="K155" s="59"/>
      <c r="L155" s="59"/>
      <c r="M155" s="59"/>
      <c r="N155" s="59"/>
      <c r="O155" s="59"/>
      <c r="P155" s="59"/>
    </row>
    <row r="156" spans="1:16">
      <c r="A156" s="71">
        <f ca="1">IFERROR(__xludf.DUMMYFUNCTION("""COMPUTED_VALUE"""),45293.5062588425)</f>
        <v>45293.506258842499</v>
      </c>
      <c r="B156" s="59" t="str">
        <f ca="1">IFERROR(__xludf.DUMMYFUNCTION("""COMPUTED_VALUE"""),"Kotak Nikhil")</f>
        <v>Kotak Nikhil</v>
      </c>
      <c r="C156" s="72" t="str">
        <f ca="1">IFERROR(__xludf.DUMMYFUNCTION("""COMPUTED_VALUE"""),"22SDSCE01056")</f>
        <v>22SDSCE01056</v>
      </c>
      <c r="D156" s="73">
        <f ca="1">IFERROR(__xludf.DUMMYFUNCTION("""COMPUTED_VALUE"""),45293)</f>
        <v>45293</v>
      </c>
      <c r="E156" s="72"/>
      <c r="F156" s="72">
        <f ca="1">IFERROR(__xludf.DUMMYFUNCTION("""COMPUTED_VALUE"""),3000)</f>
        <v>3000</v>
      </c>
      <c r="G156" s="75"/>
      <c r="H156" s="59" t="str">
        <f ca="1">IFERROR(__xludf.DUMMYFUNCTION("""COMPUTED_VALUE"""),"UPDATED")</f>
        <v>UPDATED</v>
      </c>
      <c r="I156" s="76" t="str">
        <f ca="1">IFERROR(__xludf.DUMMYFUNCTION("""COMPUTED_VALUE"""),"https://drive.google.com/open?id=1X7Ukgbstf_JkIxhHadtJ1ezLaycP6M05")</f>
        <v>https://drive.google.com/open?id=1X7Ukgbstf_JkIxhHadtJ1ezLaycP6M05</v>
      </c>
      <c r="J156" s="59"/>
      <c r="K156" s="59"/>
      <c r="L156" s="59"/>
      <c r="M156" s="59"/>
      <c r="N156" s="59"/>
      <c r="O156" s="59"/>
      <c r="P156" s="59"/>
    </row>
    <row r="157" spans="1:16">
      <c r="A157" s="71">
        <f ca="1">IFERROR(__xludf.DUMMYFUNCTION("""COMPUTED_VALUE"""),45293.5055727777)</f>
        <v>45293.5055727777</v>
      </c>
      <c r="B157" s="59" t="str">
        <f ca="1">IFERROR(__xludf.DUMMYFUNCTION("""COMPUTED_VALUE"""),"Trivedi Dhruv Maheshbhai")</f>
        <v>Trivedi Dhruv Maheshbhai</v>
      </c>
      <c r="C157" s="72" t="str">
        <f ca="1">IFERROR(__xludf.DUMMYFUNCTION("""COMPUTED_VALUE"""),"23SDSCE01072")</f>
        <v>23SDSCE01072</v>
      </c>
      <c r="D157" s="73">
        <f ca="1">IFERROR(__xludf.DUMMYFUNCTION("""COMPUTED_VALUE"""),45293)</f>
        <v>45293</v>
      </c>
      <c r="E157" s="74">
        <f ca="1">IFERROR(__xludf.DUMMYFUNCTION("""COMPUTED_VALUE"""),21250)</f>
        <v>21250</v>
      </c>
      <c r="F157" s="72">
        <f ca="1">IFERROR(__xludf.DUMMYFUNCTION("""COMPUTED_VALUE"""),3000)</f>
        <v>3000</v>
      </c>
      <c r="G157" s="75"/>
      <c r="H157" s="59" t="str">
        <f ca="1">IFERROR(__xludf.DUMMYFUNCTION("""COMPUTED_VALUE"""),"UPDATED")</f>
        <v>UPDATED</v>
      </c>
      <c r="I157" s="76" t="str">
        <f ca="1">IFERROR(__xludf.DUMMYFUNCTION("""COMPUTED_VALUE"""),"https://drive.google.com/open?id=1NbWAUMsFxHAY-qXRx_y27Cjkm8R4CK8T")</f>
        <v>https://drive.google.com/open?id=1NbWAUMsFxHAY-qXRx_y27Cjkm8R4CK8T</v>
      </c>
      <c r="J157" s="59"/>
      <c r="K157" s="59"/>
      <c r="L157" s="59"/>
      <c r="M157" s="59"/>
      <c r="N157" s="59"/>
      <c r="O157" s="59"/>
      <c r="P157" s="59"/>
    </row>
    <row r="158" spans="1:16">
      <c r="A158" s="71">
        <f ca="1">IFERROR(__xludf.DUMMYFUNCTION("""COMPUTED_VALUE"""),45293.5027468055)</f>
        <v>45293.502746805498</v>
      </c>
      <c r="B158" s="59" t="str">
        <f ca="1">IFERROR(__xludf.DUMMYFUNCTION("""COMPUTED_VALUE"""),"Javiya krisha prakashbhai")</f>
        <v>Javiya krisha prakashbhai</v>
      </c>
      <c r="C158" s="72" t="str">
        <f ca="1">IFERROR(__xludf.DUMMYFUNCTION("""COMPUTED_VALUE"""),"22SDSCE01154")</f>
        <v>22SDSCE01154</v>
      </c>
      <c r="D158" s="73">
        <f ca="1">IFERROR(__xludf.DUMMYFUNCTION("""COMPUTED_VALUE"""),45293)</f>
        <v>45293</v>
      </c>
      <c r="E158" s="72"/>
      <c r="F158" s="72">
        <f ca="1">IFERROR(__xludf.DUMMYFUNCTION("""COMPUTED_VALUE"""),3000)</f>
        <v>3000</v>
      </c>
      <c r="G158" s="75"/>
      <c r="H158" s="59" t="str">
        <f ca="1">IFERROR(__xludf.DUMMYFUNCTION("""COMPUTED_VALUE"""),"UPDATED")</f>
        <v>UPDATED</v>
      </c>
      <c r="I158" s="76" t="str">
        <f ca="1">IFERROR(__xludf.DUMMYFUNCTION("""COMPUTED_VALUE"""),"https://drive.google.com/open?id=1tUArd86NRJx7P7FR51eO0JUda7iBBXGN")</f>
        <v>https://drive.google.com/open?id=1tUArd86NRJx7P7FR51eO0JUda7iBBXGN</v>
      </c>
      <c r="J158" s="59"/>
      <c r="K158" s="59"/>
      <c r="L158" s="59"/>
      <c r="M158" s="59"/>
      <c r="N158" s="59"/>
      <c r="O158" s="59"/>
      <c r="P158" s="59"/>
    </row>
    <row r="159" spans="1:16">
      <c r="A159" s="71">
        <f ca="1">IFERROR(__xludf.DUMMYFUNCTION("""COMPUTED_VALUE"""),45293.4970027893)</f>
        <v>45293.4970027893</v>
      </c>
      <c r="B159" s="59" t="str">
        <f ca="1">IFERROR(__xludf.DUMMYFUNCTION("""COMPUTED_VALUE"""),"Krishan Kant sah ")</f>
        <v xml:space="preserve">Krishan Kant sah </v>
      </c>
      <c r="C159" s="72" t="str">
        <f ca="1">IFERROR(__xludf.DUMMYFUNCTION("""COMPUTED_VALUE"""),"22SDSCE01622")</f>
        <v>22SDSCE01622</v>
      </c>
      <c r="D159" s="73">
        <f ca="1">IFERROR(__xludf.DUMMYFUNCTION("""COMPUTED_VALUE"""),45293)</f>
        <v>45293</v>
      </c>
      <c r="E159" s="74">
        <f ca="1">IFERROR(__xludf.DUMMYFUNCTION("""COMPUTED_VALUE"""),37500)</f>
        <v>37500</v>
      </c>
      <c r="F159" s="72"/>
      <c r="G159" s="75"/>
      <c r="H159" s="59" t="str">
        <f ca="1">IFERROR(__xludf.DUMMYFUNCTION("""COMPUTED_VALUE"""),"UPDATED")</f>
        <v>UPDATED</v>
      </c>
      <c r="I159" s="76" t="str">
        <f ca="1">IFERROR(__xludf.DUMMYFUNCTION("""COMPUTED_VALUE"""),"https://drive.google.com/open?id=1TfeUuNjXK7v7aHz8hAZLzHwy4fxaYHEY")</f>
        <v>https://drive.google.com/open?id=1TfeUuNjXK7v7aHz8hAZLzHwy4fxaYHEY</v>
      </c>
      <c r="J159" s="59"/>
      <c r="K159" s="59"/>
      <c r="L159" s="59"/>
      <c r="M159" s="59"/>
      <c r="N159" s="59"/>
      <c r="O159" s="59"/>
      <c r="P159" s="59"/>
    </row>
    <row r="160" spans="1:16">
      <c r="A160" s="71">
        <f ca="1">IFERROR(__xludf.DUMMYFUNCTION("""COMPUTED_VALUE"""),45293.4671630439)</f>
        <v>45293.467163043897</v>
      </c>
      <c r="B160" s="59" t="str">
        <f ca="1">IFERROR(__xludf.DUMMYFUNCTION("""COMPUTED_VALUE"""),"Mahiben Bhimani")</f>
        <v>Mahiben Bhimani</v>
      </c>
      <c r="C160" s="72" t="str">
        <f ca="1">IFERROR(__xludf.DUMMYFUNCTION("""COMPUTED_VALUE"""),"22SDSCE01134")</f>
        <v>22SDSCE01134</v>
      </c>
      <c r="D160" s="73">
        <f ca="1">IFERROR(__xludf.DUMMYFUNCTION("""COMPUTED_VALUE"""),45293)</f>
        <v>45293</v>
      </c>
      <c r="E160" s="74">
        <f ca="1">IFERROR(__xludf.DUMMYFUNCTION("""COMPUTED_VALUE"""),25000)</f>
        <v>25000</v>
      </c>
      <c r="F160" s="72"/>
      <c r="G160" s="75"/>
      <c r="H160" s="59" t="str">
        <f ca="1">IFERROR(__xludf.DUMMYFUNCTION("""COMPUTED_VALUE"""),"UPDATED")</f>
        <v>UPDATED</v>
      </c>
      <c r="I160" s="76" t="str">
        <f ca="1">IFERROR(__xludf.DUMMYFUNCTION("""COMPUTED_VALUE"""),"https://drive.google.com/open?id=13Q92_2GM2gbIJ9j_X2-rfwiIso4hAL3u")</f>
        <v>https://drive.google.com/open?id=13Q92_2GM2gbIJ9j_X2-rfwiIso4hAL3u</v>
      </c>
      <c r="J160" s="59"/>
      <c r="K160" s="59"/>
      <c r="L160" s="59"/>
      <c r="M160" s="59"/>
      <c r="N160" s="59"/>
      <c r="O160" s="59"/>
      <c r="P160" s="59"/>
    </row>
    <row r="161" spans="1:16">
      <c r="A161" s="71">
        <f ca="1">IFERROR(__xludf.DUMMYFUNCTION("""COMPUTED_VALUE"""),45293.4533370717)</f>
        <v>45293.453337071704</v>
      </c>
      <c r="B161" s="59" t="str">
        <f ca="1">IFERROR(__xludf.DUMMYFUNCTION("""COMPUTED_VALUE"""),"Aarav LIMBASIYA ")</f>
        <v xml:space="preserve">Aarav LIMBASIYA </v>
      </c>
      <c r="C161" s="72" t="str">
        <f ca="1">IFERROR(__xludf.DUMMYFUNCTION("""COMPUTED_VALUE"""),"23SDSEE01010")</f>
        <v>23SDSEE01010</v>
      </c>
      <c r="D161" s="73">
        <f ca="1">IFERROR(__xludf.DUMMYFUNCTION("""COMPUTED_VALUE"""),45293)</f>
        <v>45293</v>
      </c>
      <c r="E161" s="72"/>
      <c r="F161" s="72">
        <f ca="1">IFERROR(__xludf.DUMMYFUNCTION("""COMPUTED_VALUE"""),3000)</f>
        <v>3000</v>
      </c>
      <c r="G161" s="75"/>
      <c r="H161" s="59" t="str">
        <f ca="1">IFERROR(__xludf.DUMMYFUNCTION("""COMPUTED_VALUE"""),"UPDATED")</f>
        <v>UPDATED</v>
      </c>
      <c r="I161" s="76" t="str">
        <f ca="1">IFERROR(__xludf.DUMMYFUNCTION("""COMPUTED_VALUE"""),"https://drive.google.com/open?id=1rndFU2VyTjKp-23qiQqCH0Ef9dUzr5Su")</f>
        <v>https://drive.google.com/open?id=1rndFU2VyTjKp-23qiQqCH0Ef9dUzr5Su</v>
      </c>
      <c r="J161" s="59"/>
      <c r="K161" s="59"/>
      <c r="L161" s="59"/>
      <c r="M161" s="59"/>
      <c r="N161" s="59"/>
      <c r="O161" s="59"/>
      <c r="P161" s="59"/>
    </row>
    <row r="162" spans="1:16">
      <c r="A162" s="71">
        <f ca="1">IFERROR(__xludf.DUMMYFUNCTION("""COMPUTED_VALUE"""),45293.4440750462)</f>
        <v>45293.444075046202</v>
      </c>
      <c r="B162" s="59" t="str">
        <f ca="1">IFERROR(__xludf.DUMMYFUNCTION("""COMPUTED_VALUE"""),"chavda abhishek Mahesh bhai ")</f>
        <v xml:space="preserve">chavda abhishek Mahesh bhai </v>
      </c>
      <c r="C162" s="72" t="str">
        <f ca="1">IFERROR(__xludf.DUMMYFUNCTION("""COMPUTED_VALUE"""),"23SDSCE01157")</f>
        <v>23SDSCE01157</v>
      </c>
      <c r="D162" s="73">
        <f ca="1">IFERROR(__xludf.DUMMYFUNCTION("""COMPUTED_VALUE"""),45293)</f>
        <v>45293</v>
      </c>
      <c r="E162" s="74">
        <f ca="1">IFERROR(__xludf.DUMMYFUNCTION("""COMPUTED_VALUE"""),27500)</f>
        <v>27500</v>
      </c>
      <c r="F162" s="72">
        <f ca="1">IFERROR(__xludf.DUMMYFUNCTION("""COMPUTED_VALUE"""),3000)</f>
        <v>3000</v>
      </c>
      <c r="G162" s="75"/>
      <c r="H162" s="59" t="str">
        <f ca="1">IFERROR(__xludf.DUMMYFUNCTION("""COMPUTED_VALUE"""),"UPDATED")</f>
        <v>UPDATED</v>
      </c>
      <c r="I162" s="76" t="str">
        <f ca="1">IFERROR(__xludf.DUMMYFUNCTION("""COMPUTED_VALUE"""),"https://drive.google.com/open?id=1CBGzv3vcYzf5bZflVr_1MDETfwNuEQ5S")</f>
        <v>https://drive.google.com/open?id=1CBGzv3vcYzf5bZflVr_1MDETfwNuEQ5S</v>
      </c>
      <c r="J162" s="59"/>
      <c r="K162" s="59"/>
      <c r="L162" s="59"/>
      <c r="M162" s="59"/>
      <c r="N162" s="59"/>
      <c r="O162" s="59"/>
      <c r="P162" s="59"/>
    </row>
    <row r="163" spans="1:16">
      <c r="A163" s="71">
        <f ca="1">IFERROR(__xludf.DUMMYFUNCTION("""COMPUTED_VALUE"""),45293.4399582754)</f>
        <v>45293.439958275398</v>
      </c>
      <c r="B163" s="59" t="str">
        <f ca="1">IFERROR(__xludf.DUMMYFUNCTION("""COMPUTED_VALUE"""),"Jeel dusara ")</f>
        <v xml:space="preserve">Jeel dusara </v>
      </c>
      <c r="C163" s="72" t="str">
        <f ca="1">IFERROR(__xludf.DUMMYFUNCTION("""COMPUTED_VALUE"""),"23SDSCE01131")</f>
        <v>23SDSCE01131</v>
      </c>
      <c r="D163" s="73">
        <f ca="1">IFERROR(__xludf.DUMMYFUNCTION("""COMPUTED_VALUE"""),45293)</f>
        <v>45293</v>
      </c>
      <c r="E163" s="74">
        <f ca="1">IFERROR(__xludf.DUMMYFUNCTION("""COMPUTED_VALUE"""),27500)</f>
        <v>27500</v>
      </c>
      <c r="F163" s="72">
        <f ca="1">IFERROR(__xludf.DUMMYFUNCTION("""COMPUTED_VALUE"""),3000)</f>
        <v>3000</v>
      </c>
      <c r="G163" s="75"/>
      <c r="H163" s="59" t="str">
        <f ca="1">IFERROR(__xludf.DUMMYFUNCTION("""COMPUTED_VALUE"""),"UPDATED")</f>
        <v>UPDATED</v>
      </c>
      <c r="I163" s="76" t="str">
        <f ca="1">IFERROR(__xludf.DUMMYFUNCTION("""COMPUTED_VALUE"""),"https://drive.google.com/open?id=1UeynmuYmiAYBJz2dkD1FeZXGc9xELr7S")</f>
        <v>https://drive.google.com/open?id=1UeynmuYmiAYBJz2dkD1FeZXGc9xELr7S</v>
      </c>
      <c r="J163" s="59"/>
      <c r="K163" s="59"/>
      <c r="L163" s="59"/>
      <c r="M163" s="59"/>
      <c r="N163" s="59"/>
      <c r="O163" s="59"/>
      <c r="P163" s="59"/>
    </row>
    <row r="164" spans="1:16">
      <c r="A164" s="71">
        <f ca="1">IFERROR(__xludf.DUMMYFUNCTION("""COMPUTED_VALUE"""),45293.4376539467)</f>
        <v>45293.437653946698</v>
      </c>
      <c r="B164" s="59" t="str">
        <f ca="1">IFERROR(__xludf.DUMMYFUNCTION("""COMPUTED_VALUE"""),"KOTADIYA PRIYANSHU BHARATKUMAR")</f>
        <v>KOTADIYA PRIYANSHU BHARATKUMAR</v>
      </c>
      <c r="C164" s="72" t="str">
        <f ca="1">IFERROR(__xludf.DUMMYFUNCTION("""COMPUTED_VALUE"""),"23SDSCE01057")</f>
        <v>23SDSCE01057</v>
      </c>
      <c r="D164" s="73">
        <f ca="1">IFERROR(__xludf.DUMMYFUNCTION("""COMPUTED_VALUE"""),45293)</f>
        <v>45293</v>
      </c>
      <c r="E164" s="74">
        <f ca="1">IFERROR(__xludf.DUMMYFUNCTION("""COMPUTED_VALUE"""),21250)</f>
        <v>21250</v>
      </c>
      <c r="F164" s="72">
        <f ca="1">IFERROR(__xludf.DUMMYFUNCTION("""COMPUTED_VALUE"""),3000)</f>
        <v>3000</v>
      </c>
      <c r="G164" s="75"/>
      <c r="H164" s="59" t="str">
        <f ca="1">IFERROR(__xludf.DUMMYFUNCTION("""COMPUTED_VALUE"""),"UPDATED")</f>
        <v>UPDATED</v>
      </c>
      <c r="I164" s="76" t="str">
        <f ca="1">IFERROR(__xludf.DUMMYFUNCTION("""COMPUTED_VALUE"""),"https://drive.google.com/open?id=1Ai_PP1ohsFcl0F_DBgEwzk1zngLpQjgd")</f>
        <v>https://drive.google.com/open?id=1Ai_PP1ohsFcl0F_DBgEwzk1zngLpQjgd</v>
      </c>
      <c r="J164" s="59"/>
      <c r="K164" s="59"/>
      <c r="L164" s="59"/>
      <c r="M164" s="59"/>
      <c r="N164" s="59"/>
      <c r="O164" s="59"/>
      <c r="P164" s="59"/>
    </row>
    <row r="165" spans="1:16">
      <c r="A165" s="71">
        <f ca="1">IFERROR(__xludf.DUMMYFUNCTION("""COMPUTED_VALUE"""),45293.4348828356)</f>
        <v>45293.434882835601</v>
      </c>
      <c r="B165" s="59" t="str">
        <f ca="1">IFERROR(__xludf.DUMMYFUNCTION("""COMPUTED_VALUE"""),"KOTADIYA PRIYANSHU BHARATKUMAR")</f>
        <v>KOTADIYA PRIYANSHU BHARATKUMAR</v>
      </c>
      <c r="C165" s="72" t="str">
        <f ca="1">IFERROR(__xludf.DUMMYFUNCTION("""COMPUTED_VALUE"""),"23SDSCE01057")</f>
        <v>23SDSCE01057</v>
      </c>
      <c r="D165" s="73">
        <f ca="1">IFERROR(__xludf.DUMMYFUNCTION("""COMPUTED_VALUE"""),45293)</f>
        <v>45293</v>
      </c>
      <c r="E165" s="74">
        <f ca="1">IFERROR(__xludf.DUMMYFUNCTION("""COMPUTED_VALUE"""),21250)</f>
        <v>21250</v>
      </c>
      <c r="F165" s="72">
        <f ca="1">IFERROR(__xludf.DUMMYFUNCTION("""COMPUTED_VALUE"""),3000)</f>
        <v>3000</v>
      </c>
      <c r="G165" s="75"/>
      <c r="H165" s="59" t="str">
        <f ca="1">IFERROR(__xludf.DUMMYFUNCTION("""COMPUTED_VALUE"""),"UPDATED")</f>
        <v>UPDATED</v>
      </c>
      <c r="I165" s="76" t="str">
        <f ca="1">IFERROR(__xludf.DUMMYFUNCTION("""COMPUTED_VALUE"""),"https://drive.google.com/open?id=1uQq9fLrSeTgwmBJZVDIhu-t2o_X0-YVH")</f>
        <v>https://drive.google.com/open?id=1uQq9fLrSeTgwmBJZVDIhu-t2o_X0-YVH</v>
      </c>
      <c r="J165" s="59"/>
      <c r="K165" s="59"/>
      <c r="L165" s="59"/>
      <c r="M165" s="59"/>
      <c r="N165" s="59"/>
      <c r="O165" s="59"/>
      <c r="P165" s="59"/>
    </row>
    <row r="166" spans="1:16">
      <c r="A166" s="71">
        <f ca="1">IFERROR(__xludf.DUMMYFUNCTION("""COMPUTED_VALUE"""),45293.4329804745)</f>
        <v>45293.432980474499</v>
      </c>
      <c r="B166" s="59" t="str">
        <f ca="1">IFERROR(__xludf.DUMMYFUNCTION("""COMPUTED_VALUE"""),"Jadav hiren Mukesh bhai ")</f>
        <v xml:space="preserve">Jadav hiren Mukesh bhai </v>
      </c>
      <c r="C166" s="72" t="str">
        <f ca="1">IFERROR(__xludf.DUMMYFUNCTION("""COMPUTED_VALUE"""),"23SDSCE01135")</f>
        <v>23SDSCE01135</v>
      </c>
      <c r="D166" s="73">
        <f ca="1">IFERROR(__xludf.DUMMYFUNCTION("""COMPUTED_VALUE"""),45293)</f>
        <v>45293</v>
      </c>
      <c r="E166" s="74">
        <f ca="1">IFERROR(__xludf.DUMMYFUNCTION("""COMPUTED_VALUE"""),27500)</f>
        <v>27500</v>
      </c>
      <c r="F166" s="72">
        <f ca="1">IFERROR(__xludf.DUMMYFUNCTION("""COMPUTED_VALUE"""),3000)</f>
        <v>3000</v>
      </c>
      <c r="G166" s="75"/>
      <c r="H166" s="59" t="str">
        <f ca="1">IFERROR(__xludf.DUMMYFUNCTION("""COMPUTED_VALUE"""),"UPDATED")</f>
        <v>UPDATED</v>
      </c>
      <c r="I166" s="76" t="str">
        <f ca="1">IFERROR(__xludf.DUMMYFUNCTION("""COMPUTED_VALUE"""),"https://drive.google.com/open?id=1mZ4oFBCbukB3KVL6NSs0jRBbMFwa4nR8")</f>
        <v>https://drive.google.com/open?id=1mZ4oFBCbukB3KVL6NSs0jRBbMFwa4nR8</v>
      </c>
      <c r="J166" s="59"/>
      <c r="K166" s="59"/>
      <c r="L166" s="59"/>
      <c r="M166" s="59"/>
      <c r="N166" s="59"/>
      <c r="O166" s="59"/>
      <c r="P166" s="59"/>
    </row>
    <row r="167" spans="1:16">
      <c r="A167" s="71">
        <f ca="1">IFERROR(__xludf.DUMMYFUNCTION("""COMPUTED_VALUE"""),45293.4327188888)</f>
        <v>45293.432718888798</v>
      </c>
      <c r="B167" s="59" t="str">
        <f ca="1">IFERROR(__xludf.DUMMYFUNCTION("""COMPUTED_VALUE"""),"RONAK KANSAGARA ")</f>
        <v xml:space="preserve">RONAK KANSAGARA </v>
      </c>
      <c r="C167" s="72" t="str">
        <f ca="1">IFERROR(__xludf.DUMMYFUNCTION("""COMPUTED_VALUE"""),"23SDSEE01006")</f>
        <v>23SDSEE01006</v>
      </c>
      <c r="D167" s="73">
        <f ca="1">IFERROR(__xludf.DUMMYFUNCTION("""COMPUTED_VALUE"""),45293)</f>
        <v>45293</v>
      </c>
      <c r="E167" s="74">
        <f ca="1">IFERROR(__xludf.DUMMYFUNCTION("""COMPUTED_VALUE"""),27500)</f>
        <v>27500</v>
      </c>
      <c r="F167" s="72">
        <f ca="1">IFERROR(__xludf.DUMMYFUNCTION("""COMPUTED_VALUE"""),3000)</f>
        <v>3000</v>
      </c>
      <c r="G167" s="75"/>
      <c r="H167" s="59" t="str">
        <f ca="1">IFERROR(__xludf.DUMMYFUNCTION("""COMPUTED_VALUE"""),"UPDATED")</f>
        <v>UPDATED</v>
      </c>
      <c r="I167" s="76" t="str">
        <f ca="1">IFERROR(__xludf.DUMMYFUNCTION("""COMPUTED_VALUE"""),"https://drive.google.com/open?id=1A-XetdWRyb8i9ZDR8EqX-2mrbZhmchCw")</f>
        <v>https://drive.google.com/open?id=1A-XetdWRyb8i9ZDR8EqX-2mrbZhmchCw</v>
      </c>
      <c r="J167" s="59"/>
      <c r="K167" s="59"/>
      <c r="L167" s="59"/>
      <c r="M167" s="59"/>
      <c r="N167" s="59"/>
      <c r="O167" s="59"/>
      <c r="P167" s="59"/>
    </row>
    <row r="168" spans="1:16">
      <c r="A168" s="71">
        <f ca="1">IFERROR(__xludf.DUMMYFUNCTION("""COMPUTED_VALUE"""),45293.4321467013)</f>
        <v>45293.4321467013</v>
      </c>
      <c r="B168" s="59" t="str">
        <f ca="1">IFERROR(__xludf.DUMMYFUNCTION("""COMPUTED_VALUE"""),"Jeel dusara ")</f>
        <v xml:space="preserve">Jeel dusara </v>
      </c>
      <c r="C168" s="72" t="str">
        <f ca="1">IFERROR(__xludf.DUMMYFUNCTION("""COMPUTED_VALUE"""),"23SDSCE01131")</f>
        <v>23SDSCE01131</v>
      </c>
      <c r="D168" s="73">
        <f ca="1">IFERROR(__xludf.DUMMYFUNCTION("""COMPUTED_VALUE"""),45293)</f>
        <v>45293</v>
      </c>
      <c r="E168" s="74">
        <f ca="1">IFERROR(__xludf.DUMMYFUNCTION("""COMPUTED_VALUE"""),27500)</f>
        <v>27500</v>
      </c>
      <c r="F168" s="72">
        <f ca="1">IFERROR(__xludf.DUMMYFUNCTION("""COMPUTED_VALUE"""),3000)</f>
        <v>3000</v>
      </c>
      <c r="G168" s="75"/>
      <c r="H168" s="59" t="str">
        <f ca="1">IFERROR(__xludf.DUMMYFUNCTION("""COMPUTED_VALUE"""),"UPDATED")</f>
        <v>UPDATED</v>
      </c>
      <c r="I168" s="76" t="str">
        <f ca="1">IFERROR(__xludf.DUMMYFUNCTION("""COMPUTED_VALUE"""),"https://drive.google.com/open?id=17G9TpB1mO0wmh21dp1rN5_3FwIfKOR-n")</f>
        <v>https://drive.google.com/open?id=17G9TpB1mO0wmh21dp1rN5_3FwIfKOR-n</v>
      </c>
      <c r="J168" s="59"/>
      <c r="K168" s="59"/>
      <c r="L168" s="59"/>
      <c r="M168" s="59"/>
      <c r="N168" s="59"/>
      <c r="O168" s="59"/>
      <c r="P168" s="59"/>
    </row>
    <row r="169" spans="1:16">
      <c r="A169" s="71">
        <f ca="1">IFERROR(__xludf.DUMMYFUNCTION("""COMPUTED_VALUE"""),45293.4015416319)</f>
        <v>45293.401541631902</v>
      </c>
      <c r="B169" s="59" t="str">
        <f ca="1">IFERROR(__xludf.DUMMYFUNCTION("""COMPUTED_VALUE"""),"Tanmay Pawar ")</f>
        <v xml:space="preserve">Tanmay Pawar </v>
      </c>
      <c r="C169" s="72" t="str">
        <f ca="1">IFERROR(__xludf.DUMMYFUNCTION("""COMPUTED_VALUE"""),"23SDSCE01240")</f>
        <v>23SDSCE01240</v>
      </c>
      <c r="D169" s="73">
        <f ca="1">IFERROR(__xludf.DUMMYFUNCTION("""COMPUTED_VALUE"""),45293)</f>
        <v>45293</v>
      </c>
      <c r="E169" s="72"/>
      <c r="F169" s="72">
        <f ca="1">IFERROR(__xludf.DUMMYFUNCTION("""COMPUTED_VALUE"""),22000)</f>
        <v>22000</v>
      </c>
      <c r="G169" s="75"/>
      <c r="H169" s="59" t="str">
        <f ca="1">IFERROR(__xludf.DUMMYFUNCTION("""COMPUTED_VALUE"""),"UPDATED")</f>
        <v>UPDATED</v>
      </c>
      <c r="I169" s="76" t="str">
        <f ca="1">IFERROR(__xludf.DUMMYFUNCTION("""COMPUTED_VALUE"""),"https://drive.google.com/open?id=1wV29c9xHc5djgJA_yHnvVheA_wfKjhiT")</f>
        <v>https://drive.google.com/open?id=1wV29c9xHc5djgJA_yHnvVheA_wfKjhiT</v>
      </c>
      <c r="J169" s="59"/>
      <c r="K169" s="59"/>
      <c r="L169" s="59"/>
      <c r="M169" s="59"/>
      <c r="N169" s="59"/>
      <c r="O169" s="59"/>
      <c r="P169" s="59"/>
    </row>
    <row r="170" spans="1:16">
      <c r="A170" s="71">
        <f ca="1">IFERROR(__xludf.DUMMYFUNCTION("""COMPUTED_VALUE"""),45293.3999293981)</f>
        <v>45293.399929398103</v>
      </c>
      <c r="B170" s="59" t="str">
        <f ca="1">IFERROR(__xludf.DUMMYFUNCTION("""COMPUTED_VALUE"""),"Meet gondaliya ")</f>
        <v xml:space="preserve">Meet gondaliya </v>
      </c>
      <c r="C170" s="72" t="str">
        <f ca="1">IFERROR(__xludf.DUMMYFUNCTION("""COMPUTED_VALUE"""),"23SDSCE01134")</f>
        <v>23SDSCE01134</v>
      </c>
      <c r="D170" s="73">
        <f ca="1">IFERROR(__xludf.DUMMYFUNCTION("""COMPUTED_VALUE"""),45293)</f>
        <v>45293</v>
      </c>
      <c r="E170" s="74">
        <f ca="1">IFERROR(__xludf.DUMMYFUNCTION("""COMPUTED_VALUE"""),27500)</f>
        <v>27500</v>
      </c>
      <c r="F170" s="72">
        <f ca="1">IFERROR(__xludf.DUMMYFUNCTION("""COMPUTED_VALUE"""),3000)</f>
        <v>3000</v>
      </c>
      <c r="G170" s="75"/>
      <c r="H170" s="59" t="str">
        <f ca="1">IFERROR(__xludf.DUMMYFUNCTION("""COMPUTED_VALUE"""),"UPDATED")</f>
        <v>UPDATED</v>
      </c>
      <c r="I170" s="76" t="str">
        <f ca="1">IFERROR(__xludf.DUMMYFUNCTION("""COMPUTED_VALUE"""),"https://drive.google.com/open?id=12B2Kb15W3NKPW_7gcg2lB3DPgt7OYWLp")</f>
        <v>https://drive.google.com/open?id=12B2Kb15W3NKPW_7gcg2lB3DPgt7OYWLp</v>
      </c>
      <c r="J170" s="59"/>
      <c r="K170" s="59"/>
      <c r="L170" s="59"/>
      <c r="M170" s="59"/>
      <c r="N170" s="59"/>
      <c r="O170" s="59"/>
      <c r="P170" s="59"/>
    </row>
    <row r="171" spans="1:16">
      <c r="A171" s="71">
        <f ca="1">IFERROR(__xludf.DUMMYFUNCTION("""COMPUTED_VALUE"""),45293.395488449)</f>
        <v>45293.395488449001</v>
      </c>
      <c r="B171" s="59" t="str">
        <f ca="1">IFERROR(__xludf.DUMMYFUNCTION("""COMPUTED_VALUE"""),"Ravi botadara")</f>
        <v>Ravi botadara</v>
      </c>
      <c r="C171" s="72" t="str">
        <f ca="1">IFERROR(__xludf.DUMMYFUNCTION("""COMPUTED_VALUE"""),"23sdsce01083")</f>
        <v>23sdsce01083</v>
      </c>
      <c r="D171" s="73">
        <f ca="1">IFERROR(__xludf.DUMMYFUNCTION("""COMPUTED_VALUE"""),39503)</f>
        <v>39503</v>
      </c>
      <c r="E171" s="74">
        <f ca="1">IFERROR(__xludf.DUMMYFUNCTION("""COMPUTED_VALUE"""),27500)</f>
        <v>27500</v>
      </c>
      <c r="F171" s="72">
        <f ca="1">IFERROR(__xludf.DUMMYFUNCTION("""COMPUTED_VALUE"""),3000)</f>
        <v>3000</v>
      </c>
      <c r="G171" s="75"/>
      <c r="H171" s="59" t="str">
        <f ca="1">IFERROR(__xludf.DUMMYFUNCTION("""COMPUTED_VALUE"""),"UPDATED")</f>
        <v>UPDATED</v>
      </c>
      <c r="I171" s="76" t="str">
        <f ca="1">IFERROR(__xludf.DUMMYFUNCTION("""COMPUTED_VALUE"""),"https://drive.google.com/open?id=1ocbp8e47boS0dKz6r-fDHmD0cXabX-gw")</f>
        <v>https://drive.google.com/open?id=1ocbp8e47boS0dKz6r-fDHmD0cXabX-gw</v>
      </c>
      <c r="J171" s="59"/>
      <c r="K171" s="59"/>
      <c r="L171" s="59"/>
      <c r="M171" s="59"/>
      <c r="N171" s="59"/>
      <c r="O171" s="59"/>
      <c r="P171" s="59"/>
    </row>
    <row r="172" spans="1:16">
      <c r="A172" s="71">
        <f ca="1">IFERROR(__xludf.DUMMYFUNCTION("""COMPUTED_VALUE"""),45293.3913888657)</f>
        <v>45293.391388865697</v>
      </c>
      <c r="B172" s="59" t="str">
        <f ca="1">IFERROR(__xludf.DUMMYFUNCTION("""COMPUTED_VALUE"""),"Tanmay Pawar ")</f>
        <v xml:space="preserve">Tanmay Pawar </v>
      </c>
      <c r="C172" s="72" t="str">
        <f ca="1">IFERROR(__xludf.DUMMYFUNCTION("""COMPUTED_VALUE"""),"23SDSCE01240")</f>
        <v>23SDSCE01240</v>
      </c>
      <c r="D172" s="73">
        <f ca="1">IFERROR(__xludf.DUMMYFUNCTION("""COMPUTED_VALUE"""),45293)</f>
        <v>45293</v>
      </c>
      <c r="E172" s="72"/>
      <c r="F172" s="72">
        <f ca="1">IFERROR(__xludf.DUMMYFUNCTION("""COMPUTED_VALUE"""),3000)</f>
        <v>3000</v>
      </c>
      <c r="G172" s="75"/>
      <c r="H172" s="59"/>
      <c r="I172" s="76" t="str">
        <f ca="1">IFERROR(__xludf.DUMMYFUNCTION("""COMPUTED_VALUE"""),"https://drive.google.com/open?id=1yjwhlVGnOUSHk-pJcs26cNXbtepwSnsB")</f>
        <v>https://drive.google.com/open?id=1yjwhlVGnOUSHk-pJcs26cNXbtepwSnsB</v>
      </c>
      <c r="J172" s="59"/>
      <c r="K172" s="59"/>
      <c r="L172" s="59"/>
      <c r="M172" s="59"/>
      <c r="N172" s="59"/>
      <c r="O172" s="59"/>
      <c r="P172" s="59"/>
    </row>
    <row r="173" spans="1:16">
      <c r="A173" s="71">
        <f ca="1">IFERROR(__xludf.DUMMYFUNCTION("""COMPUTED_VALUE"""),45293.3888453588)</f>
        <v>45293.388845358801</v>
      </c>
      <c r="B173" s="59" t="str">
        <f ca="1">IFERROR(__xludf.DUMMYFUNCTION("""COMPUTED_VALUE"""),"Sitapara foramben hirenBhai ")</f>
        <v xml:space="preserve">Sitapara foramben hirenBhai </v>
      </c>
      <c r="C173" s="72" t="str">
        <f ca="1">IFERROR(__xludf.DUMMYFUNCTION("""COMPUTED_VALUE"""),"22SDSCE01189")</f>
        <v>22SDSCE01189</v>
      </c>
      <c r="D173" s="73">
        <f ca="1">IFERROR(__xludf.DUMMYFUNCTION("""COMPUTED_VALUE"""),45293)</f>
        <v>45293</v>
      </c>
      <c r="E173" s="74">
        <f ca="1">IFERROR(__xludf.DUMMYFUNCTION("""COMPUTED_VALUE"""),0)</f>
        <v>0</v>
      </c>
      <c r="F173" s="72">
        <f ca="1">IFERROR(__xludf.DUMMYFUNCTION("""COMPUTED_VALUE"""),3000)</f>
        <v>3000</v>
      </c>
      <c r="G173" s="75"/>
      <c r="H173" s="59" t="str">
        <f ca="1">IFERROR(__xludf.DUMMYFUNCTION("""COMPUTED_VALUE"""),"UPDATED")</f>
        <v>UPDATED</v>
      </c>
      <c r="I173" s="76" t="str">
        <f ca="1">IFERROR(__xludf.DUMMYFUNCTION("""COMPUTED_VALUE"""),"https://drive.google.com/open?id=1Sj5LAV3EAAydFg9kbG_wji5sJMTqQRC3")</f>
        <v>https://drive.google.com/open?id=1Sj5LAV3EAAydFg9kbG_wji5sJMTqQRC3</v>
      </c>
      <c r="J173" s="59"/>
      <c r="K173" s="59"/>
      <c r="L173" s="59"/>
      <c r="M173" s="59"/>
      <c r="N173" s="59"/>
      <c r="O173" s="59"/>
      <c r="P173" s="59"/>
    </row>
    <row r="174" spans="1:16">
      <c r="A174" s="71">
        <f ca="1">IFERROR(__xludf.DUMMYFUNCTION("""COMPUTED_VALUE"""),45293.3858737384)</f>
        <v>45293.3858737384</v>
      </c>
      <c r="B174" s="59" t="str">
        <f ca="1">IFERROR(__xludf.DUMMYFUNCTION("""COMPUTED_VALUE"""),"SANTHOKI ESHITH")</f>
        <v>SANTHOKI ESHITH</v>
      </c>
      <c r="C174" s="72" t="str">
        <f ca="1">IFERROR(__xludf.DUMMYFUNCTION("""COMPUTED_VALUE"""),"23SDSCE01226")</f>
        <v>23SDSCE01226</v>
      </c>
      <c r="D174" s="73">
        <f ca="1">IFERROR(__xludf.DUMMYFUNCTION("""COMPUTED_VALUE"""),45293)</f>
        <v>45293</v>
      </c>
      <c r="E174" s="72"/>
      <c r="F174" s="72">
        <f ca="1">IFERROR(__xludf.DUMMYFUNCTION("""COMPUTED_VALUE"""),3000)</f>
        <v>3000</v>
      </c>
      <c r="G174" s="75"/>
      <c r="H174" s="59" t="str">
        <f ca="1">IFERROR(__xludf.DUMMYFUNCTION("""COMPUTED_VALUE"""),"UPDATED")</f>
        <v>UPDATED</v>
      </c>
      <c r="I174" s="76" t="str">
        <f ca="1">IFERROR(__xludf.DUMMYFUNCTION("""COMPUTED_VALUE"""),"https://drive.google.com/open?id=1j05fHl2_gkd1zrmswP_gQ5LrFTYI-c6Y")</f>
        <v>https://drive.google.com/open?id=1j05fHl2_gkd1zrmswP_gQ5LrFTYI-c6Y</v>
      </c>
      <c r="J174" s="59"/>
      <c r="K174" s="59"/>
      <c r="L174" s="59"/>
      <c r="M174" s="59"/>
      <c r="N174" s="59"/>
      <c r="O174" s="59"/>
      <c r="P174" s="59"/>
    </row>
    <row r="175" spans="1:16">
      <c r="A175" s="71">
        <f ca="1">IFERROR(__xludf.DUMMYFUNCTION("""COMPUTED_VALUE"""),45293.3858527314)</f>
        <v>45293.385852731401</v>
      </c>
      <c r="B175" s="59" t="str">
        <f ca="1">IFERROR(__xludf.DUMMYFUNCTION("""COMPUTED_VALUE"""),"Dobariya bhavy prakashbhai")</f>
        <v>Dobariya bhavy prakashbhai</v>
      </c>
      <c r="C175" s="72" t="str">
        <f ca="1">IFERROR(__xludf.DUMMYFUNCTION("""COMPUTED_VALUE"""),"23SDSCE01088")</f>
        <v>23SDSCE01088</v>
      </c>
      <c r="D175" s="73">
        <f ca="1">IFERROR(__xludf.DUMMYFUNCTION("""COMPUTED_VALUE"""),45293)</f>
        <v>45293</v>
      </c>
      <c r="E175" s="74">
        <f ca="1">IFERROR(__xludf.DUMMYFUNCTION("""COMPUTED_VALUE"""),27500)</f>
        <v>27500</v>
      </c>
      <c r="F175" s="72">
        <f ca="1">IFERROR(__xludf.DUMMYFUNCTION("""COMPUTED_VALUE"""),3000)</f>
        <v>3000</v>
      </c>
      <c r="G175" s="75"/>
      <c r="H175" s="59" t="str">
        <f ca="1">IFERROR(__xludf.DUMMYFUNCTION("""COMPUTED_VALUE"""),"UPDATED")</f>
        <v>UPDATED</v>
      </c>
      <c r="I175" s="76" t="str">
        <f ca="1">IFERROR(__xludf.DUMMYFUNCTION("""COMPUTED_VALUE"""),"https://drive.google.com/open?id=1_oHoR_UmsF1nMYhxUCZwQFa-HOYy6V3j")</f>
        <v>https://drive.google.com/open?id=1_oHoR_UmsF1nMYhxUCZwQFa-HOYy6V3j</v>
      </c>
      <c r="J175" s="59"/>
      <c r="K175" s="59"/>
      <c r="L175" s="59"/>
      <c r="M175" s="59"/>
      <c r="N175" s="59"/>
      <c r="O175" s="59"/>
      <c r="P175" s="59"/>
    </row>
    <row r="176" spans="1:16">
      <c r="A176" s="71">
        <f ca="1">IFERROR(__xludf.DUMMYFUNCTION("""COMPUTED_VALUE"""),45292.8915030671)</f>
        <v>45292.891503067098</v>
      </c>
      <c r="B176" s="59" t="str">
        <f ca="1">IFERROR(__xludf.DUMMYFUNCTION("""COMPUTED_VALUE"""),"Bhalani dhruvi dharmendrabhai")</f>
        <v>Bhalani dhruvi dharmendrabhai</v>
      </c>
      <c r="C176" s="72" t="str">
        <f ca="1">IFERROR(__xludf.DUMMYFUNCTION("""COMPUTED_VALUE"""),"22SDSCE01015")</f>
        <v>22SDSCE01015</v>
      </c>
      <c r="D176" s="73">
        <f ca="1">IFERROR(__xludf.DUMMYFUNCTION("""COMPUTED_VALUE"""),45292)</f>
        <v>45292</v>
      </c>
      <c r="E176" s="72"/>
      <c r="F176" s="72">
        <f ca="1">IFERROR(__xludf.DUMMYFUNCTION("""COMPUTED_VALUE"""),3000)</f>
        <v>3000</v>
      </c>
      <c r="G176" s="75"/>
      <c r="H176" s="59" t="str">
        <f ca="1">IFERROR(__xludf.DUMMYFUNCTION("""COMPUTED_VALUE"""),"UPDATED")</f>
        <v>UPDATED</v>
      </c>
      <c r="I176" s="76" t="str">
        <f ca="1">IFERROR(__xludf.DUMMYFUNCTION("""COMPUTED_VALUE"""),"https://drive.google.com/open?id=1D19Cw8Krf3fIf5vfCdP8xCbNxe0fdcyp")</f>
        <v>https://drive.google.com/open?id=1D19Cw8Krf3fIf5vfCdP8xCbNxe0fdcyp</v>
      </c>
      <c r="J176" s="59"/>
      <c r="K176" s="59"/>
      <c r="L176" s="59"/>
      <c r="M176" s="59"/>
      <c r="N176" s="59"/>
      <c r="O176" s="59"/>
      <c r="P176" s="59"/>
    </row>
    <row r="177" spans="1:16">
      <c r="A177" s="71">
        <f ca="1">IFERROR(__xludf.DUMMYFUNCTION("""COMPUTED_VALUE"""),45292.8551613425)</f>
        <v>45292.855161342501</v>
      </c>
      <c r="B177" s="59" t="str">
        <f ca="1">IFERROR(__xludf.DUMMYFUNCTION("""COMPUTED_VALUE"""),"Tisha bhalani Rameshbhai")</f>
        <v>Tisha bhalani Rameshbhai</v>
      </c>
      <c r="C177" s="72" t="str">
        <f ca="1">IFERROR(__xludf.DUMMYFUNCTION("""COMPUTED_VALUE"""),"22SDSCE01016")</f>
        <v>22SDSCE01016</v>
      </c>
      <c r="D177" s="73">
        <f ca="1">IFERROR(__xludf.DUMMYFUNCTION("""COMPUTED_VALUE"""),45292)</f>
        <v>45292</v>
      </c>
      <c r="E177" s="74">
        <f ca="1">IFERROR(__xludf.DUMMYFUNCTION("""COMPUTED_VALUE"""),3000)</f>
        <v>3000</v>
      </c>
      <c r="F177" s="72">
        <f ca="1">IFERROR(__xludf.DUMMYFUNCTION("""COMPUTED_VALUE"""),50000)</f>
        <v>50000</v>
      </c>
      <c r="G177" s="75"/>
      <c r="H177" s="59" t="str">
        <f ca="1">IFERROR(__xludf.DUMMYFUNCTION("""COMPUTED_VALUE"""),"UPDATED")</f>
        <v>UPDATED</v>
      </c>
      <c r="I177" s="76" t="str">
        <f ca="1">IFERROR(__xludf.DUMMYFUNCTION("""COMPUTED_VALUE"""),"https://drive.google.com/open?id=1icm5K1nnkGMpU5k_eH9WKoJJ4CMC5arY")</f>
        <v>https://drive.google.com/open?id=1icm5K1nnkGMpU5k_eH9WKoJJ4CMC5arY</v>
      </c>
      <c r="J177" s="59"/>
      <c r="K177" s="59"/>
      <c r="L177" s="59"/>
      <c r="M177" s="59"/>
      <c r="N177" s="59"/>
      <c r="O177" s="59"/>
      <c r="P177" s="59"/>
    </row>
    <row r="178" spans="1:16">
      <c r="A178" s="71">
        <f ca="1">IFERROR(__xludf.DUMMYFUNCTION("""COMPUTED_VALUE"""),45292.854016956)</f>
        <v>45292.854016956</v>
      </c>
      <c r="B178" s="59" t="str">
        <f ca="1">IFERROR(__xludf.DUMMYFUNCTION("""COMPUTED_VALUE"""),"Tisha bhalani Rameshbhai")</f>
        <v>Tisha bhalani Rameshbhai</v>
      </c>
      <c r="C178" s="72" t="str">
        <f ca="1">IFERROR(__xludf.DUMMYFUNCTION("""COMPUTED_VALUE"""),"22SDSCE01016")</f>
        <v>22SDSCE01016</v>
      </c>
      <c r="D178" s="73">
        <f ca="1">IFERROR(__xludf.DUMMYFUNCTION("""COMPUTED_VALUE"""),45292)</f>
        <v>45292</v>
      </c>
      <c r="E178" s="74">
        <f ca="1">IFERROR(__xludf.DUMMYFUNCTION("""COMPUTED_VALUE"""),50000)</f>
        <v>50000</v>
      </c>
      <c r="F178" s="72">
        <f ca="1">IFERROR(__xludf.DUMMYFUNCTION("""COMPUTED_VALUE"""),3000)</f>
        <v>3000</v>
      </c>
      <c r="G178" s="75"/>
      <c r="H178" s="59" t="str">
        <f ca="1">IFERROR(__xludf.DUMMYFUNCTION("""COMPUTED_VALUE"""),"UPDATED")</f>
        <v>UPDATED</v>
      </c>
      <c r="I178" s="76" t="str">
        <f ca="1">IFERROR(__xludf.DUMMYFUNCTION("""COMPUTED_VALUE"""),"https://drive.google.com/open?id=1uYrxXOHNzkzdphk7ykNTM2vF4DItUSm7")</f>
        <v>https://drive.google.com/open?id=1uYrxXOHNzkzdphk7ykNTM2vF4DItUSm7</v>
      </c>
      <c r="J178" s="59"/>
      <c r="K178" s="59"/>
      <c r="L178" s="59"/>
      <c r="M178" s="59"/>
      <c r="N178" s="59"/>
      <c r="O178" s="59"/>
      <c r="P178" s="59"/>
    </row>
    <row r="179" spans="1:16">
      <c r="A179" s="71">
        <f ca="1">IFERROR(__xludf.DUMMYFUNCTION("""COMPUTED_VALUE"""),45292.8034052777)</f>
        <v>45292.8034052777</v>
      </c>
      <c r="B179" s="59" t="str">
        <f ca="1">IFERROR(__xludf.DUMMYFUNCTION("""COMPUTED_VALUE"""),"bhanderi tirth ")</f>
        <v xml:space="preserve">bhanderi tirth </v>
      </c>
      <c r="C179" s="72" t="str">
        <f ca="1">IFERROR(__xludf.DUMMYFUNCTION("""COMPUTED_VALUE"""),"22SDSCE01017")</f>
        <v>22SDSCE01017</v>
      </c>
      <c r="D179" s="73">
        <f ca="1">IFERROR(__xludf.DUMMYFUNCTION("""COMPUTED_VALUE"""),45292)</f>
        <v>45292</v>
      </c>
      <c r="E179" s="72"/>
      <c r="F179" s="72">
        <f ca="1">IFERROR(__xludf.DUMMYFUNCTION("""COMPUTED_VALUE"""),3000)</f>
        <v>3000</v>
      </c>
      <c r="G179" s="75"/>
      <c r="H179" s="59" t="str">
        <f ca="1">IFERROR(__xludf.DUMMYFUNCTION("""COMPUTED_VALUE"""),"UPDATED")</f>
        <v>UPDATED</v>
      </c>
      <c r="I179" s="76" t="str">
        <f ca="1">IFERROR(__xludf.DUMMYFUNCTION("""COMPUTED_VALUE"""),"https://drive.google.com/open?id=1yDO7-Jb5imhMtZVQyQei6fBcGuXyVEvx")</f>
        <v>https://drive.google.com/open?id=1yDO7-Jb5imhMtZVQyQei6fBcGuXyVEvx</v>
      </c>
      <c r="J179" s="59"/>
      <c r="K179" s="59"/>
      <c r="L179" s="59"/>
      <c r="M179" s="59"/>
      <c r="N179" s="59"/>
      <c r="O179" s="59"/>
      <c r="P179" s="59"/>
    </row>
    <row r="180" spans="1:16">
      <c r="A180" s="71">
        <f ca="1">IFERROR(__xludf.DUMMYFUNCTION("""COMPUTED_VALUE"""),45292.7673539583)</f>
        <v>45292.767353958297</v>
      </c>
      <c r="B180" s="59" t="str">
        <f ca="1">IFERROR(__xludf.DUMMYFUNCTION("""COMPUTED_VALUE"""),"Jeet Chudasama")</f>
        <v>Jeet Chudasama</v>
      </c>
      <c r="C180" s="72" t="str">
        <f ca="1">IFERROR(__xludf.DUMMYFUNCTION("""COMPUTED_VALUE"""),"22SDSCE01032")</f>
        <v>22SDSCE01032</v>
      </c>
      <c r="D180" s="73">
        <f ca="1">IFERROR(__xludf.DUMMYFUNCTION("""COMPUTED_VALUE"""),45292)</f>
        <v>45292</v>
      </c>
      <c r="E180" s="72"/>
      <c r="F180" s="72">
        <f ca="1">IFERROR(__xludf.DUMMYFUNCTION("""COMPUTED_VALUE"""),3000)</f>
        <v>3000</v>
      </c>
      <c r="G180" s="75"/>
      <c r="H180" s="59" t="str">
        <f ca="1">IFERROR(__xludf.DUMMYFUNCTION("""COMPUTED_VALUE"""),"UPDATED")</f>
        <v>UPDATED</v>
      </c>
      <c r="I180" s="76" t="str">
        <f ca="1">IFERROR(__xludf.DUMMYFUNCTION("""COMPUTED_VALUE"""),"https://drive.google.com/open?id=13Gel_Ik-ilJ7tuetN-K-Pt2L6NQXo7SK")</f>
        <v>https://drive.google.com/open?id=13Gel_Ik-ilJ7tuetN-K-Pt2L6NQXo7SK</v>
      </c>
      <c r="J180" s="59"/>
      <c r="K180" s="59"/>
      <c r="L180" s="59"/>
      <c r="M180" s="59"/>
      <c r="N180" s="59"/>
      <c r="O180" s="59"/>
      <c r="P180" s="59"/>
    </row>
    <row r="181" spans="1:16">
      <c r="A181" s="71">
        <f ca="1">IFERROR(__xludf.DUMMYFUNCTION("""COMPUTED_VALUE"""),45292.7385675926)</f>
        <v>45292.738567592598</v>
      </c>
      <c r="B181" s="59" t="str">
        <f ca="1">IFERROR(__xludf.DUMMYFUNCTION("""COMPUTED_VALUE"""),"Dhaduk jeet ")</f>
        <v xml:space="preserve">Dhaduk jeet </v>
      </c>
      <c r="C181" s="72" t="str">
        <f ca="1">IFERROR(__xludf.DUMMYFUNCTION("""COMPUTED_VALUE"""),"22SDSCE01139")</f>
        <v>22SDSCE01139</v>
      </c>
      <c r="D181" s="73">
        <f ca="1">IFERROR(__xludf.DUMMYFUNCTION("""COMPUTED_VALUE"""),45292)</f>
        <v>45292</v>
      </c>
      <c r="E181" s="74">
        <f ca="1">IFERROR(__xludf.DUMMYFUNCTION("""COMPUTED_VALUE"""),25000)</f>
        <v>25000</v>
      </c>
      <c r="F181" s="72">
        <f ca="1">IFERROR(__xludf.DUMMYFUNCTION("""COMPUTED_VALUE"""),3000)</f>
        <v>3000</v>
      </c>
      <c r="G181" s="75"/>
      <c r="H181" s="59" t="str">
        <f ca="1">IFERROR(__xludf.DUMMYFUNCTION("""COMPUTED_VALUE"""),"UPDATED")</f>
        <v>UPDATED</v>
      </c>
      <c r="I181" s="76" t="str">
        <f ca="1">IFERROR(__xludf.DUMMYFUNCTION("""COMPUTED_VALUE"""),"https://drive.google.com/open?id=1r9hyCDngTkX8-DZBPPxcIBYVnmOG9-um")</f>
        <v>https://drive.google.com/open?id=1r9hyCDngTkX8-DZBPPxcIBYVnmOG9-um</v>
      </c>
      <c r="J181" s="59"/>
      <c r="K181" s="59"/>
      <c r="L181" s="59"/>
      <c r="M181" s="59"/>
      <c r="N181" s="59"/>
      <c r="O181" s="59"/>
      <c r="P181" s="59"/>
    </row>
    <row r="182" spans="1:16">
      <c r="A182" s="71">
        <f ca="1">IFERROR(__xludf.DUMMYFUNCTION("""COMPUTED_VALUE"""),45292.6876918287)</f>
        <v>45292.687691828702</v>
      </c>
      <c r="B182" s="59" t="str">
        <f ca="1">IFERROR(__xludf.DUMMYFUNCTION("""COMPUTED_VALUE"""),"Bhargav dudhagara kantibhai")</f>
        <v>Bhargav dudhagara kantibhai</v>
      </c>
      <c r="C182" s="72" t="str">
        <f ca="1">IFERROR(__xludf.DUMMYFUNCTION("""COMPUTED_VALUE"""),"22SDSCE01148")</f>
        <v>22SDSCE01148</v>
      </c>
      <c r="D182" s="73">
        <f ca="1">IFERROR(__xludf.DUMMYFUNCTION("""COMPUTED_VALUE"""),45292)</f>
        <v>45292</v>
      </c>
      <c r="E182" s="72"/>
      <c r="F182" s="72"/>
      <c r="G182" s="75"/>
      <c r="H182" s="59" t="str">
        <f ca="1">IFERROR(__xludf.DUMMYFUNCTION("""COMPUTED_VALUE"""),"UPDATED")</f>
        <v>UPDATED</v>
      </c>
      <c r="I182" s="76" t="str">
        <f ca="1">IFERROR(__xludf.DUMMYFUNCTION("""COMPUTED_VALUE"""),"https://drive.google.com/open?id=1iLrNrVWV8mH763cdxfEPasE7mOYiU_2y")</f>
        <v>https://drive.google.com/open?id=1iLrNrVWV8mH763cdxfEPasE7mOYiU_2y</v>
      </c>
      <c r="J182" s="59"/>
      <c r="K182" s="59"/>
      <c r="L182" s="59"/>
      <c r="M182" s="59"/>
      <c r="N182" s="59"/>
      <c r="O182" s="59"/>
      <c r="P182" s="59"/>
    </row>
    <row r="183" spans="1:16">
      <c r="A183" s="71">
        <f ca="1">IFERROR(__xludf.DUMMYFUNCTION("""COMPUTED_VALUE"""),45292.6669880555)</f>
        <v>45292.666988055498</v>
      </c>
      <c r="B183" s="59" t="str">
        <f ca="1">IFERROR(__xludf.DUMMYFUNCTION("""COMPUTED_VALUE"""),"Yash pravinbhai shingala")</f>
        <v>Yash pravinbhai shingala</v>
      </c>
      <c r="C183" s="72" t="str">
        <f ca="1">IFERROR(__xludf.DUMMYFUNCTION("""COMPUTED_VALUE"""),"22sdsme01031")</f>
        <v>22sdsme01031</v>
      </c>
      <c r="D183" s="73">
        <f ca="1">IFERROR(__xludf.DUMMYFUNCTION("""COMPUTED_VALUE"""),45292)</f>
        <v>45292</v>
      </c>
      <c r="E183" s="74">
        <f ca="1">IFERROR(__xludf.DUMMYFUNCTION("""COMPUTED_VALUE"""),12500)</f>
        <v>12500</v>
      </c>
      <c r="F183" s="72">
        <f ca="1">IFERROR(__xludf.DUMMYFUNCTION("""COMPUTED_VALUE"""),3000)</f>
        <v>3000</v>
      </c>
      <c r="G183" s="75"/>
      <c r="H183" s="59" t="str">
        <f ca="1">IFERROR(__xludf.DUMMYFUNCTION("""COMPUTED_VALUE"""),"UPDATED")</f>
        <v>UPDATED</v>
      </c>
      <c r="I183" s="76" t="str">
        <f ca="1">IFERROR(__xludf.DUMMYFUNCTION("""COMPUTED_VALUE"""),"https://drive.google.com/open?id=15Pg3-gI5Iwn1og25NoO-00nCewxMUZLk")</f>
        <v>https://drive.google.com/open?id=15Pg3-gI5Iwn1og25NoO-00nCewxMUZLk</v>
      </c>
      <c r="J183" s="59"/>
      <c r="K183" s="59"/>
      <c r="L183" s="59"/>
      <c r="M183" s="59"/>
      <c r="N183" s="59"/>
      <c r="O183" s="59"/>
      <c r="P183" s="59"/>
    </row>
    <row r="184" spans="1:16">
      <c r="A184" s="71">
        <f ca="1">IFERROR(__xludf.DUMMYFUNCTION("""COMPUTED_VALUE"""),45292.6321287499)</f>
        <v>45292.632128749901</v>
      </c>
      <c r="B184" s="59" t="str">
        <f ca="1">IFERROR(__xludf.DUMMYFUNCTION("""COMPUTED_VALUE"""),"Vishal Kumar Dubey")</f>
        <v>Vishal Kumar Dubey</v>
      </c>
      <c r="C184" s="72" t="str">
        <f ca="1">IFERROR(__xludf.DUMMYFUNCTION("""COMPUTED_VALUE"""),"22SDSEE01028")</f>
        <v>22SDSEE01028</v>
      </c>
      <c r="D184" s="73">
        <f ca="1">IFERROR(__xludf.DUMMYFUNCTION("""COMPUTED_VALUE"""),45236)</f>
        <v>45236</v>
      </c>
      <c r="E184" s="72"/>
      <c r="F184" s="72"/>
      <c r="G184" s="75"/>
      <c r="H184" s="59"/>
      <c r="I184" s="76" t="str">
        <f ca="1">IFERROR(__xludf.DUMMYFUNCTION("""COMPUTED_VALUE"""),"https://drive.google.com/open?id=1o6axWRF5Gq4EHsPZEzq7Ju4HfugmZvhH")</f>
        <v>https://drive.google.com/open?id=1o6axWRF5Gq4EHsPZEzq7Ju4HfugmZvhH</v>
      </c>
      <c r="J184" s="59"/>
      <c r="K184" s="59"/>
      <c r="L184" s="59"/>
      <c r="M184" s="59"/>
      <c r="N184" s="59"/>
      <c r="O184" s="59"/>
      <c r="P184" s="59"/>
    </row>
    <row r="185" spans="1:16">
      <c r="A185" s="71">
        <f ca="1">IFERROR(__xludf.DUMMYFUNCTION("""COMPUTED_VALUE"""),45292.6184779051)</f>
        <v>45292.618477905096</v>
      </c>
      <c r="B185" s="59" t="str">
        <f ca="1">IFERROR(__xludf.DUMMYFUNCTION("""COMPUTED_VALUE"""),"DEDA PRUTHVIRAJSINH MAHENDRASINH")</f>
        <v>DEDA PRUTHVIRAJSINH MAHENDRASINH</v>
      </c>
      <c r="C185" s="72" t="str">
        <f ca="1">IFERROR(__xludf.DUMMYFUNCTION("""COMPUTED_VALUE"""),"23SDSCV01002")</f>
        <v>23SDSCV01002</v>
      </c>
      <c r="D185" s="73">
        <f ca="1">IFERROR(__xludf.DUMMYFUNCTION("""COMPUTED_VALUE"""),45292)</f>
        <v>45292</v>
      </c>
      <c r="E185" s="74">
        <f ca="1">IFERROR(__xludf.DUMMYFUNCTION("""COMPUTED_VALUE"""),27500)</f>
        <v>27500</v>
      </c>
      <c r="F185" s="72">
        <f ca="1">IFERROR(__xludf.DUMMYFUNCTION("""COMPUTED_VALUE"""),3000)</f>
        <v>3000</v>
      </c>
      <c r="G185" s="75"/>
      <c r="H185" s="59" t="str">
        <f ca="1">IFERROR(__xludf.DUMMYFUNCTION("""COMPUTED_VALUE"""),"UPDATED")</f>
        <v>UPDATED</v>
      </c>
      <c r="I185" s="76" t="str">
        <f ca="1">IFERROR(__xludf.DUMMYFUNCTION("""COMPUTED_VALUE"""),"https://drive.google.com/open?id=15wOqXI2K3oUfpHJo4eq5DYFNwSm2CwsC")</f>
        <v>https://drive.google.com/open?id=15wOqXI2K3oUfpHJo4eq5DYFNwSm2CwsC</v>
      </c>
      <c r="J185" s="59"/>
      <c r="K185" s="59"/>
      <c r="L185" s="59"/>
      <c r="M185" s="59"/>
      <c r="N185" s="59"/>
      <c r="O185" s="59"/>
      <c r="P185" s="59"/>
    </row>
    <row r="186" spans="1:16">
      <c r="A186" s="71">
        <f ca="1">IFERROR(__xludf.DUMMYFUNCTION("""COMPUTED_VALUE"""),45292.6021210069)</f>
        <v>45292.602121006901</v>
      </c>
      <c r="B186" s="59" t="str">
        <f ca="1">IFERROR(__xludf.DUMMYFUNCTION("""COMPUTED_VALUE"""),"Bharadwa pritesh pravinbhai")</f>
        <v>Bharadwa pritesh pravinbhai</v>
      </c>
      <c r="C186" s="72" t="str">
        <f ca="1">IFERROR(__xludf.DUMMYFUNCTION("""COMPUTED_VALUE"""),"22SDSCE01133")</f>
        <v>22SDSCE01133</v>
      </c>
      <c r="D186" s="73">
        <f ca="1">IFERROR(__xludf.DUMMYFUNCTION("""COMPUTED_VALUE"""),45292)</f>
        <v>45292</v>
      </c>
      <c r="E186" s="74">
        <f ca="1">IFERROR(__xludf.DUMMYFUNCTION("""COMPUTED_VALUE"""),25000)</f>
        <v>25000</v>
      </c>
      <c r="F186" s="72">
        <f ca="1">IFERROR(__xludf.DUMMYFUNCTION("""COMPUTED_VALUE"""),3000)</f>
        <v>3000</v>
      </c>
      <c r="G186" s="75"/>
      <c r="H186" s="59" t="str">
        <f ca="1">IFERROR(__xludf.DUMMYFUNCTION("""COMPUTED_VALUE"""),"UPDATED")</f>
        <v>UPDATED</v>
      </c>
      <c r="I186" s="76" t="str">
        <f ca="1">IFERROR(__xludf.DUMMYFUNCTION("""COMPUTED_VALUE"""),"https://drive.google.com/open?id=15WQ0-UmB64IW8ZXWlwUl8XcDHxm1vIz4")</f>
        <v>https://drive.google.com/open?id=15WQ0-UmB64IW8ZXWlwUl8XcDHxm1vIz4</v>
      </c>
      <c r="J186" s="59"/>
      <c r="K186" s="59"/>
      <c r="L186" s="59"/>
      <c r="M186" s="59"/>
      <c r="N186" s="59"/>
      <c r="O186" s="59"/>
      <c r="P186" s="59"/>
    </row>
    <row r="187" spans="1:16">
      <c r="A187" s="71">
        <f ca="1">IFERROR(__xludf.DUMMYFUNCTION("""COMPUTED_VALUE"""),45292.6008242013)</f>
        <v>45292.600824201298</v>
      </c>
      <c r="B187" s="59" t="str">
        <f ca="1">IFERROR(__xludf.DUMMYFUNCTION("""COMPUTED_VALUE"""),"Raj mungra ")</f>
        <v xml:space="preserve">Raj mungra </v>
      </c>
      <c r="C187" s="72" t="str">
        <f ca="1">IFERROR(__xludf.DUMMYFUNCTION("""COMPUTED_VALUE"""),"23SDSCE03901")</f>
        <v>23SDSCE03901</v>
      </c>
      <c r="D187" s="73">
        <f ca="1">IFERROR(__xludf.DUMMYFUNCTION("""COMPUTED_VALUE"""),45292)</f>
        <v>45292</v>
      </c>
      <c r="E187" s="72"/>
      <c r="F187" s="72">
        <f ca="1">IFERROR(__xludf.DUMMYFUNCTION("""COMPUTED_VALUE"""),3000)</f>
        <v>3000</v>
      </c>
      <c r="G187" s="75"/>
      <c r="H187" s="59" t="str">
        <f ca="1">IFERROR(__xludf.DUMMYFUNCTION("""COMPUTED_VALUE"""),"UPDATED")</f>
        <v>UPDATED</v>
      </c>
      <c r="I187" s="76" t="str">
        <f ca="1">IFERROR(__xludf.DUMMYFUNCTION("""COMPUTED_VALUE"""),"https://drive.google.com/open?id=1oLZlyXCtW5XIQ3xEaKL6Wkqg8uD9q-v4")</f>
        <v>https://drive.google.com/open?id=1oLZlyXCtW5XIQ3xEaKL6Wkqg8uD9q-v4</v>
      </c>
      <c r="J187" s="59"/>
      <c r="K187" s="59"/>
      <c r="L187" s="59"/>
      <c r="M187" s="59"/>
      <c r="N187" s="59"/>
      <c r="O187" s="59"/>
      <c r="P187" s="59"/>
    </row>
    <row r="188" spans="1:16">
      <c r="A188" s="71">
        <f ca="1">IFERROR(__xludf.DUMMYFUNCTION("""COMPUTED_VALUE"""),45292.5992432175)</f>
        <v>45292.599243217497</v>
      </c>
      <c r="B188" s="59" t="str">
        <f ca="1">IFERROR(__xludf.DUMMYFUNCTION("""COMPUTED_VALUE"""),"Abdul Hakim ")</f>
        <v xml:space="preserve">Abdul Hakim </v>
      </c>
      <c r="C188" s="72" t="str">
        <f ca="1">IFERROR(__xludf.DUMMYFUNCTION("""COMPUTED_VALUE"""),"22SDSCE01621")</f>
        <v>22SDSCE01621</v>
      </c>
      <c r="D188" s="73">
        <f ca="1">IFERROR(__xludf.DUMMYFUNCTION("""COMPUTED_VALUE"""),45292)</f>
        <v>45292</v>
      </c>
      <c r="E188" s="72"/>
      <c r="F188" s="72"/>
      <c r="G188" s="75"/>
      <c r="H188" s="59" t="str">
        <f ca="1">IFERROR(__xludf.DUMMYFUNCTION("""COMPUTED_VALUE"""),"UPDATED")</f>
        <v>UPDATED</v>
      </c>
      <c r="I188" s="76" t="str">
        <f ca="1">IFERROR(__xludf.DUMMYFUNCTION("""COMPUTED_VALUE"""),"https://drive.google.com/open?id=1TK9VLgIplIq-CBxmMXPtO2g_3smFGKNm")</f>
        <v>https://drive.google.com/open?id=1TK9VLgIplIq-CBxmMXPtO2g_3smFGKNm</v>
      </c>
      <c r="J188" s="59"/>
      <c r="K188" s="59"/>
      <c r="L188" s="59"/>
      <c r="M188" s="59"/>
      <c r="N188" s="59"/>
      <c r="O188" s="59"/>
      <c r="P188" s="59"/>
    </row>
    <row r="189" spans="1:16">
      <c r="A189" s="71">
        <f ca="1">IFERROR(__xludf.DUMMYFUNCTION("""COMPUTED_VALUE"""),45292.5992299074)</f>
        <v>45292.599229907399</v>
      </c>
      <c r="B189" s="59" t="str">
        <f ca="1">IFERROR(__xludf.DUMMYFUNCTION("""COMPUTED_VALUE"""),"Mungra raj ")</f>
        <v xml:space="preserve">Mungra raj </v>
      </c>
      <c r="C189" s="72" t="str">
        <f ca="1">IFERROR(__xludf.DUMMYFUNCTION("""COMPUTED_VALUE"""),"23SDSCE03901")</f>
        <v>23SDSCE03901</v>
      </c>
      <c r="D189" s="73">
        <f ca="1">IFERROR(__xludf.DUMMYFUNCTION("""COMPUTED_VALUE"""),45286)</f>
        <v>45286</v>
      </c>
      <c r="E189" s="74">
        <f ca="1">IFERROR(__xludf.DUMMYFUNCTION("""COMPUTED_VALUE"""),25000)</f>
        <v>25000</v>
      </c>
      <c r="F189" s="72"/>
      <c r="G189" s="75"/>
      <c r="H189" s="59" t="str">
        <f ca="1">IFERROR(__xludf.DUMMYFUNCTION("""COMPUTED_VALUE"""),"UPDATED")</f>
        <v>UPDATED</v>
      </c>
      <c r="I189" s="76" t="str">
        <f ca="1">IFERROR(__xludf.DUMMYFUNCTION("""COMPUTED_VALUE"""),"https://drive.google.com/open?id=1N-SQMMg9RMng5PjuMy9j8uZMtGhd4Tyf")</f>
        <v>https://drive.google.com/open?id=1N-SQMMg9RMng5PjuMy9j8uZMtGhd4Tyf</v>
      </c>
      <c r="J189" s="59"/>
      <c r="K189" s="59"/>
      <c r="L189" s="59"/>
      <c r="M189" s="59"/>
      <c r="N189" s="59"/>
      <c r="O189" s="59"/>
      <c r="P189" s="59"/>
    </row>
    <row r="190" spans="1:16">
      <c r="A190" s="71">
        <f ca="1">IFERROR(__xludf.DUMMYFUNCTION("""COMPUTED_VALUE"""),45292.5990050347)</f>
        <v>45292.599005034703</v>
      </c>
      <c r="B190" s="59" t="str">
        <f ca="1">IFERROR(__xludf.DUMMYFUNCTION("""COMPUTED_VALUE"""),"Makwana vivek madhubhai")</f>
        <v>Makwana vivek madhubhai</v>
      </c>
      <c r="C190" s="72" t="str">
        <f ca="1">IFERROR(__xludf.DUMMYFUNCTION("""COMPUTED_VALUE"""),"22SDSCE001170")</f>
        <v>22SDSCE001170</v>
      </c>
      <c r="D190" s="73">
        <f ca="1">IFERROR(__xludf.DUMMYFUNCTION("""COMPUTED_VALUE"""),45292)</f>
        <v>45292</v>
      </c>
      <c r="E190" s="72"/>
      <c r="F190" s="72">
        <f ca="1">IFERROR(__xludf.DUMMYFUNCTION("""COMPUTED_VALUE"""),3000)</f>
        <v>3000</v>
      </c>
      <c r="G190" s="75"/>
      <c r="H190" s="59" t="str">
        <f ca="1">IFERROR(__xludf.DUMMYFUNCTION("""COMPUTED_VALUE"""),"UPDATED")</f>
        <v>UPDATED</v>
      </c>
      <c r="I190" s="76" t="str">
        <f ca="1">IFERROR(__xludf.DUMMYFUNCTION("""COMPUTED_VALUE"""),"https://drive.google.com/open?id=1LihorQ-EGA0LhdpiaB2ge-61zrHfxGos")</f>
        <v>https://drive.google.com/open?id=1LihorQ-EGA0LhdpiaB2ge-61zrHfxGos</v>
      </c>
      <c r="J190" s="59"/>
      <c r="K190" s="59"/>
      <c r="L190" s="59"/>
      <c r="M190" s="59"/>
      <c r="N190" s="59"/>
      <c r="O190" s="59"/>
      <c r="P190" s="59"/>
    </row>
    <row r="191" spans="1:16">
      <c r="A191" s="71">
        <f ca="1">IFERROR(__xludf.DUMMYFUNCTION("""COMPUTED_VALUE"""),45292.5976336342)</f>
        <v>45292.597633634199</v>
      </c>
      <c r="B191" s="59" t="str">
        <f ca="1">IFERROR(__xludf.DUMMYFUNCTION("""COMPUTED_VALUE"""),"Tribhuwan Sardar ")</f>
        <v xml:space="preserve">Tribhuwan Sardar </v>
      </c>
      <c r="C191" s="72" t="str">
        <f ca="1">IFERROR(__xludf.DUMMYFUNCTION("""COMPUTED_VALUE"""),"22SDSCE01603")</f>
        <v>22SDSCE01603</v>
      </c>
      <c r="D191" s="73">
        <f ca="1">IFERROR(__xludf.DUMMYFUNCTION("""COMPUTED_VALUE"""),45292)</f>
        <v>45292</v>
      </c>
      <c r="E191" s="74">
        <f ca="1">IFERROR(__xludf.DUMMYFUNCTION("""COMPUTED_VALUE"""),25000)</f>
        <v>25000</v>
      </c>
      <c r="F191" s="72"/>
      <c r="G191" s="75"/>
      <c r="H191" s="59" t="str">
        <f ca="1">IFERROR(__xludf.DUMMYFUNCTION("""COMPUTED_VALUE"""),"UPDATED")</f>
        <v>UPDATED</v>
      </c>
      <c r="I191" s="76" t="str">
        <f ca="1">IFERROR(__xludf.DUMMYFUNCTION("""COMPUTED_VALUE"""),"https://drive.google.com/open?id=1izziOI9TiItBu6Z8DmR1B0XpxSQqW5JH")</f>
        <v>https://drive.google.com/open?id=1izziOI9TiItBu6Z8DmR1B0XpxSQqW5JH</v>
      </c>
      <c r="J191" s="59"/>
      <c r="K191" s="59"/>
      <c r="L191" s="59"/>
      <c r="M191" s="59"/>
      <c r="N191" s="59"/>
      <c r="O191" s="59"/>
      <c r="P191" s="59"/>
    </row>
    <row r="192" spans="1:16">
      <c r="A192" s="71">
        <f ca="1">IFERROR(__xludf.DUMMYFUNCTION("""COMPUTED_VALUE"""),45292.4056034606)</f>
        <v>45292.405603460596</v>
      </c>
      <c r="B192" s="59" t="str">
        <f ca="1">IFERROR(__xludf.DUMMYFUNCTION("""COMPUTED_VALUE"""),"Dobariya Het Navneetbhai ")</f>
        <v xml:space="preserve">Dobariya Het Navneetbhai </v>
      </c>
      <c r="C192" s="72" t="str">
        <f ca="1">IFERROR(__xludf.DUMMYFUNCTION("""COMPUTED_VALUE"""),"22SDSCE01142")</f>
        <v>22SDSCE01142</v>
      </c>
      <c r="D192" s="73">
        <f ca="1">IFERROR(__xludf.DUMMYFUNCTION("""COMPUTED_VALUE"""),45292)</f>
        <v>45292</v>
      </c>
      <c r="E192" s="74">
        <f ca="1">IFERROR(__xludf.DUMMYFUNCTION("""COMPUTED_VALUE"""),25000)</f>
        <v>25000</v>
      </c>
      <c r="F192" s="72">
        <f ca="1">IFERROR(__xludf.DUMMYFUNCTION("""COMPUTED_VALUE"""),3000)</f>
        <v>3000</v>
      </c>
      <c r="G192" s="75"/>
      <c r="H192" s="59" t="str">
        <f ca="1">IFERROR(__xludf.DUMMYFUNCTION("""COMPUTED_VALUE"""),"UPDATED")</f>
        <v>UPDATED</v>
      </c>
      <c r="I192" s="76" t="str">
        <f ca="1">IFERROR(__xludf.DUMMYFUNCTION("""COMPUTED_VALUE"""),"https://drive.google.com/open?id=1sCTDJNmDSjUghBPcKRgTsSWkibKbqy5I")</f>
        <v>https://drive.google.com/open?id=1sCTDJNmDSjUghBPcKRgTsSWkibKbqy5I</v>
      </c>
      <c r="J192" s="59"/>
      <c r="K192" s="59"/>
      <c r="L192" s="59"/>
      <c r="M192" s="59"/>
      <c r="N192" s="59"/>
      <c r="O192" s="59"/>
      <c r="P192" s="59"/>
    </row>
    <row r="193" spans="1:16">
      <c r="A193" s="71">
        <f ca="1">IFERROR(__xludf.DUMMYFUNCTION("""COMPUTED_VALUE"""),45292.3986208449)</f>
        <v>45292.398620844899</v>
      </c>
      <c r="B193" s="59" t="str">
        <f ca="1">IFERROR(__xludf.DUMMYFUNCTION("""COMPUTED_VALUE"""),"Gajera parth")</f>
        <v>Gajera parth</v>
      </c>
      <c r="C193" s="72" t="str">
        <f ca="1">IFERROR(__xludf.DUMMYFUNCTION("""COMPUTED_VALUE"""),"23SDSCE01132")</f>
        <v>23SDSCE01132</v>
      </c>
      <c r="D193" s="73">
        <f ca="1">IFERROR(__xludf.DUMMYFUNCTION("""COMPUTED_VALUE"""),45290)</f>
        <v>45290</v>
      </c>
      <c r="E193" s="74">
        <f ca="1">IFERROR(__xludf.DUMMYFUNCTION("""COMPUTED_VALUE"""),27500)</f>
        <v>27500</v>
      </c>
      <c r="F193" s="72">
        <f ca="1">IFERROR(__xludf.DUMMYFUNCTION("""COMPUTED_VALUE"""),3000)</f>
        <v>3000</v>
      </c>
      <c r="G193" s="75"/>
      <c r="H193" s="59" t="str">
        <f ca="1">IFERROR(__xludf.DUMMYFUNCTION("""COMPUTED_VALUE"""),"UPDATED")</f>
        <v>UPDATED</v>
      </c>
      <c r="I193" s="76" t="str">
        <f ca="1">IFERROR(__xludf.DUMMYFUNCTION("""COMPUTED_VALUE"""),"https://drive.google.com/open?id=1UQYhyUybKkM7QOEHkr8P7Ud0WDFN3Y85")</f>
        <v>https://drive.google.com/open?id=1UQYhyUybKkM7QOEHkr8P7Ud0WDFN3Y85</v>
      </c>
      <c r="J193" s="59"/>
      <c r="K193" s="59"/>
      <c r="L193" s="59"/>
      <c r="M193" s="59"/>
      <c r="N193" s="59"/>
      <c r="O193" s="59"/>
      <c r="P193" s="59"/>
    </row>
    <row r="194" spans="1:16">
      <c r="A194" s="71">
        <f ca="1">IFERROR(__xludf.DUMMYFUNCTION("""COMPUTED_VALUE"""),45292.3942161226)</f>
        <v>45292.3942161226</v>
      </c>
      <c r="B194" s="59" t="str">
        <f ca="1">IFERROR(__xludf.DUMMYFUNCTION("""COMPUTED_VALUE"""),"Gajera parth")</f>
        <v>Gajera parth</v>
      </c>
      <c r="C194" s="72" t="str">
        <f ca="1">IFERROR(__xludf.DUMMYFUNCTION("""COMPUTED_VALUE"""),"23SDSCE01132")</f>
        <v>23SDSCE01132</v>
      </c>
      <c r="D194" s="73">
        <f ca="1">IFERROR(__xludf.DUMMYFUNCTION("""COMPUTED_VALUE"""),45290)</f>
        <v>45290</v>
      </c>
      <c r="E194" s="74">
        <f ca="1">IFERROR(__xludf.DUMMYFUNCTION("""COMPUTED_VALUE"""),27500)</f>
        <v>27500</v>
      </c>
      <c r="F194" s="72">
        <f ca="1">IFERROR(__xludf.DUMMYFUNCTION("""COMPUTED_VALUE"""),3000)</f>
        <v>3000</v>
      </c>
      <c r="G194" s="75"/>
      <c r="H194" s="59" t="str">
        <f ca="1">IFERROR(__xludf.DUMMYFUNCTION("""COMPUTED_VALUE"""),"UPDATED")</f>
        <v>UPDATED</v>
      </c>
      <c r="I194" s="76" t="str">
        <f ca="1">IFERROR(__xludf.DUMMYFUNCTION("""COMPUTED_VALUE"""),"https://drive.google.com/open?id=1WU1OVuc2zr8y0I2qjvjdEDAEGQSGbhgb")</f>
        <v>https://drive.google.com/open?id=1WU1OVuc2zr8y0I2qjvjdEDAEGQSGbhgb</v>
      </c>
      <c r="J194" s="59"/>
      <c r="K194" s="59"/>
      <c r="L194" s="59"/>
      <c r="M194" s="59"/>
      <c r="N194" s="59"/>
      <c r="O194" s="59"/>
      <c r="P194" s="59"/>
    </row>
    <row r="195" spans="1:16">
      <c r="A195" s="71">
        <f ca="1">IFERROR(__xludf.DUMMYFUNCTION("""COMPUTED_VALUE"""),45292.3113743865)</f>
        <v>45292.311374386503</v>
      </c>
      <c r="B195" s="59" t="str">
        <f ca="1">IFERROR(__xludf.DUMMYFUNCTION("""COMPUTED_VALUE"""),"Uttam Rajeshbhai Ramani")</f>
        <v>Uttam Rajeshbhai Ramani</v>
      </c>
      <c r="C195" s="72" t="str">
        <f ca="1">IFERROR(__xludf.DUMMYFUNCTION("""COMPUTED_VALUE"""),"22SDSCE01060")</f>
        <v>22SDSCE01060</v>
      </c>
      <c r="D195" s="73">
        <f ca="1">IFERROR(__xludf.DUMMYFUNCTION("""COMPUTED_VALUE"""),45291)</f>
        <v>45291</v>
      </c>
      <c r="E195" s="72"/>
      <c r="F195" s="72">
        <f ca="1">IFERROR(__xludf.DUMMYFUNCTION("""COMPUTED_VALUE"""),3000)</f>
        <v>3000</v>
      </c>
      <c r="G195" s="75"/>
      <c r="H195" s="59" t="str">
        <f ca="1">IFERROR(__xludf.DUMMYFUNCTION("""COMPUTED_VALUE"""),"NOT NEED TO UPDATE")</f>
        <v>NOT NEED TO UPDATE</v>
      </c>
      <c r="I195" s="76" t="str">
        <f ca="1">IFERROR(__xludf.DUMMYFUNCTION("""COMPUTED_VALUE"""),"https://drive.google.com/open?id=1smy_vRy8uuzoq6JVDNy8R7bnmp2w5EUq")</f>
        <v>https://drive.google.com/open?id=1smy_vRy8uuzoq6JVDNy8R7bnmp2w5EUq</v>
      </c>
      <c r="J195" s="59"/>
      <c r="K195" s="59"/>
      <c r="L195" s="59"/>
      <c r="M195" s="59"/>
      <c r="N195" s="59"/>
      <c r="O195" s="59"/>
      <c r="P195" s="59"/>
    </row>
    <row r="196" spans="1:16">
      <c r="A196" s="71">
        <f ca="1">IFERROR(__xludf.DUMMYFUNCTION("""COMPUTED_VALUE"""),45292.0721524884)</f>
        <v>45292.072152488399</v>
      </c>
      <c r="B196" s="59" t="str">
        <f ca="1">IFERROR(__xludf.DUMMYFUNCTION("""COMPUTED_VALUE"""),"Ved padaliya")</f>
        <v>Ved padaliya</v>
      </c>
      <c r="C196" s="72" t="str">
        <f ca="1">IFERROR(__xludf.DUMMYFUNCTION("""COMPUTED_VALUE"""),"23SDSDCE01106")</f>
        <v>23SDSDCE01106</v>
      </c>
      <c r="D196" s="73">
        <f ca="1">IFERROR(__xludf.DUMMYFUNCTION("""COMPUTED_VALUE"""),45289)</f>
        <v>45289</v>
      </c>
      <c r="E196" s="74">
        <f ca="1">IFERROR(__xludf.DUMMYFUNCTION("""COMPUTED_VALUE"""),27500)</f>
        <v>27500</v>
      </c>
      <c r="F196" s="72">
        <f ca="1">IFERROR(__xludf.DUMMYFUNCTION("""COMPUTED_VALUE"""),3000)</f>
        <v>3000</v>
      </c>
      <c r="G196" s="75"/>
      <c r="H196" s="59" t="str">
        <f ca="1">IFERROR(__xludf.DUMMYFUNCTION("""COMPUTED_VALUE"""),"UPDATED")</f>
        <v>UPDATED</v>
      </c>
      <c r="I196" s="76" t="str">
        <f ca="1">IFERROR(__xludf.DUMMYFUNCTION("""COMPUTED_VALUE"""),"https://drive.google.com/open?id=1BUxukKovaGortnNHlB-ks77l9_WiQjVH")</f>
        <v>https://drive.google.com/open?id=1BUxukKovaGortnNHlB-ks77l9_WiQjVH</v>
      </c>
      <c r="J196" s="59"/>
      <c r="K196" s="59"/>
      <c r="L196" s="59"/>
      <c r="M196" s="59"/>
      <c r="N196" s="59"/>
      <c r="O196" s="59"/>
      <c r="P196" s="59"/>
    </row>
    <row r="197" spans="1:16">
      <c r="A197" s="71">
        <f ca="1">IFERROR(__xludf.DUMMYFUNCTION("""COMPUTED_VALUE"""),45291.8170662037)</f>
        <v>45291.817066203701</v>
      </c>
      <c r="B197" s="59" t="str">
        <f ca="1">IFERROR(__xludf.DUMMYFUNCTION("""COMPUTED_VALUE"""),"Bhudiya Harshil Dineshbhai")</f>
        <v>Bhudiya Harshil Dineshbhai</v>
      </c>
      <c r="C197" s="72" t="str">
        <f ca="1">IFERROR(__xludf.DUMMYFUNCTION("""COMPUTED_VALUE"""),"22SDSCE01021")</f>
        <v>22SDSCE01021</v>
      </c>
      <c r="D197" s="73">
        <f ca="1">IFERROR(__xludf.DUMMYFUNCTION("""COMPUTED_VALUE"""),45291)</f>
        <v>45291</v>
      </c>
      <c r="E197" s="74">
        <f ca="1">IFERROR(__xludf.DUMMYFUNCTION("""COMPUTED_VALUE"""),25000)</f>
        <v>25000</v>
      </c>
      <c r="F197" s="72">
        <f ca="1">IFERROR(__xludf.DUMMYFUNCTION("""COMPUTED_VALUE"""),3000)</f>
        <v>3000</v>
      </c>
      <c r="G197" s="75"/>
      <c r="H197" s="59" t="str">
        <f ca="1">IFERROR(__xludf.DUMMYFUNCTION("""COMPUTED_VALUE"""),"UPDATED")</f>
        <v>UPDATED</v>
      </c>
      <c r="I197" s="76" t="str">
        <f ca="1">IFERROR(__xludf.DUMMYFUNCTION("""COMPUTED_VALUE"""),"https://drive.google.com/open?id=1l5ppSG8IYR4xa8mUwbszm5azqbj0838h")</f>
        <v>https://drive.google.com/open?id=1l5ppSG8IYR4xa8mUwbszm5azqbj0838h</v>
      </c>
      <c r="J197" s="59"/>
      <c r="K197" s="59"/>
      <c r="L197" s="59"/>
      <c r="M197" s="59"/>
      <c r="N197" s="59"/>
      <c r="O197" s="59"/>
      <c r="P197" s="59"/>
    </row>
    <row r="198" spans="1:16">
      <c r="A198" s="71">
        <f ca="1">IFERROR(__xludf.DUMMYFUNCTION("""COMPUTED_VALUE"""),45291.807976655)</f>
        <v>45291.807976655</v>
      </c>
      <c r="B198" s="59" t="str">
        <f ca="1">IFERROR(__xludf.DUMMYFUNCTION("""COMPUTED_VALUE"""),"Dev Patel ")</f>
        <v xml:space="preserve">Dev Patel </v>
      </c>
      <c r="C198" s="72" t="str">
        <f ca="1">IFERROR(__xludf.DUMMYFUNCTION("""COMPUTED_VALUE"""),"22SDSCE01089")</f>
        <v>22SDSCE01089</v>
      </c>
      <c r="D198" s="73">
        <f ca="1">IFERROR(__xludf.DUMMYFUNCTION("""COMPUTED_VALUE"""),45291)</f>
        <v>45291</v>
      </c>
      <c r="E198" s="72"/>
      <c r="F198" s="72"/>
      <c r="G198" s="75"/>
      <c r="H198" s="59" t="str">
        <f ca="1">IFERROR(__xludf.DUMMYFUNCTION("""COMPUTED_VALUE"""),"UPDATED")</f>
        <v>UPDATED</v>
      </c>
      <c r="I198" s="76" t="str">
        <f ca="1">IFERROR(__xludf.DUMMYFUNCTION("""COMPUTED_VALUE"""),"https://drive.google.com/open?id=1L91xF9x96FE1dneMQp-5u5l6wtG8WfiF")</f>
        <v>https://drive.google.com/open?id=1L91xF9x96FE1dneMQp-5u5l6wtG8WfiF</v>
      </c>
      <c r="J198" s="59"/>
      <c r="K198" s="59"/>
      <c r="L198" s="59"/>
      <c r="M198" s="59"/>
      <c r="N198" s="59"/>
      <c r="O198" s="59"/>
      <c r="P198" s="59"/>
    </row>
    <row r="199" spans="1:16">
      <c r="A199" s="71">
        <f ca="1">IFERROR(__xludf.DUMMYFUNCTION("""COMPUTED_VALUE"""),45291.8054963078)</f>
        <v>45291.805496307803</v>
      </c>
      <c r="B199" s="59" t="str">
        <f ca="1">IFERROR(__xludf.DUMMYFUNCTION("""COMPUTED_VALUE"""),"Dev Patel ")</f>
        <v xml:space="preserve">Dev Patel </v>
      </c>
      <c r="C199" s="72" t="str">
        <f ca="1">IFERROR(__xludf.DUMMYFUNCTION("""COMPUTED_VALUE"""),"22SDSCE01089")</f>
        <v>22SDSCE01089</v>
      </c>
      <c r="D199" s="73">
        <f ca="1">IFERROR(__xludf.DUMMYFUNCTION("""COMPUTED_VALUE"""),45291)</f>
        <v>45291</v>
      </c>
      <c r="E199" s="72"/>
      <c r="F199" s="72"/>
      <c r="G199" s="75"/>
      <c r="H199" s="59" t="str">
        <f ca="1">IFERROR(__xludf.DUMMYFUNCTION("""COMPUTED_VALUE"""),"UPDATED")</f>
        <v>UPDATED</v>
      </c>
      <c r="I199" s="76" t="str">
        <f ca="1">IFERROR(__xludf.DUMMYFUNCTION("""COMPUTED_VALUE"""),"https://drive.google.com/open?id=1Y4JLsCNaArgcChrihpsfj6hxOBxC44Yn")</f>
        <v>https://drive.google.com/open?id=1Y4JLsCNaArgcChrihpsfj6hxOBxC44Yn</v>
      </c>
      <c r="J199" s="59"/>
      <c r="K199" s="59"/>
      <c r="L199" s="59"/>
      <c r="M199" s="59"/>
      <c r="N199" s="59"/>
      <c r="O199" s="59"/>
      <c r="P199" s="59"/>
    </row>
    <row r="200" spans="1:16">
      <c r="A200" s="71">
        <f ca="1">IFERROR(__xludf.DUMMYFUNCTION("""COMPUTED_VALUE"""),45291.6794733333)</f>
        <v>45291.679473333301</v>
      </c>
      <c r="B200" s="59" t="str">
        <f ca="1">IFERROR(__xludf.DUMMYFUNCTION("""COMPUTED_VALUE"""),"Sudip chaudhary")</f>
        <v>Sudip chaudhary</v>
      </c>
      <c r="C200" s="72" t="str">
        <f ca="1">IFERROR(__xludf.DUMMYFUNCTION("""COMPUTED_VALUE"""),"22SDSCE01624")</f>
        <v>22SDSCE01624</v>
      </c>
      <c r="D200" s="73">
        <f ca="1">IFERROR(__xludf.DUMMYFUNCTION("""COMPUTED_VALUE"""),45291)</f>
        <v>45291</v>
      </c>
      <c r="E200" s="72"/>
      <c r="F200" s="72"/>
      <c r="G200" s="75"/>
      <c r="H200" s="59" t="str">
        <f ca="1">IFERROR(__xludf.DUMMYFUNCTION("""COMPUTED_VALUE"""),"UPDATED")</f>
        <v>UPDATED</v>
      </c>
      <c r="I200" s="76" t="str">
        <f ca="1">IFERROR(__xludf.DUMMYFUNCTION("""COMPUTED_VALUE"""),"https://drive.google.com/open?id=1IMg6bNgUifQ08pxqNoU8zw35OXYlJMz2")</f>
        <v>https://drive.google.com/open?id=1IMg6bNgUifQ08pxqNoU8zw35OXYlJMz2</v>
      </c>
      <c r="J200" s="59"/>
      <c r="K200" s="59"/>
      <c r="L200" s="59"/>
      <c r="M200" s="59"/>
      <c r="N200" s="59"/>
      <c r="O200" s="59"/>
      <c r="P200" s="59"/>
    </row>
    <row r="201" spans="1:16">
      <c r="A201" s="71">
        <f ca="1">IFERROR(__xludf.DUMMYFUNCTION("""COMPUTED_VALUE"""),45291.3951011689)</f>
        <v>45291.395101168899</v>
      </c>
      <c r="B201" s="59" t="str">
        <f ca="1">IFERROR(__xludf.DUMMYFUNCTION("""COMPUTED_VALUE"""),"Dhameliya Nirav Pravinbhai ")</f>
        <v xml:space="preserve">Dhameliya Nirav Pravinbhai </v>
      </c>
      <c r="C201" s="72" t="str">
        <f ca="1">IFERROR(__xludf.DUMMYFUNCTION("""COMPUTED_VALUE"""),"22SDSCE01038")</f>
        <v>22SDSCE01038</v>
      </c>
      <c r="D201" s="73">
        <f ca="1">IFERROR(__xludf.DUMMYFUNCTION("""COMPUTED_VALUE"""),45291)</f>
        <v>45291</v>
      </c>
      <c r="E201" s="74">
        <f ca="1">IFERROR(__xludf.DUMMYFUNCTION("""COMPUTED_VALUE"""),0)</f>
        <v>0</v>
      </c>
      <c r="F201" s="72">
        <f ca="1">IFERROR(__xludf.DUMMYFUNCTION("""COMPUTED_VALUE"""),3000)</f>
        <v>3000</v>
      </c>
      <c r="G201" s="75"/>
      <c r="H201" s="59" t="str">
        <f ca="1">IFERROR(__xludf.DUMMYFUNCTION("""COMPUTED_VALUE"""),"UPDATED")</f>
        <v>UPDATED</v>
      </c>
      <c r="I201" s="76" t="str">
        <f ca="1">IFERROR(__xludf.DUMMYFUNCTION("""COMPUTED_VALUE"""),"https://drive.google.com/open?id=1Fko0OkBf7-m8ceX5kZCXkfg29IWt1gwT")</f>
        <v>https://drive.google.com/open?id=1Fko0OkBf7-m8ceX5kZCXkfg29IWt1gwT</v>
      </c>
      <c r="J201" s="59"/>
      <c r="K201" s="59"/>
      <c r="L201" s="59"/>
      <c r="M201" s="59"/>
      <c r="N201" s="59"/>
      <c r="O201" s="59"/>
      <c r="P201" s="59"/>
    </row>
    <row r="202" spans="1:16">
      <c r="A202" s="71">
        <f ca="1">IFERROR(__xludf.DUMMYFUNCTION("""COMPUTED_VALUE"""),45290.7432610301)</f>
        <v>45290.743261030097</v>
      </c>
      <c r="B202" s="59" t="str">
        <f ca="1">IFERROR(__xludf.DUMMYFUNCTION("""COMPUTED_VALUE"""),"Taashi Kota")</f>
        <v>Taashi Kota</v>
      </c>
      <c r="C202" s="72" t="str">
        <f ca="1">IFERROR(__xludf.DUMMYFUNCTION("""COMPUTED_VALUE"""),"23SDSCE01017")</f>
        <v>23SDSCE01017</v>
      </c>
      <c r="D202" s="73">
        <f ca="1">IFERROR(__xludf.DUMMYFUNCTION("""COMPUTED_VALUE"""),45290)</f>
        <v>45290</v>
      </c>
      <c r="E202" s="74">
        <f ca="1">IFERROR(__xludf.DUMMYFUNCTION("""COMPUTED_VALUE"""),27500)</f>
        <v>27500</v>
      </c>
      <c r="F202" s="72">
        <f ca="1">IFERROR(__xludf.DUMMYFUNCTION("""COMPUTED_VALUE"""),3000)</f>
        <v>3000</v>
      </c>
      <c r="G202" s="75"/>
      <c r="H202" s="59" t="str">
        <f ca="1">IFERROR(__xludf.DUMMYFUNCTION("""COMPUTED_VALUE"""),"UPDATED")</f>
        <v>UPDATED</v>
      </c>
      <c r="I202" s="76" t="str">
        <f ca="1">IFERROR(__xludf.DUMMYFUNCTION("""COMPUTED_VALUE"""),"https://drive.google.com/open?id=1qmXrEGYNyWRrWbu8CcuAAtOdFpOBUj3i")</f>
        <v>https://drive.google.com/open?id=1qmXrEGYNyWRrWbu8CcuAAtOdFpOBUj3i</v>
      </c>
      <c r="J202" s="59"/>
      <c r="K202" s="59"/>
      <c r="L202" s="59"/>
      <c r="M202" s="59"/>
      <c r="N202" s="59"/>
      <c r="O202" s="59"/>
      <c r="P202" s="59"/>
    </row>
    <row r="203" spans="1:16">
      <c r="A203" s="71">
        <f ca="1">IFERROR(__xludf.DUMMYFUNCTION("""COMPUTED_VALUE"""),45290.7029721875)</f>
        <v>45290.702972187501</v>
      </c>
      <c r="B203" s="59" t="str">
        <f ca="1">IFERROR(__xludf.DUMMYFUNCTION("""COMPUTED_VALUE"""),"Nancy khakhriya ")</f>
        <v xml:space="preserve">Nancy khakhriya </v>
      </c>
      <c r="C203" s="72" t="str">
        <f ca="1">IFERROR(__xludf.DUMMYFUNCTION("""COMPUTED_VALUE"""),"21SDSCE01028")</f>
        <v>21SDSCE01028</v>
      </c>
      <c r="D203" s="73">
        <f ca="1">IFERROR(__xludf.DUMMYFUNCTION("""COMPUTED_VALUE"""),45290)</f>
        <v>45290</v>
      </c>
      <c r="E203" s="72"/>
      <c r="F203" s="72">
        <f ca="1">IFERROR(__xludf.DUMMYFUNCTION("""COMPUTED_VALUE"""),18750)</f>
        <v>18750</v>
      </c>
      <c r="G203" s="75"/>
      <c r="H203" s="59" t="str">
        <f ca="1">IFERROR(__xludf.DUMMYFUNCTION("""COMPUTED_VALUE"""),"UPDATED")</f>
        <v>UPDATED</v>
      </c>
      <c r="I203" s="76" t="str">
        <f ca="1">IFERROR(__xludf.DUMMYFUNCTION("""COMPUTED_VALUE"""),"https://drive.google.com/open?id=17YHR2ALYDuCbTkb1Yx0g4xisbk2t190n")</f>
        <v>https://drive.google.com/open?id=17YHR2ALYDuCbTkb1Yx0g4xisbk2t190n</v>
      </c>
      <c r="J203" s="59"/>
      <c r="K203" s="59"/>
      <c r="L203" s="59"/>
      <c r="M203" s="59"/>
      <c r="N203" s="59"/>
      <c r="O203" s="59"/>
      <c r="P203" s="59"/>
    </row>
    <row r="204" spans="1:16">
      <c r="A204" s="71">
        <f ca="1">IFERROR(__xludf.DUMMYFUNCTION("""COMPUTED_VALUE"""),45290.6579487268)</f>
        <v>45290.657948726803</v>
      </c>
      <c r="B204" s="59" t="str">
        <f ca="1">IFERROR(__xludf.DUMMYFUNCTION("""COMPUTED_VALUE"""),"Jadav niraj kalpeshbhai")</f>
        <v>Jadav niraj kalpeshbhai</v>
      </c>
      <c r="C204" s="72" t="str">
        <f ca="1">IFERROR(__xludf.DUMMYFUNCTION("""COMPUTED_VALUE"""),"23SDSCE01136")</f>
        <v>23SDSCE01136</v>
      </c>
      <c r="D204" s="73">
        <f ca="1">IFERROR(__xludf.DUMMYFUNCTION("""COMPUTED_VALUE"""),45290)</f>
        <v>45290</v>
      </c>
      <c r="E204" s="74">
        <f ca="1">IFERROR(__xludf.DUMMYFUNCTION("""COMPUTED_VALUE"""),21250)</f>
        <v>21250</v>
      </c>
      <c r="F204" s="72">
        <f ca="1">IFERROR(__xludf.DUMMYFUNCTION("""COMPUTED_VALUE"""),3000)</f>
        <v>3000</v>
      </c>
      <c r="G204" s="75"/>
      <c r="H204" s="59" t="str">
        <f ca="1">IFERROR(__xludf.DUMMYFUNCTION("""COMPUTED_VALUE"""),"UPDATED")</f>
        <v>UPDATED</v>
      </c>
      <c r="I204" s="76" t="str">
        <f ca="1">IFERROR(__xludf.DUMMYFUNCTION("""COMPUTED_VALUE"""),"https://drive.google.com/open?id=1tKwrlUUULoD_9Q3GccLMUrV4Ais4GNy2")</f>
        <v>https://drive.google.com/open?id=1tKwrlUUULoD_9Q3GccLMUrV4Ais4GNy2</v>
      </c>
      <c r="J204" s="59"/>
      <c r="K204" s="59"/>
      <c r="L204" s="59"/>
      <c r="M204" s="59"/>
      <c r="N204" s="59"/>
      <c r="O204" s="59"/>
      <c r="P204" s="59"/>
    </row>
    <row r="205" spans="1:16">
      <c r="A205" s="71">
        <f ca="1">IFERROR(__xludf.DUMMYFUNCTION("""COMPUTED_VALUE"""),45290.5873963657)</f>
        <v>45290.5873963657</v>
      </c>
      <c r="B205" s="59" t="str">
        <f ca="1">IFERROR(__xludf.DUMMYFUNCTION("""COMPUTED_VALUE"""),"Odedara Jaykumar Lilabhai")</f>
        <v>Odedara Jaykumar Lilabhai</v>
      </c>
      <c r="C205" s="72" t="str">
        <f ca="1">IFERROR(__xludf.DUMMYFUNCTION("""COMPUTED_VALUE"""),"22SDSCE01178")</f>
        <v>22SDSCE01178</v>
      </c>
      <c r="D205" s="73">
        <f ca="1">IFERROR(__xludf.DUMMYFUNCTION("""COMPUTED_VALUE"""),45290)</f>
        <v>45290</v>
      </c>
      <c r="E205" s="74">
        <f ca="1">IFERROR(__xludf.DUMMYFUNCTION("""COMPUTED_VALUE"""),25000)</f>
        <v>25000</v>
      </c>
      <c r="F205" s="72">
        <f ca="1">IFERROR(__xludf.DUMMYFUNCTION("""COMPUTED_VALUE"""),3000)</f>
        <v>3000</v>
      </c>
      <c r="G205" s="75"/>
      <c r="H205" s="59" t="str">
        <f ca="1">IFERROR(__xludf.DUMMYFUNCTION("""COMPUTED_VALUE"""),"UPDATED")</f>
        <v>UPDATED</v>
      </c>
      <c r="I205" s="76" t="str">
        <f ca="1">IFERROR(__xludf.DUMMYFUNCTION("""COMPUTED_VALUE"""),"https://drive.google.com/open?id=1u_xZ3C5dGJVHDO7wYB7dVVvbNNfos--O")</f>
        <v>https://drive.google.com/open?id=1u_xZ3C5dGJVHDO7wYB7dVVvbNNfos--O</v>
      </c>
      <c r="J205" s="59"/>
      <c r="K205" s="59"/>
      <c r="L205" s="59"/>
      <c r="M205" s="59"/>
      <c r="N205" s="59"/>
      <c r="O205" s="59"/>
      <c r="P205" s="59"/>
    </row>
    <row r="206" spans="1:16">
      <c r="A206" s="71">
        <f ca="1">IFERROR(__xludf.DUMMYFUNCTION("""COMPUTED_VALUE"""),45290.5663185069)</f>
        <v>45290.566318506899</v>
      </c>
      <c r="B206" s="59" t="str">
        <f ca="1">IFERROR(__xludf.DUMMYFUNCTION("""COMPUTED_VALUE"""),"Bibek Sah")</f>
        <v>Bibek Sah</v>
      </c>
      <c r="C206" s="72" t="str">
        <f ca="1">IFERROR(__xludf.DUMMYFUNCTION("""COMPUTED_VALUE"""),"22SDSCE01620")</f>
        <v>22SDSCE01620</v>
      </c>
      <c r="D206" s="73">
        <f ca="1">IFERROR(__xludf.DUMMYFUNCTION("""COMPUTED_VALUE"""),45290)</f>
        <v>45290</v>
      </c>
      <c r="E206" s="72"/>
      <c r="F206" s="72"/>
      <c r="G206" s="75"/>
      <c r="H206" s="59" t="str">
        <f ca="1">IFERROR(__xludf.DUMMYFUNCTION("""COMPUTED_VALUE"""),"UPDATED")</f>
        <v>UPDATED</v>
      </c>
      <c r="I206" s="76" t="str">
        <f ca="1">IFERROR(__xludf.DUMMYFUNCTION("""COMPUTED_VALUE"""),"https://drive.google.com/open?id=1sDfdZ1MiaPn4ieA9RQOOrvO6fr9jDheK")</f>
        <v>https://drive.google.com/open?id=1sDfdZ1MiaPn4ieA9RQOOrvO6fr9jDheK</v>
      </c>
      <c r="J206" s="59"/>
      <c r="K206" s="59"/>
      <c r="L206" s="59"/>
      <c r="M206" s="59"/>
      <c r="N206" s="59"/>
      <c r="O206" s="59"/>
      <c r="P206" s="59"/>
    </row>
    <row r="207" spans="1:16">
      <c r="A207" s="71">
        <f ca="1">IFERROR(__xludf.DUMMYFUNCTION("""COMPUTED_VALUE"""),45290.5652135069)</f>
        <v>45290.565213506903</v>
      </c>
      <c r="B207" s="59" t="str">
        <f ca="1">IFERROR(__xludf.DUMMYFUNCTION("""COMPUTED_VALUE"""),"Gajendra pandit ")</f>
        <v xml:space="preserve">Gajendra pandit </v>
      </c>
      <c r="C207" s="72" t="str">
        <f ca="1">IFERROR(__xludf.DUMMYFUNCTION("""COMPUTED_VALUE"""),"22SDSCV01605")</f>
        <v>22SDSCV01605</v>
      </c>
      <c r="D207" s="73">
        <f ca="1">IFERROR(__xludf.DUMMYFUNCTION("""COMPUTED_VALUE"""),45290)</f>
        <v>45290</v>
      </c>
      <c r="E207" s="74">
        <f ca="1">IFERROR(__xludf.DUMMYFUNCTION("""COMPUTED_VALUE"""),37500)</f>
        <v>37500</v>
      </c>
      <c r="F207" s="72"/>
      <c r="G207" s="75"/>
      <c r="H207" s="59" t="str">
        <f ca="1">IFERROR(__xludf.DUMMYFUNCTION("""COMPUTED_VALUE"""),"UPDATED")</f>
        <v>UPDATED</v>
      </c>
      <c r="I207" s="76" t="str">
        <f ca="1">IFERROR(__xludf.DUMMYFUNCTION("""COMPUTED_VALUE"""),"https://drive.google.com/open?id=1UaAOP60vcQOpM-bbx8fOL3zDVHldvXab")</f>
        <v>https://drive.google.com/open?id=1UaAOP60vcQOpM-bbx8fOL3zDVHldvXab</v>
      </c>
      <c r="J207" s="59"/>
      <c r="K207" s="59"/>
      <c r="L207" s="59"/>
      <c r="M207" s="59"/>
      <c r="N207" s="59"/>
      <c r="O207" s="59"/>
      <c r="P207" s="59"/>
    </row>
    <row r="208" spans="1:16">
      <c r="A208" s="71">
        <f ca="1">IFERROR(__xludf.DUMMYFUNCTION("""COMPUTED_VALUE"""),45290.5287078935)</f>
        <v>45290.5287078935</v>
      </c>
      <c r="B208" s="59" t="str">
        <f ca="1">IFERROR(__xludf.DUMMYFUNCTION("""COMPUTED_VALUE"""),"Mahanarayan Mandal ")</f>
        <v xml:space="preserve">Mahanarayan Mandal </v>
      </c>
      <c r="C208" s="72" t="str">
        <f ca="1">IFERROR(__xludf.DUMMYFUNCTION("""COMPUTED_VALUE"""),"22SDSCV01601")</f>
        <v>22SDSCV01601</v>
      </c>
      <c r="D208" s="73">
        <f ca="1">IFERROR(__xludf.DUMMYFUNCTION("""COMPUTED_VALUE"""),45290)</f>
        <v>45290</v>
      </c>
      <c r="E208" s="74">
        <f ca="1">IFERROR(__xludf.DUMMYFUNCTION("""COMPUTED_VALUE"""),0)</f>
        <v>0</v>
      </c>
      <c r="F208" s="72">
        <f ca="1">IFERROR(__xludf.DUMMYFUNCTION("""COMPUTED_VALUE"""),0)</f>
        <v>0</v>
      </c>
      <c r="G208" s="75"/>
      <c r="H208" s="59" t="str">
        <f ca="1">IFERROR(__xludf.DUMMYFUNCTION("""COMPUTED_VALUE"""),"UPDATED")</f>
        <v>UPDATED</v>
      </c>
      <c r="I208" s="76" t="str">
        <f ca="1">IFERROR(__xludf.DUMMYFUNCTION("""COMPUTED_VALUE"""),"https://drive.google.com/open?id=1Zvwg7HLWM936F1Y8T2gj37cTVqllfmgE")</f>
        <v>https://drive.google.com/open?id=1Zvwg7HLWM936F1Y8T2gj37cTVqllfmgE</v>
      </c>
      <c r="J208" s="59"/>
      <c r="K208" s="59"/>
      <c r="L208" s="59"/>
      <c r="M208" s="59"/>
      <c r="N208" s="59"/>
      <c r="O208" s="59"/>
      <c r="P208" s="59"/>
    </row>
    <row r="209" spans="1:16">
      <c r="A209" s="71">
        <f ca="1">IFERROR(__xludf.DUMMYFUNCTION("""COMPUTED_VALUE"""),45290.5272185648)</f>
        <v>45290.527218564799</v>
      </c>
      <c r="B209" s="59" t="str">
        <f ca="1">IFERROR(__xludf.DUMMYFUNCTION("""COMPUTED_VALUE"""),"Mahanarayan Mandal ")</f>
        <v xml:space="preserve">Mahanarayan Mandal </v>
      </c>
      <c r="C209" s="72" t="str">
        <f ca="1">IFERROR(__xludf.DUMMYFUNCTION("""COMPUTED_VALUE"""),"22SDSCV01601")</f>
        <v>22SDSCV01601</v>
      </c>
      <c r="D209" s="73">
        <f ca="1">IFERROR(__xludf.DUMMYFUNCTION("""COMPUTED_VALUE"""),45290)</f>
        <v>45290</v>
      </c>
      <c r="E209" s="74">
        <f ca="1">IFERROR(__xludf.DUMMYFUNCTION("""COMPUTED_VALUE"""),20000)</f>
        <v>20000</v>
      </c>
      <c r="F209" s="72">
        <f ca="1">IFERROR(__xludf.DUMMYFUNCTION("""COMPUTED_VALUE"""),0)</f>
        <v>0</v>
      </c>
      <c r="G209" s="75"/>
      <c r="H209" s="59" t="str">
        <f ca="1">IFERROR(__xludf.DUMMYFUNCTION("""COMPUTED_VALUE"""),"UPDATED")</f>
        <v>UPDATED</v>
      </c>
      <c r="I209" s="76" t="str">
        <f ca="1">IFERROR(__xludf.DUMMYFUNCTION("""COMPUTED_VALUE"""),"https://drive.google.com/open?id=1Jf1MhfgYcghjUuHy7lWfSJQwhH1_dqsw")</f>
        <v>https://drive.google.com/open?id=1Jf1MhfgYcghjUuHy7lWfSJQwhH1_dqsw</v>
      </c>
      <c r="J209" s="59"/>
      <c r="K209" s="59"/>
      <c r="L209" s="59"/>
      <c r="M209" s="59"/>
      <c r="N209" s="59"/>
      <c r="O209" s="59"/>
      <c r="P209" s="59"/>
    </row>
    <row r="210" spans="1:16">
      <c r="A210" s="71">
        <f ca="1">IFERROR(__xludf.DUMMYFUNCTION("""COMPUTED_VALUE"""),45290.441451412)</f>
        <v>45290.441451412</v>
      </c>
      <c r="B210" s="59" t="str">
        <f ca="1">IFERROR(__xludf.DUMMYFUNCTION("""COMPUTED_VALUE"""),"Bhakhar kunj Nitinkumar")</f>
        <v>Bhakhar kunj Nitinkumar</v>
      </c>
      <c r="C210" s="72" t="str">
        <f ca="1">IFERROR(__xludf.DUMMYFUNCTION("""COMPUTED_VALUE"""),"22SDSCE01014")</f>
        <v>22SDSCE01014</v>
      </c>
      <c r="D210" s="73">
        <f ca="1">IFERROR(__xludf.DUMMYFUNCTION("""COMPUTED_VALUE"""),45290)</f>
        <v>45290</v>
      </c>
      <c r="E210" s="74">
        <f ca="1">IFERROR(__xludf.DUMMYFUNCTION("""COMPUTED_VALUE"""),0)</f>
        <v>0</v>
      </c>
      <c r="F210" s="72">
        <f ca="1">IFERROR(__xludf.DUMMYFUNCTION("""COMPUTED_VALUE"""),3000)</f>
        <v>3000</v>
      </c>
      <c r="G210" s="75"/>
      <c r="H210" s="59" t="str">
        <f ca="1">IFERROR(__xludf.DUMMYFUNCTION("""COMPUTED_VALUE"""),"UPDATED")</f>
        <v>UPDATED</v>
      </c>
      <c r="I210" s="76" t="str">
        <f ca="1">IFERROR(__xludf.DUMMYFUNCTION("""COMPUTED_VALUE"""),"https://drive.google.com/open?id=18w9FblZIeC20erzctAFJONuWdzuPfFTm")</f>
        <v>https://drive.google.com/open?id=18w9FblZIeC20erzctAFJONuWdzuPfFTm</v>
      </c>
      <c r="J210" s="59"/>
      <c r="K210" s="59"/>
      <c r="L210" s="59"/>
      <c r="M210" s="59"/>
      <c r="N210" s="59"/>
      <c r="O210" s="59"/>
      <c r="P210" s="59"/>
    </row>
    <row r="211" spans="1:16">
      <c r="A211" s="71">
        <f ca="1">IFERROR(__xludf.DUMMYFUNCTION("""COMPUTED_VALUE"""),45290.4402858101)</f>
        <v>45290.440285810102</v>
      </c>
      <c r="B211" s="59" t="str">
        <f ca="1">IFERROR(__xludf.DUMMYFUNCTION("""COMPUTED_VALUE"""),"Moliya krupa hemantbhai ")</f>
        <v xml:space="preserve">Moliya krupa hemantbhai </v>
      </c>
      <c r="C211" s="72" t="str">
        <f ca="1">IFERROR(__xludf.DUMMYFUNCTION("""COMPUTED_VALUE"""),"22SDSCE01072")</f>
        <v>22SDSCE01072</v>
      </c>
      <c r="D211" s="73">
        <f ca="1">IFERROR(__xludf.DUMMYFUNCTION("""COMPUTED_VALUE"""),45290)</f>
        <v>45290</v>
      </c>
      <c r="E211" s="74">
        <f ca="1">IFERROR(__xludf.DUMMYFUNCTION("""COMPUTED_VALUE"""),25000)</f>
        <v>25000</v>
      </c>
      <c r="F211" s="72">
        <f ca="1">IFERROR(__xludf.DUMMYFUNCTION("""COMPUTED_VALUE"""),3000)</f>
        <v>3000</v>
      </c>
      <c r="G211" s="75"/>
      <c r="H211" s="59" t="str">
        <f ca="1">IFERROR(__xludf.DUMMYFUNCTION("""COMPUTED_VALUE"""),"UPDATED")</f>
        <v>UPDATED</v>
      </c>
      <c r="I211" s="76" t="str">
        <f ca="1">IFERROR(__xludf.DUMMYFUNCTION("""COMPUTED_VALUE"""),"https://drive.google.com/open?id=1repfuseW3vqcNBDR6PU2rrs4bCHEDNFG")</f>
        <v>https://drive.google.com/open?id=1repfuseW3vqcNBDR6PU2rrs4bCHEDNFG</v>
      </c>
      <c r="J211" s="59"/>
      <c r="K211" s="59"/>
      <c r="L211" s="59"/>
      <c r="M211" s="59"/>
      <c r="N211" s="59"/>
      <c r="O211" s="59"/>
      <c r="P211" s="59"/>
    </row>
    <row r="212" spans="1:16">
      <c r="A212" s="71">
        <f ca="1">IFERROR(__xludf.DUMMYFUNCTION("""COMPUTED_VALUE"""),45290.4179800462)</f>
        <v>45290.417980046201</v>
      </c>
      <c r="B212" s="59" t="str">
        <f ca="1">IFERROR(__xludf.DUMMYFUNCTION("""COMPUTED_VALUE"""),"Bhuva Milan Bharat ")</f>
        <v xml:space="preserve">Bhuva Milan Bharat </v>
      </c>
      <c r="C212" s="72" t="str">
        <f ca="1">IFERROR(__xludf.DUMMYFUNCTION("""COMPUTED_VALUE"""),"23SDSCE01155")</f>
        <v>23SDSCE01155</v>
      </c>
      <c r="D212" s="73">
        <f ca="1">IFERROR(__xludf.DUMMYFUNCTION("""COMPUTED_VALUE"""),45289)</f>
        <v>45289</v>
      </c>
      <c r="E212" s="74">
        <f ca="1">IFERROR(__xludf.DUMMYFUNCTION("""COMPUTED_VALUE"""),27500)</f>
        <v>27500</v>
      </c>
      <c r="F212" s="72">
        <f ca="1">IFERROR(__xludf.DUMMYFUNCTION("""COMPUTED_VALUE"""),3000)</f>
        <v>3000</v>
      </c>
      <c r="G212" s="75"/>
      <c r="H212" s="59" t="str">
        <f ca="1">IFERROR(__xludf.DUMMYFUNCTION("""COMPUTED_VALUE"""),"UPDATED")</f>
        <v>UPDATED</v>
      </c>
      <c r="I212" s="76" t="str">
        <f ca="1">IFERROR(__xludf.DUMMYFUNCTION("""COMPUTED_VALUE"""),"https://drive.google.com/open?id=1l36UkHrfsYwC2q5ArZjNAuzcsOv4gUKd")</f>
        <v>https://drive.google.com/open?id=1l36UkHrfsYwC2q5ArZjNAuzcsOv4gUKd</v>
      </c>
      <c r="J212" s="59"/>
      <c r="K212" s="59"/>
      <c r="L212" s="59"/>
      <c r="M212" s="59"/>
      <c r="N212" s="59"/>
      <c r="O212" s="59"/>
      <c r="P212" s="59"/>
    </row>
    <row r="213" spans="1:16">
      <c r="A213" s="71">
        <f ca="1">IFERROR(__xludf.DUMMYFUNCTION("""COMPUTED_VALUE"""),45290.0720940046)</f>
        <v>45290.072094004601</v>
      </c>
      <c r="B213" s="59" t="str">
        <f ca="1">IFERROR(__xludf.DUMMYFUNCTION("""COMPUTED_VALUE"""),"Vegad vivek dipakbhai ")</f>
        <v xml:space="preserve">Vegad vivek dipakbhai </v>
      </c>
      <c r="C213" s="72" t="str">
        <f ca="1">IFERROR(__xludf.DUMMYFUNCTION("""COMPUTED_VALUE"""),"22SDSCE01197")</f>
        <v>22SDSCE01197</v>
      </c>
      <c r="D213" s="73">
        <f ca="1">IFERROR(__xludf.DUMMYFUNCTION("""COMPUTED_VALUE"""),45289)</f>
        <v>45289</v>
      </c>
      <c r="E213" s="74">
        <f ca="1">IFERROR(__xludf.DUMMYFUNCTION("""COMPUTED_VALUE"""),25000)</f>
        <v>25000</v>
      </c>
      <c r="F213" s="72">
        <f ca="1">IFERROR(__xludf.DUMMYFUNCTION("""COMPUTED_VALUE"""),3000)</f>
        <v>3000</v>
      </c>
      <c r="G213" s="75"/>
      <c r="H213" s="59" t="str">
        <f ca="1">IFERROR(__xludf.DUMMYFUNCTION("""COMPUTED_VALUE"""),"UPDATED")</f>
        <v>UPDATED</v>
      </c>
      <c r="I213" s="76" t="str">
        <f ca="1">IFERROR(__xludf.DUMMYFUNCTION("""COMPUTED_VALUE"""),"https://drive.google.com/open?id=14D-sRAIwiyRDkX0KHZ0IU4LiZQJjnW5I")</f>
        <v>https://drive.google.com/open?id=14D-sRAIwiyRDkX0KHZ0IU4LiZQJjnW5I</v>
      </c>
      <c r="J213" s="59"/>
      <c r="K213" s="59"/>
      <c r="L213" s="59"/>
      <c r="M213" s="59"/>
      <c r="N213" s="59"/>
      <c r="O213" s="59"/>
      <c r="P213" s="59"/>
    </row>
    <row r="214" spans="1:16">
      <c r="A214" s="71">
        <f ca="1">IFERROR(__xludf.DUMMYFUNCTION("""COMPUTED_VALUE"""),45289.8868905439)</f>
        <v>45289.886890543901</v>
      </c>
      <c r="B214" s="59" t="str">
        <f ca="1">IFERROR(__xludf.DUMMYFUNCTION("""COMPUTED_VALUE"""),"Vegad vivek dipakbhai")</f>
        <v>Vegad vivek dipakbhai</v>
      </c>
      <c r="C214" s="72" t="str">
        <f ca="1">IFERROR(__xludf.DUMMYFUNCTION("""COMPUTED_VALUE"""),"22SDSCE01197")</f>
        <v>22SDSCE01197</v>
      </c>
      <c r="D214" s="73">
        <f ca="1">IFERROR(__xludf.DUMMYFUNCTION("""COMPUTED_VALUE"""),45289)</f>
        <v>45289</v>
      </c>
      <c r="E214" s="74">
        <f ca="1">IFERROR(__xludf.DUMMYFUNCTION("""COMPUTED_VALUE"""),25000)</f>
        <v>25000</v>
      </c>
      <c r="F214" s="72">
        <f ca="1">IFERROR(__xludf.DUMMYFUNCTION("""COMPUTED_VALUE"""),3000)</f>
        <v>3000</v>
      </c>
      <c r="G214" s="75"/>
      <c r="H214" s="59" t="str">
        <f ca="1">IFERROR(__xludf.DUMMYFUNCTION("""COMPUTED_VALUE"""),"UPDATED")</f>
        <v>UPDATED</v>
      </c>
      <c r="I214" s="76" t="str">
        <f ca="1">IFERROR(__xludf.DUMMYFUNCTION("""COMPUTED_VALUE"""),"https://drive.google.com/open?id=1tVQ7VD8e-iZujakhmuEFmh6uQwhBvNu1")</f>
        <v>https://drive.google.com/open?id=1tVQ7VD8e-iZujakhmuEFmh6uQwhBvNu1</v>
      </c>
      <c r="J214" s="59"/>
      <c r="K214" s="59"/>
      <c r="L214" s="59"/>
      <c r="M214" s="59"/>
      <c r="N214" s="59"/>
      <c r="O214" s="59"/>
      <c r="P214" s="59"/>
    </row>
    <row r="215" spans="1:16">
      <c r="A215" s="71">
        <f ca="1">IFERROR(__xludf.DUMMYFUNCTION("""COMPUTED_VALUE"""),45289.8491599884)</f>
        <v>45289.8491599884</v>
      </c>
      <c r="B215" s="59" t="str">
        <f ca="1">IFERROR(__xludf.DUMMYFUNCTION("""COMPUTED_VALUE"""),"Rabadiya Vivek lalji bhai ")</f>
        <v xml:space="preserve">Rabadiya Vivek lalji bhai </v>
      </c>
      <c r="C215" s="72" t="str">
        <f ca="1">IFERROR(__xludf.DUMMYFUNCTION("""COMPUTED_VALUE"""),"23SDSCE01190")</f>
        <v>23SDSCE01190</v>
      </c>
      <c r="D215" s="73">
        <f ca="1">IFERROR(__xludf.DUMMYFUNCTION("""COMPUTED_VALUE"""),45289)</f>
        <v>45289</v>
      </c>
      <c r="E215" s="74">
        <f ca="1">IFERROR(__xludf.DUMMYFUNCTION("""COMPUTED_VALUE"""),27500)</f>
        <v>27500</v>
      </c>
      <c r="F215" s="72">
        <f ca="1">IFERROR(__xludf.DUMMYFUNCTION("""COMPUTED_VALUE"""),3000)</f>
        <v>3000</v>
      </c>
      <c r="G215" s="75"/>
      <c r="H215" s="59" t="str">
        <f ca="1">IFERROR(__xludf.DUMMYFUNCTION("""COMPUTED_VALUE"""),"UPDATED")</f>
        <v>UPDATED</v>
      </c>
      <c r="I215" s="76" t="str">
        <f ca="1">IFERROR(__xludf.DUMMYFUNCTION("""COMPUTED_VALUE"""),"https://drive.google.com/open?id=1XK0ZfKOel1qegmcFX2qc_xd5tRHMGjVc")</f>
        <v>https://drive.google.com/open?id=1XK0ZfKOel1qegmcFX2qc_xd5tRHMGjVc</v>
      </c>
      <c r="J215" s="59"/>
      <c r="K215" s="59"/>
      <c r="L215" s="59"/>
      <c r="M215" s="59"/>
      <c r="N215" s="59"/>
      <c r="O215" s="59"/>
      <c r="P215" s="59"/>
    </row>
    <row r="216" spans="1:16">
      <c r="A216" s="71">
        <f ca="1">IFERROR(__xludf.DUMMYFUNCTION("""COMPUTED_VALUE"""),45289.8347758564)</f>
        <v>45289.834775856398</v>
      </c>
      <c r="B216" s="59" t="str">
        <f ca="1">IFERROR(__xludf.DUMMYFUNCTION("""COMPUTED_VALUE"""),"Arman Ansari")</f>
        <v>Arman Ansari</v>
      </c>
      <c r="C216" s="72" t="str">
        <f ca="1">IFERROR(__xludf.DUMMYFUNCTION("""COMPUTED_VALUE"""),"22SDSCE01606")</f>
        <v>22SDSCE01606</v>
      </c>
      <c r="D216" s="73">
        <f ca="1">IFERROR(__xludf.DUMMYFUNCTION("""COMPUTED_VALUE"""),45289)</f>
        <v>45289</v>
      </c>
      <c r="E216" s="74">
        <f ca="1">IFERROR(__xludf.DUMMYFUNCTION("""COMPUTED_VALUE"""),37500)</f>
        <v>37500</v>
      </c>
      <c r="F216" s="72">
        <f ca="1">IFERROR(__xludf.DUMMYFUNCTION("""COMPUTED_VALUE"""),0)</f>
        <v>0</v>
      </c>
      <c r="G216" s="75"/>
      <c r="H216" s="59" t="str">
        <f ca="1">IFERROR(__xludf.DUMMYFUNCTION("""COMPUTED_VALUE"""),"UPDATED")</f>
        <v>UPDATED</v>
      </c>
      <c r="I216" s="76" t="str">
        <f ca="1">IFERROR(__xludf.DUMMYFUNCTION("""COMPUTED_VALUE"""),"https://drive.google.com/open?id=15e2qSRdDXJgqVJGZ1KFsDbHzHZ7S-4Aa")</f>
        <v>https://drive.google.com/open?id=15e2qSRdDXJgqVJGZ1KFsDbHzHZ7S-4Aa</v>
      </c>
      <c r="J216" s="59"/>
      <c r="K216" s="59"/>
      <c r="L216" s="59"/>
      <c r="M216" s="59"/>
      <c r="N216" s="59"/>
      <c r="O216" s="59"/>
      <c r="P216" s="59"/>
    </row>
    <row r="217" spans="1:16">
      <c r="A217" s="71">
        <f ca="1">IFERROR(__xludf.DUMMYFUNCTION("""COMPUTED_VALUE"""),45289.6853997338)</f>
        <v>45289.685399733797</v>
      </c>
      <c r="B217" s="59" t="str">
        <f ca="1">IFERROR(__xludf.DUMMYFUNCTION("""COMPUTED_VALUE"""),"Ved padaliya")</f>
        <v>Ved padaliya</v>
      </c>
      <c r="C217" s="72" t="str">
        <f ca="1">IFERROR(__xludf.DUMMYFUNCTION("""COMPUTED_VALUE"""),"23SDSCE01106")</f>
        <v>23SDSCE01106</v>
      </c>
      <c r="D217" s="73">
        <f ca="1">IFERROR(__xludf.DUMMYFUNCTION("""COMPUTED_VALUE"""),45289)</f>
        <v>45289</v>
      </c>
      <c r="E217" s="74">
        <f ca="1">IFERROR(__xludf.DUMMYFUNCTION("""COMPUTED_VALUE"""),27500)</f>
        <v>27500</v>
      </c>
      <c r="F217" s="72">
        <f ca="1">IFERROR(__xludf.DUMMYFUNCTION("""COMPUTED_VALUE"""),3000)</f>
        <v>3000</v>
      </c>
      <c r="G217" s="75"/>
      <c r="H217" s="59" t="str">
        <f ca="1">IFERROR(__xludf.DUMMYFUNCTION("""COMPUTED_VALUE"""),"UPDATED")</f>
        <v>UPDATED</v>
      </c>
      <c r="I217" s="76" t="str">
        <f ca="1">IFERROR(__xludf.DUMMYFUNCTION("""COMPUTED_VALUE"""),"https://drive.google.com/open?id=1wJehkEQK8h4JLXE7Q2cBouXU_NhLxV9s")</f>
        <v>https://drive.google.com/open?id=1wJehkEQK8h4JLXE7Q2cBouXU_NhLxV9s</v>
      </c>
      <c r="J217" s="59"/>
      <c r="K217" s="59"/>
      <c r="L217" s="59"/>
      <c r="M217" s="59"/>
      <c r="N217" s="59"/>
      <c r="O217" s="59"/>
      <c r="P217" s="59"/>
    </row>
    <row r="218" spans="1:16">
      <c r="A218" s="71">
        <f ca="1">IFERROR(__xludf.DUMMYFUNCTION("""COMPUTED_VALUE"""),45289.663187581)</f>
        <v>45289.663187580998</v>
      </c>
      <c r="B218" s="59" t="str">
        <f ca="1">IFERROR(__xludf.DUMMYFUNCTION("""COMPUTED_VALUE"""),"Kirtan poshiya")</f>
        <v>Kirtan poshiya</v>
      </c>
      <c r="C218" s="72" t="str">
        <f ca="1">IFERROR(__xludf.DUMMYFUNCTION("""COMPUTED_VALUE"""),"23SDSCE01112")</f>
        <v>23SDSCE01112</v>
      </c>
      <c r="D218" s="73">
        <f ca="1">IFERROR(__xludf.DUMMYFUNCTION("""COMPUTED_VALUE"""),45289)</f>
        <v>45289</v>
      </c>
      <c r="E218" s="74">
        <f ca="1">IFERROR(__xludf.DUMMYFUNCTION("""COMPUTED_VALUE"""),27500)</f>
        <v>27500</v>
      </c>
      <c r="F218" s="72">
        <f ca="1">IFERROR(__xludf.DUMMYFUNCTION("""COMPUTED_VALUE"""),3000)</f>
        <v>3000</v>
      </c>
      <c r="G218" s="75"/>
      <c r="H218" s="59" t="str">
        <f ca="1">IFERROR(__xludf.DUMMYFUNCTION("""COMPUTED_VALUE"""),"UPDATED")</f>
        <v>UPDATED</v>
      </c>
      <c r="I218" s="76" t="str">
        <f ca="1">IFERROR(__xludf.DUMMYFUNCTION("""COMPUTED_VALUE"""),"https://drive.google.com/open?id=1PUyoL842dGd32nnyYVR7mtuVS_1BX3J3")</f>
        <v>https://drive.google.com/open?id=1PUyoL842dGd32nnyYVR7mtuVS_1BX3J3</v>
      </c>
      <c r="J218" s="59"/>
      <c r="K218" s="59"/>
      <c r="L218" s="59"/>
      <c r="M218" s="59"/>
      <c r="N218" s="59"/>
      <c r="O218" s="59"/>
      <c r="P218" s="59"/>
    </row>
    <row r="219" spans="1:16">
      <c r="A219" s="71">
        <f ca="1">IFERROR(__xludf.DUMMYFUNCTION("""COMPUTED_VALUE"""),45289.6206758796)</f>
        <v>45289.620675879603</v>
      </c>
      <c r="B219" s="59" t="str">
        <f ca="1">IFERROR(__xludf.DUMMYFUNCTION("""COMPUTED_VALUE"""),"SHAH dhruv mehul")</f>
        <v>SHAH dhruv mehul</v>
      </c>
      <c r="C219" s="72" t="str">
        <f ca="1">IFERROR(__xludf.DUMMYFUNCTION("""COMPUTED_VALUE"""),"22SDSCE01188")</f>
        <v>22SDSCE01188</v>
      </c>
      <c r="D219" s="73">
        <f ca="1">IFERROR(__xludf.DUMMYFUNCTION("""COMPUTED_VALUE"""),45289)</f>
        <v>45289</v>
      </c>
      <c r="E219" s="74">
        <f ca="1">IFERROR(__xludf.DUMMYFUNCTION("""COMPUTED_VALUE"""),25000)</f>
        <v>25000</v>
      </c>
      <c r="F219" s="72">
        <f ca="1">IFERROR(__xludf.DUMMYFUNCTION("""COMPUTED_VALUE"""),3000)</f>
        <v>3000</v>
      </c>
      <c r="G219" s="75"/>
      <c r="H219" s="59" t="str">
        <f ca="1">IFERROR(__xludf.DUMMYFUNCTION("""COMPUTED_VALUE"""),"UPDATED")</f>
        <v>UPDATED</v>
      </c>
      <c r="I219" s="76" t="str">
        <f ca="1">IFERROR(__xludf.DUMMYFUNCTION("""COMPUTED_VALUE"""),"https://drive.google.com/open?id=1eK_siGE6RXIt_zwA5u9BJ_Ua78Tl40oS")</f>
        <v>https://drive.google.com/open?id=1eK_siGE6RXIt_zwA5u9BJ_Ua78Tl40oS</v>
      </c>
      <c r="J219" s="59"/>
      <c r="K219" s="59"/>
      <c r="L219" s="59"/>
      <c r="M219" s="59"/>
      <c r="N219" s="59"/>
      <c r="O219" s="59"/>
      <c r="P219" s="59"/>
    </row>
    <row r="220" spans="1:16">
      <c r="A220" s="71">
        <f ca="1">IFERROR(__xludf.DUMMYFUNCTION("""COMPUTED_VALUE"""),45289.6155204976)</f>
        <v>45289.615520497602</v>
      </c>
      <c r="B220" s="59" t="str">
        <f ca="1">IFERROR(__xludf.DUMMYFUNCTION("""COMPUTED_VALUE"""),"KOTADIYA SHUBHAM JENTIBHAI ")</f>
        <v xml:space="preserve">KOTADIYA SHUBHAM JENTIBHAI </v>
      </c>
      <c r="C220" s="72" t="str">
        <f ca="1">IFERROR(__xludf.DUMMYFUNCTION("""COMPUTED_VALUE"""),"22SDSCE01054")</f>
        <v>22SDSCE01054</v>
      </c>
      <c r="D220" s="73">
        <f ca="1">IFERROR(__xludf.DUMMYFUNCTION("""COMPUTED_VALUE"""),45289)</f>
        <v>45289</v>
      </c>
      <c r="E220" s="74">
        <f ca="1">IFERROR(__xludf.DUMMYFUNCTION("""COMPUTED_VALUE"""),25000)</f>
        <v>25000</v>
      </c>
      <c r="F220" s="72">
        <f ca="1">IFERROR(__xludf.DUMMYFUNCTION("""COMPUTED_VALUE"""),3000)</f>
        <v>3000</v>
      </c>
      <c r="G220" s="75"/>
      <c r="H220" s="59" t="str">
        <f ca="1">IFERROR(__xludf.DUMMYFUNCTION("""COMPUTED_VALUE"""),"UPDATED")</f>
        <v>UPDATED</v>
      </c>
      <c r="I220" s="76" t="str">
        <f ca="1">IFERROR(__xludf.DUMMYFUNCTION("""COMPUTED_VALUE"""),"https://drive.google.com/open?id=1FFv6QcxbqXayakWeYb-BP5XidrxLTPU_")</f>
        <v>https://drive.google.com/open?id=1FFv6QcxbqXayakWeYb-BP5XidrxLTPU_</v>
      </c>
      <c r="J220" s="59"/>
      <c r="K220" s="59"/>
      <c r="L220" s="59"/>
      <c r="M220" s="59"/>
      <c r="N220" s="59"/>
      <c r="O220" s="59"/>
      <c r="P220" s="59"/>
    </row>
    <row r="221" spans="1:16">
      <c r="A221" s="71">
        <f ca="1">IFERROR(__xludf.DUMMYFUNCTION("""COMPUTED_VALUE"""),45289.5877907638)</f>
        <v>45289.587790763799</v>
      </c>
      <c r="B221" s="59" t="str">
        <f ca="1">IFERROR(__xludf.DUMMYFUNCTION("""COMPUTED_VALUE"""),"Prashant Kumar Singh ")</f>
        <v xml:space="preserve">Prashant Kumar Singh </v>
      </c>
      <c r="C221" s="72" t="str">
        <f ca="1">IFERROR(__xludf.DUMMYFUNCTION("""COMPUTED_VALUE"""),"22SDSME01050")</f>
        <v>22SDSME01050</v>
      </c>
      <c r="D221" s="73">
        <f ca="1">IFERROR(__xludf.DUMMYFUNCTION("""COMPUTED_VALUE"""),45276)</f>
        <v>45276</v>
      </c>
      <c r="E221" s="72"/>
      <c r="F221" s="72"/>
      <c r="G221" s="75"/>
      <c r="H221" s="59" t="str">
        <f ca="1">IFERROR(__xludf.DUMMYFUNCTION("""COMPUTED_VALUE"""),"UPDATED")</f>
        <v>UPDATED</v>
      </c>
      <c r="I221" s="76" t="str">
        <f ca="1">IFERROR(__xludf.DUMMYFUNCTION("""COMPUTED_VALUE"""),"https://drive.google.com/open?id=1AeutdfA87ZDddpI7akz0fJqbaiWIagXr")</f>
        <v>https://drive.google.com/open?id=1AeutdfA87ZDddpI7akz0fJqbaiWIagXr</v>
      </c>
      <c r="J221" s="59"/>
      <c r="K221" s="59"/>
      <c r="L221" s="59"/>
      <c r="M221" s="59"/>
      <c r="N221" s="59"/>
      <c r="O221" s="59"/>
      <c r="P221" s="59"/>
    </row>
    <row r="222" spans="1:16">
      <c r="A222" s="71">
        <f ca="1">IFERROR(__xludf.DUMMYFUNCTION("""COMPUTED_VALUE"""),45289.4794160879)</f>
        <v>45289.479416087903</v>
      </c>
      <c r="B222" s="59" t="str">
        <f ca="1">IFERROR(__xludf.DUMMYFUNCTION("""COMPUTED_VALUE"""),"Solanki Tushar Natubhai")</f>
        <v>Solanki Tushar Natubhai</v>
      </c>
      <c r="C222" s="72" t="str">
        <f ca="1">IFERROR(__xludf.DUMMYFUNCTION("""COMPUTED_VALUE"""),"22SDSCE01190")</f>
        <v>22SDSCE01190</v>
      </c>
      <c r="D222" s="73">
        <f ca="1">IFERROR(__xludf.DUMMYFUNCTION("""COMPUTED_VALUE"""),45289)</f>
        <v>45289</v>
      </c>
      <c r="E222" s="74">
        <f ca="1">IFERROR(__xludf.DUMMYFUNCTION("""COMPUTED_VALUE"""),25000)</f>
        <v>25000</v>
      </c>
      <c r="F222" s="72">
        <f ca="1">IFERROR(__xludf.DUMMYFUNCTION("""COMPUTED_VALUE"""),3000)</f>
        <v>3000</v>
      </c>
      <c r="G222" s="75"/>
      <c r="H222" s="59" t="str">
        <f ca="1">IFERROR(__xludf.DUMMYFUNCTION("""COMPUTED_VALUE"""),"UPDATED")</f>
        <v>UPDATED</v>
      </c>
      <c r="I222" s="76" t="str">
        <f ca="1">IFERROR(__xludf.DUMMYFUNCTION("""COMPUTED_VALUE"""),"https://drive.google.com/open?id=1YiGAJU-rnWoENz29-Z081VXmcAErgOKK")</f>
        <v>https://drive.google.com/open?id=1YiGAJU-rnWoENz29-Z081VXmcAErgOKK</v>
      </c>
      <c r="J222" s="59"/>
      <c r="K222" s="59"/>
      <c r="L222" s="59"/>
      <c r="M222" s="59"/>
      <c r="N222" s="59"/>
      <c r="O222" s="59"/>
      <c r="P222" s="59"/>
    </row>
    <row r="223" spans="1:16">
      <c r="A223" s="71">
        <f ca="1">IFERROR(__xludf.DUMMYFUNCTION("""COMPUTED_VALUE"""),45289.479310081)</f>
        <v>45289.479310080998</v>
      </c>
      <c r="B223" s="59" t="str">
        <f ca="1">IFERROR(__xludf.DUMMYFUNCTION("""COMPUTED_VALUE"""),"DEEP KUNDALIYA ")</f>
        <v xml:space="preserve">DEEP KUNDALIYA </v>
      </c>
      <c r="C223" s="72" t="str">
        <f ca="1">IFERROR(__xludf.DUMMYFUNCTION("""COMPUTED_VALUE"""),"22SDSCE01164")</f>
        <v>22SDSCE01164</v>
      </c>
      <c r="D223" s="73">
        <f ca="1">IFERROR(__xludf.DUMMYFUNCTION("""COMPUTED_VALUE"""),45289)</f>
        <v>45289</v>
      </c>
      <c r="E223" s="74">
        <f ca="1">IFERROR(__xludf.DUMMYFUNCTION("""COMPUTED_VALUE"""),25000)</f>
        <v>25000</v>
      </c>
      <c r="F223" s="72">
        <f ca="1">IFERROR(__xludf.DUMMYFUNCTION("""COMPUTED_VALUE"""),3000)</f>
        <v>3000</v>
      </c>
      <c r="G223" s="75"/>
      <c r="H223" s="59" t="str">
        <f ca="1">IFERROR(__xludf.DUMMYFUNCTION("""COMPUTED_VALUE"""),"UPDATED")</f>
        <v>UPDATED</v>
      </c>
      <c r="I223" s="76" t="str">
        <f ca="1">IFERROR(__xludf.DUMMYFUNCTION("""COMPUTED_VALUE"""),"https://drive.google.com/open?id=11U1gwttqKcRxKSN6wmBM8GJDkdx1ZdKh")</f>
        <v>https://drive.google.com/open?id=11U1gwttqKcRxKSN6wmBM8GJDkdx1ZdKh</v>
      </c>
      <c r="J223" s="59"/>
      <c r="K223" s="59"/>
      <c r="L223" s="59"/>
      <c r="M223" s="59"/>
      <c r="N223" s="59"/>
      <c r="O223" s="59"/>
      <c r="P223" s="59"/>
    </row>
    <row r="224" spans="1:16">
      <c r="A224" s="71">
        <f ca="1">IFERROR(__xludf.DUMMYFUNCTION("""COMPUTED_VALUE"""),45289.416878125)</f>
        <v>45289.416878124997</v>
      </c>
      <c r="B224" s="59" t="str">
        <f ca="1">IFERROR(__xludf.DUMMYFUNCTION("""COMPUTED_VALUE"""),"MITESH RAVJI SHIYANI")</f>
        <v>MITESH RAVJI SHIYANI</v>
      </c>
      <c r="C224" s="72" t="str">
        <f ca="1">IFERROR(__xludf.DUMMYFUNCTION("""COMPUTED_VALUE"""),"23SDSCE01031")</f>
        <v>23SDSCE01031</v>
      </c>
      <c r="D224" s="73">
        <f ca="1">IFERROR(__xludf.DUMMYFUNCTION("""COMPUTED_VALUE"""),45288)</f>
        <v>45288</v>
      </c>
      <c r="E224" s="74">
        <f ca="1">IFERROR(__xludf.DUMMYFUNCTION("""COMPUTED_VALUE"""),27500)</f>
        <v>27500</v>
      </c>
      <c r="F224" s="72">
        <f ca="1">IFERROR(__xludf.DUMMYFUNCTION("""COMPUTED_VALUE"""),3000)</f>
        <v>3000</v>
      </c>
      <c r="G224" s="75"/>
      <c r="H224" s="59" t="str">
        <f ca="1">IFERROR(__xludf.DUMMYFUNCTION("""COMPUTED_VALUE"""),"UPDATED")</f>
        <v>UPDATED</v>
      </c>
      <c r="I224" s="76" t="str">
        <f ca="1">IFERROR(__xludf.DUMMYFUNCTION("""COMPUTED_VALUE"""),"https://drive.google.com/open?id=1-jjWmlCqjDfI8FiNCD5FE88GXfLXABnO")</f>
        <v>https://drive.google.com/open?id=1-jjWmlCqjDfI8FiNCD5FE88GXfLXABnO</v>
      </c>
      <c r="J224" s="59"/>
      <c r="K224" s="59"/>
      <c r="L224" s="59"/>
      <c r="M224" s="59"/>
      <c r="N224" s="59"/>
      <c r="O224" s="59"/>
      <c r="P224" s="59"/>
    </row>
    <row r="225" spans="1:16">
      <c r="A225" s="71">
        <f ca="1">IFERROR(__xludf.DUMMYFUNCTION("""COMPUTED_VALUE"""),45289.3241178935)</f>
        <v>45289.324117893499</v>
      </c>
      <c r="B225" s="59" t="str">
        <f ca="1">IFERROR(__xludf.DUMMYFUNCTION("""COMPUTED_VALUE"""),"Ghetiya vasu bhaveshbhai ")</f>
        <v xml:space="preserve">Ghetiya vasu bhaveshbhai </v>
      </c>
      <c r="C225" s="72" t="str">
        <f ca="1">IFERROR(__xludf.DUMMYFUNCTION("""COMPUTED_VALUE"""),"22SDSCE01045")</f>
        <v>22SDSCE01045</v>
      </c>
      <c r="D225" s="73">
        <f ca="1">IFERROR(__xludf.DUMMYFUNCTION("""COMPUTED_VALUE"""),45289)</f>
        <v>45289</v>
      </c>
      <c r="E225" s="72"/>
      <c r="F225" s="72">
        <f ca="1">IFERROR(__xludf.DUMMYFUNCTION("""COMPUTED_VALUE"""),3000)</f>
        <v>3000</v>
      </c>
      <c r="G225" s="75"/>
      <c r="H225" s="59" t="str">
        <f ca="1">IFERROR(__xludf.DUMMYFUNCTION("""COMPUTED_VALUE"""),"UPDATED")</f>
        <v>UPDATED</v>
      </c>
      <c r="I225" s="76" t="str">
        <f ca="1">IFERROR(__xludf.DUMMYFUNCTION("""COMPUTED_VALUE"""),"https://drive.google.com/open?id=10AMv9tuaNnB0zzqa_f9-U77VuvJd9CYt")</f>
        <v>https://drive.google.com/open?id=10AMv9tuaNnB0zzqa_f9-U77VuvJd9CYt</v>
      </c>
      <c r="J225" s="59"/>
      <c r="K225" s="59"/>
      <c r="L225" s="59"/>
      <c r="M225" s="59"/>
      <c r="N225" s="59"/>
      <c r="O225" s="59"/>
      <c r="P225" s="59"/>
    </row>
    <row r="226" spans="1:16">
      <c r="A226" s="71">
        <f ca="1">IFERROR(__xludf.DUMMYFUNCTION("""COMPUTED_VALUE"""),45288.6873315856)</f>
        <v>45288.687331585599</v>
      </c>
      <c r="B226" s="59" t="str">
        <f ca="1">IFERROR(__xludf.DUMMYFUNCTION("""COMPUTED_VALUE"""),"Shyam Navin")</f>
        <v>Shyam Navin</v>
      </c>
      <c r="C226" s="72" t="str">
        <f ca="1">IFERROR(__xludf.DUMMYFUNCTION("""COMPUTED_VALUE"""),"23SDSCE01122")</f>
        <v>23SDSCE01122</v>
      </c>
      <c r="D226" s="73">
        <f ca="1">IFERROR(__xludf.DUMMYFUNCTION("""COMPUTED_VALUE"""),45288)</f>
        <v>45288</v>
      </c>
      <c r="E226" s="74">
        <f ca="1">IFERROR(__xludf.DUMMYFUNCTION("""COMPUTED_VALUE"""),27500)</f>
        <v>27500</v>
      </c>
      <c r="F226" s="72">
        <f ca="1">IFERROR(__xludf.DUMMYFUNCTION("""COMPUTED_VALUE"""),3000)</f>
        <v>3000</v>
      </c>
      <c r="G226" s="75"/>
      <c r="H226" s="59" t="str">
        <f ca="1">IFERROR(__xludf.DUMMYFUNCTION("""COMPUTED_VALUE"""),"UPDATED")</f>
        <v>UPDATED</v>
      </c>
      <c r="I226" s="76" t="str">
        <f ca="1">IFERROR(__xludf.DUMMYFUNCTION("""COMPUTED_VALUE"""),"https://drive.google.com/open?id=1qF35i34sywvSuOOyBmLzv0IiVGjCfZfT")</f>
        <v>https://drive.google.com/open?id=1qF35i34sywvSuOOyBmLzv0IiVGjCfZfT</v>
      </c>
      <c r="J226" s="59"/>
      <c r="K226" s="59"/>
      <c r="L226" s="59"/>
      <c r="M226" s="59"/>
      <c r="N226" s="59"/>
      <c r="O226" s="59"/>
      <c r="P226" s="59"/>
    </row>
    <row r="227" spans="1:16">
      <c r="A227" s="71">
        <f ca="1">IFERROR(__xludf.DUMMYFUNCTION("""COMPUTED_VALUE"""),45288.6825735879)</f>
        <v>45288.682573587903</v>
      </c>
      <c r="B227" s="59" t="str">
        <f ca="1">IFERROR(__xludf.DUMMYFUNCTION("""COMPUTED_VALUE"""),"Vekariya Nimesh ramesh")</f>
        <v>Vekariya Nimesh ramesh</v>
      </c>
      <c r="C227" s="72" t="str">
        <f ca="1">IFERROR(__xludf.DUMMYFUNCTION("""COMPUTED_VALUE"""),"23SDSCE01174")</f>
        <v>23SDSCE01174</v>
      </c>
      <c r="D227" s="73">
        <f ca="1">IFERROR(__xludf.DUMMYFUNCTION("""COMPUTED_VALUE"""),45288)</f>
        <v>45288</v>
      </c>
      <c r="E227" s="74">
        <f ca="1">IFERROR(__xludf.DUMMYFUNCTION("""COMPUTED_VALUE"""),27500)</f>
        <v>27500</v>
      </c>
      <c r="F227" s="72">
        <f ca="1">IFERROR(__xludf.DUMMYFUNCTION("""COMPUTED_VALUE"""),3000)</f>
        <v>3000</v>
      </c>
      <c r="G227" s="75"/>
      <c r="H227" s="59" t="str">
        <f ca="1">IFERROR(__xludf.DUMMYFUNCTION("""COMPUTED_VALUE"""),"UPDATED")</f>
        <v>UPDATED</v>
      </c>
      <c r="I227" s="76" t="str">
        <f ca="1">IFERROR(__xludf.DUMMYFUNCTION("""COMPUTED_VALUE"""),"https://drive.google.com/open?id=1mmvZuNHJ0AJ10auWxvKzVZLYlp9KPmRq")</f>
        <v>https://drive.google.com/open?id=1mmvZuNHJ0AJ10auWxvKzVZLYlp9KPmRq</v>
      </c>
      <c r="J227" s="59"/>
      <c r="K227" s="59"/>
      <c r="L227" s="59"/>
      <c r="M227" s="59"/>
      <c r="N227" s="59"/>
      <c r="O227" s="59"/>
      <c r="P227" s="59"/>
    </row>
    <row r="228" spans="1:16">
      <c r="A228" s="71">
        <f ca="1">IFERROR(__xludf.DUMMYFUNCTION("""COMPUTED_VALUE"""),45288.6376061342)</f>
        <v>45288.637606134202</v>
      </c>
      <c r="B228" s="59" t="str">
        <f ca="1">IFERROR(__xludf.DUMMYFUNCTION("""COMPUTED_VALUE"""),"Makda Juzar Abbasbhai")</f>
        <v>Makda Juzar Abbasbhai</v>
      </c>
      <c r="C228" s="72" t="str">
        <f ca="1">IFERROR(__xludf.DUMMYFUNCTION("""COMPUTED_VALUE"""),"21SDSCE01134")</f>
        <v>21SDSCE01134</v>
      </c>
      <c r="D228" s="73">
        <f ca="1">IFERROR(__xludf.DUMMYFUNCTION("""COMPUTED_VALUE"""),45288)</f>
        <v>45288</v>
      </c>
      <c r="E228" s="72"/>
      <c r="F228" s="72">
        <f ca="1">IFERROR(__xludf.DUMMYFUNCTION("""COMPUTED_VALUE"""),3750)</f>
        <v>3750</v>
      </c>
      <c r="G228" s="75"/>
      <c r="H228" s="59" t="str">
        <f ca="1">IFERROR(__xludf.DUMMYFUNCTION("""COMPUTED_VALUE"""),"UPDATED")</f>
        <v>UPDATED</v>
      </c>
      <c r="I228" s="76" t="str">
        <f ca="1">IFERROR(__xludf.DUMMYFUNCTION("""COMPUTED_VALUE"""),"https://drive.google.com/open?id=1ZZV8PojorkEPpScRXTeHCyP4DggpRrYn")</f>
        <v>https://drive.google.com/open?id=1ZZV8PojorkEPpScRXTeHCyP4DggpRrYn</v>
      </c>
      <c r="J228" s="59"/>
      <c r="K228" s="59"/>
      <c r="L228" s="59"/>
      <c r="M228" s="59"/>
      <c r="N228" s="59"/>
      <c r="O228" s="59"/>
      <c r="P228" s="59"/>
    </row>
    <row r="229" spans="1:16">
      <c r="A229" s="71">
        <f ca="1">IFERROR(__xludf.DUMMYFUNCTION("""COMPUTED_VALUE"""),45288.6037007638)</f>
        <v>45288.603700763801</v>
      </c>
      <c r="B229" s="59" t="str">
        <f ca="1">IFERROR(__xludf.DUMMYFUNCTION("""COMPUTED_VALUE"""),"Shruti Lakhani")</f>
        <v>Shruti Lakhani</v>
      </c>
      <c r="C229" s="72" t="str">
        <f ca="1">IFERROR(__xludf.DUMMYFUNCTION("""COMPUTED_VALUE"""),"22SDSCE01166")</f>
        <v>22SDSCE01166</v>
      </c>
      <c r="D229" s="73">
        <f ca="1">IFERROR(__xludf.DUMMYFUNCTION("""COMPUTED_VALUE"""),45288)</f>
        <v>45288</v>
      </c>
      <c r="E229" s="72"/>
      <c r="F229" s="72">
        <f ca="1">IFERROR(__xludf.DUMMYFUNCTION("""COMPUTED_VALUE"""),3000)</f>
        <v>3000</v>
      </c>
      <c r="G229" s="75"/>
      <c r="H229" s="59" t="str">
        <f ca="1">IFERROR(__xludf.DUMMYFUNCTION("""COMPUTED_VALUE"""),"UPDATED")</f>
        <v>UPDATED</v>
      </c>
      <c r="I229" s="76" t="str">
        <f ca="1">IFERROR(__xludf.DUMMYFUNCTION("""COMPUTED_VALUE"""),"https://drive.google.com/open?id=1AuQ4hbi-EPLHCCOSqeZLPZCWeLHwRS9A")</f>
        <v>https://drive.google.com/open?id=1AuQ4hbi-EPLHCCOSqeZLPZCWeLHwRS9A</v>
      </c>
      <c r="J229" s="59"/>
      <c r="K229" s="59"/>
      <c r="L229" s="59"/>
      <c r="M229" s="59"/>
      <c r="N229" s="59"/>
      <c r="O229" s="59"/>
      <c r="P229" s="59"/>
    </row>
    <row r="230" spans="1:16">
      <c r="A230" s="71">
        <f ca="1">IFERROR(__xludf.DUMMYFUNCTION("""COMPUTED_VALUE"""),45288.6025185763)</f>
        <v>45288.602518576299</v>
      </c>
      <c r="B230" s="59" t="str">
        <f ca="1">IFERROR(__xludf.DUMMYFUNCTION("""COMPUTED_VALUE"""),"Chavda Dipak Anilbhai")</f>
        <v>Chavda Dipak Anilbhai</v>
      </c>
      <c r="C230" s="72" t="str">
        <f ca="1">IFERROR(__xludf.DUMMYFUNCTION("""COMPUTED_VALUE"""),"23SDSCE01233")</f>
        <v>23SDSCE01233</v>
      </c>
      <c r="D230" s="73">
        <f ca="1">IFERROR(__xludf.DUMMYFUNCTION("""COMPUTED_VALUE"""),45288)</f>
        <v>45288</v>
      </c>
      <c r="E230" s="74">
        <f ca="1">IFERROR(__xludf.DUMMYFUNCTION("""COMPUTED_VALUE"""),27500)</f>
        <v>27500</v>
      </c>
      <c r="F230" s="72">
        <f ca="1">IFERROR(__xludf.DUMMYFUNCTION("""COMPUTED_VALUE"""),3000)</f>
        <v>3000</v>
      </c>
      <c r="G230" s="75"/>
      <c r="H230" s="59" t="str">
        <f ca="1">IFERROR(__xludf.DUMMYFUNCTION("""COMPUTED_VALUE"""),"UPDATED")</f>
        <v>UPDATED</v>
      </c>
      <c r="I230" s="76" t="str">
        <f ca="1">IFERROR(__xludf.DUMMYFUNCTION("""COMPUTED_VALUE"""),"https://drive.google.com/open?id=1TiAzNFqQ4EsL3yrPscgzDOjt7kHnLAux")</f>
        <v>https://drive.google.com/open?id=1TiAzNFqQ4EsL3yrPscgzDOjt7kHnLAux</v>
      </c>
      <c r="J230" s="59"/>
      <c r="K230" s="59"/>
      <c r="L230" s="59"/>
      <c r="M230" s="59"/>
      <c r="N230" s="59"/>
      <c r="O230" s="59"/>
      <c r="P230" s="59"/>
    </row>
    <row r="231" spans="1:16">
      <c r="A231" s="71">
        <f ca="1">IFERROR(__xludf.DUMMYFUNCTION("""COMPUTED_VALUE"""),45288.6022513888)</f>
        <v>45288.602251388802</v>
      </c>
      <c r="B231" s="59" t="str">
        <f ca="1">IFERROR(__xludf.DUMMYFUNCTION("""COMPUTED_VALUE"""),"Shruti Lakhani")</f>
        <v>Shruti Lakhani</v>
      </c>
      <c r="C231" s="72" t="str">
        <f ca="1">IFERROR(__xludf.DUMMYFUNCTION("""COMPUTED_VALUE"""),"22SDSCE01166")</f>
        <v>22SDSCE01166</v>
      </c>
      <c r="D231" s="73">
        <f ca="1">IFERROR(__xludf.DUMMYFUNCTION("""COMPUTED_VALUE"""),45288)</f>
        <v>45288</v>
      </c>
      <c r="E231" s="74">
        <f ca="1">IFERROR(__xludf.DUMMYFUNCTION("""COMPUTED_VALUE"""),25000)</f>
        <v>25000</v>
      </c>
      <c r="F231" s="72"/>
      <c r="G231" s="75"/>
      <c r="H231" s="59" t="str">
        <f ca="1">IFERROR(__xludf.DUMMYFUNCTION("""COMPUTED_VALUE"""),"UPDATED")</f>
        <v>UPDATED</v>
      </c>
      <c r="I231" s="76" t="str">
        <f ca="1">IFERROR(__xludf.DUMMYFUNCTION("""COMPUTED_VALUE"""),"https://drive.google.com/open?id=1DW_qFCkvbxI_rD_tLby3R4VlZ6dBZT3K")</f>
        <v>https://drive.google.com/open?id=1DW_qFCkvbxI_rD_tLby3R4VlZ6dBZT3K</v>
      </c>
      <c r="J231" s="59"/>
      <c r="K231" s="59"/>
      <c r="L231" s="59"/>
      <c r="M231" s="59"/>
      <c r="N231" s="59"/>
      <c r="O231" s="59"/>
      <c r="P231" s="59"/>
    </row>
    <row r="232" spans="1:16">
      <c r="A232" s="71">
        <f ca="1">IFERROR(__xludf.DUMMYFUNCTION("""COMPUTED_VALUE"""),45288.5977266551)</f>
        <v>45288.597726655098</v>
      </c>
      <c r="B232" s="59" t="str">
        <f ca="1">IFERROR(__xludf.DUMMYFUNCTION("""COMPUTED_VALUE"""),"Jitendra Kumar ")</f>
        <v xml:space="preserve">Jitendra Kumar </v>
      </c>
      <c r="C232" s="72" t="str">
        <f ca="1">IFERROR(__xludf.DUMMYFUNCTION("""COMPUTED_VALUE"""),"22SDSME01015")</f>
        <v>22SDSME01015</v>
      </c>
      <c r="D232" s="73">
        <f ca="1">IFERROR(__xludf.DUMMYFUNCTION("""COMPUTED_VALUE"""),45261)</f>
        <v>45261</v>
      </c>
      <c r="E232" s="72"/>
      <c r="F232" s="72"/>
      <c r="G232" s="75"/>
      <c r="H232" s="59" t="str">
        <f ca="1">IFERROR(__xludf.DUMMYFUNCTION("""COMPUTED_VALUE"""),"UPDATED")</f>
        <v>UPDATED</v>
      </c>
      <c r="I232" s="76" t="str">
        <f ca="1">IFERROR(__xludf.DUMMYFUNCTION("""COMPUTED_VALUE"""),"https://drive.google.com/open?id=1a2jWTcRAREt78ADgwI_uBTBjhQf2VhI9")</f>
        <v>https://drive.google.com/open?id=1a2jWTcRAREt78ADgwI_uBTBjhQf2VhI9</v>
      </c>
      <c r="J232" s="59"/>
      <c r="K232" s="59"/>
      <c r="L232" s="59"/>
      <c r="M232" s="59"/>
      <c r="N232" s="59"/>
      <c r="O232" s="59"/>
      <c r="P232" s="59"/>
    </row>
    <row r="233" spans="1:16">
      <c r="A233" s="71">
        <f ca="1">IFERROR(__xludf.DUMMYFUNCTION("""COMPUTED_VALUE"""),45288.5453877083)</f>
        <v>45288.545387708298</v>
      </c>
      <c r="B233" s="59" t="str">
        <f ca="1">IFERROR(__xludf.DUMMYFUNCTION("""COMPUTED_VALUE"""),"Param vyas ")</f>
        <v xml:space="preserve">Param vyas </v>
      </c>
      <c r="C233" s="72" t="str">
        <f ca="1">IFERROR(__xludf.DUMMYFUNCTION("""COMPUTED_VALUE"""),"22SDSCE01127")</f>
        <v>22SDSCE01127</v>
      </c>
      <c r="D233" s="73">
        <f ca="1">IFERROR(__xludf.DUMMYFUNCTION("""COMPUTED_VALUE"""),45288)</f>
        <v>45288</v>
      </c>
      <c r="E233" s="74">
        <f ca="1">IFERROR(__xludf.DUMMYFUNCTION("""COMPUTED_VALUE"""),12500)</f>
        <v>12500</v>
      </c>
      <c r="F233" s="72">
        <f ca="1">IFERROR(__xludf.DUMMYFUNCTION("""COMPUTED_VALUE"""),3000)</f>
        <v>3000</v>
      </c>
      <c r="G233" s="75"/>
      <c r="H233" s="59" t="str">
        <f ca="1">IFERROR(__xludf.DUMMYFUNCTION("""COMPUTED_VALUE"""),"UPDATED")</f>
        <v>UPDATED</v>
      </c>
      <c r="I233" s="76" t="str">
        <f ca="1">IFERROR(__xludf.DUMMYFUNCTION("""COMPUTED_VALUE"""),"https://drive.google.com/open?id=1CGM7OJ9zuoIgP5gzk_KDOhT0Pbyaih4O")</f>
        <v>https://drive.google.com/open?id=1CGM7OJ9zuoIgP5gzk_KDOhT0Pbyaih4O</v>
      </c>
      <c r="J233" s="59"/>
      <c r="K233" s="59"/>
      <c r="L233" s="59"/>
      <c r="M233" s="59"/>
      <c r="N233" s="59"/>
      <c r="O233" s="59"/>
      <c r="P233" s="59"/>
    </row>
    <row r="234" spans="1:16">
      <c r="A234" s="71">
        <f ca="1">IFERROR(__xludf.DUMMYFUNCTION("""COMPUTED_VALUE"""),45288.5138796874)</f>
        <v>45288.513879687402</v>
      </c>
      <c r="B234" s="59" t="str">
        <f ca="1">IFERROR(__xludf.DUMMYFUNCTION("""COMPUTED_VALUE"""),"Nimavat Hemangi ")</f>
        <v xml:space="preserve">Nimavat Hemangi </v>
      </c>
      <c r="C234" s="72" t="str">
        <f ca="1">IFERROR(__xludf.DUMMYFUNCTION("""COMPUTED_VALUE"""),"22SDSCE01177")</f>
        <v>22SDSCE01177</v>
      </c>
      <c r="D234" s="73">
        <f ca="1">IFERROR(__xludf.DUMMYFUNCTION("""COMPUTED_VALUE"""),45287)</f>
        <v>45287</v>
      </c>
      <c r="E234" s="74">
        <f ca="1">IFERROR(__xludf.DUMMYFUNCTION("""COMPUTED_VALUE"""),25000)</f>
        <v>25000</v>
      </c>
      <c r="F234" s="72">
        <f ca="1">IFERROR(__xludf.DUMMYFUNCTION("""COMPUTED_VALUE"""),3000)</f>
        <v>3000</v>
      </c>
      <c r="G234" s="75"/>
      <c r="H234" s="59" t="str">
        <f ca="1">IFERROR(__xludf.DUMMYFUNCTION("""COMPUTED_VALUE"""),"UPDATED")</f>
        <v>UPDATED</v>
      </c>
      <c r="I234" s="76" t="str">
        <f ca="1">IFERROR(__xludf.DUMMYFUNCTION("""COMPUTED_VALUE"""),"https://drive.google.com/open?id=1Fu9nrRPg0Kkg6qL0fNnGet1ijPVBGqn_")</f>
        <v>https://drive.google.com/open?id=1Fu9nrRPg0Kkg6qL0fNnGet1ijPVBGqn_</v>
      </c>
      <c r="J234" s="59"/>
      <c r="K234" s="59"/>
      <c r="L234" s="59"/>
      <c r="M234" s="59"/>
      <c r="N234" s="59"/>
      <c r="O234" s="59"/>
      <c r="P234" s="59"/>
    </row>
    <row r="235" spans="1:16">
      <c r="A235" s="71">
        <f ca="1">IFERROR(__xludf.DUMMYFUNCTION("""COMPUTED_VALUE"""),45288.5097448842)</f>
        <v>45288.509744884199</v>
      </c>
      <c r="B235" s="59" t="str">
        <f ca="1">IFERROR(__xludf.DUMMYFUNCTION("""COMPUTED_VALUE"""),"Jainil Lathigara")</f>
        <v>Jainil Lathigara</v>
      </c>
      <c r="C235" s="72" t="str">
        <f ca="1">IFERROR(__xludf.DUMMYFUNCTION("""COMPUTED_VALUE"""),"23SDSCE01161")</f>
        <v>23SDSCE01161</v>
      </c>
      <c r="D235" s="73">
        <f ca="1">IFERROR(__xludf.DUMMYFUNCTION("""COMPUTED_VALUE"""),45288)</f>
        <v>45288</v>
      </c>
      <c r="E235" s="74">
        <f ca="1">IFERROR(__xludf.DUMMYFUNCTION("""COMPUTED_VALUE"""),27500)</f>
        <v>27500</v>
      </c>
      <c r="F235" s="72">
        <f ca="1">IFERROR(__xludf.DUMMYFUNCTION("""COMPUTED_VALUE"""),3000)</f>
        <v>3000</v>
      </c>
      <c r="G235" s="75"/>
      <c r="H235" s="59" t="str">
        <f ca="1">IFERROR(__xludf.DUMMYFUNCTION("""COMPUTED_VALUE"""),"UPDATED")</f>
        <v>UPDATED</v>
      </c>
      <c r="I235" s="76" t="str">
        <f ca="1">IFERROR(__xludf.DUMMYFUNCTION("""COMPUTED_VALUE"""),"https://drive.google.com/open?id=1GVd2I9eLbsMyqPLfwO1Ea7TxWr6x_HoE")</f>
        <v>https://drive.google.com/open?id=1GVd2I9eLbsMyqPLfwO1Ea7TxWr6x_HoE</v>
      </c>
      <c r="J235" s="59"/>
      <c r="K235" s="59"/>
      <c r="L235" s="59"/>
      <c r="M235" s="59"/>
      <c r="N235" s="59"/>
      <c r="O235" s="59"/>
      <c r="P235" s="59"/>
    </row>
    <row r="236" spans="1:16">
      <c r="A236" s="71">
        <f ca="1">IFERROR(__xludf.DUMMYFUNCTION("""COMPUTED_VALUE"""),45288.4410429513)</f>
        <v>45288.441042951301</v>
      </c>
      <c r="B236" s="59" t="str">
        <f ca="1">IFERROR(__xludf.DUMMYFUNCTION("""COMPUTED_VALUE"""),"Kyada varun kiritbhai ")</f>
        <v xml:space="preserve">Kyada varun kiritbhai </v>
      </c>
      <c r="C236" s="72" t="str">
        <f ca="1">IFERROR(__xludf.DUMMYFUNCTION("""COMPUTED_VALUE"""),"23SDSME01012")</f>
        <v>23SDSME01012</v>
      </c>
      <c r="D236" s="73">
        <f ca="1">IFERROR(__xludf.DUMMYFUNCTION("""COMPUTED_VALUE"""),45288)</f>
        <v>45288</v>
      </c>
      <c r="E236" s="74">
        <f ca="1">IFERROR(__xludf.DUMMYFUNCTION("""COMPUTED_VALUE"""),5500)</f>
        <v>5500</v>
      </c>
      <c r="F236" s="72"/>
      <c r="G236" s="75"/>
      <c r="H236" s="59" t="str">
        <f ca="1">IFERROR(__xludf.DUMMYFUNCTION("""COMPUTED_VALUE"""),"UPDATED")</f>
        <v>UPDATED</v>
      </c>
      <c r="I236" s="76" t="str">
        <f ca="1">IFERROR(__xludf.DUMMYFUNCTION("""COMPUTED_VALUE"""),"https://drive.google.com/open?id=1Cx_qjlBPkbA7ICThzh8O8DwSib15hUCR")</f>
        <v>https://drive.google.com/open?id=1Cx_qjlBPkbA7ICThzh8O8DwSib15hUCR</v>
      </c>
      <c r="J236" s="59"/>
      <c r="K236" s="59"/>
      <c r="L236" s="59"/>
      <c r="M236" s="59"/>
      <c r="N236" s="59"/>
      <c r="O236" s="59"/>
      <c r="P236" s="59"/>
    </row>
    <row r="237" spans="1:16">
      <c r="A237" s="71">
        <f ca="1">IFERROR(__xludf.DUMMYFUNCTION("""COMPUTED_VALUE"""),45288.0058474074)</f>
        <v>45288.005847407403</v>
      </c>
      <c r="B237" s="59" t="str">
        <f ca="1">IFERROR(__xludf.DUMMYFUNCTION("""COMPUTED_VALUE"""),"BARAIYA MOHIT SHAMJIBHAI")</f>
        <v>BARAIYA MOHIT SHAMJIBHAI</v>
      </c>
      <c r="C237" s="72" t="str">
        <f ca="1">IFERROR(__xludf.DUMMYFUNCTION("""COMPUTED_VALUE"""),"22SDSCE01011")</f>
        <v>22SDSCE01011</v>
      </c>
      <c r="D237" s="73">
        <f ca="1">IFERROR(__xludf.DUMMYFUNCTION("""COMPUTED_VALUE"""),45287)</f>
        <v>45287</v>
      </c>
      <c r="E237" s="74">
        <f ca="1">IFERROR(__xludf.DUMMYFUNCTION("""COMPUTED_VALUE"""),0)</f>
        <v>0</v>
      </c>
      <c r="F237" s="72">
        <f ca="1">IFERROR(__xludf.DUMMYFUNCTION("""COMPUTED_VALUE"""),3000)</f>
        <v>3000</v>
      </c>
      <c r="G237" s="75"/>
      <c r="H237" s="59" t="str">
        <f ca="1">IFERROR(__xludf.DUMMYFUNCTION("""COMPUTED_VALUE"""),"UPDATED")</f>
        <v>UPDATED</v>
      </c>
      <c r="I237" s="76" t="str">
        <f ca="1">IFERROR(__xludf.DUMMYFUNCTION("""COMPUTED_VALUE"""),"https://drive.google.com/open?id=1p8BAEgqd42pttv2tbFlcELT5Tbe4h9oU")</f>
        <v>https://drive.google.com/open?id=1p8BAEgqd42pttv2tbFlcELT5Tbe4h9oU</v>
      </c>
      <c r="J237" s="59"/>
      <c r="K237" s="59"/>
      <c r="L237" s="59"/>
      <c r="M237" s="59"/>
      <c r="N237" s="59"/>
      <c r="O237" s="59"/>
      <c r="P237" s="59"/>
    </row>
    <row r="238" spans="1:16">
      <c r="A238" s="71">
        <f ca="1">IFERROR(__xludf.DUMMYFUNCTION("""COMPUTED_VALUE"""),45287.6480058912)</f>
        <v>45287.648005891198</v>
      </c>
      <c r="B238" s="59" t="str">
        <f ca="1">IFERROR(__xludf.DUMMYFUNCTION("""COMPUTED_VALUE"""),"Sujay Kumar Mahato ")</f>
        <v xml:space="preserve">Sujay Kumar Mahato </v>
      </c>
      <c r="C238" s="72" t="str">
        <f ca="1">IFERROR(__xludf.DUMMYFUNCTION("""COMPUTED_VALUE"""),"21SDSCE01607")</f>
        <v>21SDSCE01607</v>
      </c>
      <c r="D238" s="73">
        <f ca="1">IFERROR(__xludf.DUMMYFUNCTION("""COMPUTED_VALUE"""),45287)</f>
        <v>45287</v>
      </c>
      <c r="E238" s="72"/>
      <c r="F238" s="72"/>
      <c r="G238" s="75"/>
      <c r="H238" s="59" t="str">
        <f ca="1">IFERROR(__xludf.DUMMYFUNCTION("""COMPUTED_VALUE"""),"UPDATED")</f>
        <v>UPDATED</v>
      </c>
      <c r="I238" s="76" t="str">
        <f ca="1">IFERROR(__xludf.DUMMYFUNCTION("""COMPUTED_VALUE"""),"https://drive.google.com/open?id=1KnAZsJ0sTlBjKOE-jn4w_8BizbyQyZdD")</f>
        <v>https://drive.google.com/open?id=1KnAZsJ0sTlBjKOE-jn4w_8BizbyQyZdD</v>
      </c>
      <c r="J238" s="59"/>
      <c r="K238" s="59"/>
      <c r="L238" s="59"/>
      <c r="M238" s="59"/>
      <c r="N238" s="59"/>
      <c r="O238" s="59"/>
      <c r="P238" s="59"/>
    </row>
    <row r="239" spans="1:16">
      <c r="A239" s="71">
        <f ca="1">IFERROR(__xludf.DUMMYFUNCTION("""COMPUTED_VALUE"""),45287.6436584375)</f>
        <v>45287.643658437497</v>
      </c>
      <c r="B239" s="59" t="str">
        <f ca="1">IFERROR(__xludf.DUMMYFUNCTION("""COMPUTED_VALUE"""),"Sujay Kumar Mahato ")</f>
        <v xml:space="preserve">Sujay Kumar Mahato </v>
      </c>
      <c r="C239" s="72" t="str">
        <f ca="1">IFERROR(__xludf.DUMMYFUNCTION("""COMPUTED_VALUE"""),"21SDSC01607")</f>
        <v>21SDSC01607</v>
      </c>
      <c r="D239" s="73">
        <f ca="1">IFERROR(__xludf.DUMMYFUNCTION("""COMPUTED_VALUE"""),45287)</f>
        <v>45287</v>
      </c>
      <c r="E239" s="74">
        <f ca="1">IFERROR(__xludf.DUMMYFUNCTION("""COMPUTED_VALUE"""),36250)</f>
        <v>36250</v>
      </c>
      <c r="F239" s="72"/>
      <c r="G239" s="75"/>
      <c r="H239" s="59" t="str">
        <f ca="1">IFERROR(__xludf.DUMMYFUNCTION("""COMPUTED_VALUE"""),"UPDATED")</f>
        <v>UPDATED</v>
      </c>
      <c r="I239" s="76" t="str">
        <f ca="1">IFERROR(__xludf.DUMMYFUNCTION("""COMPUTED_VALUE"""),"https://drive.google.com/open?id=1qbUAsvvEW_Kqf5ArX57n4-oElGLcCHUv")</f>
        <v>https://drive.google.com/open?id=1qbUAsvvEW_Kqf5ArX57n4-oElGLcCHUv</v>
      </c>
      <c r="J239" s="59"/>
      <c r="K239" s="59"/>
      <c r="L239" s="59"/>
      <c r="M239" s="59"/>
      <c r="N239" s="59"/>
      <c r="O239" s="59"/>
      <c r="P239" s="59"/>
    </row>
    <row r="240" spans="1:16">
      <c r="A240" s="71">
        <f ca="1">IFERROR(__xludf.DUMMYFUNCTION("""COMPUTED_VALUE"""),45287.5996411111)</f>
        <v>45287.599641111097</v>
      </c>
      <c r="B240" s="59" t="str">
        <f ca="1">IFERROR(__xludf.DUMMYFUNCTION("""COMPUTED_VALUE"""),"Surendra Kumar mahato ")</f>
        <v xml:space="preserve">Surendra Kumar mahato </v>
      </c>
      <c r="C240" s="72" t="str">
        <f ca="1">IFERROR(__xludf.DUMMYFUNCTION("""COMPUTED_VALUE"""),"22SDSCE01609")</f>
        <v>22SDSCE01609</v>
      </c>
      <c r="D240" s="73">
        <f ca="1">IFERROR(__xludf.DUMMYFUNCTION("""COMPUTED_VALUE"""),45286)</f>
        <v>45286</v>
      </c>
      <c r="E240" s="72"/>
      <c r="F240" s="72"/>
      <c r="G240" s="75"/>
      <c r="H240" s="59" t="str">
        <f ca="1">IFERROR(__xludf.DUMMYFUNCTION("""COMPUTED_VALUE"""),"UPDATED")</f>
        <v>UPDATED</v>
      </c>
      <c r="I240" s="76" t="str">
        <f ca="1">IFERROR(__xludf.DUMMYFUNCTION("""COMPUTED_VALUE"""),"https://drive.google.com/open?id=1qHX9egru64tkhC0WHGZbYfw4MFbhqeGF")</f>
        <v>https://drive.google.com/open?id=1qHX9egru64tkhC0WHGZbYfw4MFbhqeGF</v>
      </c>
      <c r="J240" s="59"/>
      <c r="K240" s="59"/>
      <c r="L240" s="59"/>
      <c r="M240" s="59"/>
      <c r="N240" s="59"/>
      <c r="O240" s="59"/>
      <c r="P240" s="59"/>
    </row>
    <row r="241" spans="1:16">
      <c r="A241" s="71">
        <f ca="1">IFERROR(__xludf.DUMMYFUNCTION("""COMPUTED_VALUE"""),45287.4972031481)</f>
        <v>45287.497203148101</v>
      </c>
      <c r="B241" s="59" t="str">
        <f ca="1">IFERROR(__xludf.DUMMYFUNCTION("""COMPUTED_VALUE"""),"Prakash Gurung ")</f>
        <v xml:space="preserve">Prakash Gurung </v>
      </c>
      <c r="C241" s="72" t="str">
        <f ca="1">IFERROR(__xludf.DUMMYFUNCTION("""COMPUTED_VALUE"""),"22SDSEE01601")</f>
        <v>22SDSEE01601</v>
      </c>
      <c r="D241" s="73">
        <f ca="1">IFERROR(__xludf.DUMMYFUNCTION("""COMPUTED_VALUE"""),45274)</f>
        <v>45274</v>
      </c>
      <c r="E241" s="72"/>
      <c r="F241" s="72"/>
      <c r="G241" s="75"/>
      <c r="H241" s="59" t="str">
        <f ca="1">IFERROR(__xludf.DUMMYFUNCTION("""COMPUTED_VALUE"""),"UPDATED")</f>
        <v>UPDATED</v>
      </c>
      <c r="I241" s="76" t="str">
        <f ca="1">IFERROR(__xludf.DUMMYFUNCTION("""COMPUTED_VALUE"""),"https://drive.google.com/open?id=1U7t6tysCDEXx9K7Bg7kYEL6SKzRs4jfT")</f>
        <v>https://drive.google.com/open?id=1U7t6tysCDEXx9K7Bg7kYEL6SKzRs4jfT</v>
      </c>
      <c r="J241" s="59"/>
      <c r="K241" s="59"/>
      <c r="L241" s="59"/>
      <c r="M241" s="59"/>
      <c r="N241" s="59"/>
      <c r="O241" s="59"/>
      <c r="P241" s="59"/>
    </row>
    <row r="242" spans="1:16">
      <c r="A242" s="71">
        <f ca="1">IFERROR(__xludf.DUMMYFUNCTION("""COMPUTED_VALUE"""),45287.4930266898)</f>
        <v>45287.493026689801</v>
      </c>
      <c r="B242" s="59" t="str">
        <f ca="1">IFERROR(__xludf.DUMMYFUNCTION("""COMPUTED_VALUE"""),"Shubham Kumar ")</f>
        <v xml:space="preserve">Shubham Kumar </v>
      </c>
      <c r="C242" s="72" t="str">
        <f ca="1">IFERROR(__xludf.DUMMYFUNCTION("""COMPUTED_VALUE"""),"22SDSME01045")</f>
        <v>22SDSME01045</v>
      </c>
      <c r="D242" s="73">
        <f ca="1">IFERROR(__xludf.DUMMYFUNCTION("""COMPUTED_VALUE"""),45240)</f>
        <v>45240</v>
      </c>
      <c r="E242" s="72"/>
      <c r="F242" s="72"/>
      <c r="G242" s="75"/>
      <c r="H242" s="59" t="str">
        <f ca="1">IFERROR(__xludf.DUMMYFUNCTION("""COMPUTED_VALUE"""),"UPDATED")</f>
        <v>UPDATED</v>
      </c>
      <c r="I242" s="76" t="str">
        <f ca="1">IFERROR(__xludf.DUMMYFUNCTION("""COMPUTED_VALUE"""),"https://drive.google.com/open?id=1TY2VfSq4V5QSV7cYMRz_BJ3Hq7kZqIvl")</f>
        <v>https://drive.google.com/open?id=1TY2VfSq4V5QSV7cYMRz_BJ3Hq7kZqIvl</v>
      </c>
      <c r="J242" s="59"/>
      <c r="K242" s="59"/>
      <c r="L242" s="59"/>
      <c r="M242" s="59"/>
      <c r="N242" s="59"/>
      <c r="O242" s="59"/>
      <c r="P242" s="59"/>
    </row>
    <row r="243" spans="1:16">
      <c r="A243" s="71">
        <f ca="1">IFERROR(__xludf.DUMMYFUNCTION("""COMPUTED_VALUE"""),45287.4182843518)</f>
        <v>45287.418284351799</v>
      </c>
      <c r="B243" s="59" t="str">
        <f ca="1">IFERROR(__xludf.DUMMYFUNCTION("""COMPUTED_VALUE"""),"Navin Kumar Gupta ")</f>
        <v xml:space="preserve">Navin Kumar Gupta </v>
      </c>
      <c r="C243" s="72" t="str">
        <f ca="1">IFERROR(__xludf.DUMMYFUNCTION("""COMPUTED_VALUE"""),"22SDSEE01029")</f>
        <v>22SDSEE01029</v>
      </c>
      <c r="D243" s="73">
        <f ca="1">IFERROR(__xludf.DUMMYFUNCTION("""COMPUTED_VALUE"""),45287)</f>
        <v>45287</v>
      </c>
      <c r="E243" s="74">
        <f ca="1">IFERROR(__xludf.DUMMYFUNCTION("""COMPUTED_VALUE"""),42500)</f>
        <v>42500</v>
      </c>
      <c r="F243" s="72"/>
      <c r="G243" s="75"/>
      <c r="H243" s="59" t="str">
        <f ca="1">IFERROR(__xludf.DUMMYFUNCTION("""COMPUTED_VALUE"""),"UPDATED")</f>
        <v>UPDATED</v>
      </c>
      <c r="I243" s="76" t="str">
        <f ca="1">IFERROR(__xludf.DUMMYFUNCTION("""COMPUTED_VALUE"""),"https://drive.google.com/open?id=1j5gNS-v1T4PmzrfD2kSV3Gblh0mfyMeV")</f>
        <v>https://drive.google.com/open?id=1j5gNS-v1T4PmzrfD2kSV3Gblh0mfyMeV</v>
      </c>
      <c r="J243" s="59"/>
      <c r="K243" s="59"/>
      <c r="L243" s="59"/>
      <c r="M243" s="59"/>
      <c r="N243" s="59"/>
      <c r="O243" s="59"/>
      <c r="P243" s="59"/>
    </row>
    <row r="244" spans="1:16">
      <c r="A244" s="71">
        <f ca="1">IFERROR(__xludf.DUMMYFUNCTION("""COMPUTED_VALUE"""),45286.8850726157)</f>
        <v>45286.885072615703</v>
      </c>
      <c r="B244" s="59" t="str">
        <f ca="1">IFERROR(__xludf.DUMMYFUNCTION("""COMPUTED_VALUE"""),"Dhriti ")</f>
        <v xml:space="preserve">Dhriti </v>
      </c>
      <c r="C244" s="72" t="str">
        <f ca="1">IFERROR(__xludf.DUMMYFUNCTION("""COMPUTED_VALUE"""),"22SDSCE01005")</f>
        <v>22SDSCE01005</v>
      </c>
      <c r="D244" s="73">
        <f ca="1">IFERROR(__xludf.DUMMYFUNCTION("""COMPUTED_VALUE"""),45286)</f>
        <v>45286</v>
      </c>
      <c r="E244" s="72"/>
      <c r="F244" s="72">
        <f ca="1">IFERROR(__xludf.DUMMYFUNCTION("""COMPUTED_VALUE"""),3000)</f>
        <v>3000</v>
      </c>
      <c r="G244" s="75"/>
      <c r="H244" s="59" t="str">
        <f ca="1">IFERROR(__xludf.DUMMYFUNCTION("""COMPUTED_VALUE"""),"UPDATED")</f>
        <v>UPDATED</v>
      </c>
      <c r="I244" s="76" t="str">
        <f ca="1">IFERROR(__xludf.DUMMYFUNCTION("""COMPUTED_VALUE"""),"https://drive.google.com/open?id=1t6Yo_DTcgkCbq5MPFm9xTiVMOj1Cbjku")</f>
        <v>https://drive.google.com/open?id=1t6Yo_DTcgkCbq5MPFm9xTiVMOj1Cbjku</v>
      </c>
      <c r="J244" s="59"/>
      <c r="K244" s="59"/>
      <c r="L244" s="59"/>
      <c r="M244" s="59"/>
      <c r="N244" s="59"/>
      <c r="O244" s="59"/>
      <c r="P244" s="59"/>
    </row>
    <row r="245" spans="1:16">
      <c r="A245" s="71">
        <f ca="1">IFERROR(__xludf.DUMMYFUNCTION("""COMPUTED_VALUE"""),45286.826304537)</f>
        <v>45286.826304536997</v>
      </c>
      <c r="B245" s="59" t="str">
        <f ca="1">IFERROR(__xludf.DUMMYFUNCTION("""COMPUTED_VALUE"""),"Jadav jainik")</f>
        <v>Jadav jainik</v>
      </c>
      <c r="C245" s="72" t="str">
        <f ca="1">IFERROR(__xludf.DUMMYFUNCTION("""COMPUTED_VALUE"""),"22SDSCE01202")</f>
        <v>22SDSCE01202</v>
      </c>
      <c r="D245" s="73">
        <f ca="1">IFERROR(__xludf.DUMMYFUNCTION("""COMPUTED_VALUE"""),45284)</f>
        <v>45284</v>
      </c>
      <c r="E245" s="72"/>
      <c r="F245" s="72"/>
      <c r="G245" s="75"/>
      <c r="H245" s="59" t="str">
        <f ca="1">IFERROR(__xludf.DUMMYFUNCTION("""COMPUTED_VALUE"""),"UPDATED")</f>
        <v>UPDATED</v>
      </c>
      <c r="I245" s="76" t="str">
        <f ca="1">IFERROR(__xludf.DUMMYFUNCTION("""COMPUTED_VALUE"""),"https://drive.google.com/open?id=1z6FHwSHcmRL-WlariyT1B2pRxa_CpAMq")</f>
        <v>https://drive.google.com/open?id=1z6FHwSHcmRL-WlariyT1B2pRxa_CpAMq</v>
      </c>
      <c r="J245" s="59"/>
      <c r="K245" s="59"/>
      <c r="L245" s="59"/>
      <c r="M245" s="59"/>
      <c r="N245" s="59"/>
      <c r="O245" s="59"/>
      <c r="P245" s="59"/>
    </row>
    <row r="246" spans="1:16">
      <c r="A246" s="71">
        <f ca="1">IFERROR(__xludf.DUMMYFUNCTION("""COMPUTED_VALUE"""),45286.6588284143)</f>
        <v>45286.6588284143</v>
      </c>
      <c r="B246" s="59" t="str">
        <f ca="1">IFERROR(__xludf.DUMMYFUNCTION("""COMPUTED_VALUE"""),"Nancy khakhriya ")</f>
        <v xml:space="preserve">Nancy khakhriya </v>
      </c>
      <c r="C246" s="72" t="str">
        <f ca="1">IFERROR(__xludf.DUMMYFUNCTION("""COMPUTED_VALUE"""),"21SDSCE01028")</f>
        <v>21SDSCE01028</v>
      </c>
      <c r="D246" s="73">
        <f ca="1">IFERROR(__xludf.DUMMYFUNCTION("""COMPUTED_VALUE"""),45286)</f>
        <v>45286</v>
      </c>
      <c r="E246" s="72"/>
      <c r="F246" s="72">
        <f ca="1">IFERROR(__xludf.DUMMYFUNCTION("""COMPUTED_VALUE"""),4150)</f>
        <v>4150</v>
      </c>
      <c r="G246" s="75"/>
      <c r="H246" s="59" t="str">
        <f ca="1">IFERROR(__xludf.DUMMYFUNCTION("""COMPUTED_VALUE"""),"UPDATED")</f>
        <v>UPDATED</v>
      </c>
      <c r="I246" s="76" t="str">
        <f ca="1">IFERROR(__xludf.DUMMYFUNCTION("""COMPUTED_VALUE"""),"https://drive.google.com/open?id=1OkvJaczDNgKvXCaYbOzk4T0HD_gLqeu-")</f>
        <v>https://drive.google.com/open?id=1OkvJaczDNgKvXCaYbOzk4T0HD_gLqeu-</v>
      </c>
      <c r="J246" s="59"/>
      <c r="K246" s="59"/>
      <c r="L246" s="59"/>
      <c r="M246" s="59"/>
      <c r="N246" s="59"/>
      <c r="O246" s="59"/>
      <c r="P246" s="59"/>
    </row>
    <row r="247" spans="1:16">
      <c r="A247" s="71">
        <f ca="1">IFERROR(__xludf.DUMMYFUNCTION("""COMPUTED_VALUE"""),45286.609281875)</f>
        <v>45286.609281874997</v>
      </c>
      <c r="B247" s="59" t="str">
        <f ca="1">IFERROR(__xludf.DUMMYFUNCTION("""COMPUTED_VALUE"""),"Adeshara Umang")</f>
        <v>Adeshara Umang</v>
      </c>
      <c r="C247" s="72" t="str">
        <f ca="1">IFERROR(__xludf.DUMMYFUNCTION("""COMPUTED_VALUE"""),"20SDSCE01001")</f>
        <v>20SDSCE01001</v>
      </c>
      <c r="D247" s="73">
        <f ca="1">IFERROR(__xludf.DUMMYFUNCTION("""COMPUTED_VALUE"""),45286)</f>
        <v>45286</v>
      </c>
      <c r="E247" s="74">
        <f ca="1">IFERROR(__xludf.DUMMYFUNCTION("""COMPUTED_VALUE"""),25000)</f>
        <v>25000</v>
      </c>
      <c r="F247" s="72">
        <f ca="1">IFERROR(__xludf.DUMMYFUNCTION("""COMPUTED_VALUE"""),3750)</f>
        <v>3750</v>
      </c>
      <c r="G247" s="75"/>
      <c r="H247" s="59" t="str">
        <f ca="1">IFERROR(__xludf.DUMMYFUNCTION("""COMPUTED_VALUE"""),"UPDATED")</f>
        <v>UPDATED</v>
      </c>
      <c r="I247" s="76" t="str">
        <f ca="1">IFERROR(__xludf.DUMMYFUNCTION("""COMPUTED_VALUE"""),"https://drive.google.com/open?id=1vOATjypv_YMUa7uDSBdRdRiI7XXmwLyw")</f>
        <v>https://drive.google.com/open?id=1vOATjypv_YMUa7uDSBdRdRiI7XXmwLyw</v>
      </c>
      <c r="J247" s="59"/>
      <c r="K247" s="59"/>
      <c r="L247" s="59"/>
      <c r="M247" s="59"/>
      <c r="N247" s="59"/>
      <c r="O247" s="59"/>
      <c r="P247" s="59"/>
    </row>
    <row r="248" spans="1:16">
      <c r="A248" s="71">
        <f ca="1">IFERROR(__xludf.DUMMYFUNCTION("""COMPUTED_VALUE"""),45286.5605210879)</f>
        <v>45286.5605210879</v>
      </c>
      <c r="B248" s="59" t="str">
        <f ca="1">IFERROR(__xludf.DUMMYFUNCTION("""COMPUTED_VALUE"""),"Malvi padaliya ")</f>
        <v xml:space="preserve">Malvi padaliya </v>
      </c>
      <c r="C248" s="72" t="str">
        <f ca="1">IFERROR(__xludf.DUMMYFUNCTION("""COMPUTED_VALUE"""),"21SDSCE01037")</f>
        <v>21SDSCE01037</v>
      </c>
      <c r="D248" s="73">
        <f ca="1">IFERROR(__xludf.DUMMYFUNCTION("""COMPUTED_VALUE"""),45286)</f>
        <v>45286</v>
      </c>
      <c r="E248" s="72"/>
      <c r="F248" s="72">
        <f ca="1">IFERROR(__xludf.DUMMYFUNCTION("""COMPUTED_VALUE"""),3950)</f>
        <v>3950</v>
      </c>
      <c r="G248" s="75"/>
      <c r="H248" s="59" t="str">
        <f ca="1">IFERROR(__xludf.DUMMYFUNCTION("""COMPUTED_VALUE"""),"UPDATED")</f>
        <v>UPDATED</v>
      </c>
      <c r="I248" s="76" t="str">
        <f ca="1">IFERROR(__xludf.DUMMYFUNCTION("""COMPUTED_VALUE"""),"https://drive.google.com/open?id=1wWL8bgdPkgPKhCzMxvRLAm3suXTKH85i")</f>
        <v>https://drive.google.com/open?id=1wWL8bgdPkgPKhCzMxvRLAm3suXTKH85i</v>
      </c>
      <c r="J248" s="59"/>
      <c r="K248" s="59"/>
      <c r="L248" s="59"/>
      <c r="M248" s="59"/>
      <c r="N248" s="59"/>
      <c r="O248" s="59"/>
      <c r="P248" s="59"/>
    </row>
    <row r="249" spans="1:16">
      <c r="A249" s="71">
        <f ca="1">IFERROR(__xludf.DUMMYFUNCTION("""COMPUTED_VALUE"""),45286.5171900578)</f>
        <v>45286.517190057799</v>
      </c>
      <c r="B249" s="59" t="str">
        <f ca="1">IFERROR(__xludf.DUMMYFUNCTION("""COMPUTED_VALUE"""),"kakadiya jaydeep  Kishorbhai ")</f>
        <v xml:space="preserve">kakadiya jaydeep  Kishorbhai </v>
      </c>
      <c r="C249" s="72" t="str">
        <f ca="1">IFERROR(__xludf.DUMMYFUNCTION("""COMPUTED_VALUE"""),"23SDSME01010")</f>
        <v>23SDSME01010</v>
      </c>
      <c r="D249" s="73">
        <f ca="1">IFERROR(__xludf.DUMMYFUNCTION("""COMPUTED_VALUE"""),45286)</f>
        <v>45286</v>
      </c>
      <c r="E249" s="74">
        <f ca="1">IFERROR(__xludf.DUMMYFUNCTION("""COMPUTED_VALUE"""),0)</f>
        <v>0</v>
      </c>
      <c r="F249" s="72"/>
      <c r="G249" s="75"/>
      <c r="H249" s="59" t="str">
        <f ca="1">IFERROR(__xludf.DUMMYFUNCTION("""COMPUTED_VALUE"""),"UPDATED")</f>
        <v>UPDATED</v>
      </c>
      <c r="I249" s="76" t="str">
        <f ca="1">IFERROR(__xludf.DUMMYFUNCTION("""COMPUTED_VALUE"""),"https://drive.google.com/open?id=1oisOWUuEX2jvYJGFkb2AmwqZvLVSj_hq")</f>
        <v>https://drive.google.com/open?id=1oisOWUuEX2jvYJGFkb2AmwqZvLVSj_hq</v>
      </c>
      <c r="J249" s="59"/>
      <c r="K249" s="59"/>
      <c r="L249" s="59"/>
      <c r="M249" s="59"/>
      <c r="N249" s="59"/>
      <c r="O249" s="59"/>
      <c r="P249" s="59"/>
    </row>
    <row r="250" spans="1:16">
      <c r="A250" s="71">
        <f ca="1">IFERROR(__xludf.DUMMYFUNCTION("""COMPUTED_VALUE"""),45286.5089027662)</f>
        <v>45286.508902766203</v>
      </c>
      <c r="B250" s="59" t="str">
        <f ca="1">IFERROR(__xludf.DUMMYFUNCTION("""COMPUTED_VALUE"""),"ASODARIYA DHRUVIL JAGDISHBHAI ")</f>
        <v xml:space="preserve">ASODARIYA DHRUVIL JAGDISHBHAI </v>
      </c>
      <c r="C250" s="72" t="str">
        <f ca="1">IFERROR(__xludf.DUMMYFUNCTION("""COMPUTED_VALUE"""),"22SDSCE01128")</f>
        <v>22SDSCE01128</v>
      </c>
      <c r="D250" s="73">
        <f ca="1">IFERROR(__xludf.DUMMYFUNCTION("""COMPUTED_VALUE"""),45286)</f>
        <v>45286</v>
      </c>
      <c r="E250" s="74">
        <f ca="1">IFERROR(__xludf.DUMMYFUNCTION("""COMPUTED_VALUE"""),0)</f>
        <v>0</v>
      </c>
      <c r="F250" s="72">
        <f ca="1">IFERROR(__xludf.DUMMYFUNCTION("""COMPUTED_VALUE"""),3000)</f>
        <v>3000</v>
      </c>
      <c r="G250" s="75"/>
      <c r="H250" s="59" t="str">
        <f ca="1">IFERROR(__xludf.DUMMYFUNCTION("""COMPUTED_VALUE"""),"UPDATED")</f>
        <v>UPDATED</v>
      </c>
      <c r="I250" s="76" t="str">
        <f ca="1">IFERROR(__xludf.DUMMYFUNCTION("""COMPUTED_VALUE"""),"https://drive.google.com/open?id=1GQ397nQd9QjO15zCQ7LKmGcwqYczqybn")</f>
        <v>https://drive.google.com/open?id=1GQ397nQd9QjO15zCQ7LKmGcwqYczqybn</v>
      </c>
      <c r="J250" s="59"/>
      <c r="K250" s="59"/>
      <c r="L250" s="59"/>
      <c r="M250" s="59"/>
      <c r="N250" s="59"/>
      <c r="O250" s="59"/>
      <c r="P250" s="59"/>
    </row>
    <row r="251" spans="1:16">
      <c r="A251" s="71">
        <f ca="1">IFERROR(__xludf.DUMMYFUNCTION("""COMPUTED_VALUE"""),45285.5962320717)</f>
        <v>45285.596232071701</v>
      </c>
      <c r="B251" s="59" t="str">
        <f ca="1">IFERROR(__xludf.DUMMYFUNCTION("""COMPUTED_VALUE"""),"Kapuriya Kevin Rashikbhai ")</f>
        <v xml:space="preserve">Kapuriya Kevin Rashikbhai </v>
      </c>
      <c r="C251" s="72" t="str">
        <f ca="1">IFERROR(__xludf.DUMMYFUNCTION("""COMPUTED_VALUE"""),"21SDSME01019")</f>
        <v>21SDSME01019</v>
      </c>
      <c r="D251" s="73">
        <f ca="1">IFERROR(__xludf.DUMMYFUNCTION("""COMPUTED_VALUE"""),45284)</f>
        <v>45284</v>
      </c>
      <c r="E251" s="72"/>
      <c r="F251" s="72">
        <f ca="1">IFERROR(__xludf.DUMMYFUNCTION("""COMPUTED_VALUE"""),3750)</f>
        <v>3750</v>
      </c>
      <c r="G251" s="75"/>
      <c r="H251" s="59" t="str">
        <f ca="1">IFERROR(__xludf.DUMMYFUNCTION("""COMPUTED_VALUE"""),"UPDATED")</f>
        <v>UPDATED</v>
      </c>
      <c r="I251" s="76" t="str">
        <f ca="1">IFERROR(__xludf.DUMMYFUNCTION("""COMPUTED_VALUE"""),"https://drive.google.com/open?id=1lMkTFNlXg1wU7VJt_c7Ye1Sc2HnPdCO2")</f>
        <v>https://drive.google.com/open?id=1lMkTFNlXg1wU7VJt_c7Ye1Sc2HnPdCO2</v>
      </c>
      <c r="J251" s="59"/>
      <c r="K251" s="59"/>
      <c r="L251" s="59"/>
      <c r="M251" s="59"/>
      <c r="N251" s="59"/>
      <c r="O251" s="59"/>
      <c r="P251" s="59"/>
    </row>
    <row r="252" spans="1:16">
      <c r="A252" s="71">
        <f ca="1">IFERROR(__xludf.DUMMYFUNCTION("""COMPUTED_VALUE"""),45285.5945955439)</f>
        <v>45285.594595543902</v>
      </c>
      <c r="B252" s="59" t="str">
        <f ca="1">IFERROR(__xludf.DUMMYFUNCTION("""COMPUTED_VALUE"""),"Kapuriya kevin rashikbhai")</f>
        <v>Kapuriya kevin rashikbhai</v>
      </c>
      <c r="C252" s="72" t="str">
        <f ca="1">IFERROR(__xludf.DUMMYFUNCTION("""COMPUTED_VALUE"""),"21SDSME01019")</f>
        <v>21SDSME01019</v>
      </c>
      <c r="D252" s="73">
        <f ca="1">IFERROR(__xludf.DUMMYFUNCTION("""COMPUTED_VALUE"""),45284)</f>
        <v>45284</v>
      </c>
      <c r="E252" s="74">
        <f ca="1">IFERROR(__xludf.DUMMYFUNCTION("""COMPUTED_VALUE"""),25000)</f>
        <v>25000</v>
      </c>
      <c r="F252" s="72"/>
      <c r="G252" s="75"/>
      <c r="H252" s="59" t="str">
        <f ca="1">IFERROR(__xludf.DUMMYFUNCTION("""COMPUTED_VALUE"""),"UPDATED")</f>
        <v>UPDATED</v>
      </c>
      <c r="I252" s="76" t="str">
        <f ca="1">IFERROR(__xludf.DUMMYFUNCTION("""COMPUTED_VALUE"""),"https://drive.google.com/open?id=1xpoZ6redUuXPp_Zh_WNzON6_hSapGAln")</f>
        <v>https://drive.google.com/open?id=1xpoZ6redUuXPp_Zh_WNzON6_hSapGAln</v>
      </c>
      <c r="J252" s="59"/>
      <c r="K252" s="59"/>
      <c r="L252" s="59"/>
      <c r="M252" s="59"/>
      <c r="N252" s="59"/>
      <c r="O252" s="59"/>
      <c r="P252" s="59"/>
    </row>
    <row r="253" spans="1:16">
      <c r="A253" s="71">
        <f ca="1">IFERROR(__xludf.DUMMYFUNCTION("""COMPUTED_VALUE"""),45282.6497145023)</f>
        <v>45282.649714502302</v>
      </c>
      <c r="B253" s="59" t="str">
        <f ca="1">IFERROR(__xludf.DUMMYFUNCTION("""COMPUTED_VALUE"""),"Shivesh satyam")</f>
        <v>Shivesh satyam</v>
      </c>
      <c r="C253" s="72" t="str">
        <f ca="1">IFERROR(__xludf.DUMMYFUNCTION("""COMPUTED_VALUE"""),"22SDSME01048")</f>
        <v>22SDSME01048</v>
      </c>
      <c r="D253" s="73">
        <f ca="1">IFERROR(__xludf.DUMMYFUNCTION("""COMPUTED_VALUE"""),45268)</f>
        <v>45268</v>
      </c>
      <c r="E253" s="72"/>
      <c r="F253" s="72"/>
      <c r="G253" s="75"/>
      <c r="H253" s="59" t="str">
        <f ca="1">IFERROR(__xludf.DUMMYFUNCTION("""COMPUTED_VALUE"""),"UPDATED")</f>
        <v>UPDATED</v>
      </c>
      <c r="I253" s="76" t="str">
        <f ca="1">IFERROR(__xludf.DUMMYFUNCTION("""COMPUTED_VALUE"""),"https://drive.google.com/open?id=1a3YB0HYTCd1lPshGkcUPkSQd3IIGgyPM")</f>
        <v>https://drive.google.com/open?id=1a3YB0HYTCd1lPshGkcUPkSQd3IIGgyPM</v>
      </c>
      <c r="J253" s="59"/>
      <c r="K253" s="59"/>
      <c r="L253" s="59"/>
      <c r="M253" s="59"/>
      <c r="N253" s="59"/>
      <c r="O253" s="59"/>
      <c r="P253" s="59"/>
    </row>
    <row r="254" spans="1:16">
      <c r="A254" s="71">
        <f ca="1">IFERROR(__xludf.DUMMYFUNCTION("""COMPUTED_VALUE"""),45281.5479939351)</f>
        <v>45281.547993935099</v>
      </c>
      <c r="B254" s="59" t="str">
        <f ca="1">IFERROR(__xludf.DUMMYFUNCTION("""COMPUTED_VALUE"""),"Bhanu Kumar ")</f>
        <v xml:space="preserve">Bhanu Kumar </v>
      </c>
      <c r="C254" s="72" t="str">
        <f ca="1">IFERROR(__xludf.DUMMYFUNCTION("""COMPUTED_VALUE"""),"22SDSCE01227")</f>
        <v>22SDSCE01227</v>
      </c>
      <c r="D254" s="73">
        <f ca="1">IFERROR(__xludf.DUMMYFUNCTION("""COMPUTED_VALUE"""),45236)</f>
        <v>45236</v>
      </c>
      <c r="E254" s="74">
        <f ca="1">IFERROR(__xludf.DUMMYFUNCTION("""COMPUTED_VALUE"""),85000)</f>
        <v>85000</v>
      </c>
      <c r="F254" s="72"/>
      <c r="G254" s="75"/>
      <c r="H254" s="59" t="str">
        <f ca="1">IFERROR(__xludf.DUMMYFUNCTION("""COMPUTED_VALUE"""),"UPDATED")</f>
        <v>UPDATED</v>
      </c>
      <c r="I254" s="76" t="str">
        <f ca="1">IFERROR(__xludf.DUMMYFUNCTION("""COMPUTED_VALUE"""),"https://drive.google.com/open?id=1jzmEAVxScnsHx1ufPrXDACgd4OKAPa7h")</f>
        <v>https://drive.google.com/open?id=1jzmEAVxScnsHx1ufPrXDACgd4OKAPa7h</v>
      </c>
      <c r="J254" s="59"/>
      <c r="K254" s="59"/>
      <c r="L254" s="59"/>
      <c r="M254" s="59"/>
      <c r="N254" s="59"/>
      <c r="O254" s="59"/>
      <c r="P254" s="59"/>
    </row>
    <row r="255" spans="1:16">
      <c r="A255" s="71">
        <f ca="1">IFERROR(__xludf.DUMMYFUNCTION("""COMPUTED_VALUE"""),45280.5547501388)</f>
        <v>45280.554750138799</v>
      </c>
      <c r="B255" s="59" t="str">
        <f ca="1">IFERROR(__xludf.DUMMYFUNCTION("""COMPUTED_VALUE"""),"Makarubiya  aditya ")</f>
        <v xml:space="preserve">Makarubiya  aditya </v>
      </c>
      <c r="C255" s="72" t="str">
        <f ca="1">IFERROR(__xludf.DUMMYFUNCTION("""COMPUTED_VALUE"""),"21SDSCE01083")</f>
        <v>21SDSCE01083</v>
      </c>
      <c r="D255" s="73">
        <f ca="1">IFERROR(__xludf.DUMMYFUNCTION("""COMPUTED_VALUE"""),45273)</f>
        <v>45273</v>
      </c>
      <c r="E255" s="74">
        <f ca="1">IFERROR(__xludf.DUMMYFUNCTION("""COMPUTED_VALUE"""),25000)</f>
        <v>25000</v>
      </c>
      <c r="F255" s="72">
        <f ca="1">IFERROR(__xludf.DUMMYFUNCTION("""COMPUTED_VALUE"""),3750)</f>
        <v>3750</v>
      </c>
      <c r="G255" s="75"/>
      <c r="H255" s="59" t="str">
        <f ca="1">IFERROR(__xludf.DUMMYFUNCTION("""COMPUTED_VALUE"""),"UPDATED")</f>
        <v>UPDATED</v>
      </c>
      <c r="I255" s="76" t="str">
        <f ca="1">IFERROR(__xludf.DUMMYFUNCTION("""COMPUTED_VALUE"""),"https://drive.google.com/open?id=1wCopflrBUROdv_ptHCINfrD28QTi3-lR")</f>
        <v>https://drive.google.com/open?id=1wCopflrBUROdv_ptHCINfrD28QTi3-lR</v>
      </c>
      <c r="J255" s="59"/>
      <c r="K255" s="59"/>
      <c r="L255" s="59"/>
      <c r="M255" s="59"/>
      <c r="N255" s="59"/>
      <c r="O255" s="59"/>
      <c r="P255" s="59"/>
    </row>
    <row r="256" spans="1:16">
      <c r="A256" s="71">
        <f ca="1">IFERROR(__xludf.DUMMYFUNCTION("""COMPUTED_VALUE"""),45279.6750954745)</f>
        <v>45279.6750954745</v>
      </c>
      <c r="B256" s="59" t="str">
        <f ca="1">IFERROR(__xludf.DUMMYFUNCTION("""COMPUTED_VALUE"""),"Sarfaraj ansari")</f>
        <v>Sarfaraj ansari</v>
      </c>
      <c r="C256" s="72" t="str">
        <f ca="1">IFERROR(__xludf.DUMMYFUNCTION("""COMPUTED_VALUE"""),"22SDSCE01222")</f>
        <v>22SDSCE01222</v>
      </c>
      <c r="D256" s="73">
        <f ca="1">IFERROR(__xludf.DUMMYFUNCTION("""COMPUTED_VALUE"""),45244)</f>
        <v>45244</v>
      </c>
      <c r="E256" s="72"/>
      <c r="F256" s="72"/>
      <c r="G256" s="75"/>
      <c r="H256" s="59" t="str">
        <f ca="1">IFERROR(__xludf.DUMMYFUNCTION("""COMPUTED_VALUE"""),"UPDATED")</f>
        <v>UPDATED</v>
      </c>
      <c r="I256" s="76" t="str">
        <f ca="1">IFERROR(__xludf.DUMMYFUNCTION("""COMPUTED_VALUE"""),"https://drive.google.com/open?id=11VWHzSFEONUfssxPPsHS_FkRZtGuyhOE")</f>
        <v>https://drive.google.com/open?id=11VWHzSFEONUfssxPPsHS_FkRZtGuyhOE</v>
      </c>
      <c r="J256" s="59"/>
      <c r="K256" s="59"/>
      <c r="L256" s="59"/>
      <c r="M256" s="59"/>
      <c r="N256" s="59"/>
      <c r="O256" s="59"/>
      <c r="P256" s="59"/>
    </row>
    <row r="257" spans="1:16">
      <c r="A257" s="71">
        <f ca="1">IFERROR(__xludf.DUMMYFUNCTION("""COMPUTED_VALUE"""),45279.4589376041)</f>
        <v>45279.458937604097</v>
      </c>
      <c r="B257" s="59" t="str">
        <f ca="1">IFERROR(__xludf.DUMMYFUNCTION("""COMPUTED_VALUE"""),"Pragati Rathod ")</f>
        <v xml:space="preserve">Pragati Rathod </v>
      </c>
      <c r="C257" s="72" t="str">
        <f ca="1">IFERROR(__xludf.DUMMYFUNCTION("""COMPUTED_VALUE"""),"20SDSEE01023")</f>
        <v>20SDSEE01023</v>
      </c>
      <c r="D257" s="73">
        <f ca="1">IFERROR(__xludf.DUMMYFUNCTION("""COMPUTED_VALUE"""),45279)</f>
        <v>45279</v>
      </c>
      <c r="E257" s="72"/>
      <c r="F257" s="72">
        <f ca="1">IFERROR(__xludf.DUMMYFUNCTION("""COMPUTED_VALUE"""),50)</f>
        <v>50</v>
      </c>
      <c r="G257" s="75"/>
      <c r="H257" s="59" t="str">
        <f ca="1">IFERROR(__xludf.DUMMYFUNCTION("""COMPUTED_VALUE"""),"UPDATE")</f>
        <v>UPDATE</v>
      </c>
      <c r="I257" s="76" t="str">
        <f ca="1">IFERROR(__xludf.DUMMYFUNCTION("""COMPUTED_VALUE"""),"https://drive.google.com/open?id=1K6-omqa9tpRhPXiwcAsO6rDXZzPvWic3")</f>
        <v>https://drive.google.com/open?id=1K6-omqa9tpRhPXiwcAsO6rDXZzPvWic3</v>
      </c>
      <c r="J257" s="59"/>
      <c r="K257" s="59"/>
      <c r="L257" s="59"/>
      <c r="M257" s="59"/>
      <c r="N257" s="59"/>
      <c r="O257" s="59"/>
      <c r="P257" s="59"/>
    </row>
    <row r="258" spans="1:16">
      <c r="A258" s="71">
        <f ca="1">IFERROR(__xludf.DUMMYFUNCTION("""COMPUTED_VALUE"""),45279.4204052199)</f>
        <v>45279.420405219898</v>
      </c>
      <c r="B258" s="59" t="str">
        <f ca="1">IFERROR(__xludf.DUMMYFUNCTION("""COMPUTED_VALUE"""),"Pragati Rathod")</f>
        <v>Pragati Rathod</v>
      </c>
      <c r="C258" s="72" t="str">
        <f ca="1">IFERROR(__xludf.DUMMYFUNCTION("""COMPUTED_VALUE"""),"20SDSEE01023")</f>
        <v>20SDSEE01023</v>
      </c>
      <c r="D258" s="73">
        <f ca="1">IFERROR(__xludf.DUMMYFUNCTION("""COMPUTED_VALUE"""),45279)</f>
        <v>45279</v>
      </c>
      <c r="E258" s="72"/>
      <c r="F258" s="72">
        <f ca="1">IFERROR(__xludf.DUMMYFUNCTION("""COMPUTED_VALUE"""),1100)</f>
        <v>1100</v>
      </c>
      <c r="G258" s="75"/>
      <c r="H258" s="59" t="str">
        <f ca="1">IFERROR(__xludf.DUMMYFUNCTION("""COMPUTED_VALUE"""),"UPDATE")</f>
        <v>UPDATE</v>
      </c>
      <c r="I258" s="76" t="str">
        <f ca="1">IFERROR(__xludf.DUMMYFUNCTION("""COMPUTED_VALUE"""),"https://drive.google.com/open?id=1YC9B9DBttrx7iW3fji5qXKVPPE77VRM9")</f>
        <v>https://drive.google.com/open?id=1YC9B9DBttrx7iW3fji5qXKVPPE77VRM9</v>
      </c>
      <c r="J258" s="59"/>
      <c r="K258" s="59"/>
      <c r="L258" s="59"/>
      <c r="M258" s="59"/>
      <c r="N258" s="59"/>
      <c r="O258" s="59"/>
      <c r="P258" s="59"/>
    </row>
    <row r="259" spans="1:16">
      <c r="A259" s="71">
        <f ca="1">IFERROR(__xludf.DUMMYFUNCTION("""COMPUTED_VALUE"""),45279.4145964236)</f>
        <v>45279.414596423601</v>
      </c>
      <c r="B259" s="59" t="str">
        <f ca="1">IFERROR(__xludf.DUMMYFUNCTION("""COMPUTED_VALUE"""),"Kunjal Thakkar ")</f>
        <v xml:space="preserve">Kunjal Thakkar </v>
      </c>
      <c r="C259" s="72" t="str">
        <f ca="1">IFERROR(__xludf.DUMMYFUNCTION("""COMPUTED_VALUE"""),"21SDSCE01052")</f>
        <v>21SDSCE01052</v>
      </c>
      <c r="D259" s="73">
        <f ca="1">IFERROR(__xludf.DUMMYFUNCTION("""COMPUTED_VALUE"""),45279)</f>
        <v>45279</v>
      </c>
      <c r="E259" s="72"/>
      <c r="F259" s="72"/>
      <c r="G259" s="75"/>
      <c r="H259" s="59" t="str">
        <f ca="1">IFERROR(__xludf.DUMMYFUNCTION("""COMPUTED_VALUE"""),"UPDATE")</f>
        <v>UPDATE</v>
      </c>
      <c r="I259" s="76" t="str">
        <f ca="1">IFERROR(__xludf.DUMMYFUNCTION("""COMPUTED_VALUE"""),"https://drive.google.com/open?id=1Xez0WQqKg2Bp2eSrpAMAgBridXp4i5Ek")</f>
        <v>https://drive.google.com/open?id=1Xez0WQqKg2Bp2eSrpAMAgBridXp4i5Ek</v>
      </c>
      <c r="J259" s="59"/>
      <c r="K259" s="59"/>
      <c r="L259" s="59"/>
      <c r="M259" s="59"/>
      <c r="N259" s="59"/>
      <c r="O259" s="59"/>
      <c r="P259" s="59"/>
    </row>
    <row r="260" spans="1:16">
      <c r="A260" s="71">
        <f ca="1">IFERROR(__xludf.DUMMYFUNCTION("""COMPUTED_VALUE"""),45274.4673493287)</f>
        <v>45274.467349328697</v>
      </c>
      <c r="B260" s="59" t="str">
        <f ca="1">IFERROR(__xludf.DUMMYFUNCTION("""COMPUTED_VALUE"""),"Jitendra Kumar ")</f>
        <v xml:space="preserve">Jitendra Kumar </v>
      </c>
      <c r="C260" s="72" t="str">
        <f ca="1">IFERROR(__xludf.DUMMYFUNCTION("""COMPUTED_VALUE"""),"22SDSME01015")</f>
        <v>22SDSME01015</v>
      </c>
      <c r="D260" s="73">
        <f ca="1">IFERROR(__xludf.DUMMYFUNCTION("""COMPUTED_VALUE"""),45261)</f>
        <v>45261</v>
      </c>
      <c r="E260" s="72"/>
      <c r="F260" s="72"/>
      <c r="G260" s="75"/>
      <c r="H260" s="59" t="str">
        <f ca="1">IFERROR(__xludf.DUMMYFUNCTION("""COMPUTED_VALUE"""),"UPDATE")</f>
        <v>UPDATE</v>
      </c>
      <c r="I260" s="76" t="str">
        <f ca="1">IFERROR(__xludf.DUMMYFUNCTION("""COMPUTED_VALUE"""),"https://drive.google.com/open?id=1AGq_Mn-4nKrKnsZ-bNIEI9s80ApGhzqy")</f>
        <v>https://drive.google.com/open?id=1AGq_Mn-4nKrKnsZ-bNIEI9s80ApGhzqy</v>
      </c>
      <c r="J260" s="59"/>
      <c r="K260" s="59"/>
      <c r="L260" s="59"/>
      <c r="M260" s="59"/>
      <c r="N260" s="59"/>
      <c r="O260" s="59"/>
      <c r="P260" s="59"/>
    </row>
    <row r="261" spans="1:16">
      <c r="A261" s="71">
        <f ca="1">IFERROR(__xludf.DUMMYFUNCTION("""COMPUTED_VALUE"""),45274.4199553819)</f>
        <v>45274.419955381898</v>
      </c>
      <c r="B261" s="59" t="str">
        <f ca="1">IFERROR(__xludf.DUMMYFUNCTION("""COMPUTED_VALUE"""),"Khushi Mahendrabhai Joshi ")</f>
        <v xml:space="preserve">Khushi Mahendrabhai Joshi </v>
      </c>
      <c r="C261" s="72" t="str">
        <f ca="1">IFERROR(__xludf.DUMMYFUNCTION("""COMPUTED_VALUE"""),"21SDSCE01130")</f>
        <v>21SDSCE01130</v>
      </c>
      <c r="D261" s="73">
        <f ca="1">IFERROR(__xludf.DUMMYFUNCTION("""COMPUTED_VALUE"""),45271)</f>
        <v>45271</v>
      </c>
      <c r="E261" s="74">
        <f ca="1">IFERROR(__xludf.DUMMYFUNCTION("""COMPUTED_VALUE"""),18750)</f>
        <v>18750</v>
      </c>
      <c r="F261" s="72">
        <f ca="1">IFERROR(__xludf.DUMMYFUNCTION("""COMPUTED_VALUE"""),3750)</f>
        <v>3750</v>
      </c>
      <c r="G261" s="75"/>
      <c r="H261" s="59" t="str">
        <f ca="1">IFERROR(__xludf.DUMMYFUNCTION("""COMPUTED_VALUE"""),"UPDATE")</f>
        <v>UPDATE</v>
      </c>
      <c r="I261" s="76" t="str">
        <f ca="1">IFERROR(__xludf.DUMMYFUNCTION("""COMPUTED_VALUE"""),"https://drive.google.com/open?id=19LfdyR7J3D7RZgRPOhYu6MWhCXdPQHXk")</f>
        <v>https://drive.google.com/open?id=19LfdyR7J3D7RZgRPOhYu6MWhCXdPQHXk</v>
      </c>
      <c r="J261" s="59"/>
      <c r="K261" s="59"/>
      <c r="L261" s="59"/>
      <c r="M261" s="59"/>
      <c r="N261" s="59"/>
      <c r="O261" s="59"/>
      <c r="P261" s="59"/>
    </row>
    <row r="262" spans="1:16">
      <c r="A262" s="71">
        <f ca="1">IFERROR(__xludf.DUMMYFUNCTION("""COMPUTED_VALUE"""),45272.9925366203)</f>
        <v>45272.992536620302</v>
      </c>
      <c r="B262" s="59" t="str">
        <f ca="1">IFERROR(__xludf.DUMMYFUNCTION("""COMPUTED_VALUE"""),"CHAUHAN CHIRAG ASHOKBHAI ")</f>
        <v xml:space="preserve">CHAUHAN CHIRAG ASHOKBHAI </v>
      </c>
      <c r="C262" s="72" t="str">
        <f ca="1">IFERROR(__xludf.DUMMYFUNCTION("""COMPUTED_VALUE"""),"21SDSME01007")</f>
        <v>21SDSME01007</v>
      </c>
      <c r="D262" s="73">
        <f ca="1">IFERROR(__xludf.DUMMYFUNCTION("""COMPUTED_VALUE"""),45272)</f>
        <v>45272</v>
      </c>
      <c r="E262" s="74">
        <f ca="1">IFERROR(__xludf.DUMMYFUNCTION("""COMPUTED_VALUE"""),12500)</f>
        <v>12500</v>
      </c>
      <c r="F262" s="72">
        <f ca="1">IFERROR(__xludf.DUMMYFUNCTION("""COMPUTED_VALUE"""),3750)</f>
        <v>3750</v>
      </c>
      <c r="G262" s="75"/>
      <c r="H262" s="59" t="str">
        <f ca="1">IFERROR(__xludf.DUMMYFUNCTION("""COMPUTED_VALUE"""),"UPDATE")</f>
        <v>UPDATE</v>
      </c>
      <c r="I262" s="76" t="str">
        <f ca="1">IFERROR(__xludf.DUMMYFUNCTION("""COMPUTED_VALUE"""),"https://drive.google.com/open?id=1mR_MEOChrkelZ2DGhUvX5vmYzPO_1lW2")</f>
        <v>https://drive.google.com/open?id=1mR_MEOChrkelZ2DGhUvX5vmYzPO_1lW2</v>
      </c>
      <c r="J262" s="59"/>
      <c r="K262" s="59"/>
      <c r="L262" s="59"/>
      <c r="M262" s="59"/>
      <c r="N262" s="59"/>
      <c r="O262" s="59"/>
      <c r="P262" s="59"/>
    </row>
    <row r="263" spans="1:16">
      <c r="A263" s="71">
        <f ca="1">IFERROR(__xludf.DUMMYFUNCTION("""COMPUTED_VALUE"""),45272.9321868287)</f>
        <v>45272.932186828701</v>
      </c>
      <c r="B263" s="59" t="str">
        <f ca="1">IFERROR(__xludf.DUMMYFUNCTION("""COMPUTED_VALUE"""),"Tala preet ketanbhai ")</f>
        <v xml:space="preserve">Tala preet ketanbhai </v>
      </c>
      <c r="C263" s="72" t="str">
        <f ca="1">IFERROR(__xludf.DUMMYFUNCTION("""COMPUTED_VALUE"""),"21SDSCV01020 ")</f>
        <v xml:space="preserve">21SDSCV01020 </v>
      </c>
      <c r="D263" s="73">
        <f ca="1">IFERROR(__xludf.DUMMYFUNCTION("""COMPUTED_VALUE"""),45272)</f>
        <v>45272</v>
      </c>
      <c r="E263" s="74">
        <f ca="1">IFERROR(__xludf.DUMMYFUNCTION("""COMPUTED_VALUE"""),25000)</f>
        <v>25000</v>
      </c>
      <c r="F263" s="72"/>
      <c r="G263" s="75"/>
      <c r="H263" s="59" t="str">
        <f ca="1">IFERROR(__xludf.DUMMYFUNCTION("""COMPUTED_VALUE"""),"UPDATE")</f>
        <v>UPDATE</v>
      </c>
      <c r="I263" s="76" t="str">
        <f ca="1">IFERROR(__xludf.DUMMYFUNCTION("""COMPUTED_VALUE"""),"https://drive.google.com/open?id=1N-Bpwp5TNLhWD7RnUzpYKm0OCCraLGl4")</f>
        <v>https://drive.google.com/open?id=1N-Bpwp5TNLhWD7RnUzpYKm0OCCraLGl4</v>
      </c>
      <c r="J263" s="59"/>
      <c r="K263" s="59"/>
      <c r="L263" s="59"/>
      <c r="M263" s="59"/>
      <c r="N263" s="59"/>
      <c r="O263" s="59"/>
      <c r="P263" s="59"/>
    </row>
    <row r="264" spans="1:16">
      <c r="A264" s="71">
        <f ca="1">IFERROR(__xludf.DUMMYFUNCTION("""COMPUTED_VALUE"""),45272.9016736226)</f>
        <v>45272.901673622597</v>
      </c>
      <c r="B264" s="59" t="str">
        <f ca="1">IFERROR(__xludf.DUMMYFUNCTION("""COMPUTED_VALUE"""),"Kandarp vyas")</f>
        <v>Kandarp vyas</v>
      </c>
      <c r="C264" s="72" t="str">
        <f ca="1">IFERROR(__xludf.DUMMYFUNCTION("""COMPUTED_VALUE"""),"21SDSCE01054")</f>
        <v>21SDSCE01054</v>
      </c>
      <c r="D264" s="73">
        <f ca="1">IFERROR(__xludf.DUMMYFUNCTION("""COMPUTED_VALUE"""),45272)</f>
        <v>45272</v>
      </c>
      <c r="E264" s="74">
        <f ca="1">IFERROR(__xludf.DUMMYFUNCTION("""COMPUTED_VALUE"""),25000)</f>
        <v>25000</v>
      </c>
      <c r="F264" s="72">
        <f ca="1">IFERROR(__xludf.DUMMYFUNCTION("""COMPUTED_VALUE"""),3750)</f>
        <v>3750</v>
      </c>
      <c r="G264" s="75"/>
      <c r="H264" s="59" t="str">
        <f ca="1">IFERROR(__xludf.DUMMYFUNCTION("""COMPUTED_VALUE"""),"UPDATE")</f>
        <v>UPDATE</v>
      </c>
      <c r="I264" s="76" t="str">
        <f ca="1">IFERROR(__xludf.DUMMYFUNCTION("""COMPUTED_VALUE"""),"https://drive.google.com/open?id=1E16uMicZ-1RR8DKP9gotFBSoStGXiNWj")</f>
        <v>https://drive.google.com/open?id=1E16uMicZ-1RR8DKP9gotFBSoStGXiNWj</v>
      </c>
      <c r="J264" s="59"/>
      <c r="K264" s="59"/>
      <c r="L264" s="59"/>
      <c r="M264" s="59"/>
      <c r="N264" s="59"/>
      <c r="O264" s="59"/>
      <c r="P264" s="59"/>
    </row>
    <row r="265" spans="1:16">
      <c r="A265" s="71">
        <f ca="1">IFERROR(__xludf.DUMMYFUNCTION("""COMPUTED_VALUE"""),45272.8919001967)</f>
        <v>45272.891900196701</v>
      </c>
      <c r="B265" s="59" t="str">
        <f ca="1">IFERROR(__xludf.DUMMYFUNCTION("""COMPUTED_VALUE"""),"Kandarp vyas")</f>
        <v>Kandarp vyas</v>
      </c>
      <c r="C265" s="72" t="str">
        <f ca="1">IFERROR(__xludf.DUMMYFUNCTION("""COMPUTED_VALUE"""),"21SDSCE01054")</f>
        <v>21SDSCE01054</v>
      </c>
      <c r="D265" s="73">
        <f ca="1">IFERROR(__xludf.DUMMYFUNCTION("""COMPUTED_VALUE"""),45272)</f>
        <v>45272</v>
      </c>
      <c r="E265" s="74">
        <f ca="1">IFERROR(__xludf.DUMMYFUNCTION("""COMPUTED_VALUE"""),25000)</f>
        <v>25000</v>
      </c>
      <c r="F265" s="72">
        <f ca="1">IFERROR(__xludf.DUMMYFUNCTION("""COMPUTED_VALUE"""),3750)</f>
        <v>3750</v>
      </c>
      <c r="G265" s="75"/>
      <c r="H265" s="59" t="str">
        <f ca="1">IFERROR(__xludf.DUMMYFUNCTION("""COMPUTED_VALUE"""),"UPDATE")</f>
        <v>UPDATE</v>
      </c>
      <c r="I265" s="76" t="str">
        <f ca="1">IFERROR(__xludf.DUMMYFUNCTION("""COMPUTED_VALUE"""),"https://drive.google.com/open?id=1jOI4U9faSlxMurVjV2pBpK-2kZ-g8HEl")</f>
        <v>https://drive.google.com/open?id=1jOI4U9faSlxMurVjV2pBpK-2kZ-g8HEl</v>
      </c>
      <c r="J265" s="59"/>
      <c r="K265" s="59"/>
      <c r="L265" s="59"/>
      <c r="M265" s="59"/>
      <c r="N265" s="59"/>
      <c r="O265" s="59"/>
      <c r="P265" s="59"/>
    </row>
    <row r="266" spans="1:16">
      <c r="A266" s="71">
        <f ca="1">IFERROR(__xludf.DUMMYFUNCTION("""COMPUTED_VALUE"""),45272.7096224189)</f>
        <v>45272.709622418901</v>
      </c>
      <c r="B266" s="59" t="str">
        <f ca="1">IFERROR(__xludf.DUMMYFUNCTION("""COMPUTED_VALUE"""),"Dhruvesh Vora")</f>
        <v>Dhruvesh Vora</v>
      </c>
      <c r="C266" s="72" t="str">
        <f ca="1">IFERROR(__xludf.DUMMYFUNCTION("""COMPUTED_VALUE"""),"21SDSCE01111")</f>
        <v>21SDSCE01111</v>
      </c>
      <c r="D266" s="73">
        <f ca="1">IFERROR(__xludf.DUMMYFUNCTION("""COMPUTED_VALUE"""),45272)</f>
        <v>45272</v>
      </c>
      <c r="E266" s="72"/>
      <c r="F266" s="72"/>
      <c r="G266" s="75"/>
      <c r="H266" s="59" t="str">
        <f ca="1">IFERROR(__xludf.DUMMYFUNCTION("""COMPUTED_VALUE"""),"UPDATE")</f>
        <v>UPDATE</v>
      </c>
      <c r="I266" s="76" t="str">
        <f ca="1">IFERROR(__xludf.DUMMYFUNCTION("""COMPUTED_VALUE"""),"https://drive.google.com/open?id=1KyEX6oPhKkCe_eKo4cm3IERcBRYaxx2U")</f>
        <v>https://drive.google.com/open?id=1KyEX6oPhKkCe_eKo4cm3IERcBRYaxx2U</v>
      </c>
      <c r="J266" s="59"/>
      <c r="K266" s="59"/>
      <c r="L266" s="59"/>
      <c r="M266" s="59"/>
      <c r="N266" s="59"/>
      <c r="O266" s="59"/>
      <c r="P266" s="59"/>
    </row>
    <row r="267" spans="1:16">
      <c r="A267" s="71">
        <f ca="1">IFERROR(__xludf.DUMMYFUNCTION("""COMPUTED_VALUE"""),45272.7050965625)</f>
        <v>45272.705096562502</v>
      </c>
      <c r="B267" s="59" t="str">
        <f ca="1">IFERROR(__xludf.DUMMYFUNCTION("""COMPUTED_VALUE"""),"Himanshu kodala")</f>
        <v>Himanshu kodala</v>
      </c>
      <c r="C267" s="72" t="str">
        <f ca="1">IFERROR(__xludf.DUMMYFUNCTION("""COMPUTED_VALUE"""),"21SDSCE01132")</f>
        <v>21SDSCE01132</v>
      </c>
      <c r="D267" s="73">
        <f ca="1">IFERROR(__xludf.DUMMYFUNCTION("""COMPUTED_VALUE"""),45272)</f>
        <v>45272</v>
      </c>
      <c r="E267" s="74">
        <f ca="1">IFERROR(__xludf.DUMMYFUNCTION("""COMPUTED_VALUE"""),12500)</f>
        <v>12500</v>
      </c>
      <c r="F267" s="72">
        <f ca="1">IFERROR(__xludf.DUMMYFUNCTION("""COMPUTED_VALUE"""),3750)</f>
        <v>3750</v>
      </c>
      <c r="G267" s="75"/>
      <c r="H267" s="59" t="str">
        <f ca="1">IFERROR(__xludf.DUMMYFUNCTION("""COMPUTED_VALUE"""),"UPDATE")</f>
        <v>UPDATE</v>
      </c>
      <c r="I267" s="76" t="str">
        <f ca="1">IFERROR(__xludf.DUMMYFUNCTION("""COMPUTED_VALUE"""),"https://drive.google.com/open?id=167lmy4frTipJKcb76eVt2S4rCBZrFkZH")</f>
        <v>https://drive.google.com/open?id=167lmy4frTipJKcb76eVt2S4rCBZrFkZH</v>
      </c>
      <c r="J267" s="59"/>
      <c r="K267" s="59"/>
      <c r="L267" s="59"/>
      <c r="M267" s="59"/>
      <c r="N267" s="59"/>
      <c r="O267" s="59"/>
      <c r="P267" s="59"/>
    </row>
    <row r="268" spans="1:16">
      <c r="A268" s="71">
        <f ca="1">IFERROR(__xludf.DUMMYFUNCTION("""COMPUTED_VALUE"""),45272.6968173958)</f>
        <v>45272.696817395801</v>
      </c>
      <c r="B268" s="59" t="str">
        <f ca="1">IFERROR(__xludf.DUMMYFUNCTION("""COMPUTED_VALUE"""),"Ranpariya Prutha Chandrakantbhai")</f>
        <v>Ranpariya Prutha Chandrakantbhai</v>
      </c>
      <c r="C268" s="72" t="str">
        <f ca="1">IFERROR(__xludf.DUMMYFUNCTION("""COMPUTED_VALUE"""),"21SDSCE01042")</f>
        <v>21SDSCE01042</v>
      </c>
      <c r="D268" s="73">
        <f ca="1">IFERROR(__xludf.DUMMYFUNCTION("""COMPUTED_VALUE"""),45272)</f>
        <v>45272</v>
      </c>
      <c r="E268" s="74">
        <f ca="1">IFERROR(__xludf.DUMMYFUNCTION("""COMPUTED_VALUE"""),0)</f>
        <v>0</v>
      </c>
      <c r="F268" s="72">
        <f ca="1">IFERROR(__xludf.DUMMYFUNCTION("""COMPUTED_VALUE"""),3750)</f>
        <v>3750</v>
      </c>
      <c r="G268" s="75"/>
      <c r="H268" s="59" t="str">
        <f ca="1">IFERROR(__xludf.DUMMYFUNCTION("""COMPUTED_VALUE"""),"UPDATE")</f>
        <v>UPDATE</v>
      </c>
      <c r="I268" s="76" t="str">
        <f ca="1">IFERROR(__xludf.DUMMYFUNCTION("""COMPUTED_VALUE"""),"https://drive.google.com/open?id=1JKbnnhmNB7PZJ6lwbiMMD-cdTIMWzo7A")</f>
        <v>https://drive.google.com/open?id=1JKbnnhmNB7PZJ6lwbiMMD-cdTIMWzo7A</v>
      </c>
      <c r="J268" s="59"/>
      <c r="K268" s="59"/>
      <c r="L268" s="59"/>
      <c r="M268" s="59"/>
      <c r="N268" s="59"/>
      <c r="O268" s="59"/>
      <c r="P268" s="59"/>
    </row>
    <row r="269" spans="1:16">
      <c r="A269" s="71">
        <f ca="1">IFERROR(__xludf.DUMMYFUNCTION("""COMPUTED_VALUE"""),45272.6468368055)</f>
        <v>45272.646836805499</v>
      </c>
      <c r="B269" s="59" t="str">
        <f ca="1">IFERROR(__xludf.DUMMYFUNCTION("""COMPUTED_VALUE"""),"Isha vithalBhai koradiya ")</f>
        <v xml:space="preserve">Isha vithalBhai koradiya </v>
      </c>
      <c r="C269" s="72" t="str">
        <f ca="1">IFERROR(__xludf.DUMMYFUNCTION("""COMPUTED_VALUE"""),"21SDSCE01080")</f>
        <v>21SDSCE01080</v>
      </c>
      <c r="D269" s="73">
        <f ca="1">IFERROR(__xludf.DUMMYFUNCTION("""COMPUTED_VALUE"""),45272)</f>
        <v>45272</v>
      </c>
      <c r="E269" s="72"/>
      <c r="F269" s="72">
        <f ca="1">IFERROR(__xludf.DUMMYFUNCTION("""COMPUTED_VALUE"""),3750)</f>
        <v>3750</v>
      </c>
      <c r="G269" s="75"/>
      <c r="H269" s="59" t="str">
        <f ca="1">IFERROR(__xludf.DUMMYFUNCTION("""COMPUTED_VALUE"""),"UPDATE")</f>
        <v>UPDATE</v>
      </c>
      <c r="I269" s="76" t="str">
        <f ca="1">IFERROR(__xludf.DUMMYFUNCTION("""COMPUTED_VALUE"""),"https://drive.google.com/open?id=12PGqoOf-MdGvuOvVFelw8TkTglQwygJ-")</f>
        <v>https://drive.google.com/open?id=12PGqoOf-MdGvuOvVFelw8TkTglQwygJ-</v>
      </c>
      <c r="J269" s="59"/>
      <c r="K269" s="59"/>
      <c r="L269" s="59"/>
      <c r="M269" s="59"/>
      <c r="N269" s="59"/>
      <c r="O269" s="59"/>
      <c r="P269" s="59"/>
    </row>
    <row r="270" spans="1:16">
      <c r="A270" s="71">
        <f ca="1">IFERROR(__xludf.DUMMYFUNCTION("""COMPUTED_VALUE"""),45272.5762763888)</f>
        <v>45272.576276388798</v>
      </c>
      <c r="B270" s="59" t="str">
        <f ca="1">IFERROR(__xludf.DUMMYFUNCTION("""COMPUTED_VALUE"""),"Jani dolly kiranbhai")</f>
        <v>Jani dolly kiranbhai</v>
      </c>
      <c r="C270" s="72" t="str">
        <f ca="1">IFERROR(__xludf.DUMMYFUNCTION("""COMPUTED_VALUE"""),"21SDSCV01009")</f>
        <v>21SDSCV01009</v>
      </c>
      <c r="D270" s="73">
        <f ca="1">IFERROR(__xludf.DUMMYFUNCTION("""COMPUTED_VALUE"""),45272)</f>
        <v>45272</v>
      </c>
      <c r="E270" s="74">
        <f ca="1">IFERROR(__xludf.DUMMYFUNCTION("""COMPUTED_VALUE"""),25000)</f>
        <v>25000</v>
      </c>
      <c r="F270" s="72">
        <f ca="1">IFERROR(__xludf.DUMMYFUNCTION("""COMPUTED_VALUE"""),3750)</f>
        <v>3750</v>
      </c>
      <c r="G270" s="75"/>
      <c r="H270" s="59" t="str">
        <f ca="1">IFERROR(__xludf.DUMMYFUNCTION("""COMPUTED_VALUE"""),"UPDATE")</f>
        <v>UPDATE</v>
      </c>
      <c r="I270" s="76" t="str">
        <f ca="1">IFERROR(__xludf.DUMMYFUNCTION("""COMPUTED_VALUE"""),"https://drive.google.com/open?id=1ZD1DANIWQId3v4Fv55sSohs-cyjSZgYN")</f>
        <v>https://drive.google.com/open?id=1ZD1DANIWQId3v4Fv55sSohs-cyjSZgYN</v>
      </c>
      <c r="J270" s="59"/>
      <c r="K270" s="59"/>
      <c r="L270" s="59"/>
      <c r="M270" s="59"/>
      <c r="N270" s="59"/>
      <c r="O270" s="59"/>
      <c r="P270" s="59"/>
    </row>
    <row r="271" spans="1:16">
      <c r="A271" s="71">
        <f ca="1">IFERROR(__xludf.DUMMYFUNCTION("""COMPUTED_VALUE"""),45272.558392199)</f>
        <v>45272.558392198996</v>
      </c>
      <c r="B271" s="59" t="str">
        <f ca="1">IFERROR(__xludf.DUMMYFUNCTION("""COMPUTED_VALUE"""),"Rathod Aman Ashwinbhai ")</f>
        <v xml:space="preserve">Rathod Aman Ashwinbhai </v>
      </c>
      <c r="C271" s="72" t="str">
        <f ca="1">IFERROR(__xludf.DUMMYFUNCTION("""COMPUTED_VALUE"""),"21SDSME01029 ")</f>
        <v xml:space="preserve">21SDSME01029 </v>
      </c>
      <c r="D271" s="73">
        <f ca="1">IFERROR(__xludf.DUMMYFUNCTION("""COMPUTED_VALUE"""),45272)</f>
        <v>45272</v>
      </c>
      <c r="E271" s="74">
        <f ca="1">IFERROR(__xludf.DUMMYFUNCTION("""COMPUTED_VALUE"""),12500)</f>
        <v>12500</v>
      </c>
      <c r="F271" s="72">
        <f ca="1">IFERROR(__xludf.DUMMYFUNCTION("""COMPUTED_VALUE"""),3750)</f>
        <v>3750</v>
      </c>
      <c r="G271" s="75"/>
      <c r="H271" s="59" t="str">
        <f ca="1">IFERROR(__xludf.DUMMYFUNCTION("""COMPUTED_VALUE"""),"UPDATE")</f>
        <v>UPDATE</v>
      </c>
      <c r="I271" s="76" t="str">
        <f ca="1">IFERROR(__xludf.DUMMYFUNCTION("""COMPUTED_VALUE"""),"https://drive.google.com/open?id=1qKYpFwWh07P3fmnVCz6t9D8KdJB8N9JQ")</f>
        <v>https://drive.google.com/open?id=1qKYpFwWh07P3fmnVCz6t9D8KdJB8N9JQ</v>
      </c>
      <c r="J271" s="59"/>
      <c r="K271" s="59"/>
      <c r="L271" s="59"/>
      <c r="M271" s="59"/>
      <c r="N271" s="59"/>
      <c r="O271" s="59"/>
      <c r="P271" s="59"/>
    </row>
    <row r="272" spans="1:16">
      <c r="A272" s="71">
        <f ca="1">IFERROR(__xludf.DUMMYFUNCTION("""COMPUTED_VALUE"""),45272.4592152314)</f>
        <v>45272.4592152314</v>
      </c>
      <c r="B272" s="59" t="str">
        <f ca="1">IFERROR(__xludf.DUMMYFUNCTION("""COMPUTED_VALUE"""),"Agravat Dip Dineshbhai ")</f>
        <v xml:space="preserve">Agravat Dip Dineshbhai </v>
      </c>
      <c r="C272" s="72" t="str">
        <f ca="1">IFERROR(__xludf.DUMMYFUNCTION("""COMPUTED_VALUE"""),"21SDSME01002")</f>
        <v>21SDSME01002</v>
      </c>
      <c r="D272" s="73">
        <f ca="1">IFERROR(__xludf.DUMMYFUNCTION("""COMPUTED_VALUE"""),45272)</f>
        <v>45272</v>
      </c>
      <c r="E272" s="74">
        <f ca="1">IFERROR(__xludf.DUMMYFUNCTION("""COMPUTED_VALUE"""),0)</f>
        <v>0</v>
      </c>
      <c r="F272" s="72">
        <f ca="1">IFERROR(__xludf.DUMMYFUNCTION("""COMPUTED_VALUE"""),3750)</f>
        <v>3750</v>
      </c>
      <c r="G272" s="75"/>
      <c r="H272" s="59" t="str">
        <f ca="1">IFERROR(__xludf.DUMMYFUNCTION("""COMPUTED_VALUE"""),"UPDATE")</f>
        <v>UPDATE</v>
      </c>
      <c r="I272" s="76" t="str">
        <f ca="1">IFERROR(__xludf.DUMMYFUNCTION("""COMPUTED_VALUE"""),"https://drive.google.com/open?id=1eH7zHVb82wtpZSlE96BexzQmWded12ht")</f>
        <v>https://drive.google.com/open?id=1eH7zHVb82wtpZSlE96BexzQmWded12ht</v>
      </c>
      <c r="J272" s="59"/>
      <c r="K272" s="59"/>
      <c r="L272" s="59"/>
      <c r="M272" s="59"/>
      <c r="N272" s="59"/>
      <c r="O272" s="59"/>
      <c r="P272" s="59"/>
    </row>
    <row r="273" spans="1:16">
      <c r="A273" s="71">
        <f ca="1">IFERROR(__xludf.DUMMYFUNCTION("""COMPUTED_VALUE"""),45272.4156026504)</f>
        <v>45272.415602650399</v>
      </c>
      <c r="B273" s="59" t="str">
        <f ca="1">IFERROR(__xludf.DUMMYFUNCTION("""COMPUTED_VALUE"""),"Pambhar brij rajeshbhai ")</f>
        <v xml:space="preserve">Pambhar brij rajeshbhai </v>
      </c>
      <c r="C273" s="72" t="str">
        <f ca="1">IFERROR(__xludf.DUMMYFUNCTION("""COMPUTED_VALUE"""),"21SDSME01025")</f>
        <v>21SDSME01025</v>
      </c>
      <c r="D273" s="73">
        <f ca="1">IFERROR(__xludf.DUMMYFUNCTION("""COMPUTED_VALUE"""),45272)</f>
        <v>45272</v>
      </c>
      <c r="E273" s="74">
        <f ca="1">IFERROR(__xludf.DUMMYFUNCTION("""COMPUTED_VALUE"""),0)</f>
        <v>0</v>
      </c>
      <c r="F273" s="72">
        <f ca="1">IFERROR(__xludf.DUMMYFUNCTION("""COMPUTED_VALUE"""),3750)</f>
        <v>3750</v>
      </c>
      <c r="G273" s="75"/>
      <c r="H273" s="59" t="str">
        <f ca="1">IFERROR(__xludf.DUMMYFUNCTION("""COMPUTED_VALUE"""),"UPDATE")</f>
        <v>UPDATE</v>
      </c>
      <c r="I273" s="76" t="str">
        <f ca="1">IFERROR(__xludf.DUMMYFUNCTION("""COMPUTED_VALUE"""),"https://drive.google.com/open?id=1x9fPSAT_fEBxIOOlGP-Zfpmwi1zcvkKr")</f>
        <v>https://drive.google.com/open?id=1x9fPSAT_fEBxIOOlGP-Zfpmwi1zcvkKr</v>
      </c>
      <c r="J273" s="59"/>
      <c r="K273" s="59"/>
      <c r="L273" s="59"/>
      <c r="M273" s="59"/>
      <c r="N273" s="59"/>
      <c r="O273" s="59"/>
      <c r="P273" s="59"/>
    </row>
    <row r="274" spans="1:16">
      <c r="A274" s="71">
        <f ca="1">IFERROR(__xludf.DUMMYFUNCTION("""COMPUTED_VALUE"""),45272.0312014583)</f>
        <v>45272.031201458303</v>
      </c>
      <c r="B274" s="59" t="str">
        <f ca="1">IFERROR(__xludf.DUMMYFUNCTION("""COMPUTED_VALUE"""),"Mohit Paddhariya")</f>
        <v>Mohit Paddhariya</v>
      </c>
      <c r="C274" s="72" t="str">
        <f ca="1">IFERROR(__xludf.DUMMYFUNCTION("""COMPUTED_VALUE"""),"21SDSCE01038")</f>
        <v>21SDSCE01038</v>
      </c>
      <c r="D274" s="73">
        <f ca="1">IFERROR(__xludf.DUMMYFUNCTION("""COMPUTED_VALUE"""),45272)</f>
        <v>45272</v>
      </c>
      <c r="E274" s="74">
        <f ca="1">IFERROR(__xludf.DUMMYFUNCTION("""COMPUTED_VALUE"""),0)</f>
        <v>0</v>
      </c>
      <c r="F274" s="72">
        <f ca="1">IFERROR(__xludf.DUMMYFUNCTION("""COMPUTED_VALUE"""),3750)</f>
        <v>3750</v>
      </c>
      <c r="G274" s="75"/>
      <c r="H274" s="59" t="str">
        <f ca="1">IFERROR(__xludf.DUMMYFUNCTION("""COMPUTED_VALUE"""),"UPDATE")</f>
        <v>UPDATE</v>
      </c>
      <c r="I274" s="76" t="str">
        <f ca="1">IFERROR(__xludf.DUMMYFUNCTION("""COMPUTED_VALUE"""),"https://drive.google.com/open?id=1R4alFM21R8bRxD8cNdSq6doLnsYsZk77")</f>
        <v>https://drive.google.com/open?id=1R4alFM21R8bRxD8cNdSq6doLnsYsZk77</v>
      </c>
      <c r="J274" s="59"/>
      <c r="K274" s="59"/>
      <c r="L274" s="59"/>
      <c r="M274" s="59"/>
      <c r="N274" s="59"/>
      <c r="O274" s="59"/>
      <c r="P274" s="59"/>
    </row>
    <row r="275" spans="1:16">
      <c r="A275" s="71">
        <f ca="1">IFERROR(__xludf.DUMMYFUNCTION("""COMPUTED_VALUE"""),45271.7933509606)</f>
        <v>45271.793350960601</v>
      </c>
      <c r="B275" s="59" t="str">
        <f ca="1">IFERROR(__xludf.DUMMYFUNCTION("""COMPUTED_VALUE"""),"Chovatiya Kelvin natubhai")</f>
        <v>Chovatiya Kelvin natubhai</v>
      </c>
      <c r="C275" s="72" t="str">
        <f ca="1">IFERROR(__xludf.DUMMYFUNCTION("""COMPUTED_VALUE"""),"21SDSCE01010")</f>
        <v>21SDSCE01010</v>
      </c>
      <c r="D275" s="73">
        <f ca="1">IFERROR(__xludf.DUMMYFUNCTION("""COMPUTED_VALUE"""),45271)</f>
        <v>45271</v>
      </c>
      <c r="E275" s="72"/>
      <c r="F275" s="72">
        <f ca="1">IFERROR(__xludf.DUMMYFUNCTION("""COMPUTED_VALUE"""),3750)</f>
        <v>3750</v>
      </c>
      <c r="G275" s="75"/>
      <c r="H275" s="59" t="str">
        <f ca="1">IFERROR(__xludf.DUMMYFUNCTION("""COMPUTED_VALUE"""),"UPDATE")</f>
        <v>UPDATE</v>
      </c>
      <c r="I275" s="76" t="str">
        <f ca="1">IFERROR(__xludf.DUMMYFUNCTION("""COMPUTED_VALUE"""),"https://drive.google.com/open?id=1RbCSq7jwxt9xB4Tj1TX8zhDxuxLkA0sm")</f>
        <v>https://drive.google.com/open?id=1RbCSq7jwxt9xB4Tj1TX8zhDxuxLkA0sm</v>
      </c>
      <c r="J275" s="59"/>
      <c r="K275" s="59"/>
      <c r="L275" s="59"/>
      <c r="M275" s="59"/>
      <c r="N275" s="59"/>
      <c r="O275" s="59"/>
      <c r="P275" s="59"/>
    </row>
    <row r="276" spans="1:16">
      <c r="A276" s="71">
        <f ca="1">IFERROR(__xludf.DUMMYFUNCTION("""COMPUTED_VALUE"""),45271.6516399189)</f>
        <v>45271.651639918899</v>
      </c>
      <c r="B276" s="59" t="str">
        <f ca="1">IFERROR(__xludf.DUMMYFUNCTION("""COMPUTED_VALUE"""),"Ravaliya Tushar Maheshbhai ")</f>
        <v xml:space="preserve">Ravaliya Tushar Maheshbhai </v>
      </c>
      <c r="C276" s="72" t="str">
        <f ca="1">IFERROR(__xludf.DUMMYFUNCTION("""COMPUTED_VALUE"""),"21SDSCE01101")</f>
        <v>21SDSCE01101</v>
      </c>
      <c r="D276" s="73">
        <f ca="1">IFERROR(__xludf.DUMMYFUNCTION("""COMPUTED_VALUE"""),45271)</f>
        <v>45271</v>
      </c>
      <c r="E276" s="74">
        <f ca="1">IFERROR(__xludf.DUMMYFUNCTION("""COMPUTED_VALUE"""),25000)</f>
        <v>25000</v>
      </c>
      <c r="F276" s="72">
        <f ca="1">IFERROR(__xludf.DUMMYFUNCTION("""COMPUTED_VALUE"""),3750)</f>
        <v>3750</v>
      </c>
      <c r="G276" s="75"/>
      <c r="H276" s="59" t="str">
        <f ca="1">IFERROR(__xludf.DUMMYFUNCTION("""COMPUTED_VALUE"""),"UPDATE")</f>
        <v>UPDATE</v>
      </c>
      <c r="I276" s="76" t="str">
        <f ca="1">IFERROR(__xludf.DUMMYFUNCTION("""COMPUTED_VALUE"""),"https://drive.google.com/open?id=14xsVv7lVDmuQgLfzgwyLdge0AEiydQKf")</f>
        <v>https://drive.google.com/open?id=14xsVv7lVDmuQgLfzgwyLdge0AEiydQKf</v>
      </c>
      <c r="J276" s="59"/>
      <c r="K276" s="59"/>
      <c r="L276" s="59"/>
      <c r="M276" s="59"/>
      <c r="N276" s="59"/>
      <c r="O276" s="59"/>
      <c r="P276" s="59"/>
    </row>
    <row r="277" spans="1:16">
      <c r="A277" s="71">
        <f ca="1">IFERROR(__xludf.DUMMYFUNCTION("""COMPUTED_VALUE"""),45271.6031629861)</f>
        <v>45271.603162986103</v>
      </c>
      <c r="B277" s="59" t="str">
        <f ca="1">IFERROR(__xludf.DUMMYFUNCTION("""COMPUTED_VALUE"""),"Khushi kapadi")</f>
        <v>Khushi kapadi</v>
      </c>
      <c r="C277" s="72" t="str">
        <f ca="1">IFERROR(__xludf.DUMMYFUNCTION("""COMPUTED_VALUE"""),"22SDSCE03901")</f>
        <v>22SDSCE03901</v>
      </c>
      <c r="D277" s="73">
        <f ca="1">IFERROR(__xludf.DUMMYFUNCTION("""COMPUTED_VALUE"""),45271)</f>
        <v>45271</v>
      </c>
      <c r="E277" s="74">
        <f ca="1">IFERROR(__xludf.DUMMYFUNCTION("""COMPUTED_VALUE"""),25000)</f>
        <v>25000</v>
      </c>
      <c r="F277" s="72">
        <f ca="1">IFERROR(__xludf.DUMMYFUNCTION("""COMPUTED_VALUE"""),3750)</f>
        <v>3750</v>
      </c>
      <c r="G277" s="75"/>
      <c r="H277" s="59" t="str">
        <f ca="1">IFERROR(__xludf.DUMMYFUNCTION("""COMPUTED_VALUE"""),"UPDATE")</f>
        <v>UPDATE</v>
      </c>
      <c r="I277" s="76" t="str">
        <f ca="1">IFERROR(__xludf.DUMMYFUNCTION("""COMPUTED_VALUE"""),"https://drive.google.com/open?id=1FIm5vANnGbXSKPNO8rucWGMA-2BBmKj-")</f>
        <v>https://drive.google.com/open?id=1FIm5vANnGbXSKPNO8rucWGMA-2BBmKj-</v>
      </c>
      <c r="J277" s="59"/>
      <c r="K277" s="59"/>
      <c r="L277" s="59"/>
      <c r="M277" s="59"/>
      <c r="N277" s="59"/>
      <c r="O277" s="59"/>
      <c r="P277" s="59"/>
    </row>
    <row r="278" spans="1:16">
      <c r="A278" s="71">
        <f ca="1">IFERROR(__xludf.DUMMYFUNCTION("""COMPUTED_VALUE"""),45271.4827397569)</f>
        <v>45271.482739756902</v>
      </c>
      <c r="B278" s="59" t="str">
        <f ca="1">IFERROR(__xludf.DUMMYFUNCTION("""COMPUTED_VALUE"""),"Amit raj")</f>
        <v>Amit raj</v>
      </c>
      <c r="C278" s="72" t="str">
        <f ca="1">IFERROR(__xludf.DUMMYFUNCTION("""COMPUTED_VALUE"""),"23SDSME01026")</f>
        <v>23SDSME01026</v>
      </c>
      <c r="D278" s="73">
        <f ca="1">IFERROR(__xludf.DUMMYFUNCTION("""COMPUTED_VALUE"""),45256)</f>
        <v>45256</v>
      </c>
      <c r="E278" s="74">
        <f ca="1">IFERROR(__xludf.DUMMYFUNCTION("""COMPUTED_VALUE"""),30000)</f>
        <v>30000</v>
      </c>
      <c r="F278" s="72"/>
      <c r="G278" s="75"/>
      <c r="H278" s="59" t="str">
        <f ca="1">IFERROR(__xludf.DUMMYFUNCTION("""COMPUTED_VALUE"""),"WRONG SNAPSHOT")</f>
        <v>WRONG SNAPSHOT</v>
      </c>
      <c r="I278" s="76" t="str">
        <f ca="1">IFERROR(__xludf.DUMMYFUNCTION("""COMPUTED_VALUE"""),"https://drive.google.com/open?id=1_KeNwqhOB1iH1BiuZm8zNtXl8c8GLy22")</f>
        <v>https://drive.google.com/open?id=1_KeNwqhOB1iH1BiuZm8zNtXl8c8GLy22</v>
      </c>
      <c r="J278" s="59"/>
      <c r="K278" s="59"/>
      <c r="L278" s="59"/>
      <c r="M278" s="59"/>
      <c r="N278" s="59"/>
      <c r="O278" s="59"/>
      <c r="P278" s="59"/>
    </row>
    <row r="279" spans="1:16">
      <c r="A279" s="71">
        <f ca="1">IFERROR(__xludf.DUMMYFUNCTION("""COMPUTED_VALUE"""),45271.4170523148)</f>
        <v>45271.417052314799</v>
      </c>
      <c r="B279" s="59" t="str">
        <f ca="1">IFERROR(__xludf.DUMMYFUNCTION("""COMPUTED_VALUE"""),"Nevil Hitenbhai Dhinoja ")</f>
        <v xml:space="preserve">Nevil Hitenbhai Dhinoja </v>
      </c>
      <c r="C279" s="72" t="str">
        <f ca="1">IFERROR(__xludf.DUMMYFUNCTION("""COMPUTED_VALUE"""),"21SDSCE01015")</f>
        <v>21SDSCE01015</v>
      </c>
      <c r="D279" s="73">
        <f ca="1">IFERROR(__xludf.DUMMYFUNCTION("""COMPUTED_VALUE"""),45271)</f>
        <v>45271</v>
      </c>
      <c r="E279" s="72"/>
      <c r="F279" s="72">
        <f ca="1">IFERROR(__xludf.DUMMYFUNCTION("""COMPUTED_VALUE"""),3750)</f>
        <v>3750</v>
      </c>
      <c r="G279" s="75"/>
      <c r="H279" s="59" t="str">
        <f ca="1">IFERROR(__xludf.DUMMYFUNCTION("""COMPUTED_VALUE"""),"UPDATE")</f>
        <v>UPDATE</v>
      </c>
      <c r="I279" s="76" t="str">
        <f ca="1">IFERROR(__xludf.DUMMYFUNCTION("""COMPUTED_VALUE"""),"https://drive.google.com/open?id=1OhS23XZh75V28pP1VZauyElwdt7N12lO")</f>
        <v>https://drive.google.com/open?id=1OhS23XZh75V28pP1VZauyElwdt7N12lO</v>
      </c>
      <c r="J279" s="59"/>
      <c r="K279" s="59"/>
      <c r="L279" s="59"/>
      <c r="M279" s="59"/>
      <c r="N279" s="59"/>
      <c r="O279" s="59"/>
      <c r="P279" s="59"/>
    </row>
    <row r="280" spans="1:16">
      <c r="A280" s="71">
        <f ca="1">IFERROR(__xludf.DUMMYFUNCTION("""COMPUTED_VALUE"""),45271.3327698148)</f>
        <v>45271.332769814799</v>
      </c>
      <c r="B280" s="59" t="str">
        <f ca="1">IFERROR(__xludf.DUMMYFUNCTION("""COMPUTED_VALUE"""),"NandaniDobariya")</f>
        <v>NandaniDobariya</v>
      </c>
      <c r="C280" s="72" t="str">
        <f ca="1">IFERROR(__xludf.DUMMYFUNCTION("""COMPUTED_VALUE"""),"21SDSCE01068")</f>
        <v>21SDSCE01068</v>
      </c>
      <c r="D280" s="73">
        <f ca="1">IFERROR(__xludf.DUMMYFUNCTION("""COMPUTED_VALUE"""),45181)</f>
        <v>45181</v>
      </c>
      <c r="E280" s="72"/>
      <c r="F280" s="72">
        <f ca="1">IFERROR(__xludf.DUMMYFUNCTION("""COMPUTED_VALUE"""),3750)</f>
        <v>3750</v>
      </c>
      <c r="G280" s="75"/>
      <c r="H280" s="59" t="str">
        <f ca="1">IFERROR(__xludf.DUMMYFUNCTION("""COMPUTED_VALUE"""),"UPDATE")</f>
        <v>UPDATE</v>
      </c>
      <c r="I280" s="76" t="str">
        <f ca="1">IFERROR(__xludf.DUMMYFUNCTION("""COMPUTED_VALUE"""),"https://drive.google.com/open?id=1WBAPVPrgQny5jsF6Uhk9aDShpq2K-gew")</f>
        <v>https://drive.google.com/open?id=1WBAPVPrgQny5jsF6Uhk9aDShpq2K-gew</v>
      </c>
      <c r="J280" s="59"/>
      <c r="K280" s="59"/>
      <c r="L280" s="59"/>
      <c r="M280" s="59"/>
      <c r="N280" s="59"/>
      <c r="O280" s="59"/>
      <c r="P280" s="59"/>
    </row>
    <row r="281" spans="1:16">
      <c r="A281" s="71">
        <f ca="1">IFERROR(__xludf.DUMMYFUNCTION("""COMPUTED_VALUE"""),45270.4143821296)</f>
        <v>45270.414382129602</v>
      </c>
      <c r="B281" s="59" t="str">
        <f ca="1">IFERROR(__xludf.DUMMYFUNCTION("""COMPUTED_VALUE"""),"Lakkad Srushti Pankajbhai")</f>
        <v>Lakkad Srushti Pankajbhai</v>
      </c>
      <c r="C281" s="72" t="str">
        <f ca="1">IFERROR(__xludf.DUMMYFUNCTION("""COMPUTED_VALUE"""),"21SDSCE01033")</f>
        <v>21SDSCE01033</v>
      </c>
      <c r="D281" s="73">
        <f ca="1">IFERROR(__xludf.DUMMYFUNCTION("""COMPUTED_VALUE"""),45270)</f>
        <v>45270</v>
      </c>
      <c r="E281" s="74">
        <f ca="1">IFERROR(__xludf.DUMMYFUNCTION("""COMPUTED_VALUE"""),0)</f>
        <v>0</v>
      </c>
      <c r="F281" s="72">
        <f ca="1">IFERROR(__xludf.DUMMYFUNCTION("""COMPUTED_VALUE"""),3750)</f>
        <v>3750</v>
      </c>
      <c r="G281" s="75"/>
      <c r="H281" s="59" t="str">
        <f ca="1">IFERROR(__xludf.DUMMYFUNCTION("""COMPUTED_VALUE"""),"UPDATE")</f>
        <v>UPDATE</v>
      </c>
      <c r="I281" s="76" t="str">
        <f ca="1">IFERROR(__xludf.DUMMYFUNCTION("""COMPUTED_VALUE"""),"https://drive.google.com/open?id=1TghO4Y9lFcDZRO5DwyuG8UC-ha4FYUIH")</f>
        <v>https://drive.google.com/open?id=1TghO4Y9lFcDZRO5DwyuG8UC-ha4FYUIH</v>
      </c>
      <c r="J281" s="59"/>
      <c r="K281" s="59"/>
      <c r="L281" s="59"/>
      <c r="M281" s="59"/>
      <c r="N281" s="59"/>
      <c r="O281" s="59"/>
      <c r="P281" s="59"/>
    </row>
    <row r="282" spans="1:16">
      <c r="A282" s="71">
        <f ca="1">IFERROR(__xludf.DUMMYFUNCTION("""COMPUTED_VALUE"""),45269.93114625)</f>
        <v>45269.931146249997</v>
      </c>
      <c r="B282" s="59" t="str">
        <f ca="1">IFERROR(__xludf.DUMMYFUNCTION("""COMPUTED_VALUE"""),"Gorasiya Bhoomin Ramjibhai ")</f>
        <v xml:space="preserve">Gorasiya Bhoomin Ramjibhai </v>
      </c>
      <c r="C282" s="72" t="str">
        <f ca="1">IFERROR(__xludf.DUMMYFUNCTION("""COMPUTED_VALUE"""),"21SDSCE01019")</f>
        <v>21SDSCE01019</v>
      </c>
      <c r="D282" s="73">
        <f ca="1">IFERROR(__xludf.DUMMYFUNCTION("""COMPUTED_VALUE"""),45269)</f>
        <v>45269</v>
      </c>
      <c r="E282" s="74">
        <f ca="1">IFERROR(__xludf.DUMMYFUNCTION("""COMPUTED_VALUE"""),25000)</f>
        <v>25000</v>
      </c>
      <c r="F282" s="72">
        <f ca="1">IFERROR(__xludf.DUMMYFUNCTION("""COMPUTED_VALUE"""),3750)</f>
        <v>3750</v>
      </c>
      <c r="G282" s="75"/>
      <c r="H282" s="59" t="str">
        <f ca="1">IFERROR(__xludf.DUMMYFUNCTION("""COMPUTED_VALUE"""),"UPDATE")</f>
        <v>UPDATE</v>
      </c>
      <c r="I282" s="76" t="str">
        <f ca="1">IFERROR(__xludf.DUMMYFUNCTION("""COMPUTED_VALUE"""),"https://drive.google.com/open?id=1RCVs7dZW1l-jTV5pslcJulMBEEkgMddE")</f>
        <v>https://drive.google.com/open?id=1RCVs7dZW1l-jTV5pslcJulMBEEkgMddE</v>
      </c>
      <c r="J282" s="59"/>
      <c r="K282" s="59"/>
      <c r="L282" s="59"/>
      <c r="M282" s="59"/>
      <c r="N282" s="59"/>
      <c r="O282" s="59"/>
      <c r="P282" s="59"/>
    </row>
    <row r="283" spans="1:16">
      <c r="A283" s="71">
        <f ca="1">IFERROR(__xludf.DUMMYFUNCTION("""COMPUTED_VALUE"""),45269.8469573726)</f>
        <v>45269.846957372603</v>
      </c>
      <c r="B283" s="59" t="str">
        <f ca="1">IFERROR(__xludf.DUMMYFUNCTION("""COMPUTED_VALUE"""),"Keraliya Dhruvisha")</f>
        <v>Keraliya Dhruvisha</v>
      </c>
      <c r="C283" s="72" t="str">
        <f ca="1">IFERROR(__xludf.DUMMYFUNCTION("""COMPUTED_VALUE"""),"21SDSCE01027")</f>
        <v>21SDSCE01027</v>
      </c>
      <c r="D283" s="73">
        <f ca="1">IFERROR(__xludf.DUMMYFUNCTION("""COMPUTED_VALUE"""),45269)</f>
        <v>45269</v>
      </c>
      <c r="E283" s="72"/>
      <c r="F283" s="72">
        <f ca="1">IFERROR(__xludf.DUMMYFUNCTION("""COMPUTED_VALUE"""),2500)</f>
        <v>2500</v>
      </c>
      <c r="G283" s="75"/>
      <c r="H283" s="59" t="str">
        <f ca="1">IFERROR(__xludf.DUMMYFUNCTION("""COMPUTED_VALUE"""),"UPDATE")</f>
        <v>UPDATE</v>
      </c>
      <c r="I283" s="76" t="str">
        <f ca="1">IFERROR(__xludf.DUMMYFUNCTION("""COMPUTED_VALUE"""),"https://drive.google.com/open?id=197LqzKy-zBK5gmqCtF9_59nycO4q9bf0")</f>
        <v>https://drive.google.com/open?id=197LqzKy-zBK5gmqCtF9_59nycO4q9bf0</v>
      </c>
      <c r="J283" s="59"/>
      <c r="K283" s="59"/>
      <c r="L283" s="59"/>
      <c r="M283" s="59"/>
      <c r="N283" s="59"/>
      <c r="O283" s="59"/>
      <c r="P283" s="59"/>
    </row>
    <row r="284" spans="1:16">
      <c r="A284" s="71">
        <f ca="1">IFERROR(__xludf.DUMMYFUNCTION("""COMPUTED_VALUE"""),45269.4923580324)</f>
        <v>45269.492358032403</v>
      </c>
      <c r="B284" s="59" t="str">
        <f ca="1">IFERROR(__xludf.DUMMYFUNCTION("""COMPUTED_VALUE"""),"Aman Kumar Ram ")</f>
        <v xml:space="preserve">Aman Kumar Ram </v>
      </c>
      <c r="C284" s="72" t="str">
        <f ca="1">IFERROR(__xludf.DUMMYFUNCTION("""COMPUTED_VALUE"""),"22SDSEE01031")</f>
        <v>22SDSEE01031</v>
      </c>
      <c r="D284" s="73">
        <f ca="1">IFERROR(__xludf.DUMMYFUNCTION("""COMPUTED_VALUE"""),45236)</f>
        <v>45236</v>
      </c>
      <c r="E284" s="72"/>
      <c r="F284" s="72"/>
      <c r="G284" s="75"/>
      <c r="H284" s="59" t="str">
        <f ca="1">IFERROR(__xludf.DUMMYFUNCTION("""COMPUTED_VALUE"""),"UPDATE")</f>
        <v>UPDATE</v>
      </c>
      <c r="I284" s="76" t="str">
        <f ca="1">IFERROR(__xludf.DUMMYFUNCTION("""COMPUTED_VALUE"""),"https://drive.google.com/open?id=13qHgrhjiFaMAzazDJQTYewFh3idE2PIx")</f>
        <v>https://drive.google.com/open?id=13qHgrhjiFaMAzazDJQTYewFh3idE2PIx</v>
      </c>
      <c r="J284" s="59"/>
      <c r="K284" s="59"/>
      <c r="L284" s="59"/>
      <c r="M284" s="59"/>
      <c r="N284" s="59"/>
      <c r="O284" s="59"/>
      <c r="P284" s="59"/>
    </row>
    <row r="285" spans="1:16">
      <c r="A285" s="71">
        <f ca="1">IFERROR(__xludf.DUMMYFUNCTION("""COMPUTED_VALUE"""),45268.509487662)</f>
        <v>45268.509487661999</v>
      </c>
      <c r="B285" s="59" t="str">
        <f ca="1">IFERROR(__xludf.DUMMYFUNCTION("""COMPUTED_VALUE"""),"Tirth pareshbhai panchani")</f>
        <v>Tirth pareshbhai panchani</v>
      </c>
      <c r="C285" s="72" t="str">
        <f ca="1">IFERROR(__xludf.DUMMYFUNCTION("""COMPUTED_VALUE"""),"21SDSCE01087")</f>
        <v>21SDSCE01087</v>
      </c>
      <c r="D285" s="73">
        <f ca="1">IFERROR(__xludf.DUMMYFUNCTION("""COMPUTED_VALUE"""),45268)</f>
        <v>45268</v>
      </c>
      <c r="E285" s="74">
        <f ca="1">IFERROR(__xludf.DUMMYFUNCTION("""COMPUTED_VALUE"""),25000)</f>
        <v>25000</v>
      </c>
      <c r="F285" s="72">
        <f ca="1">IFERROR(__xludf.DUMMYFUNCTION("""COMPUTED_VALUE"""),3750)</f>
        <v>3750</v>
      </c>
      <c r="G285" s="75"/>
      <c r="H285" s="59" t="str">
        <f ca="1">IFERROR(__xludf.DUMMYFUNCTION("""COMPUTED_VALUE"""),"UPDATE")</f>
        <v>UPDATE</v>
      </c>
      <c r="I285" s="76" t="str">
        <f ca="1">IFERROR(__xludf.DUMMYFUNCTION("""COMPUTED_VALUE"""),"https://drive.google.com/open?id=1PbQbWYZCfeVu3oBq96Cm_EprRyActOUz")</f>
        <v>https://drive.google.com/open?id=1PbQbWYZCfeVu3oBq96Cm_EprRyActOUz</v>
      </c>
      <c r="J285" s="59"/>
      <c r="K285" s="59"/>
      <c r="L285" s="59"/>
      <c r="M285" s="59"/>
      <c r="N285" s="59"/>
      <c r="O285" s="59"/>
      <c r="P285" s="59"/>
    </row>
    <row r="286" spans="1:16">
      <c r="A286" s="71">
        <f ca="1">IFERROR(__xludf.DUMMYFUNCTION("""COMPUTED_VALUE"""),45267.6333586342)</f>
        <v>45267.633358634201</v>
      </c>
      <c r="B286" s="59" t="str">
        <f ca="1">IFERROR(__xludf.DUMMYFUNCTION("""COMPUTED_VALUE"""),"Bhambhi Rudra pratapbhai ")</f>
        <v xml:space="preserve">Bhambhi Rudra pratapbhai </v>
      </c>
      <c r="C286" s="72" t="str">
        <f ca="1">IFERROR(__xludf.DUMMYFUNCTION("""COMPUTED_VALUE"""),"21SDSME01004")</f>
        <v>21SDSME01004</v>
      </c>
      <c r="D286" s="73">
        <f ca="1">IFERROR(__xludf.DUMMYFUNCTION("""COMPUTED_VALUE"""),45267)</f>
        <v>45267</v>
      </c>
      <c r="E286" s="74">
        <f ca="1">IFERROR(__xludf.DUMMYFUNCTION("""COMPUTED_VALUE"""),25000)</f>
        <v>25000</v>
      </c>
      <c r="F286" s="72"/>
      <c r="G286" s="75"/>
      <c r="H286" s="59" t="str">
        <f ca="1">IFERROR(__xludf.DUMMYFUNCTION("""COMPUTED_VALUE"""),"UPDATE")</f>
        <v>UPDATE</v>
      </c>
      <c r="I286" s="76" t="str">
        <f ca="1">IFERROR(__xludf.DUMMYFUNCTION("""COMPUTED_VALUE"""),"https://drive.google.com/open?id=1484eZA58LABUL0DTWQE9ZS4HIz8_N9-O")</f>
        <v>https://drive.google.com/open?id=1484eZA58LABUL0DTWQE9ZS4HIz8_N9-O</v>
      </c>
      <c r="J286" s="59"/>
      <c r="K286" s="59"/>
      <c r="L286" s="59"/>
      <c r="M286" s="59"/>
      <c r="N286" s="59"/>
      <c r="O286" s="59"/>
      <c r="P286" s="59"/>
    </row>
    <row r="287" spans="1:16">
      <c r="A287" s="71">
        <f ca="1">IFERROR(__xludf.DUMMYFUNCTION("""COMPUTED_VALUE"""),45267.6313296643)</f>
        <v>45267.631329664298</v>
      </c>
      <c r="B287" s="59" t="str">
        <f ca="1">IFERROR(__xludf.DUMMYFUNCTION("""COMPUTED_VALUE"""),"Bhambhi Rudra pratapbhai ")</f>
        <v xml:space="preserve">Bhambhi Rudra pratapbhai </v>
      </c>
      <c r="C287" s="72" t="str">
        <f ca="1">IFERROR(__xludf.DUMMYFUNCTION("""COMPUTED_VALUE"""),"21SDSME01004")</f>
        <v>21SDSME01004</v>
      </c>
      <c r="D287" s="73">
        <f ca="1">IFERROR(__xludf.DUMMYFUNCTION("""COMPUTED_VALUE"""),45267)</f>
        <v>45267</v>
      </c>
      <c r="E287" s="72"/>
      <c r="F287" s="72">
        <f ca="1">IFERROR(__xludf.DUMMYFUNCTION("""COMPUTED_VALUE"""),3750)</f>
        <v>3750</v>
      </c>
      <c r="G287" s="75"/>
      <c r="H287" s="59" t="str">
        <f ca="1">IFERROR(__xludf.DUMMYFUNCTION("""COMPUTED_VALUE"""),"UPDATE")</f>
        <v>UPDATE</v>
      </c>
      <c r="I287" s="76" t="str">
        <f ca="1">IFERROR(__xludf.DUMMYFUNCTION("""COMPUTED_VALUE"""),"https://drive.google.com/open?id=1Wcx42xS7jtE72mgPUQZXt-iFp61VeVhQ")</f>
        <v>https://drive.google.com/open?id=1Wcx42xS7jtE72mgPUQZXt-iFp61VeVhQ</v>
      </c>
      <c r="J287" s="59"/>
      <c r="K287" s="59"/>
      <c r="L287" s="59"/>
      <c r="M287" s="59"/>
      <c r="N287" s="59"/>
      <c r="O287" s="59"/>
      <c r="P287" s="59"/>
    </row>
    <row r="288" spans="1:16">
      <c r="A288" s="71">
        <f ca="1">IFERROR(__xludf.DUMMYFUNCTION("""COMPUTED_VALUE"""),45267.4960938078)</f>
        <v>45267.4960938078</v>
      </c>
      <c r="B288" s="59" t="str">
        <f ca="1">IFERROR(__xludf.DUMMYFUNCTION("""COMPUTED_VALUE"""),"Sunny kumar")</f>
        <v>Sunny kumar</v>
      </c>
      <c r="C288" s="72" t="str">
        <f ca="1">IFERROR(__xludf.DUMMYFUNCTION("""COMPUTED_VALUE"""),"22SDSEE01021")</f>
        <v>22SDSEE01021</v>
      </c>
      <c r="D288" s="73">
        <f ca="1">IFERROR(__xludf.DUMMYFUNCTION("""COMPUTED_VALUE"""),45236)</f>
        <v>45236</v>
      </c>
      <c r="E288" s="72"/>
      <c r="F288" s="72"/>
      <c r="G288" s="75"/>
      <c r="H288" s="59" t="str">
        <f ca="1">IFERROR(__xludf.DUMMYFUNCTION("""COMPUTED_VALUE"""),"UPDATE")</f>
        <v>UPDATE</v>
      </c>
      <c r="I288" s="76" t="str">
        <f ca="1">IFERROR(__xludf.DUMMYFUNCTION("""COMPUTED_VALUE"""),"https://drive.google.com/open?id=16BHDIPXi0LGiPCJgiMYos9vd2ugjatJW")</f>
        <v>https://drive.google.com/open?id=16BHDIPXi0LGiPCJgiMYos9vd2ugjatJW</v>
      </c>
      <c r="J288" s="59"/>
      <c r="K288" s="59"/>
      <c r="L288" s="59"/>
      <c r="M288" s="59"/>
      <c r="N288" s="59"/>
      <c r="O288" s="59"/>
      <c r="P288" s="59"/>
    </row>
    <row r="289" spans="1:16">
      <c r="A289" s="71">
        <f ca="1">IFERROR(__xludf.DUMMYFUNCTION("""COMPUTED_VALUE"""),45267.4709259722)</f>
        <v>45267.4709259722</v>
      </c>
      <c r="B289" s="59" t="str">
        <f ca="1">IFERROR(__xludf.DUMMYFUNCTION("""COMPUTED_VALUE"""),"Raunak Kumar")</f>
        <v>Raunak Kumar</v>
      </c>
      <c r="C289" s="72" t="str">
        <f ca="1">IFERROR(__xludf.DUMMYFUNCTION("""COMPUTED_VALUE"""),"22SDSME01027")</f>
        <v>22SDSME01027</v>
      </c>
      <c r="D289" s="73">
        <f ca="1">IFERROR(__xludf.DUMMYFUNCTION("""COMPUTED_VALUE"""),45205)</f>
        <v>45205</v>
      </c>
      <c r="E289" s="72"/>
      <c r="F289" s="72"/>
      <c r="G289" s="75"/>
      <c r="H289" s="59" t="str">
        <f ca="1">IFERROR(__xludf.DUMMYFUNCTION("""COMPUTED_VALUE"""),"UPDATE")</f>
        <v>UPDATE</v>
      </c>
      <c r="I289" s="76" t="str">
        <f ca="1">IFERROR(__xludf.DUMMYFUNCTION("""COMPUTED_VALUE"""),"https://drive.google.com/open?id=1mM42ed4fJ5aDe02hqUUr5CGQZl6k-15b")</f>
        <v>https://drive.google.com/open?id=1mM42ed4fJ5aDe02hqUUr5CGQZl6k-15b</v>
      </c>
      <c r="J289" s="59"/>
      <c r="K289" s="59"/>
      <c r="L289" s="59"/>
      <c r="M289" s="59"/>
      <c r="N289" s="59"/>
      <c r="O289" s="59"/>
      <c r="P289" s="59"/>
    </row>
    <row r="290" spans="1:16">
      <c r="A290" s="71">
        <f ca="1">IFERROR(__xludf.DUMMYFUNCTION("""COMPUTED_VALUE"""),45266.9082581018)</f>
        <v>45266.908258101801</v>
      </c>
      <c r="B290" s="59" t="str">
        <f ca="1">IFERROR(__xludf.DUMMYFUNCTION("""COMPUTED_VALUE"""),"Jenish Kotadiya ")</f>
        <v xml:space="preserve">Jenish Kotadiya </v>
      </c>
      <c r="C290" s="72" t="str">
        <f ca="1">IFERROR(__xludf.DUMMYFUNCTION("""COMPUTED_VALUE"""),"21SDSCE01081 ")</f>
        <v xml:space="preserve">21SDSCE01081 </v>
      </c>
      <c r="D290" s="73">
        <f ca="1">IFERROR(__xludf.DUMMYFUNCTION("""COMPUTED_VALUE"""),45266)</f>
        <v>45266</v>
      </c>
      <c r="E290" s="72"/>
      <c r="F290" s="72">
        <f ca="1">IFERROR(__xludf.DUMMYFUNCTION("""COMPUTED_VALUE"""),3750)</f>
        <v>3750</v>
      </c>
      <c r="G290" s="75"/>
      <c r="H290" s="59" t="str">
        <f ca="1">IFERROR(__xludf.DUMMYFUNCTION("""COMPUTED_VALUE"""),"UPDATE")</f>
        <v>UPDATE</v>
      </c>
      <c r="I290" s="76" t="str">
        <f ca="1">IFERROR(__xludf.DUMMYFUNCTION("""COMPUTED_VALUE"""),"https://drive.google.com/open?id=1aq8dfRfl3UTSZuQdQi_D5GI6bMNcxpgD")</f>
        <v>https://drive.google.com/open?id=1aq8dfRfl3UTSZuQdQi_D5GI6bMNcxpgD</v>
      </c>
      <c r="J290" s="59"/>
      <c r="K290" s="59"/>
      <c r="L290" s="59"/>
      <c r="M290" s="59"/>
      <c r="N290" s="59"/>
      <c r="O290" s="59"/>
      <c r="P290" s="59"/>
    </row>
    <row r="291" spans="1:16">
      <c r="A291" s="71">
        <f ca="1">IFERROR(__xludf.DUMMYFUNCTION("""COMPUTED_VALUE"""),45266.9073159953)</f>
        <v>45266.907315995297</v>
      </c>
      <c r="B291" s="59" t="str">
        <f ca="1">IFERROR(__xludf.DUMMYFUNCTION("""COMPUTED_VALUE"""),"Jenish Kotadiya ")</f>
        <v xml:space="preserve">Jenish Kotadiya </v>
      </c>
      <c r="C291" s="72" t="str">
        <f ca="1">IFERROR(__xludf.DUMMYFUNCTION("""COMPUTED_VALUE"""),"21SDSCE01081")</f>
        <v>21SDSCE01081</v>
      </c>
      <c r="D291" s="73">
        <f ca="1">IFERROR(__xludf.DUMMYFUNCTION("""COMPUTED_VALUE"""),45266)</f>
        <v>45266</v>
      </c>
      <c r="E291" s="74">
        <f ca="1">IFERROR(__xludf.DUMMYFUNCTION("""COMPUTED_VALUE"""),25000)</f>
        <v>25000</v>
      </c>
      <c r="F291" s="72"/>
      <c r="G291" s="75"/>
      <c r="H291" s="59" t="str">
        <f ca="1">IFERROR(__xludf.DUMMYFUNCTION("""COMPUTED_VALUE"""),"UPDATE")</f>
        <v>UPDATE</v>
      </c>
      <c r="I291" s="76" t="str">
        <f ca="1">IFERROR(__xludf.DUMMYFUNCTION("""COMPUTED_VALUE"""),"https://drive.google.com/open?id=19hHK3-HL9jD1JnKmxbuB3E5vj3NtqzjH")</f>
        <v>https://drive.google.com/open?id=19hHK3-HL9jD1JnKmxbuB3E5vj3NtqzjH</v>
      </c>
      <c r="J291" s="59"/>
      <c r="K291" s="59"/>
      <c r="L291" s="59"/>
      <c r="M291" s="59"/>
      <c r="N291" s="59"/>
      <c r="O291" s="59"/>
      <c r="P291" s="59"/>
    </row>
    <row r="292" spans="1:16">
      <c r="A292" s="71">
        <f ca="1">IFERROR(__xludf.DUMMYFUNCTION("""COMPUTED_VALUE"""),45266.4626732754)</f>
        <v>45266.462673275397</v>
      </c>
      <c r="B292" s="59" t="str">
        <f ca="1">IFERROR(__xludf.DUMMYFUNCTION("""COMPUTED_VALUE"""),"Vaishnav Denis Manshukhbhai")</f>
        <v>Vaishnav Denis Manshukhbhai</v>
      </c>
      <c r="C292" s="72" t="str">
        <f ca="1">IFERROR(__xludf.DUMMYFUNCTION("""COMPUTED_VALUE"""),"21SDSCE01158")</f>
        <v>21SDSCE01158</v>
      </c>
      <c r="D292" s="73">
        <f ca="1">IFERROR(__xludf.DUMMYFUNCTION("""COMPUTED_VALUE"""),45266)</f>
        <v>45266</v>
      </c>
      <c r="E292" s="72"/>
      <c r="F292" s="72">
        <f ca="1">IFERROR(__xludf.DUMMYFUNCTION("""COMPUTED_VALUE"""),3750)</f>
        <v>3750</v>
      </c>
      <c r="G292" s="75"/>
      <c r="H292" s="59" t="str">
        <f ca="1">IFERROR(__xludf.DUMMYFUNCTION("""COMPUTED_VALUE"""),"UPDATE")</f>
        <v>UPDATE</v>
      </c>
      <c r="I292" s="76" t="str">
        <f ca="1">IFERROR(__xludf.DUMMYFUNCTION("""COMPUTED_VALUE"""),"https://drive.google.com/open?id=1P62nQ86F9kbfuXTIDo5_CUKob217Uian")</f>
        <v>https://drive.google.com/open?id=1P62nQ86F9kbfuXTIDo5_CUKob217Uian</v>
      </c>
      <c r="J292" s="59"/>
      <c r="K292" s="59"/>
      <c r="L292" s="59"/>
      <c r="M292" s="59"/>
      <c r="N292" s="59"/>
      <c r="O292" s="59"/>
      <c r="P292" s="59"/>
    </row>
    <row r="293" spans="1:16">
      <c r="A293" s="71">
        <f ca="1">IFERROR(__xludf.DUMMYFUNCTION("""COMPUTED_VALUE"""),45265.6526350463)</f>
        <v>45265.652635046303</v>
      </c>
      <c r="B293" s="59" t="str">
        <f ca="1">IFERROR(__xludf.DUMMYFUNCTION("""COMPUTED_VALUE"""),"Vishal Kumar Dubey")</f>
        <v>Vishal Kumar Dubey</v>
      </c>
      <c r="C293" s="72" t="str">
        <f ca="1">IFERROR(__xludf.DUMMYFUNCTION("""COMPUTED_VALUE"""),"22SDSEE01028")</f>
        <v>22SDSEE01028</v>
      </c>
      <c r="D293" s="73">
        <f ca="1">IFERROR(__xludf.DUMMYFUNCTION("""COMPUTED_VALUE"""),45236)</f>
        <v>45236</v>
      </c>
      <c r="E293" s="74">
        <f ca="1">IFERROR(__xludf.DUMMYFUNCTION("""COMPUTED_VALUE"""),85000)</f>
        <v>85000</v>
      </c>
      <c r="F293" s="72"/>
      <c r="G293" s="75"/>
      <c r="H293" s="59" t="str">
        <f ca="1">IFERROR(__xludf.DUMMYFUNCTION("""COMPUTED_VALUE"""),"UPDATE")</f>
        <v>UPDATE</v>
      </c>
      <c r="I293" s="76" t="str">
        <f ca="1">IFERROR(__xludf.DUMMYFUNCTION("""COMPUTED_VALUE"""),"https://drive.google.com/open?id=1KV1COuKdXSOAMhSkw7XMKzB6VU0MD1Ab")</f>
        <v>https://drive.google.com/open?id=1KV1COuKdXSOAMhSkw7XMKzB6VU0MD1Ab</v>
      </c>
      <c r="J293" s="59"/>
      <c r="K293" s="59"/>
      <c r="L293" s="59"/>
      <c r="M293" s="59"/>
      <c r="N293" s="59"/>
      <c r="O293" s="59"/>
      <c r="P293" s="59"/>
    </row>
    <row r="294" spans="1:16">
      <c r="A294" s="71">
        <f ca="1">IFERROR(__xludf.DUMMYFUNCTION("""COMPUTED_VALUE"""),45265.6130897106)</f>
        <v>45265.613089710598</v>
      </c>
      <c r="B294" s="59" t="str">
        <f ca="1">IFERROR(__xludf.DUMMYFUNCTION("""COMPUTED_VALUE"""),"DEEPKUMAR MAGANBHAI AGHERA")</f>
        <v>DEEPKUMAR MAGANBHAI AGHERA</v>
      </c>
      <c r="C294" s="72" t="str">
        <f ca="1">IFERROR(__xludf.DUMMYFUNCTION("""COMPUTED_VALUE"""),"21SDSCE01055")</f>
        <v>21SDSCE01055</v>
      </c>
      <c r="D294" s="73">
        <f ca="1">IFERROR(__xludf.DUMMYFUNCTION("""COMPUTED_VALUE"""),45265)</f>
        <v>45265</v>
      </c>
      <c r="E294" s="74">
        <f ca="1">IFERROR(__xludf.DUMMYFUNCTION("""COMPUTED_VALUE"""),25000)</f>
        <v>25000</v>
      </c>
      <c r="F294" s="72">
        <f ca="1">IFERROR(__xludf.DUMMYFUNCTION("""COMPUTED_VALUE"""),3750)</f>
        <v>3750</v>
      </c>
      <c r="G294" s="75"/>
      <c r="H294" s="59" t="str">
        <f ca="1">IFERROR(__xludf.DUMMYFUNCTION("""COMPUTED_VALUE"""),"UPDATE")</f>
        <v>UPDATE</v>
      </c>
      <c r="I294" s="76" t="str">
        <f ca="1">IFERROR(__xludf.DUMMYFUNCTION("""COMPUTED_VALUE"""),"https://drive.google.com/open?id=1BvrrHptMho5MP5PvTzelfV8I5budL3OJ")</f>
        <v>https://drive.google.com/open?id=1BvrrHptMho5MP5PvTzelfV8I5budL3OJ</v>
      </c>
      <c r="J294" s="59"/>
      <c r="K294" s="59"/>
      <c r="L294" s="59"/>
      <c r="M294" s="59"/>
      <c r="N294" s="59"/>
      <c r="O294" s="59"/>
      <c r="P294" s="59"/>
    </row>
    <row r="295" spans="1:16">
      <c r="A295" s="71">
        <f ca="1">IFERROR(__xludf.DUMMYFUNCTION("""COMPUTED_VALUE"""),45264.5931837384)</f>
        <v>45264.593183738398</v>
      </c>
      <c r="B295" s="59" t="str">
        <f ca="1">IFERROR(__xludf.DUMMYFUNCTION("""COMPUTED_VALUE"""),"PATEL DREAM VIMALBHAI")</f>
        <v>PATEL DREAM VIMALBHAI</v>
      </c>
      <c r="C295" s="72" t="str">
        <f ca="1">IFERROR(__xludf.DUMMYFUNCTION("""COMPUTED_VALUE"""),"21SDSCE01094")</f>
        <v>21SDSCE01094</v>
      </c>
      <c r="D295" s="73">
        <f ca="1">IFERROR(__xludf.DUMMYFUNCTION("""COMPUTED_VALUE"""),45264)</f>
        <v>45264</v>
      </c>
      <c r="E295" s="72"/>
      <c r="F295" s="72">
        <f ca="1">IFERROR(__xludf.DUMMYFUNCTION("""COMPUTED_VALUE"""),3750)</f>
        <v>3750</v>
      </c>
      <c r="G295" s="75"/>
      <c r="H295" s="59" t="str">
        <f ca="1">IFERROR(__xludf.DUMMYFUNCTION("""COMPUTED_VALUE"""),"UPDATE")</f>
        <v>UPDATE</v>
      </c>
      <c r="I295" s="76" t="str">
        <f ca="1">IFERROR(__xludf.DUMMYFUNCTION("""COMPUTED_VALUE"""),"https://drive.google.com/open?id=1sGv0duivgqsRgcqZWHrbyfB9BUWx715_")</f>
        <v>https://drive.google.com/open?id=1sGv0duivgqsRgcqZWHrbyfB9BUWx715_</v>
      </c>
      <c r="J295" s="59"/>
      <c r="K295" s="59"/>
      <c r="L295" s="59"/>
      <c r="M295" s="59"/>
      <c r="N295" s="59"/>
      <c r="O295" s="59"/>
      <c r="P295" s="59"/>
    </row>
    <row r="296" spans="1:16">
      <c r="A296" s="71">
        <f ca="1">IFERROR(__xludf.DUMMYFUNCTION("""COMPUTED_VALUE"""),45264.5027720254)</f>
        <v>45264.5027720254</v>
      </c>
      <c r="B296" s="59" t="str">
        <f ca="1">IFERROR(__xludf.DUMMYFUNCTION("""COMPUTED_VALUE"""),"Ajana Dravid Rajeshbhai")</f>
        <v>Ajana Dravid Rajeshbhai</v>
      </c>
      <c r="C296" s="72" t="str">
        <f ca="1">IFERROR(__xludf.DUMMYFUNCTION("""COMPUTED_VALUE"""),"23SDSME01001")</f>
        <v>23SDSME01001</v>
      </c>
      <c r="D296" s="73">
        <f ca="1">IFERROR(__xludf.DUMMYFUNCTION("""COMPUTED_VALUE"""),45264)</f>
        <v>45264</v>
      </c>
      <c r="E296" s="74">
        <f ca="1">IFERROR(__xludf.DUMMYFUNCTION("""COMPUTED_VALUE"""),27500)</f>
        <v>27500</v>
      </c>
      <c r="F296" s="72"/>
      <c r="G296" s="75"/>
      <c r="H296" s="59" t="str">
        <f ca="1">IFERROR(__xludf.DUMMYFUNCTION("""COMPUTED_VALUE"""),"UPDATE")</f>
        <v>UPDATE</v>
      </c>
      <c r="I296" s="76" t="str">
        <f ca="1">IFERROR(__xludf.DUMMYFUNCTION("""COMPUTED_VALUE"""),"https://drive.google.com/open?id=1oRm_eBuhm5DSU6t03DXRUbsWXCDWuAxP")</f>
        <v>https://drive.google.com/open?id=1oRm_eBuhm5DSU6t03DXRUbsWXCDWuAxP</v>
      </c>
      <c r="J296" s="59"/>
      <c r="K296" s="59"/>
      <c r="L296" s="59"/>
      <c r="M296" s="59"/>
      <c r="N296" s="59"/>
      <c r="O296" s="59"/>
      <c r="P296" s="59"/>
    </row>
    <row r="297" spans="1:16">
      <c r="A297" s="71">
        <f ca="1">IFERROR(__xludf.DUMMYFUNCTION("""COMPUTED_VALUE"""),45264.4810598032)</f>
        <v>45264.481059803198</v>
      </c>
      <c r="B297" s="59" t="str">
        <f ca="1">IFERROR(__xludf.DUMMYFUNCTION("""COMPUTED_VALUE"""),"POOJAN PRAVINBHAI KALARIYA")</f>
        <v>POOJAN PRAVINBHAI KALARIYA</v>
      </c>
      <c r="C297" s="72" t="str">
        <f ca="1">IFERROR(__xludf.DUMMYFUNCTION("""COMPUTED_VALUE"""),"21SDSCE01025")</f>
        <v>21SDSCE01025</v>
      </c>
      <c r="D297" s="73">
        <f ca="1">IFERROR(__xludf.DUMMYFUNCTION("""COMPUTED_VALUE"""),45028)</f>
        <v>45028</v>
      </c>
      <c r="E297" s="74">
        <f ca="1">IFERROR(__xludf.DUMMYFUNCTION("""COMPUTED_VALUE"""),0)</f>
        <v>0</v>
      </c>
      <c r="F297" s="72">
        <f ca="1">IFERROR(__xludf.DUMMYFUNCTION("""COMPUTED_VALUE"""),1250)</f>
        <v>1250</v>
      </c>
      <c r="G297" s="75"/>
      <c r="H297" s="59" t="str">
        <f ca="1">IFERROR(__xludf.DUMMYFUNCTION("""COMPUTED_VALUE"""),"UPDATE")</f>
        <v>UPDATE</v>
      </c>
      <c r="I297" s="76" t="str">
        <f ca="1">IFERROR(__xludf.DUMMYFUNCTION("""COMPUTED_VALUE"""),"https://drive.google.com/open?id=13ciRRxECr92Cz00WXVa2fitULejwdA6M")</f>
        <v>https://drive.google.com/open?id=13ciRRxECr92Cz00WXVa2fitULejwdA6M</v>
      </c>
      <c r="J297" s="59"/>
      <c r="K297" s="59"/>
      <c r="L297" s="59"/>
      <c r="M297" s="59"/>
      <c r="N297" s="59"/>
      <c r="O297" s="59"/>
      <c r="P297" s="59"/>
    </row>
    <row r="298" spans="1:16">
      <c r="A298" s="71">
        <f ca="1">IFERROR(__xludf.DUMMYFUNCTION("""COMPUTED_VALUE"""),45264.4020604861)</f>
        <v>45264.4020604861</v>
      </c>
      <c r="B298" s="59" t="str">
        <f ca="1">IFERROR(__xludf.DUMMYFUNCTION("""COMPUTED_VALUE"""),"Jenish tank")</f>
        <v>Jenish tank</v>
      </c>
      <c r="C298" s="72" t="str">
        <f ca="1">IFERROR(__xludf.DUMMYFUNCTION("""COMPUTED_VALUE"""),"22SDSCV01024")</f>
        <v>22SDSCV01024</v>
      </c>
      <c r="D298" s="73">
        <f ca="1">IFERROR(__xludf.DUMMYFUNCTION("""COMPUTED_VALUE"""),45264)</f>
        <v>45264</v>
      </c>
      <c r="E298" s="74">
        <f ca="1">IFERROR(__xludf.DUMMYFUNCTION("""COMPUTED_VALUE"""),25000)</f>
        <v>25000</v>
      </c>
      <c r="F298" s="72">
        <f ca="1">IFERROR(__xludf.DUMMYFUNCTION("""COMPUTED_VALUE"""),3000)</f>
        <v>3000</v>
      </c>
      <c r="G298" s="75"/>
      <c r="H298" s="59" t="str">
        <f ca="1">IFERROR(__xludf.DUMMYFUNCTION("""COMPUTED_VALUE"""),"UPDATE")</f>
        <v>UPDATE</v>
      </c>
      <c r="I298" s="76" t="str">
        <f ca="1">IFERROR(__xludf.DUMMYFUNCTION("""COMPUTED_VALUE"""),"https://drive.google.com/open?id=1oXGkfHgFW3OuTQW0WgOZAvJsABZRwGbQ")</f>
        <v>https://drive.google.com/open?id=1oXGkfHgFW3OuTQW0WgOZAvJsABZRwGbQ</v>
      </c>
      <c r="J298" s="59"/>
      <c r="K298" s="59"/>
      <c r="L298" s="59"/>
      <c r="M298" s="59"/>
      <c r="N298" s="59"/>
      <c r="O298" s="59"/>
      <c r="P298" s="59"/>
    </row>
    <row r="299" spans="1:16">
      <c r="A299" s="71">
        <f ca="1">IFERROR(__xludf.DUMMYFUNCTION("""COMPUTED_VALUE"""),45262.8989372338)</f>
        <v>45262.898937233796</v>
      </c>
      <c r="B299" s="59" t="str">
        <f ca="1">IFERROR(__xludf.DUMMYFUNCTION("""COMPUTED_VALUE"""),"Mandhat Alnur")</f>
        <v>Mandhat Alnur</v>
      </c>
      <c r="C299" s="72" t="str">
        <f ca="1">IFERROR(__xludf.DUMMYFUNCTION("""COMPUTED_VALUE"""),"21SDSCE01036")</f>
        <v>21SDSCE01036</v>
      </c>
      <c r="D299" s="73">
        <f ca="1">IFERROR(__xludf.DUMMYFUNCTION("""COMPUTED_VALUE"""),45262)</f>
        <v>45262</v>
      </c>
      <c r="E299" s="72"/>
      <c r="F299" s="72"/>
      <c r="G299" s="75"/>
      <c r="H299" s="59" t="str">
        <f ca="1">IFERROR(__xludf.DUMMYFUNCTION("""COMPUTED_VALUE"""),"UPDATE")</f>
        <v>UPDATE</v>
      </c>
      <c r="I299" s="76" t="str">
        <f ca="1">IFERROR(__xludf.DUMMYFUNCTION("""COMPUTED_VALUE"""),"https://drive.google.com/open?id=1Dn-lzwRlBCZ8i8i2a3BIL2EIGbCVpScr")</f>
        <v>https://drive.google.com/open?id=1Dn-lzwRlBCZ8i8i2a3BIL2EIGbCVpScr</v>
      </c>
      <c r="J299" s="59"/>
      <c r="K299" s="59"/>
      <c r="L299" s="59"/>
      <c r="M299" s="59"/>
      <c r="N299" s="59"/>
      <c r="O299" s="59"/>
      <c r="P299" s="59"/>
    </row>
    <row r="300" spans="1:16">
      <c r="A300" s="71">
        <f ca="1">IFERROR(__xludf.DUMMYFUNCTION("""COMPUTED_VALUE"""),45262.6467354745)</f>
        <v>45262.646735474496</v>
      </c>
      <c r="B300" s="59" t="str">
        <f ca="1">IFERROR(__xludf.DUMMYFUNCTION("""COMPUTED_VALUE"""),"Dhruv gondaliya ")</f>
        <v xml:space="preserve">Dhruv gondaliya </v>
      </c>
      <c r="C300" s="72" t="str">
        <f ca="1">IFERROR(__xludf.DUMMYFUNCTION("""COMPUTED_VALUE"""),"22SDSEE01008")</f>
        <v>22SDSEE01008</v>
      </c>
      <c r="D300" s="73">
        <f ca="1">IFERROR(__xludf.DUMMYFUNCTION("""COMPUTED_VALUE"""),45259)</f>
        <v>45259</v>
      </c>
      <c r="E300" s="74">
        <f ca="1">IFERROR(__xludf.DUMMYFUNCTION("""COMPUTED_VALUE"""),25000)</f>
        <v>25000</v>
      </c>
      <c r="F300" s="72">
        <f ca="1">IFERROR(__xludf.DUMMYFUNCTION("""COMPUTED_VALUE"""),3000)</f>
        <v>3000</v>
      </c>
      <c r="G300" s="75"/>
      <c r="H300" s="59" t="str">
        <f ca="1">IFERROR(__xludf.DUMMYFUNCTION("""COMPUTED_VALUE"""),"UPDATE")</f>
        <v>UPDATE</v>
      </c>
      <c r="I300" s="76" t="str">
        <f ca="1">IFERROR(__xludf.DUMMYFUNCTION("""COMPUTED_VALUE"""),"https://drive.google.com/open?id=14U_7bZ0gHxVEE2znEyO95lnBdFpk9OHx")</f>
        <v>https://drive.google.com/open?id=14U_7bZ0gHxVEE2znEyO95lnBdFpk9OHx</v>
      </c>
      <c r="J300" s="59"/>
      <c r="K300" s="59"/>
      <c r="L300" s="59"/>
      <c r="M300" s="59"/>
      <c r="N300" s="59"/>
      <c r="O300" s="59"/>
      <c r="P300" s="59"/>
    </row>
    <row r="301" spans="1:16">
      <c r="A301" s="71">
        <f ca="1">IFERROR(__xludf.DUMMYFUNCTION("""COMPUTED_VALUE"""),45262.5502356018)</f>
        <v>45262.550235601797</v>
      </c>
      <c r="B301" s="59" t="str">
        <f ca="1">IFERROR(__xludf.DUMMYFUNCTION("""COMPUTED_VALUE"""),"Avinash kumar ")</f>
        <v xml:space="preserve">Avinash kumar </v>
      </c>
      <c r="C301" s="72" t="str">
        <f ca="1">IFERROR(__xludf.DUMMYFUNCTION("""COMPUTED_VALUE"""),"22SDSCE01248")</f>
        <v>22SDSCE01248</v>
      </c>
      <c r="D301" s="73">
        <f ca="1">IFERROR(__xludf.DUMMYFUNCTION("""COMPUTED_VALUE"""),45225)</f>
        <v>45225</v>
      </c>
      <c r="E301" s="74">
        <f ca="1">IFERROR(__xludf.DUMMYFUNCTION("""COMPUTED_VALUE"""),85000)</f>
        <v>85000</v>
      </c>
      <c r="F301" s="72"/>
      <c r="G301" s="75"/>
      <c r="H301" s="59" t="str">
        <f ca="1">IFERROR(__xludf.DUMMYFUNCTION("""COMPUTED_VALUE"""),"UPDATE")</f>
        <v>UPDATE</v>
      </c>
      <c r="I301" s="76" t="str">
        <f ca="1">IFERROR(__xludf.DUMMYFUNCTION("""COMPUTED_VALUE"""),"https://drive.google.com/open?id=1sdjflHff6QsDA71wr5UHz9C-QkNpupvW")</f>
        <v>https://drive.google.com/open?id=1sdjflHff6QsDA71wr5UHz9C-QkNpupvW</v>
      </c>
      <c r="J301" s="59"/>
      <c r="K301" s="59"/>
      <c r="L301" s="59"/>
      <c r="M301" s="59"/>
      <c r="N301" s="59"/>
      <c r="O301" s="59"/>
      <c r="P301" s="59"/>
    </row>
    <row r="302" spans="1:16">
      <c r="A302" s="71">
        <f ca="1">IFERROR(__xludf.DUMMYFUNCTION("""COMPUTED_VALUE"""),45262.5042316435)</f>
        <v>45262.504231643499</v>
      </c>
      <c r="B302" s="59" t="str">
        <f ca="1">IFERROR(__xludf.DUMMYFUNCTION("""COMPUTED_VALUE"""),"Aditya Dodia ")</f>
        <v xml:space="preserve">Aditya Dodia </v>
      </c>
      <c r="C302" s="72" t="str">
        <f ca="1">IFERROR(__xludf.DUMMYFUNCTION("""COMPUTED_VALUE"""),"22SDSCV01023")</f>
        <v>22SDSCV01023</v>
      </c>
      <c r="D302" s="73">
        <f ca="1">IFERROR(__xludf.DUMMYFUNCTION("""COMPUTED_VALUE"""),45224)</f>
        <v>45224</v>
      </c>
      <c r="E302" s="72"/>
      <c r="F302" s="72">
        <f ca="1">IFERROR(__xludf.DUMMYFUNCTION("""COMPUTED_VALUE"""),7000)</f>
        <v>7000</v>
      </c>
      <c r="G302" s="75"/>
      <c r="H302" s="59" t="str">
        <f ca="1">IFERROR(__xludf.DUMMYFUNCTION("""COMPUTED_VALUE"""),"UPDATE")</f>
        <v>UPDATE</v>
      </c>
      <c r="I302" s="76" t="str">
        <f ca="1">IFERROR(__xludf.DUMMYFUNCTION("""COMPUTED_VALUE"""),"https://drive.google.com/open?id=11-mbe7WA5FSYo5g3pUbC3ehl9sdb-GOs")</f>
        <v>https://drive.google.com/open?id=11-mbe7WA5FSYo5g3pUbC3ehl9sdb-GOs</v>
      </c>
      <c r="J302" s="59"/>
      <c r="K302" s="59"/>
      <c r="L302" s="59"/>
      <c r="M302" s="59"/>
      <c r="N302" s="59"/>
      <c r="O302" s="59"/>
      <c r="P302" s="59"/>
    </row>
    <row r="303" spans="1:16">
      <c r="A303" s="71">
        <f ca="1">IFERROR(__xludf.DUMMYFUNCTION("""COMPUTED_VALUE"""),45262.5024465277)</f>
        <v>45262.502446527702</v>
      </c>
      <c r="B303" s="59" t="str">
        <f ca="1">IFERROR(__xludf.DUMMYFUNCTION("""COMPUTED_VALUE"""),"Aditya Dodia")</f>
        <v>Aditya Dodia</v>
      </c>
      <c r="C303" s="72" t="str">
        <f ca="1">IFERROR(__xludf.DUMMYFUNCTION("""COMPUTED_VALUE"""),"22SDSCV01023")</f>
        <v>22SDSCV01023</v>
      </c>
      <c r="D303" s="73">
        <f ca="1">IFERROR(__xludf.DUMMYFUNCTION("""COMPUTED_VALUE"""),45221)</f>
        <v>45221</v>
      </c>
      <c r="E303" s="74">
        <f ca="1">IFERROR(__xludf.DUMMYFUNCTION("""COMPUTED_VALUE"""),3000)</f>
        <v>3000</v>
      </c>
      <c r="F303" s="72">
        <f ca="1">IFERROR(__xludf.DUMMYFUNCTION("""COMPUTED_VALUE"""),21000)</f>
        <v>21000</v>
      </c>
      <c r="G303" s="75"/>
      <c r="H303" s="59" t="str">
        <f ca="1">IFERROR(__xludf.DUMMYFUNCTION("""COMPUTED_VALUE"""),"UPDATE")</f>
        <v>UPDATE</v>
      </c>
      <c r="I303" s="76" t="str">
        <f ca="1">IFERROR(__xludf.DUMMYFUNCTION("""COMPUTED_VALUE"""),"https://drive.google.com/open?id=12ACHLjN_4V2UUHo8-ajlgBeWc2a7sVxY")</f>
        <v>https://drive.google.com/open?id=12ACHLjN_4V2UUHo8-ajlgBeWc2a7sVxY</v>
      </c>
      <c r="J303" s="59"/>
      <c r="K303" s="59"/>
      <c r="L303" s="59"/>
      <c r="M303" s="59"/>
      <c r="N303" s="59"/>
      <c r="O303" s="59"/>
      <c r="P303" s="59"/>
    </row>
    <row r="304" spans="1:16">
      <c r="A304" s="71">
        <f ca="1">IFERROR(__xludf.DUMMYFUNCTION("""COMPUTED_VALUE"""),45261.5217548495)</f>
        <v>45261.521754849498</v>
      </c>
      <c r="B304" s="59" t="str">
        <f ca="1">IFERROR(__xludf.DUMMYFUNCTION("""COMPUTED_VALUE"""),"Ramani Tejas Ashokbhai ")</f>
        <v xml:space="preserve">Ramani Tejas Ashokbhai </v>
      </c>
      <c r="C304" s="72" t="str">
        <f ca="1">IFERROR(__xludf.DUMMYFUNCTION("""COMPUTED_VALUE"""),"21SDSCE01143")</f>
        <v>21SDSCE01143</v>
      </c>
      <c r="D304" s="73">
        <f ca="1">IFERROR(__xludf.DUMMYFUNCTION("""COMPUTED_VALUE"""),45261)</f>
        <v>45261</v>
      </c>
      <c r="E304" s="74">
        <f ca="1">IFERROR(__xludf.DUMMYFUNCTION("""COMPUTED_VALUE"""),0)</f>
        <v>0</v>
      </c>
      <c r="F304" s="72">
        <f ca="1">IFERROR(__xludf.DUMMYFUNCTION("""COMPUTED_VALUE"""),2500)</f>
        <v>2500</v>
      </c>
      <c r="G304" s="75"/>
      <c r="H304" s="59" t="str">
        <f ca="1">IFERROR(__xludf.DUMMYFUNCTION("""COMPUTED_VALUE"""),"UPDATE")</f>
        <v>UPDATE</v>
      </c>
      <c r="I304" s="76" t="str">
        <f ca="1">IFERROR(__xludf.DUMMYFUNCTION("""COMPUTED_VALUE"""),"https://drive.google.com/open?id=1GYg8Q-8qTc2yoV-N1PzAfQKVJ7NKGrRR")</f>
        <v>https://drive.google.com/open?id=1GYg8Q-8qTc2yoV-N1PzAfQKVJ7NKGrRR</v>
      </c>
      <c r="J304" s="59"/>
      <c r="K304" s="59"/>
      <c r="L304" s="59"/>
      <c r="M304" s="59"/>
      <c r="N304" s="59"/>
      <c r="O304" s="59"/>
      <c r="P304" s="59"/>
    </row>
    <row r="305" spans="1:16">
      <c r="A305" s="71">
        <f ca="1">IFERROR(__xludf.DUMMYFUNCTION("""COMPUTED_VALUE"""),45261.4742009837)</f>
        <v>45261.474200983699</v>
      </c>
      <c r="B305" s="59" t="str">
        <f ca="1">IFERROR(__xludf.DUMMYFUNCTION("""COMPUTED_VALUE"""),"Chothani Ayush Ashvinbhai")</f>
        <v>Chothani Ayush Ashvinbhai</v>
      </c>
      <c r="C305" s="72" t="str">
        <f ca="1">IFERROR(__xludf.DUMMYFUNCTION("""COMPUTED_VALUE"""),"23SDSCE01127")</f>
        <v>23SDSCE01127</v>
      </c>
      <c r="D305" s="73">
        <f ca="1">IFERROR(__xludf.DUMMYFUNCTION("""COMPUTED_VALUE"""),45258)</f>
        <v>45258</v>
      </c>
      <c r="E305" s="74">
        <f ca="1">IFERROR(__xludf.DUMMYFUNCTION("""COMPUTED_VALUE"""),27500)</f>
        <v>27500</v>
      </c>
      <c r="F305" s="72">
        <f ca="1">IFERROR(__xludf.DUMMYFUNCTION("""COMPUTED_VALUE"""),13500)</f>
        <v>13500</v>
      </c>
      <c r="G305" s="75"/>
      <c r="H305" s="59" t="str">
        <f ca="1">IFERROR(__xludf.DUMMYFUNCTION("""COMPUTED_VALUE"""),"UPDATE")</f>
        <v>UPDATE</v>
      </c>
      <c r="I305" s="76" t="str">
        <f ca="1">IFERROR(__xludf.DUMMYFUNCTION("""COMPUTED_VALUE"""),"https://drive.google.com/open?id=1tptz649Wvd1DznuWxIwi05xKe7L68egs")</f>
        <v>https://drive.google.com/open?id=1tptz649Wvd1DznuWxIwi05xKe7L68egs</v>
      </c>
      <c r="J305" s="59"/>
      <c r="K305" s="59"/>
      <c r="L305" s="59"/>
      <c r="M305" s="59"/>
      <c r="N305" s="59"/>
      <c r="O305" s="59"/>
      <c r="P305" s="59"/>
    </row>
    <row r="306" spans="1:16">
      <c r="A306" s="71">
        <f ca="1">IFERROR(__xludf.DUMMYFUNCTION("""COMPUTED_VALUE"""),45260.4734423495)</f>
        <v>45260.473442349503</v>
      </c>
      <c r="B306" s="59" t="str">
        <f ca="1">IFERROR(__xludf.DUMMYFUNCTION("""COMPUTED_VALUE"""),"Uttam Kumar Singh")</f>
        <v>Uttam Kumar Singh</v>
      </c>
      <c r="C306" s="72" t="str">
        <f ca="1">IFERROR(__xludf.DUMMYFUNCTION("""COMPUTED_VALUE"""),"22SDSCE01242")</f>
        <v>22SDSCE01242</v>
      </c>
      <c r="D306" s="73">
        <f ca="1">IFERROR(__xludf.DUMMYFUNCTION("""COMPUTED_VALUE"""),45252)</f>
        <v>45252</v>
      </c>
      <c r="E306" s="74">
        <f ca="1">IFERROR(__xludf.DUMMYFUNCTION("""COMPUTED_VALUE"""),85000)</f>
        <v>85000</v>
      </c>
      <c r="F306" s="72"/>
      <c r="G306" s="75"/>
      <c r="H306" s="59" t="str">
        <f ca="1">IFERROR(__xludf.DUMMYFUNCTION("""COMPUTED_VALUE"""),"UPDATE")</f>
        <v>UPDATE</v>
      </c>
      <c r="I306" s="76" t="str">
        <f ca="1">IFERROR(__xludf.DUMMYFUNCTION("""COMPUTED_VALUE"""),"https://drive.google.com/open?id=1Ssp1i50mSMmiDMF-A3LoOKkZXrq5ugs2")</f>
        <v>https://drive.google.com/open?id=1Ssp1i50mSMmiDMF-A3LoOKkZXrq5ugs2</v>
      </c>
      <c r="J306" s="59"/>
      <c r="K306" s="59"/>
      <c r="L306" s="59"/>
      <c r="M306" s="59"/>
      <c r="N306" s="59"/>
      <c r="O306" s="59"/>
      <c r="P306" s="59"/>
    </row>
    <row r="307" spans="1:16">
      <c r="A307" s="71">
        <f ca="1">IFERROR(__xludf.DUMMYFUNCTION("""COMPUTED_VALUE"""),45260.454829537)</f>
        <v>45260.454829536997</v>
      </c>
      <c r="B307" s="59" t="str">
        <f ca="1">IFERROR(__xludf.DUMMYFUNCTION("""COMPUTED_VALUE"""),"Monil DineshBhai Bhuva")</f>
        <v>Monil DineshBhai Bhuva</v>
      </c>
      <c r="C307" s="72" t="str">
        <f ca="1">IFERROR(__xludf.DUMMYFUNCTION("""COMPUTED_VALUE"""),"21SDSCE01059")</f>
        <v>21SDSCE01059</v>
      </c>
      <c r="D307" s="73">
        <f ca="1">IFERROR(__xludf.DUMMYFUNCTION("""COMPUTED_VALUE"""),45260)</f>
        <v>45260</v>
      </c>
      <c r="E307" s="74">
        <f ca="1">IFERROR(__xludf.DUMMYFUNCTION("""COMPUTED_VALUE"""),0)</f>
        <v>0</v>
      </c>
      <c r="F307" s="72">
        <f ca="1">IFERROR(__xludf.DUMMYFUNCTION("""COMPUTED_VALUE"""),3750)</f>
        <v>3750</v>
      </c>
      <c r="G307" s="75"/>
      <c r="H307" s="59" t="str">
        <f ca="1">IFERROR(__xludf.DUMMYFUNCTION("""COMPUTED_VALUE"""),"UPDATE")</f>
        <v>UPDATE</v>
      </c>
      <c r="I307" s="76" t="str">
        <f ca="1">IFERROR(__xludf.DUMMYFUNCTION("""COMPUTED_VALUE"""),"https://drive.google.com/open?id=1GfonU7M4_Rd0Hp2mvnHNJVuIoIsGikiO")</f>
        <v>https://drive.google.com/open?id=1GfonU7M4_Rd0Hp2mvnHNJVuIoIsGikiO</v>
      </c>
      <c r="J307" s="59"/>
      <c r="K307" s="59"/>
      <c r="L307" s="59"/>
      <c r="M307" s="59"/>
      <c r="N307" s="59"/>
      <c r="O307" s="59"/>
      <c r="P307" s="59"/>
    </row>
    <row r="308" spans="1:16">
      <c r="A308" s="71">
        <f ca="1">IFERROR(__xludf.DUMMYFUNCTION("""COMPUTED_VALUE"""),45260.4493125347)</f>
        <v>45260.4493125347</v>
      </c>
      <c r="B308" s="59" t="str">
        <f ca="1">IFERROR(__xludf.DUMMYFUNCTION("""COMPUTED_VALUE"""),"Nitish Kumar")</f>
        <v>Nitish Kumar</v>
      </c>
      <c r="C308" s="72" t="str">
        <f ca="1">IFERROR(__xludf.DUMMYFUNCTION("""COMPUTED_VALUE"""),"22SDSEE01038")</f>
        <v>22SDSEE01038</v>
      </c>
      <c r="D308" s="73">
        <f ca="1">IFERROR(__xludf.DUMMYFUNCTION("""COMPUTED_VALUE"""),45236)</f>
        <v>45236</v>
      </c>
      <c r="E308" s="72"/>
      <c r="F308" s="72"/>
      <c r="G308" s="75"/>
      <c r="H308" s="59" t="str">
        <f ca="1">IFERROR(__xludf.DUMMYFUNCTION("""COMPUTED_VALUE"""),"UPDATE")</f>
        <v>UPDATE</v>
      </c>
      <c r="I308" s="76" t="str">
        <f ca="1">IFERROR(__xludf.DUMMYFUNCTION("""COMPUTED_VALUE"""),"https://drive.google.com/open?id=1C6E8Wj-SiOHGxI8alRWsv4sW_XY8JaNn")</f>
        <v>https://drive.google.com/open?id=1C6E8Wj-SiOHGxI8alRWsv4sW_XY8JaNn</v>
      </c>
      <c r="J308" s="59"/>
      <c r="K308" s="59"/>
      <c r="L308" s="59"/>
      <c r="M308" s="59"/>
      <c r="N308" s="59"/>
      <c r="O308" s="59"/>
      <c r="P308" s="59"/>
    </row>
    <row r="309" spans="1:16">
      <c r="A309" s="71">
        <f ca="1">IFERROR(__xludf.DUMMYFUNCTION("""COMPUTED_VALUE"""),45260.4395669791)</f>
        <v>45260.439566979097</v>
      </c>
      <c r="B309" s="59" t="str">
        <f ca="1">IFERROR(__xludf.DUMMYFUNCTION("""COMPUTED_VALUE"""),"Shreyansh Harshadbhai Ranpariya ")</f>
        <v xml:space="preserve">Shreyansh Harshadbhai Ranpariya </v>
      </c>
      <c r="C309" s="72" t="str">
        <f ca="1">IFERROR(__xludf.DUMMYFUNCTION("""COMPUTED_VALUE"""),"21SDSCE01098")</f>
        <v>21SDSCE01098</v>
      </c>
      <c r="D309" s="73">
        <f ca="1">IFERROR(__xludf.DUMMYFUNCTION("""COMPUTED_VALUE"""),45260)</f>
        <v>45260</v>
      </c>
      <c r="E309" s="74">
        <f ca="1">IFERROR(__xludf.DUMMYFUNCTION("""COMPUTED_VALUE"""),0)</f>
        <v>0</v>
      </c>
      <c r="F309" s="72">
        <f ca="1">IFERROR(__xludf.DUMMYFUNCTION("""COMPUTED_VALUE"""),3750)</f>
        <v>3750</v>
      </c>
      <c r="G309" s="75"/>
      <c r="H309" s="59" t="str">
        <f ca="1">IFERROR(__xludf.DUMMYFUNCTION("""COMPUTED_VALUE"""),"UPDATE")</f>
        <v>UPDATE</v>
      </c>
      <c r="I309" s="76" t="str">
        <f ca="1">IFERROR(__xludf.DUMMYFUNCTION("""COMPUTED_VALUE"""),"https://drive.google.com/open?id=1BHpZ1TQsMeaLRTyxjffD7PuEiSUuwO_D")</f>
        <v>https://drive.google.com/open?id=1BHpZ1TQsMeaLRTyxjffD7PuEiSUuwO_D</v>
      </c>
      <c r="J309" s="59"/>
      <c r="K309" s="59"/>
      <c r="L309" s="59"/>
      <c r="M309" s="59"/>
      <c r="N309" s="59"/>
      <c r="O309" s="59"/>
      <c r="P309" s="59"/>
    </row>
    <row r="310" spans="1:16">
      <c r="A310" s="71">
        <f ca="1">IFERROR(__xludf.DUMMYFUNCTION("""COMPUTED_VALUE"""),45259.5955951388)</f>
        <v>45259.595595138802</v>
      </c>
      <c r="B310" s="59" t="str">
        <f ca="1">IFERROR(__xludf.DUMMYFUNCTION("""COMPUTED_VALUE"""),"Borad Khush Atulbhai ")</f>
        <v xml:space="preserve">Borad Khush Atulbhai </v>
      </c>
      <c r="C310" s="72" t="str">
        <f ca="1">IFERROR(__xludf.DUMMYFUNCTION("""COMPUTED_VALUE"""),"22SDSCE01022 ")</f>
        <v xml:space="preserve">22SDSCE01022 </v>
      </c>
      <c r="D310" s="73">
        <f ca="1">IFERROR(__xludf.DUMMYFUNCTION("""COMPUTED_VALUE"""),45259)</f>
        <v>45259</v>
      </c>
      <c r="E310" s="74">
        <f ca="1">IFERROR(__xludf.DUMMYFUNCTION("""COMPUTED_VALUE"""),0)</f>
        <v>0</v>
      </c>
      <c r="F310" s="72">
        <f ca="1">IFERROR(__xludf.DUMMYFUNCTION("""COMPUTED_VALUE"""),0)</f>
        <v>0</v>
      </c>
      <c r="G310" s="75"/>
      <c r="H310" s="59" t="str">
        <f ca="1">IFERROR(__xludf.DUMMYFUNCTION("""COMPUTED_VALUE"""),"UPDATE")</f>
        <v>UPDATE</v>
      </c>
      <c r="I310" s="76" t="str">
        <f ca="1">IFERROR(__xludf.DUMMYFUNCTION("""COMPUTED_VALUE"""),"https://drive.google.com/open?id=1koVyrfHyrPoiz8lXtYbKYPO699Cb3S5Z")</f>
        <v>https://drive.google.com/open?id=1koVyrfHyrPoiz8lXtYbKYPO699Cb3S5Z</v>
      </c>
      <c r="J310" s="59"/>
      <c r="K310" s="59"/>
      <c r="L310" s="59"/>
      <c r="M310" s="59"/>
      <c r="N310" s="59"/>
      <c r="O310" s="59"/>
      <c r="P310" s="59"/>
    </row>
    <row r="311" spans="1:16">
      <c r="A311" s="71">
        <f ca="1">IFERROR(__xludf.DUMMYFUNCTION("""COMPUTED_VALUE"""),45259.4127499074)</f>
        <v>45259.412749907402</v>
      </c>
      <c r="B311" s="59" t="str">
        <f ca="1">IFERROR(__xludf.DUMMYFUNCTION("""COMPUTED_VALUE"""),"Rakesh Kumar ")</f>
        <v xml:space="preserve">Rakesh Kumar </v>
      </c>
      <c r="C311" s="72" t="str">
        <f ca="1">IFERROR(__xludf.DUMMYFUNCTION("""COMPUTED_VALUE"""),"22SDSEE01042")</f>
        <v>22SDSEE01042</v>
      </c>
      <c r="D311" s="73">
        <f ca="1">IFERROR(__xludf.DUMMYFUNCTION("""COMPUTED_VALUE"""),45218)</f>
        <v>45218</v>
      </c>
      <c r="E311" s="74">
        <f ca="1">IFERROR(__xludf.DUMMYFUNCTION("""COMPUTED_VALUE"""),85000)</f>
        <v>85000</v>
      </c>
      <c r="F311" s="72"/>
      <c r="G311" s="75"/>
      <c r="H311" s="59" t="str">
        <f ca="1">IFERROR(__xludf.DUMMYFUNCTION("""COMPUTED_VALUE"""),"UPDATE")</f>
        <v>UPDATE</v>
      </c>
      <c r="I311" s="76" t="str">
        <f ca="1">IFERROR(__xludf.DUMMYFUNCTION("""COMPUTED_VALUE"""),"https://drive.google.com/open?id=1v5R89Wsj8241scZ5c4AU6cWdLZKmI5Tb")</f>
        <v>https://drive.google.com/open?id=1v5R89Wsj8241scZ5c4AU6cWdLZKmI5Tb</v>
      </c>
      <c r="J311" s="59"/>
      <c r="K311" s="59"/>
      <c r="L311" s="59"/>
      <c r="M311" s="59"/>
      <c r="N311" s="59"/>
      <c r="O311" s="59"/>
      <c r="P311" s="59"/>
    </row>
    <row r="312" spans="1:16">
      <c r="A312" s="71">
        <f ca="1">IFERROR(__xludf.DUMMYFUNCTION("""COMPUTED_VALUE"""),45259.4115991782)</f>
        <v>45259.411599178202</v>
      </c>
      <c r="B312" s="59" t="str">
        <f ca="1">IFERROR(__xludf.DUMMYFUNCTION("""COMPUTED_VALUE"""),"Akash Kumar ")</f>
        <v xml:space="preserve">Akash Kumar </v>
      </c>
      <c r="C312" s="72" t="str">
        <f ca="1">IFERROR(__xludf.DUMMYFUNCTION("""COMPUTED_VALUE"""),"22SDSCV01028")</f>
        <v>22SDSCV01028</v>
      </c>
      <c r="D312" s="73">
        <f ca="1">IFERROR(__xludf.DUMMYFUNCTION("""COMPUTED_VALUE"""),45218)</f>
        <v>45218</v>
      </c>
      <c r="E312" s="74">
        <f ca="1">IFERROR(__xludf.DUMMYFUNCTION("""COMPUTED_VALUE"""),85000)</f>
        <v>85000</v>
      </c>
      <c r="F312" s="72">
        <f ca="1">IFERROR(__xludf.DUMMYFUNCTION("""COMPUTED_VALUE"""),0)</f>
        <v>0</v>
      </c>
      <c r="G312" s="75"/>
      <c r="H312" s="59" t="str">
        <f ca="1">IFERROR(__xludf.DUMMYFUNCTION("""COMPUTED_VALUE"""),"UPDATE")</f>
        <v>UPDATE</v>
      </c>
      <c r="I312" s="76" t="str">
        <f ca="1">IFERROR(__xludf.DUMMYFUNCTION("""COMPUTED_VALUE"""),"https://drive.google.com/open?id=1DU3Hrh_qTvvYEiKXAV8H6921InbfZRAu")</f>
        <v>https://drive.google.com/open?id=1DU3Hrh_qTvvYEiKXAV8H6921InbfZRAu</v>
      </c>
      <c r="J312" s="59"/>
      <c r="K312" s="59"/>
      <c r="L312" s="59"/>
      <c r="M312" s="59"/>
      <c r="N312" s="59"/>
      <c r="O312" s="59"/>
      <c r="P312" s="59"/>
    </row>
    <row r="313" spans="1:16">
      <c r="A313" s="71">
        <f ca="1">IFERROR(__xludf.DUMMYFUNCTION("""COMPUTED_VALUE"""),45258.6697738078)</f>
        <v>45258.6697738078</v>
      </c>
      <c r="B313" s="59" t="str">
        <f ca="1">IFERROR(__xludf.DUMMYFUNCTION("""COMPUTED_VALUE"""),"Padaliya dhruv dharmendrabhai")</f>
        <v>Padaliya dhruv dharmendrabhai</v>
      </c>
      <c r="C313" s="72" t="str">
        <f ca="1">IFERROR(__xludf.DUMMYFUNCTION("""COMPUTED_VALUE"""),"23SDSME01017")</f>
        <v>23SDSME01017</v>
      </c>
      <c r="D313" s="73">
        <f ca="1">IFERROR(__xludf.DUMMYFUNCTION("""COMPUTED_VALUE"""),45258)</f>
        <v>45258</v>
      </c>
      <c r="E313" s="74">
        <f ca="1">IFERROR(__xludf.DUMMYFUNCTION("""COMPUTED_VALUE"""),0)</f>
        <v>0</v>
      </c>
      <c r="F313" s="72">
        <f ca="1">IFERROR(__xludf.DUMMYFUNCTION("""COMPUTED_VALUE"""),15000)</f>
        <v>15000</v>
      </c>
      <c r="G313" s="75"/>
      <c r="H313" s="59" t="str">
        <f ca="1">IFERROR(__xludf.DUMMYFUNCTION("""COMPUTED_VALUE"""),"UPDATE")</f>
        <v>UPDATE</v>
      </c>
      <c r="I313" s="76" t="str">
        <f ca="1">IFERROR(__xludf.DUMMYFUNCTION("""COMPUTED_VALUE"""),"https://drive.google.com/open?id=1-r74F6NrNNQDU5zNMJiefMfdYE1lW5PI")</f>
        <v>https://drive.google.com/open?id=1-r74F6NrNNQDU5zNMJiefMfdYE1lW5PI</v>
      </c>
      <c r="J313" s="59"/>
      <c r="K313" s="59"/>
      <c r="L313" s="59"/>
      <c r="M313" s="59"/>
      <c r="N313" s="59"/>
      <c r="O313" s="59"/>
      <c r="P313" s="59"/>
    </row>
    <row r="314" spans="1:16">
      <c r="A314" s="71">
        <f ca="1">IFERROR(__xludf.DUMMYFUNCTION("""COMPUTED_VALUE"""),45258.527868912)</f>
        <v>45258.527868912002</v>
      </c>
      <c r="B314" s="59" t="str">
        <f ca="1">IFERROR(__xludf.DUMMYFUNCTION("""COMPUTED_VALUE"""),"Dayatar mahmad ahad faruk bhai ")</f>
        <v xml:space="preserve">Dayatar mahmad ahad faruk bhai </v>
      </c>
      <c r="C314" s="72" t="str">
        <f ca="1">IFERROR(__xludf.DUMMYFUNCTION("""COMPUTED_VALUE"""),"23SDSCE01129")</f>
        <v>23SDSCE01129</v>
      </c>
      <c r="D314" s="73">
        <f ca="1">IFERROR(__xludf.DUMMYFUNCTION("""COMPUTED_VALUE"""),45257)</f>
        <v>45257</v>
      </c>
      <c r="E314" s="74">
        <f ca="1">IFERROR(__xludf.DUMMYFUNCTION("""COMPUTED_VALUE"""),27500)</f>
        <v>27500</v>
      </c>
      <c r="F314" s="72">
        <f ca="1">IFERROR(__xludf.DUMMYFUNCTION("""COMPUTED_VALUE"""),0)</f>
        <v>0</v>
      </c>
      <c r="G314" s="75"/>
      <c r="H314" s="59" t="str">
        <f ca="1">IFERROR(__xludf.DUMMYFUNCTION("""COMPUTED_VALUE"""),"UPDATE")</f>
        <v>UPDATE</v>
      </c>
      <c r="I314" s="76" t="str">
        <f ca="1">IFERROR(__xludf.DUMMYFUNCTION("""COMPUTED_VALUE"""),"https://drive.google.com/open?id=1ED3WvsRnt-Wr74eQlANrU6_smT-XkfCs")</f>
        <v>https://drive.google.com/open?id=1ED3WvsRnt-Wr74eQlANrU6_smT-XkfCs</v>
      </c>
      <c r="J314" s="59"/>
      <c r="K314" s="59"/>
      <c r="L314" s="59"/>
      <c r="M314" s="59"/>
      <c r="N314" s="59"/>
      <c r="O314" s="59"/>
      <c r="P314" s="59"/>
    </row>
    <row r="315" spans="1:16">
      <c r="A315" s="71">
        <f ca="1">IFERROR(__xludf.DUMMYFUNCTION("""COMPUTED_VALUE"""),45258.5256497106)</f>
        <v>45258.525649710602</v>
      </c>
      <c r="B315" s="59" t="str">
        <f ca="1">IFERROR(__xludf.DUMMYFUNCTION("""COMPUTED_VALUE"""),"Dayatar mahmad ahad faruk bhai")</f>
        <v>Dayatar mahmad ahad faruk bhai</v>
      </c>
      <c r="C315" s="72" t="str">
        <f ca="1">IFERROR(__xludf.DUMMYFUNCTION("""COMPUTED_VALUE"""),"23SDSCE01129")</f>
        <v>23SDSCE01129</v>
      </c>
      <c r="D315" s="73">
        <f ca="1">IFERROR(__xludf.DUMMYFUNCTION("""COMPUTED_VALUE"""),45257)</f>
        <v>45257</v>
      </c>
      <c r="E315" s="74">
        <f ca="1">IFERROR(__xludf.DUMMYFUNCTION("""COMPUTED_VALUE"""),27500)</f>
        <v>27500</v>
      </c>
      <c r="F315" s="72">
        <f ca="1">IFERROR(__xludf.DUMMYFUNCTION("""COMPUTED_VALUE"""),0)</f>
        <v>0</v>
      </c>
      <c r="G315" s="75"/>
      <c r="H315" s="59" t="str">
        <f ca="1">IFERROR(__xludf.DUMMYFUNCTION("""COMPUTED_VALUE"""),"WRONG SNAPSHOT")</f>
        <v>WRONG SNAPSHOT</v>
      </c>
      <c r="I315" s="76" t="str">
        <f ca="1">IFERROR(__xludf.DUMMYFUNCTION("""COMPUTED_VALUE"""),"https://drive.google.com/open?id=17pjD9ndHreLetq8yH7BrxGkc8D2cpoEo")</f>
        <v>https://drive.google.com/open?id=17pjD9ndHreLetq8yH7BrxGkc8D2cpoEo</v>
      </c>
      <c r="J315" s="59"/>
      <c r="K315" s="59"/>
      <c r="L315" s="59"/>
      <c r="M315" s="59"/>
      <c r="N315" s="59"/>
      <c r="O315" s="59"/>
      <c r="P315" s="59"/>
    </row>
    <row r="316" spans="1:16">
      <c r="A316" s="71">
        <f ca="1">IFERROR(__xludf.DUMMYFUNCTION("""COMPUTED_VALUE"""),45258.514948125)</f>
        <v>45258.514948124997</v>
      </c>
      <c r="B316" s="59" t="str">
        <f ca="1">IFERROR(__xludf.DUMMYFUNCTION("""COMPUTED_VALUE"""),"Ghoniya ansh sanjaybhai ")</f>
        <v xml:space="preserve">Ghoniya ansh sanjaybhai </v>
      </c>
      <c r="C316" s="72" t="str">
        <f ca="1">IFERROR(__xludf.DUMMYFUNCTION("""COMPUTED_VALUE"""),"23SDSCV01003")</f>
        <v>23SDSCV01003</v>
      </c>
      <c r="D316" s="73">
        <f ca="1">IFERROR(__xludf.DUMMYFUNCTION("""COMPUTED_VALUE"""),45258)</f>
        <v>45258</v>
      </c>
      <c r="E316" s="74">
        <f ca="1">IFERROR(__xludf.DUMMYFUNCTION("""COMPUTED_VALUE"""),27500)</f>
        <v>27500</v>
      </c>
      <c r="F316" s="72"/>
      <c r="G316" s="75"/>
      <c r="H316" s="59" t="str">
        <f ca="1">IFERROR(__xludf.DUMMYFUNCTION("""COMPUTED_VALUE"""),"WRONG SNAPSHOT")</f>
        <v>WRONG SNAPSHOT</v>
      </c>
      <c r="I316" s="76" t="str">
        <f ca="1">IFERROR(__xludf.DUMMYFUNCTION("""COMPUTED_VALUE"""),"https://drive.google.com/open?id=1xZM-HVywSl14jBMxSeL88JCHeRYOrc7I")</f>
        <v>https://drive.google.com/open?id=1xZM-HVywSl14jBMxSeL88JCHeRYOrc7I</v>
      </c>
      <c r="J316" s="59"/>
      <c r="K316" s="59"/>
      <c r="L316" s="59"/>
      <c r="M316" s="59"/>
      <c r="N316" s="59"/>
      <c r="O316" s="59"/>
      <c r="P316" s="59"/>
    </row>
    <row r="317" spans="1:16">
      <c r="A317" s="71">
        <f ca="1">IFERROR(__xludf.DUMMYFUNCTION("""COMPUTED_VALUE"""),45257.5098734722)</f>
        <v>45257.509873472198</v>
      </c>
      <c r="B317" s="59" t="str">
        <f ca="1">IFERROR(__xludf.DUMMYFUNCTION("""COMPUTED_VALUE"""),"Prachi Thanki ")</f>
        <v xml:space="preserve">Prachi Thanki </v>
      </c>
      <c r="C317" s="72" t="str">
        <f ca="1">IFERROR(__xludf.DUMMYFUNCTION("""COMPUTED_VALUE"""),"23SDSCE01171")</f>
        <v>23SDSCE01171</v>
      </c>
      <c r="D317" s="73">
        <f ca="1">IFERROR(__xludf.DUMMYFUNCTION("""COMPUTED_VALUE"""),45255)</f>
        <v>45255</v>
      </c>
      <c r="E317" s="74">
        <f ca="1">IFERROR(__xludf.DUMMYFUNCTION("""COMPUTED_VALUE"""),21250)</f>
        <v>21250</v>
      </c>
      <c r="F317" s="72">
        <f ca="1">IFERROR(__xludf.DUMMYFUNCTION("""COMPUTED_VALUE"""),0)</f>
        <v>0</v>
      </c>
      <c r="G317" s="75"/>
      <c r="H317" s="59" t="str">
        <f ca="1">IFERROR(__xludf.DUMMYFUNCTION("""COMPUTED_VALUE"""),"UPDATE")</f>
        <v>UPDATE</v>
      </c>
      <c r="I317" s="76" t="str">
        <f ca="1">IFERROR(__xludf.DUMMYFUNCTION("""COMPUTED_VALUE"""),"https://drive.google.com/open?id=1zpiR2r2ipKOWypwJ0yvlbsnK6aIosPGi")</f>
        <v>https://drive.google.com/open?id=1zpiR2r2ipKOWypwJ0yvlbsnK6aIosPGi</v>
      </c>
      <c r="J317" s="59"/>
      <c r="K317" s="59"/>
      <c r="L317" s="59"/>
      <c r="M317" s="59"/>
      <c r="N317" s="59"/>
      <c r="O317" s="59"/>
      <c r="P317" s="59"/>
    </row>
    <row r="318" spans="1:16">
      <c r="A318" s="71">
        <f ca="1">IFERROR(__xludf.DUMMYFUNCTION("""COMPUTED_VALUE"""),45255.607110324)</f>
        <v>45255.607110324003</v>
      </c>
      <c r="B318" s="59" t="str">
        <f ca="1">IFERROR(__xludf.DUMMYFUNCTION("""COMPUTED_VALUE"""),"Bal Ram Barai ")</f>
        <v xml:space="preserve">Bal Ram Barai </v>
      </c>
      <c r="C318" s="72" t="str">
        <f ca="1">IFERROR(__xludf.DUMMYFUNCTION("""COMPUTED_VALUE"""),"22SDSCE01601")</f>
        <v>22SDSCE01601</v>
      </c>
      <c r="D318" s="73">
        <f ca="1">IFERROR(__xludf.DUMMYFUNCTION("""COMPUTED_VALUE"""),45255)</f>
        <v>45255</v>
      </c>
      <c r="E318" s="72"/>
      <c r="F318" s="72"/>
      <c r="G318" s="75"/>
      <c r="H318" s="59" t="str">
        <f ca="1">IFERROR(__xludf.DUMMYFUNCTION("""COMPUTED_VALUE"""),"UPDATE")</f>
        <v>UPDATE</v>
      </c>
      <c r="I318" s="76" t="str">
        <f ca="1">IFERROR(__xludf.DUMMYFUNCTION("""COMPUTED_VALUE"""),"https://drive.google.com/open?id=187DQ-AGboo8RWqbu0ftLAZtNhYMLViOJ")</f>
        <v>https://drive.google.com/open?id=187DQ-AGboo8RWqbu0ftLAZtNhYMLViOJ</v>
      </c>
      <c r="J318" s="59"/>
      <c r="K318" s="59"/>
      <c r="L318" s="59"/>
      <c r="M318" s="59"/>
      <c r="N318" s="59"/>
      <c r="O318" s="59"/>
      <c r="P318" s="59"/>
    </row>
    <row r="319" spans="1:16">
      <c r="A319" s="71">
        <f ca="1">IFERROR(__xludf.DUMMYFUNCTION("""COMPUTED_VALUE"""),45255.5028651041)</f>
        <v>45255.502865104099</v>
      </c>
      <c r="B319" s="59" t="str">
        <f ca="1">IFERROR(__xludf.DUMMYFUNCTION("""COMPUTED_VALUE"""),"Prachi Thanki")</f>
        <v>Prachi Thanki</v>
      </c>
      <c r="C319" s="72" t="str">
        <f ca="1">IFERROR(__xludf.DUMMYFUNCTION("""COMPUTED_VALUE"""),"23SDSCE01171")</f>
        <v>23SDSCE01171</v>
      </c>
      <c r="D319" s="73">
        <f ca="1">IFERROR(__xludf.DUMMYFUNCTION("""COMPUTED_VALUE"""),45255)</f>
        <v>45255</v>
      </c>
      <c r="E319" s="74">
        <f ca="1">IFERROR(__xludf.DUMMYFUNCTION("""COMPUTED_VALUE"""),21250)</f>
        <v>21250</v>
      </c>
      <c r="F319" s="72"/>
      <c r="G319" s="75"/>
      <c r="H319" s="59" t="str">
        <f ca="1">IFERROR(__xludf.DUMMYFUNCTION("""COMPUTED_VALUE"""),"UPDATE")</f>
        <v>UPDATE</v>
      </c>
      <c r="I319" s="76" t="str">
        <f ca="1">IFERROR(__xludf.DUMMYFUNCTION("""COMPUTED_VALUE"""),"https://drive.google.com/open?id=1Ny_QAIWPlChD2kwFAF5fgctomM0DziQI")</f>
        <v>https://drive.google.com/open?id=1Ny_QAIWPlChD2kwFAF5fgctomM0DziQI</v>
      </c>
      <c r="J319" s="59"/>
      <c r="K319" s="59"/>
      <c r="L319" s="59"/>
      <c r="M319" s="59"/>
      <c r="N319" s="59"/>
      <c r="O319" s="59"/>
      <c r="P319" s="59"/>
    </row>
    <row r="320" spans="1:16">
      <c r="A320" s="71">
        <f ca="1">IFERROR(__xludf.DUMMYFUNCTION("""COMPUTED_VALUE"""),45255.4900719791)</f>
        <v>45255.490071979097</v>
      </c>
      <c r="B320" s="59" t="str">
        <f ca="1">IFERROR(__xludf.DUMMYFUNCTION("""COMPUTED_VALUE"""),"Dipesh pd Patel ")</f>
        <v xml:space="preserve">Dipesh pd Patel </v>
      </c>
      <c r="C320" s="72" t="str">
        <f ca="1">IFERROR(__xludf.DUMMYFUNCTION("""COMPUTED_VALUE"""),"22SDSCV01607")</f>
        <v>22SDSCV01607</v>
      </c>
      <c r="D320" s="73">
        <f ca="1">IFERROR(__xludf.DUMMYFUNCTION("""COMPUTED_VALUE"""),45236)</f>
        <v>45236</v>
      </c>
      <c r="E320" s="72"/>
      <c r="F320" s="72"/>
      <c r="G320" s="75"/>
      <c r="H320" s="59" t="str">
        <f ca="1">IFERROR(__xludf.DUMMYFUNCTION("""COMPUTED_VALUE"""),"UPDATE")</f>
        <v>UPDATE</v>
      </c>
      <c r="I320" s="76" t="str">
        <f ca="1">IFERROR(__xludf.DUMMYFUNCTION("""COMPUTED_VALUE"""),"https://drive.google.com/open?id=1yVgVvUhEMP7S3lpbRmAuuhRJMr-skrX7")</f>
        <v>https://drive.google.com/open?id=1yVgVvUhEMP7S3lpbRmAuuhRJMr-skrX7</v>
      </c>
      <c r="J320" s="59"/>
      <c r="K320" s="59"/>
      <c r="L320" s="59"/>
      <c r="M320" s="59"/>
      <c r="N320" s="59"/>
      <c r="O320" s="59"/>
      <c r="P320" s="59"/>
    </row>
    <row r="321" spans="1:16">
      <c r="A321" s="71">
        <f ca="1">IFERROR(__xludf.DUMMYFUNCTION("""COMPUTED_VALUE"""),45254.5819492476)</f>
        <v>45254.5819492476</v>
      </c>
      <c r="B321" s="59" t="str">
        <f ca="1">IFERROR(__xludf.DUMMYFUNCTION("""COMPUTED_VALUE"""),"Vishal kumar ")</f>
        <v xml:space="preserve">Vishal kumar </v>
      </c>
      <c r="C321" s="72" t="str">
        <f ca="1">IFERROR(__xludf.DUMMYFUNCTION("""COMPUTED_VALUE"""),"22SDSME01019 ")</f>
        <v xml:space="preserve">22SDSME01019 </v>
      </c>
      <c r="D321" s="73">
        <f ca="1">IFERROR(__xludf.DUMMYFUNCTION("""COMPUTED_VALUE"""),45088)</f>
        <v>45088</v>
      </c>
      <c r="E321" s="74">
        <f ca="1">IFERROR(__xludf.DUMMYFUNCTION("""COMPUTED_VALUE"""),85000)</f>
        <v>85000</v>
      </c>
      <c r="F321" s="72">
        <f ca="1">IFERROR(__xludf.DUMMYFUNCTION("""COMPUTED_VALUE"""),0)</f>
        <v>0</v>
      </c>
      <c r="G321" s="75"/>
      <c r="H321" s="59" t="str">
        <f ca="1">IFERROR(__xludf.DUMMYFUNCTION("""COMPUTED_VALUE"""),"UPDATE")</f>
        <v>UPDATE</v>
      </c>
      <c r="I321" s="76" t="str">
        <f ca="1">IFERROR(__xludf.DUMMYFUNCTION("""COMPUTED_VALUE"""),"https://drive.google.com/open?id=18Kf2UwU0BCnQeGxSS7FSKcYMi48reH1Z")</f>
        <v>https://drive.google.com/open?id=18Kf2UwU0BCnQeGxSS7FSKcYMi48reH1Z</v>
      </c>
      <c r="J321" s="59"/>
      <c r="K321" s="59"/>
      <c r="L321" s="59"/>
      <c r="M321" s="59"/>
      <c r="N321" s="59"/>
      <c r="O321" s="59"/>
      <c r="P321" s="59"/>
    </row>
    <row r="322" spans="1:16">
      <c r="A322" s="71">
        <f ca="1">IFERROR(__xludf.DUMMYFUNCTION("""COMPUTED_VALUE"""),45237.4970122569)</f>
        <v>45237.497012256899</v>
      </c>
      <c r="B322" s="59" t="str">
        <f ca="1">IFERROR(__xludf.DUMMYFUNCTION("""COMPUTED_VALUE"""),"Rajan mehta")</f>
        <v>Rajan mehta</v>
      </c>
      <c r="C322" s="72" t="str">
        <f ca="1">IFERROR(__xludf.DUMMYFUNCTION("""COMPUTED_VALUE"""),"22SDSCE01204")</f>
        <v>22SDSCE01204</v>
      </c>
      <c r="D322" s="73">
        <f ca="1">IFERROR(__xludf.DUMMYFUNCTION("""COMPUTED_VALUE"""),45236)</f>
        <v>45236</v>
      </c>
      <c r="E322" s="74">
        <f ca="1">IFERROR(__xludf.DUMMYFUNCTION("""COMPUTED_VALUE"""),25000)</f>
        <v>25000</v>
      </c>
      <c r="F322" s="72">
        <f ca="1">IFERROR(__xludf.DUMMYFUNCTION("""COMPUTED_VALUE"""),3000)</f>
        <v>3000</v>
      </c>
      <c r="G322" s="75"/>
      <c r="H322" s="59" t="str">
        <f ca="1">IFERROR(__xludf.DUMMYFUNCTION("""COMPUTED_VALUE"""),"UPDATED")</f>
        <v>UPDATED</v>
      </c>
      <c r="I322" s="76" t="str">
        <f ca="1">IFERROR(__xludf.DUMMYFUNCTION("""COMPUTED_VALUE"""),"https://drive.google.com/open?id=1n64xDz57A2oeCoZ7rQ9J_7BY4jD7kRR4")</f>
        <v>https://drive.google.com/open?id=1n64xDz57A2oeCoZ7rQ9J_7BY4jD7kRR4</v>
      </c>
      <c r="J322" s="59"/>
      <c r="K322" s="59"/>
      <c r="L322" s="59"/>
      <c r="M322" s="59"/>
      <c r="N322" s="59"/>
      <c r="O322" s="59"/>
      <c r="P322" s="59"/>
    </row>
    <row r="323" spans="1:16">
      <c r="A323" s="71">
        <f ca="1">IFERROR(__xludf.DUMMYFUNCTION("""COMPUTED_VALUE"""),45237.4785058912)</f>
        <v>45237.478505891202</v>
      </c>
      <c r="B323" s="59" t="str">
        <f ca="1">IFERROR(__xludf.DUMMYFUNCTION("""COMPUTED_VALUE"""),"Hiren Vaghela")</f>
        <v>Hiren Vaghela</v>
      </c>
      <c r="C323" s="72" t="str">
        <f ca="1">IFERROR(__xludf.DUMMYFUNCTION("""COMPUTED_VALUE"""),"22SDSCV01014")</f>
        <v>22SDSCV01014</v>
      </c>
      <c r="D323" s="73">
        <f ca="1">IFERROR(__xludf.DUMMYFUNCTION("""COMPUTED_VALUE"""),45237)</f>
        <v>45237</v>
      </c>
      <c r="E323" s="74">
        <f ca="1">IFERROR(__xludf.DUMMYFUNCTION("""COMPUTED_VALUE"""),0)</f>
        <v>0</v>
      </c>
      <c r="F323" s="72">
        <f ca="1">IFERROR(__xludf.DUMMYFUNCTION("""COMPUTED_VALUE"""),3200)</f>
        <v>3200</v>
      </c>
      <c r="G323" s="75"/>
      <c r="H323" s="59" t="str">
        <f ca="1">IFERROR(__xludf.DUMMYFUNCTION("""COMPUTED_VALUE"""),"UPDATED")</f>
        <v>UPDATED</v>
      </c>
      <c r="I323" s="76" t="str">
        <f ca="1">IFERROR(__xludf.DUMMYFUNCTION("""COMPUTED_VALUE"""),"https://drive.google.com/open?id=1bcTa1Nk1rkJZ7hhojsnSzyylD_RI3XOJ")</f>
        <v>https://drive.google.com/open?id=1bcTa1Nk1rkJZ7hhojsnSzyylD_RI3XOJ</v>
      </c>
      <c r="J323" s="59"/>
      <c r="K323" s="59"/>
      <c r="L323" s="59"/>
      <c r="M323" s="59"/>
      <c r="N323" s="59"/>
      <c r="O323" s="59"/>
      <c r="P323" s="59"/>
    </row>
    <row r="324" spans="1:16">
      <c r="A324" s="71">
        <f ca="1">IFERROR(__xludf.DUMMYFUNCTION("""COMPUTED_VALUE"""),45237.4715397453)</f>
        <v>45237.471539745296</v>
      </c>
      <c r="B324" s="59" t="str">
        <f ca="1">IFERROR(__xludf.DUMMYFUNCTION("""COMPUTED_VALUE"""),"Makwana Vivek madhubhai ")</f>
        <v xml:space="preserve">Makwana Vivek madhubhai </v>
      </c>
      <c r="C324" s="72" t="str">
        <f ca="1">IFERROR(__xludf.DUMMYFUNCTION("""COMPUTED_VALUE"""),"22SDSCE01170")</f>
        <v>22SDSCE01170</v>
      </c>
      <c r="D324" s="73">
        <f ca="1">IFERROR(__xludf.DUMMYFUNCTION("""COMPUTED_VALUE"""),45237)</f>
        <v>45237</v>
      </c>
      <c r="E324" s="72"/>
      <c r="F324" s="72">
        <f ca="1">IFERROR(__xludf.DUMMYFUNCTION("""COMPUTED_VALUE"""),3200)</f>
        <v>3200</v>
      </c>
      <c r="G324" s="75"/>
      <c r="H324" s="59" t="str">
        <f ca="1">IFERROR(__xludf.DUMMYFUNCTION("""COMPUTED_VALUE"""),"UPDATED")</f>
        <v>UPDATED</v>
      </c>
      <c r="I324" s="76" t="str">
        <f ca="1">IFERROR(__xludf.DUMMYFUNCTION("""COMPUTED_VALUE"""),"https://drive.google.com/open?id=1rv41fN6QLcHa9M1Xjqjhq2Nc5mPjSi74")</f>
        <v>https://drive.google.com/open?id=1rv41fN6QLcHa9M1Xjqjhq2Nc5mPjSi74</v>
      </c>
      <c r="J324" s="59"/>
      <c r="K324" s="59"/>
      <c r="L324" s="59"/>
      <c r="M324" s="59"/>
      <c r="N324" s="59"/>
      <c r="O324" s="59"/>
      <c r="P324" s="59"/>
    </row>
    <row r="325" spans="1:16">
      <c r="A325" s="71">
        <f ca="1">IFERROR(__xludf.DUMMYFUNCTION("""COMPUTED_VALUE"""),45236.9605208564)</f>
        <v>45236.960520856403</v>
      </c>
      <c r="B325" s="59" t="str">
        <f ca="1">IFERROR(__xludf.DUMMYFUNCTION("""COMPUTED_VALUE"""),"NAGAR HET MANISHBHAI")</f>
        <v>NAGAR HET MANISHBHAI</v>
      </c>
      <c r="C325" s="72" t="str">
        <f ca="1">IFERROR(__xludf.DUMMYFUNCTION("""COMPUTED_VALUE"""),"23SDSCE01141")</f>
        <v>23SDSCE01141</v>
      </c>
      <c r="D325" s="73">
        <f ca="1">IFERROR(__xludf.DUMMYFUNCTION("""COMPUTED_VALUE"""),45236)</f>
        <v>45236</v>
      </c>
      <c r="E325" s="72"/>
      <c r="F325" s="72"/>
      <c r="G325" s="75"/>
      <c r="H325" s="59" t="str">
        <f ca="1">IFERROR(__xludf.DUMMYFUNCTION("""COMPUTED_VALUE"""),"UPDATED")</f>
        <v>UPDATED</v>
      </c>
      <c r="I325" s="76" t="str">
        <f ca="1">IFERROR(__xludf.DUMMYFUNCTION("""COMPUTED_VALUE"""),"https://drive.google.com/open?id=1nkHhiUJN_5fjBG3lweA0WGJ6I5yPkMiy")</f>
        <v>https://drive.google.com/open?id=1nkHhiUJN_5fjBG3lweA0WGJ6I5yPkMiy</v>
      </c>
      <c r="J325" s="59"/>
      <c r="K325" s="59"/>
      <c r="L325" s="59"/>
      <c r="M325" s="59"/>
      <c r="N325" s="59"/>
      <c r="O325" s="59"/>
      <c r="P325" s="59"/>
    </row>
    <row r="326" spans="1:16">
      <c r="A326" s="71">
        <f ca="1">IFERROR(__xludf.DUMMYFUNCTION("""COMPUTED_VALUE"""),45233.504667743)</f>
        <v>45233.504667743</v>
      </c>
      <c r="B326" s="59" t="str">
        <f ca="1">IFERROR(__xludf.DUMMYFUNCTION("""COMPUTED_VALUE"""),"Hetal modhvadiya ")</f>
        <v xml:space="preserve">Hetal modhvadiya </v>
      </c>
      <c r="C326" s="72" t="str">
        <f ca="1">IFERROR(__xludf.DUMMYFUNCTION("""COMPUTED_VALUE"""),"22SDSCE01071")</f>
        <v>22SDSCE01071</v>
      </c>
      <c r="D326" s="73">
        <f ca="1">IFERROR(__xludf.DUMMYFUNCTION("""COMPUTED_VALUE"""),45232)</f>
        <v>45232</v>
      </c>
      <c r="E326" s="74">
        <f ca="1">IFERROR(__xludf.DUMMYFUNCTION("""COMPUTED_VALUE"""),25000)</f>
        <v>25000</v>
      </c>
      <c r="F326" s="72"/>
      <c r="G326" s="75"/>
      <c r="H326" s="59" t="str">
        <f ca="1">IFERROR(__xludf.DUMMYFUNCTION("""COMPUTED_VALUE"""),"UPDATED")</f>
        <v>UPDATED</v>
      </c>
      <c r="I326" s="76" t="str">
        <f ca="1">IFERROR(__xludf.DUMMYFUNCTION("""COMPUTED_VALUE"""),"https://drive.google.com/open?id=15ZCIMchGBEFsktyoLG_QXzQ3LLDob2TZ")</f>
        <v>https://drive.google.com/open?id=15ZCIMchGBEFsktyoLG_QXzQ3LLDob2TZ</v>
      </c>
      <c r="J326" s="59"/>
      <c r="K326" s="59"/>
      <c r="L326" s="59"/>
      <c r="M326" s="59"/>
      <c r="N326" s="59"/>
      <c r="O326" s="59"/>
      <c r="P326" s="59"/>
    </row>
    <row r="327" spans="1:16">
      <c r="A327" s="71">
        <f ca="1">IFERROR(__xludf.DUMMYFUNCTION("""COMPUTED_VALUE"""),45232.6277333333)</f>
        <v>45232.627733333298</v>
      </c>
      <c r="B327" s="59" t="str">
        <f ca="1">IFERROR(__xludf.DUMMYFUNCTION("""COMPUTED_VALUE"""),"Moradiya Moksh Mehulkumar")</f>
        <v>Moradiya Moksh Mehulkumar</v>
      </c>
      <c r="C327" s="72" t="str">
        <f ca="1">IFERROR(__xludf.DUMMYFUNCTION("""COMPUTED_VALUE"""),"22SDSCE01073")</f>
        <v>22SDSCE01073</v>
      </c>
      <c r="D327" s="73">
        <f ca="1">IFERROR(__xludf.DUMMYFUNCTION("""COMPUTED_VALUE"""),45232)</f>
        <v>45232</v>
      </c>
      <c r="E327" s="74">
        <f ca="1">IFERROR(__xludf.DUMMYFUNCTION("""COMPUTED_VALUE"""),0)</f>
        <v>0</v>
      </c>
      <c r="F327" s="72">
        <f ca="1">IFERROR(__xludf.DUMMYFUNCTION("""COMPUTED_VALUE"""),1000)</f>
        <v>1000</v>
      </c>
      <c r="G327" s="75"/>
      <c r="H327" s="59" t="str">
        <f ca="1">IFERROR(__xludf.DUMMYFUNCTION("""COMPUTED_VALUE"""),"UPDATED")</f>
        <v>UPDATED</v>
      </c>
      <c r="I327" s="76" t="str">
        <f ca="1">IFERROR(__xludf.DUMMYFUNCTION("""COMPUTED_VALUE"""),"https://drive.google.com/open?id=1tNYF0fV7bOr6uGozOV0zc2cE27KU4xOV")</f>
        <v>https://drive.google.com/open?id=1tNYF0fV7bOr6uGozOV0zc2cE27KU4xOV</v>
      </c>
      <c r="J327" s="59"/>
      <c r="K327" s="59"/>
      <c r="L327" s="59"/>
      <c r="M327" s="59"/>
      <c r="N327" s="59"/>
      <c r="O327" s="59"/>
      <c r="P327" s="59"/>
    </row>
    <row r="328" spans="1:16">
      <c r="A328" s="71">
        <f ca="1">IFERROR(__xludf.DUMMYFUNCTION("""COMPUTED_VALUE"""),45231.7765338078)</f>
        <v>45231.776533807802</v>
      </c>
      <c r="B328" s="59" t="str">
        <f ca="1">IFERROR(__xludf.DUMMYFUNCTION("""COMPUTED_VALUE"""),"Modhvadiya hetal ")</f>
        <v xml:space="preserve">Modhvadiya hetal </v>
      </c>
      <c r="C328" s="72" t="str">
        <f ca="1">IFERROR(__xludf.DUMMYFUNCTION("""COMPUTED_VALUE"""),"22SDSCE01071")</f>
        <v>22SDSCE01071</v>
      </c>
      <c r="D328" s="73">
        <f ca="1">IFERROR(__xludf.DUMMYFUNCTION("""COMPUTED_VALUE"""),45222)</f>
        <v>45222</v>
      </c>
      <c r="E328" s="74">
        <f ca="1">IFERROR(__xludf.DUMMYFUNCTION("""COMPUTED_VALUE"""),26000)</f>
        <v>26000</v>
      </c>
      <c r="F328" s="72">
        <f ca="1">IFERROR(__xludf.DUMMYFUNCTION("""COMPUTED_VALUE"""),3000)</f>
        <v>3000</v>
      </c>
      <c r="G328" s="75"/>
      <c r="H328" s="59" t="str">
        <f ca="1">IFERROR(__xludf.DUMMYFUNCTION("""COMPUTED_VALUE"""),"UPDATED")</f>
        <v>UPDATED</v>
      </c>
      <c r="I328" s="76" t="str">
        <f ca="1">IFERROR(__xludf.DUMMYFUNCTION("""COMPUTED_VALUE"""),"https://drive.google.com/open?id=1nlcu4AhLSjCYcMb0bNztu5E_btX9fXa9")</f>
        <v>https://drive.google.com/open?id=1nlcu4AhLSjCYcMb0bNztu5E_btX9fXa9</v>
      </c>
      <c r="J328" s="59"/>
      <c r="K328" s="59"/>
      <c r="L328" s="59"/>
      <c r="M328" s="59"/>
      <c r="N328" s="59"/>
      <c r="O328" s="59"/>
      <c r="P328" s="59"/>
    </row>
    <row r="329" spans="1:16">
      <c r="A329" s="71">
        <f ca="1">IFERROR(__xludf.DUMMYFUNCTION("""COMPUTED_VALUE"""),45231.563735787)</f>
        <v>45231.563735787</v>
      </c>
      <c r="B329" s="59" t="str">
        <f ca="1">IFERROR(__xludf.DUMMYFUNCTION("""COMPUTED_VALUE"""),"Lathigara Aryan Kalpeshbhai")</f>
        <v>Lathigara Aryan Kalpeshbhai</v>
      </c>
      <c r="C329" s="72" t="str">
        <f ca="1">IFERROR(__xludf.DUMMYFUNCTION("""COMPUTED_VALUE"""),"22SDSCE01058")</f>
        <v>22SDSCE01058</v>
      </c>
      <c r="D329" s="73">
        <f ca="1">IFERROR(__xludf.DUMMYFUNCTION("""COMPUTED_VALUE"""),45230)</f>
        <v>45230</v>
      </c>
      <c r="E329" s="74">
        <f ca="1">IFERROR(__xludf.DUMMYFUNCTION("""COMPUTED_VALUE"""),25000)</f>
        <v>25000</v>
      </c>
      <c r="F329" s="72"/>
      <c r="G329" s="75"/>
      <c r="H329" s="59" t="str">
        <f ca="1">IFERROR(__xludf.DUMMYFUNCTION("""COMPUTED_VALUE"""),"UPDATED")</f>
        <v>UPDATED</v>
      </c>
      <c r="I329" s="76" t="str">
        <f ca="1">IFERROR(__xludf.DUMMYFUNCTION("""COMPUTED_VALUE"""),"https://drive.google.com/open?id=1ylJz9bihFYyw8AzGLfkeNtUXZLyNnoBE")</f>
        <v>https://drive.google.com/open?id=1ylJz9bihFYyw8AzGLfkeNtUXZLyNnoBE</v>
      </c>
      <c r="J329" s="59"/>
      <c r="K329" s="59"/>
      <c r="L329" s="59"/>
      <c r="M329" s="59"/>
      <c r="N329" s="59"/>
      <c r="O329" s="59"/>
      <c r="P329" s="59"/>
    </row>
    <row r="330" spans="1:16">
      <c r="A330" s="71">
        <f ca="1">IFERROR(__xludf.DUMMYFUNCTION("""COMPUTED_VALUE"""),45230.615674375)</f>
        <v>45230.615674375003</v>
      </c>
      <c r="B330" s="59" t="str">
        <f ca="1">IFERROR(__xludf.DUMMYFUNCTION("""COMPUTED_VALUE"""),"Khushi kapadi")</f>
        <v>Khushi kapadi</v>
      </c>
      <c r="C330" s="72" t="str">
        <f ca="1">IFERROR(__xludf.DUMMYFUNCTION("""COMPUTED_VALUE"""),"22SDSCE03901")</f>
        <v>22SDSCE03901</v>
      </c>
      <c r="D330" s="73">
        <f ca="1">IFERROR(__xludf.DUMMYFUNCTION("""COMPUTED_VALUE"""),45230)</f>
        <v>45230</v>
      </c>
      <c r="E330" s="72"/>
      <c r="F330" s="72"/>
      <c r="G330" s="75"/>
      <c r="H330" s="59" t="str">
        <f ca="1">IFERROR(__xludf.DUMMYFUNCTION("""COMPUTED_VALUE"""),"UPDATED")</f>
        <v>UPDATED</v>
      </c>
      <c r="I330" s="76" t="str">
        <f ca="1">IFERROR(__xludf.DUMMYFUNCTION("""COMPUTED_VALUE"""),"https://drive.google.com/open?id=15YXd4Bjx-zTQ3TlrsC-pcdB7yMenKMjZ")</f>
        <v>https://drive.google.com/open?id=15YXd4Bjx-zTQ3TlrsC-pcdB7yMenKMjZ</v>
      </c>
      <c r="J330" s="59"/>
      <c r="K330" s="59"/>
      <c r="L330" s="59"/>
      <c r="M330" s="59"/>
      <c r="N330" s="59"/>
      <c r="O330" s="59"/>
      <c r="P330" s="59"/>
    </row>
    <row r="331" spans="1:16">
      <c r="A331" s="71">
        <f ca="1">IFERROR(__xludf.DUMMYFUNCTION("""COMPUTED_VALUE"""),45229.5562002314)</f>
        <v>45229.556200231404</v>
      </c>
      <c r="B331" s="59" t="str">
        <f ca="1">IFERROR(__xludf.DUMMYFUNCTION("""COMPUTED_VALUE"""),"Ghelani foram ghanshyambhai")</f>
        <v>Ghelani foram ghanshyambhai</v>
      </c>
      <c r="C331" s="72" t="str">
        <f ca="1">IFERROR(__xludf.DUMMYFUNCTION("""COMPUTED_VALUE"""),"22SDSCE01044")</f>
        <v>22SDSCE01044</v>
      </c>
      <c r="D331" s="73">
        <f ca="1">IFERROR(__xludf.DUMMYFUNCTION("""COMPUTED_VALUE"""),45229)</f>
        <v>45229</v>
      </c>
      <c r="E331" s="72"/>
      <c r="F331" s="72"/>
      <c r="G331" s="75"/>
      <c r="H331" s="59" t="str">
        <f ca="1">IFERROR(__xludf.DUMMYFUNCTION("""COMPUTED_VALUE"""),"UPDATED")</f>
        <v>UPDATED</v>
      </c>
      <c r="I331" s="76" t="str">
        <f ca="1">IFERROR(__xludf.DUMMYFUNCTION("""COMPUTED_VALUE"""),"https://drive.google.com/open?id=18m0mh5c908rNbYcGk6y5HioRwaK5S_yr")</f>
        <v>https://drive.google.com/open?id=18m0mh5c908rNbYcGk6y5HioRwaK5S_yr</v>
      </c>
      <c r="J331" s="59"/>
      <c r="K331" s="59"/>
      <c r="L331" s="59"/>
      <c r="M331" s="59"/>
      <c r="N331" s="59"/>
      <c r="O331" s="59"/>
      <c r="P331" s="59"/>
    </row>
    <row r="332" spans="1:16">
      <c r="A332" s="71">
        <f ca="1">IFERROR(__xludf.DUMMYFUNCTION("""COMPUTED_VALUE"""),45229.4346358796)</f>
        <v>45229.434635879603</v>
      </c>
      <c r="B332" s="59" t="str">
        <f ca="1">IFERROR(__xludf.DUMMYFUNCTION("""COMPUTED_VALUE"""),"Pruthvi zankat ")</f>
        <v xml:space="preserve">Pruthvi zankat </v>
      </c>
      <c r="C332" s="72" t="str">
        <f ca="1">IFERROR(__xludf.DUMMYFUNCTION("""COMPUTED_VALUE"""),"22SDSCV01018")</f>
        <v>22SDSCV01018</v>
      </c>
      <c r="D332" s="73">
        <f ca="1">IFERROR(__xludf.DUMMYFUNCTION("""COMPUTED_VALUE"""),45229)</f>
        <v>45229</v>
      </c>
      <c r="E332" s="72"/>
      <c r="F332" s="72">
        <f ca="1">IFERROR(__xludf.DUMMYFUNCTION("""COMPUTED_VALUE"""),3000)</f>
        <v>3000</v>
      </c>
      <c r="G332" s="75"/>
      <c r="H332" s="59" t="str">
        <f ca="1">IFERROR(__xludf.DUMMYFUNCTION("""COMPUTED_VALUE"""),"UPDATED")</f>
        <v>UPDATED</v>
      </c>
      <c r="I332" s="76" t="str">
        <f ca="1">IFERROR(__xludf.DUMMYFUNCTION("""COMPUTED_VALUE"""),"https://drive.google.com/open?id=1eLiWLHVl6QWh_hV6lBhuBuO0B1jIAskW")</f>
        <v>https://drive.google.com/open?id=1eLiWLHVl6QWh_hV6lBhuBuO0B1jIAskW</v>
      </c>
      <c r="J332" s="59"/>
      <c r="K332" s="59"/>
      <c r="L332" s="59"/>
      <c r="M332" s="59"/>
      <c r="N332" s="59"/>
      <c r="O332" s="59"/>
      <c r="P332" s="59"/>
    </row>
    <row r="333" spans="1:16">
      <c r="A333" s="71">
        <f ca="1">IFERROR(__xludf.DUMMYFUNCTION("""COMPUTED_VALUE"""),45227.5909022685)</f>
        <v>45227.590902268501</v>
      </c>
      <c r="B333" s="59" t="str">
        <f ca="1">IFERROR(__xludf.DUMMYFUNCTION("""COMPUTED_VALUE"""),"Shahmadar Noman H.")</f>
        <v>Shahmadar Noman H.</v>
      </c>
      <c r="C333" s="72" t="str">
        <f ca="1">IFERROR(__xludf.DUMMYFUNCTION("""COMPUTED_VALUE"""),"23SDSCE01119")</f>
        <v>23SDSCE01119</v>
      </c>
      <c r="D333" s="73">
        <f ca="1">IFERROR(__xludf.DUMMYFUNCTION("""COMPUTED_VALUE"""),45227)</f>
        <v>45227</v>
      </c>
      <c r="E333" s="74">
        <f ca="1">IFERROR(__xludf.DUMMYFUNCTION("""COMPUTED_VALUE"""),0)</f>
        <v>0</v>
      </c>
      <c r="F333" s="72">
        <f ca="1">IFERROR(__xludf.DUMMYFUNCTION("""COMPUTED_VALUE"""),0)</f>
        <v>0</v>
      </c>
      <c r="G333" s="75"/>
      <c r="H333" s="59" t="str">
        <f ca="1">IFERROR(__xludf.DUMMYFUNCTION("""COMPUTED_VALUE"""),"UPDATED")</f>
        <v>UPDATED</v>
      </c>
      <c r="I333" s="76" t="str">
        <f ca="1">IFERROR(__xludf.DUMMYFUNCTION("""COMPUTED_VALUE"""),"https://drive.google.com/open?id=1wUkDyv8hNfVZ9NCvcKwqa_h60W_1aAcG")</f>
        <v>https://drive.google.com/open?id=1wUkDyv8hNfVZ9NCvcKwqa_h60W_1aAcG</v>
      </c>
      <c r="J333" s="59"/>
      <c r="K333" s="59"/>
      <c r="L333" s="59"/>
      <c r="M333" s="59"/>
      <c r="N333" s="59"/>
      <c r="O333" s="59"/>
      <c r="P333" s="59"/>
    </row>
    <row r="334" spans="1:16">
      <c r="A334" s="71">
        <f ca="1">IFERROR(__xludf.DUMMYFUNCTION("""COMPUTED_VALUE"""),45226.7136741782)</f>
        <v>45226.713674178201</v>
      </c>
      <c r="B334" s="59" t="str">
        <f ca="1">IFERROR(__xludf.DUMMYFUNCTION("""COMPUTED_VALUE"""),"Kapuriya kevin ")</f>
        <v xml:space="preserve">Kapuriya kevin </v>
      </c>
      <c r="C334" s="72" t="str">
        <f ca="1">IFERROR(__xludf.DUMMYFUNCTION("""COMPUTED_VALUE"""),"21sdsme01019")</f>
        <v>21sdsme01019</v>
      </c>
      <c r="D334" s="73">
        <f ca="1">IFERROR(__xludf.DUMMYFUNCTION("""COMPUTED_VALUE"""),45102)</f>
        <v>45102</v>
      </c>
      <c r="E334" s="72"/>
      <c r="F334" s="72"/>
      <c r="G334" s="75"/>
      <c r="H334" s="59" t="str">
        <f ca="1">IFERROR(__xludf.DUMMYFUNCTION("""COMPUTED_VALUE"""),"UPDATED")</f>
        <v>UPDATED</v>
      </c>
      <c r="I334" s="76" t="str">
        <f ca="1">IFERROR(__xludf.DUMMYFUNCTION("""COMPUTED_VALUE"""),"https://drive.google.com/open?id=1f3dMIwoQXQY8PM97UBT1jLbleEdfBk30")</f>
        <v>https://drive.google.com/open?id=1f3dMIwoQXQY8PM97UBT1jLbleEdfBk30</v>
      </c>
      <c r="J334" s="59"/>
      <c r="K334" s="59"/>
      <c r="L334" s="59"/>
      <c r="M334" s="59"/>
      <c r="N334" s="59"/>
      <c r="O334" s="59"/>
      <c r="P334" s="59"/>
    </row>
    <row r="335" spans="1:16">
      <c r="A335" s="71">
        <f ca="1">IFERROR(__xludf.DUMMYFUNCTION("""COMPUTED_VALUE"""),45226.7108569213)</f>
        <v>45226.710856921301</v>
      </c>
      <c r="B335" s="59" t="str">
        <f ca="1">IFERROR(__xludf.DUMMYFUNCTION("""COMPUTED_VALUE"""),"Kapuriya kevin")</f>
        <v>Kapuriya kevin</v>
      </c>
      <c r="C335" s="72" t="str">
        <f ca="1">IFERROR(__xludf.DUMMYFUNCTION("""COMPUTED_VALUE"""),"21sdsme01019")</f>
        <v>21sdsme01019</v>
      </c>
      <c r="D335" s="73">
        <f ca="1">IFERROR(__xludf.DUMMYFUNCTION("""COMPUTED_VALUE"""),45102)</f>
        <v>45102</v>
      </c>
      <c r="E335" s="72"/>
      <c r="F335" s="72"/>
      <c r="G335" s="75"/>
      <c r="H335" s="59" t="str">
        <f ca="1">IFERROR(__xludf.DUMMYFUNCTION("""COMPUTED_VALUE"""),"UPDATED")</f>
        <v>UPDATED</v>
      </c>
      <c r="I335" s="76" t="str">
        <f ca="1">IFERROR(__xludf.DUMMYFUNCTION("""COMPUTED_VALUE"""),"https://drive.google.com/open?id=17HAS26zW80VvuTzYREG_S7Tvh_0Nx3DZ")</f>
        <v>https://drive.google.com/open?id=17HAS26zW80VvuTzYREG_S7Tvh_0Nx3DZ</v>
      </c>
      <c r="J335" s="59"/>
      <c r="K335" s="59"/>
      <c r="L335" s="59"/>
      <c r="M335" s="59"/>
      <c r="N335" s="59"/>
      <c r="O335" s="59"/>
      <c r="P335" s="59"/>
    </row>
    <row r="336" spans="1:16">
      <c r="A336" s="71">
        <f ca="1">IFERROR(__xludf.DUMMYFUNCTION("""COMPUTED_VALUE"""),45226.5460285763)</f>
        <v>45226.546028576297</v>
      </c>
      <c r="B336" s="59" t="str">
        <f ca="1">IFERROR(__xludf.DUMMYFUNCTION("""COMPUTED_VALUE"""),"vatsalkotadiya ")</f>
        <v xml:space="preserve">vatsalkotadiya </v>
      </c>
      <c r="C336" s="72" t="str">
        <f ca="1">IFERROR(__xludf.DUMMYFUNCTION("""COMPUTED_VALUE"""),"22SDSCE01055")</f>
        <v>22SDSCE01055</v>
      </c>
      <c r="D336" s="73">
        <f ca="1">IFERROR(__xludf.DUMMYFUNCTION("""COMPUTED_VALUE"""),45226)</f>
        <v>45226</v>
      </c>
      <c r="E336" s="72"/>
      <c r="F336" s="72">
        <f ca="1">IFERROR(__xludf.DUMMYFUNCTION("""COMPUTED_VALUE"""),1000)</f>
        <v>1000</v>
      </c>
      <c r="G336" s="75"/>
      <c r="H336" s="59" t="str">
        <f ca="1">IFERROR(__xludf.DUMMYFUNCTION("""COMPUTED_VALUE"""),"UPDATED")</f>
        <v>UPDATED</v>
      </c>
      <c r="I336" s="76" t="str">
        <f ca="1">IFERROR(__xludf.DUMMYFUNCTION("""COMPUTED_VALUE"""),"https://drive.google.com/open?id=1-N49FJP7uydEMa9iAx08BJJK6CsS8WQH")</f>
        <v>https://drive.google.com/open?id=1-N49FJP7uydEMa9iAx08BJJK6CsS8WQH</v>
      </c>
      <c r="J336" s="59"/>
      <c r="K336" s="59"/>
      <c r="L336" s="59"/>
      <c r="M336" s="59"/>
      <c r="N336" s="59"/>
      <c r="O336" s="59"/>
      <c r="P336" s="59"/>
    </row>
    <row r="337" spans="1:16">
      <c r="A337" s="71">
        <f ca="1">IFERROR(__xludf.DUMMYFUNCTION("""COMPUTED_VALUE"""),45226.4915730092)</f>
        <v>45226.491573009203</v>
      </c>
      <c r="B337" s="59" t="str">
        <f ca="1">IFERROR(__xludf.DUMMYFUNCTION("""COMPUTED_VALUE"""),"Shahmadar noman h")</f>
        <v>Shahmadar noman h</v>
      </c>
      <c r="C337" s="72" t="str">
        <f ca="1">IFERROR(__xludf.DUMMYFUNCTION("""COMPUTED_VALUE"""),"23SDSCE01119")</f>
        <v>23SDSCE01119</v>
      </c>
      <c r="D337" s="73">
        <f ca="1">IFERROR(__xludf.DUMMYFUNCTION("""COMPUTED_VALUE"""),45124)</f>
        <v>45124</v>
      </c>
      <c r="E337" s="74">
        <f ca="1">IFERROR(__xludf.DUMMYFUNCTION("""COMPUTED_VALUE"""),13500)</f>
        <v>13500</v>
      </c>
      <c r="F337" s="72">
        <f ca="1">IFERROR(__xludf.DUMMYFUNCTION("""COMPUTED_VALUE"""),0)</f>
        <v>0</v>
      </c>
      <c r="G337" s="75"/>
      <c r="H337" s="59" t="str">
        <f ca="1">IFERROR(__xludf.DUMMYFUNCTION("""COMPUTED_VALUE"""),"UPDATED")</f>
        <v>UPDATED</v>
      </c>
      <c r="I337" s="76" t="str">
        <f ca="1">IFERROR(__xludf.DUMMYFUNCTION("""COMPUTED_VALUE"""),"https://drive.google.com/open?id=1m4SdN4e-OVy7jgY2C_e36mB6Hf1SDiwi")</f>
        <v>https://drive.google.com/open?id=1m4SdN4e-OVy7jgY2C_e36mB6Hf1SDiwi</v>
      </c>
      <c r="J337" s="59"/>
      <c r="K337" s="59"/>
      <c r="L337" s="59"/>
      <c r="M337" s="59"/>
      <c r="N337" s="59"/>
      <c r="O337" s="59"/>
      <c r="P337" s="59"/>
    </row>
    <row r="338" spans="1:16">
      <c r="A338" s="71">
        <f ca="1">IFERROR(__xludf.DUMMYFUNCTION("""COMPUTED_VALUE"""),45225.8895199189)</f>
        <v>45225.889519918899</v>
      </c>
      <c r="B338" s="59" t="str">
        <f ca="1">IFERROR(__xludf.DUMMYFUNCTION("""COMPUTED_VALUE"""),"Raiyani Raj")</f>
        <v>Raiyani Raj</v>
      </c>
      <c r="C338" s="72" t="str">
        <f ca="1">IFERROR(__xludf.DUMMYFUNCTION("""COMPUTED_VALUE"""),"23SDSCE01025")</f>
        <v>23SDSCE01025</v>
      </c>
      <c r="D338" s="73">
        <f ca="1">IFERROR(__xludf.DUMMYFUNCTION("""COMPUTED_VALUE"""),45225)</f>
        <v>45225</v>
      </c>
      <c r="E338" s="74">
        <f ca="1">IFERROR(__xludf.DUMMYFUNCTION("""COMPUTED_VALUE"""),27500)</f>
        <v>27500</v>
      </c>
      <c r="F338" s="72"/>
      <c r="G338" s="75"/>
      <c r="H338" s="59" t="str">
        <f ca="1">IFERROR(__xludf.DUMMYFUNCTION("""COMPUTED_VALUE"""),"UPDATED")</f>
        <v>UPDATED</v>
      </c>
      <c r="I338" s="76" t="str">
        <f ca="1">IFERROR(__xludf.DUMMYFUNCTION("""COMPUTED_VALUE"""),"https://drive.google.com/open?id=13gfu0-EWacMVddt6GT78I03JYGyk-54t")</f>
        <v>https://drive.google.com/open?id=13gfu0-EWacMVddt6GT78I03JYGyk-54t</v>
      </c>
      <c r="J338" s="59"/>
      <c r="K338" s="59"/>
      <c r="L338" s="59"/>
      <c r="M338" s="59"/>
      <c r="N338" s="59"/>
      <c r="O338" s="59"/>
      <c r="P338" s="59"/>
    </row>
    <row r="339" spans="1:16">
      <c r="A339" s="71">
        <f ca="1">IFERROR(__xludf.DUMMYFUNCTION("""COMPUTED_VALUE"""),45225.6744890509)</f>
        <v>45225.6744890509</v>
      </c>
      <c r="B339" s="59" t="str">
        <f ca="1">IFERROR(__xludf.DUMMYFUNCTION("""COMPUTED_VALUE"""),"Dhamal harsh himmat bhai ")</f>
        <v xml:space="preserve">Dhamal harsh himmat bhai </v>
      </c>
      <c r="C339" s="72" t="str">
        <f ca="1">IFERROR(__xludf.DUMMYFUNCTION("""COMPUTED_VALUE"""),"22SDSCE01141")</f>
        <v>22SDSCE01141</v>
      </c>
      <c r="D339" s="73">
        <f ca="1">IFERROR(__xludf.DUMMYFUNCTION("""COMPUTED_VALUE"""),45225)</f>
        <v>45225</v>
      </c>
      <c r="E339" s="72"/>
      <c r="F339" s="72">
        <f ca="1">IFERROR(__xludf.DUMMYFUNCTION("""COMPUTED_VALUE"""),3000)</f>
        <v>3000</v>
      </c>
      <c r="G339" s="75"/>
      <c r="H339" s="59" t="str">
        <f ca="1">IFERROR(__xludf.DUMMYFUNCTION("""COMPUTED_VALUE"""),"UPDATED")</f>
        <v>UPDATED</v>
      </c>
      <c r="I339" s="76" t="str">
        <f ca="1">IFERROR(__xludf.DUMMYFUNCTION("""COMPUTED_VALUE"""),"https://drive.google.com/open?id=1rJGrlTTxHowUP0zTbu12E2xr-4bt3NbU")</f>
        <v>https://drive.google.com/open?id=1rJGrlTTxHowUP0zTbu12E2xr-4bt3NbU</v>
      </c>
      <c r="J339" s="59"/>
      <c r="K339" s="59"/>
      <c r="L339" s="59"/>
      <c r="M339" s="59"/>
      <c r="N339" s="59"/>
      <c r="O339" s="59"/>
      <c r="P339" s="59"/>
    </row>
    <row r="340" spans="1:16">
      <c r="A340" s="71">
        <f ca="1">IFERROR(__xludf.DUMMYFUNCTION("""COMPUTED_VALUE"""),45224.6221874884)</f>
        <v>45224.6221874884</v>
      </c>
      <c r="B340" s="59" t="str">
        <f ca="1">IFERROR(__xludf.DUMMYFUNCTION("""COMPUTED_VALUE"""),"kotadiya vatsal")</f>
        <v>kotadiya vatsal</v>
      </c>
      <c r="C340" s="72" t="str">
        <f ca="1">IFERROR(__xludf.DUMMYFUNCTION("""COMPUTED_VALUE"""),"22SDSCE01055")</f>
        <v>22SDSCE01055</v>
      </c>
      <c r="D340" s="73">
        <f ca="1">IFERROR(__xludf.DUMMYFUNCTION("""COMPUTED_VALUE"""),45224)</f>
        <v>45224</v>
      </c>
      <c r="E340" s="72"/>
      <c r="F340" s="72">
        <f ca="1">IFERROR(__xludf.DUMMYFUNCTION("""COMPUTED_VALUE"""),3000)</f>
        <v>3000</v>
      </c>
      <c r="G340" s="75"/>
      <c r="H340" s="59" t="str">
        <f ca="1">IFERROR(__xludf.DUMMYFUNCTION("""COMPUTED_VALUE"""),"UPDATED")</f>
        <v>UPDATED</v>
      </c>
      <c r="I340" s="76" t="str">
        <f ca="1">IFERROR(__xludf.DUMMYFUNCTION("""COMPUTED_VALUE"""),"https://drive.google.com/open?id=1boB6iNnUmXm0Wa-dSS-_-f0A9BKEVNGn")</f>
        <v>https://drive.google.com/open?id=1boB6iNnUmXm0Wa-dSS-_-f0A9BKEVNGn</v>
      </c>
      <c r="J340" s="59"/>
      <c r="K340" s="59"/>
      <c r="L340" s="59"/>
      <c r="M340" s="59"/>
      <c r="N340" s="59"/>
      <c r="O340" s="59"/>
      <c r="P340" s="59"/>
    </row>
    <row r="341" spans="1:16">
      <c r="A341" s="71">
        <f ca="1">IFERROR(__xludf.DUMMYFUNCTION("""COMPUTED_VALUE"""),45224.5100431249)</f>
        <v>45224.510043124901</v>
      </c>
      <c r="B341" s="59" t="str">
        <f ca="1">IFERROR(__xludf.DUMMYFUNCTION("""COMPUTED_VALUE"""),"Rank Shubh Chhagan Bhai ")</f>
        <v xml:space="preserve">Rank Shubh Chhagan Bhai </v>
      </c>
      <c r="C341" s="72" t="str">
        <f ca="1">IFERROR(__xludf.DUMMYFUNCTION("""COMPUTED_VALUE"""),"22SDSCE01096")</f>
        <v>22SDSCE01096</v>
      </c>
      <c r="D341" s="73">
        <f ca="1">IFERROR(__xludf.DUMMYFUNCTION("""COMPUTED_VALUE"""),45224)</f>
        <v>45224</v>
      </c>
      <c r="E341" s="74">
        <f ca="1">IFERROR(__xludf.DUMMYFUNCTION("""COMPUTED_VALUE"""),0)</f>
        <v>0</v>
      </c>
      <c r="F341" s="72">
        <f ca="1">IFERROR(__xludf.DUMMYFUNCTION("""COMPUTED_VALUE"""),3200)</f>
        <v>3200</v>
      </c>
      <c r="G341" s="75"/>
      <c r="H341" s="59" t="str">
        <f ca="1">IFERROR(__xludf.DUMMYFUNCTION("""COMPUTED_VALUE"""),"UPDATED")</f>
        <v>UPDATED</v>
      </c>
      <c r="I341" s="76" t="str">
        <f ca="1">IFERROR(__xludf.DUMMYFUNCTION("""COMPUTED_VALUE"""),"https://drive.google.com/open?id=1DDcRcQ2o6I58pJUfHJ0Ycu66vZ9_oeMH")</f>
        <v>https://drive.google.com/open?id=1DDcRcQ2o6I58pJUfHJ0Ycu66vZ9_oeMH</v>
      </c>
      <c r="J341" s="59"/>
      <c r="K341" s="59"/>
      <c r="L341" s="59"/>
      <c r="M341" s="59"/>
      <c r="N341" s="59"/>
      <c r="O341" s="59"/>
      <c r="P341" s="59"/>
    </row>
    <row r="342" spans="1:16">
      <c r="A342" s="71">
        <f ca="1">IFERROR(__xludf.DUMMYFUNCTION("""COMPUTED_VALUE"""),45224.4895000115)</f>
        <v>45224.489500011499</v>
      </c>
      <c r="B342" s="59" t="str">
        <f ca="1">IFERROR(__xludf.DUMMYFUNCTION("""COMPUTED_VALUE"""),"Pruthvi zankat ")</f>
        <v xml:space="preserve">Pruthvi zankat </v>
      </c>
      <c r="C342" s="72" t="str">
        <f ca="1">IFERROR(__xludf.DUMMYFUNCTION("""COMPUTED_VALUE"""),"22SDSCV01018")</f>
        <v>22SDSCV01018</v>
      </c>
      <c r="D342" s="73">
        <f ca="1">IFERROR(__xludf.DUMMYFUNCTION("""COMPUTED_VALUE"""),45224)</f>
        <v>45224</v>
      </c>
      <c r="E342" s="74">
        <f ca="1">IFERROR(__xludf.DUMMYFUNCTION("""COMPUTED_VALUE"""),25000)</f>
        <v>25000</v>
      </c>
      <c r="F342" s="72">
        <f ca="1">IFERROR(__xludf.DUMMYFUNCTION("""COMPUTED_VALUE"""),3000)</f>
        <v>3000</v>
      </c>
      <c r="G342" s="75"/>
      <c r="H342" s="59" t="str">
        <f ca="1">IFERROR(__xludf.DUMMYFUNCTION("""COMPUTED_VALUE"""),"UPDATED")</f>
        <v>UPDATED</v>
      </c>
      <c r="I342" s="76" t="str">
        <f ca="1">IFERROR(__xludf.DUMMYFUNCTION("""COMPUTED_VALUE"""),"https://drive.google.com/open?id=1VkaoUkgJYym-qVJLiSZG3D6or94phT4Y")</f>
        <v>https://drive.google.com/open?id=1VkaoUkgJYym-qVJLiSZG3D6or94phT4Y</v>
      </c>
      <c r="J342" s="59"/>
      <c r="K342" s="59"/>
      <c r="L342" s="59"/>
      <c r="M342" s="59"/>
      <c r="N342" s="59"/>
      <c r="O342" s="59"/>
      <c r="P342" s="59"/>
    </row>
    <row r="343" spans="1:16">
      <c r="A343" s="71">
        <f ca="1">IFERROR(__xludf.DUMMYFUNCTION("""COMPUTED_VALUE"""),45224.4487963425)</f>
        <v>45224.448796342498</v>
      </c>
      <c r="B343" s="59" t="str">
        <f ca="1">IFERROR(__xludf.DUMMYFUNCTION("""COMPUTED_VALUE"""),"Pruthvi zankat ")</f>
        <v xml:space="preserve">Pruthvi zankat </v>
      </c>
      <c r="C343" s="72" t="str">
        <f ca="1">IFERROR(__xludf.DUMMYFUNCTION("""COMPUTED_VALUE"""),"22SDSCV01018")</f>
        <v>22SDSCV01018</v>
      </c>
      <c r="D343" s="73">
        <f ca="1">IFERROR(__xludf.DUMMYFUNCTION("""COMPUTED_VALUE"""),45224)</f>
        <v>45224</v>
      </c>
      <c r="E343" s="74">
        <f ca="1">IFERROR(__xludf.DUMMYFUNCTION("""COMPUTED_VALUE"""),0)</f>
        <v>0</v>
      </c>
      <c r="F343" s="72">
        <f ca="1">IFERROR(__xludf.DUMMYFUNCTION("""COMPUTED_VALUE"""),0)</f>
        <v>0</v>
      </c>
      <c r="G343" s="75"/>
      <c r="H343" s="59" t="str">
        <f ca="1">IFERROR(__xludf.DUMMYFUNCTION("""COMPUTED_VALUE"""),"UPDATED")</f>
        <v>UPDATED</v>
      </c>
      <c r="I343" s="76" t="str">
        <f ca="1">IFERROR(__xludf.DUMMYFUNCTION("""COMPUTED_VALUE"""),"https://drive.google.com/open?id=1-2r_k8xu5R1dodj_L4T42FGWzSIZnAq_")</f>
        <v>https://drive.google.com/open?id=1-2r_k8xu5R1dodj_L4T42FGWzSIZnAq_</v>
      </c>
      <c r="J343" s="59"/>
      <c r="K343" s="59"/>
      <c r="L343" s="59"/>
      <c r="M343" s="59"/>
      <c r="N343" s="59"/>
      <c r="O343" s="59"/>
      <c r="P343" s="59"/>
    </row>
    <row r="344" spans="1:16">
      <c r="A344" s="71">
        <f ca="1">IFERROR(__xludf.DUMMYFUNCTION("""COMPUTED_VALUE"""),45224.4199410069)</f>
        <v>45224.419941006898</v>
      </c>
      <c r="B344" s="59" t="str">
        <f ca="1">IFERROR(__xludf.DUMMYFUNCTION("""COMPUTED_VALUE"""),"Borad Khush Atulbhai ")</f>
        <v xml:space="preserve">Borad Khush Atulbhai </v>
      </c>
      <c r="C344" s="72" t="str">
        <f ca="1">IFERROR(__xludf.DUMMYFUNCTION("""COMPUTED_VALUE"""),"22SDSCE01022 ")</f>
        <v xml:space="preserve">22SDSCE01022 </v>
      </c>
      <c r="D344" s="73">
        <f ca="1">IFERROR(__xludf.DUMMYFUNCTION("""COMPUTED_VALUE"""),45155)</f>
        <v>45155</v>
      </c>
      <c r="E344" s="74">
        <f ca="1">IFERROR(__xludf.DUMMYFUNCTION("""COMPUTED_VALUE"""),12500)</f>
        <v>12500</v>
      </c>
      <c r="F344" s="72">
        <f ca="1">IFERROR(__xludf.DUMMYFUNCTION("""COMPUTED_VALUE"""),3000)</f>
        <v>3000</v>
      </c>
      <c r="G344" s="75"/>
      <c r="H344" s="59" t="str">
        <f ca="1">IFERROR(__xludf.DUMMYFUNCTION("""COMPUTED_VALUE"""),"UPDATED")</f>
        <v>UPDATED</v>
      </c>
      <c r="I344" s="76" t="str">
        <f ca="1">IFERROR(__xludf.DUMMYFUNCTION("""COMPUTED_VALUE"""),"https://drive.google.com/open?id=1ReJ0pS7g4T0LlDxheueaTKoseulau6Up")</f>
        <v>https://drive.google.com/open?id=1ReJ0pS7g4T0LlDxheueaTKoseulau6Up</v>
      </c>
      <c r="J344" s="59"/>
      <c r="K344" s="59"/>
      <c r="L344" s="59"/>
      <c r="M344" s="59"/>
      <c r="N344" s="59"/>
      <c r="O344" s="59"/>
      <c r="P344" s="59"/>
    </row>
    <row r="345" spans="1:16">
      <c r="A345" s="71">
        <f ca="1">IFERROR(__xludf.DUMMYFUNCTION("""COMPUTED_VALUE"""),45222.6360873032)</f>
        <v>45222.636087303203</v>
      </c>
      <c r="B345" s="59" t="str">
        <f ca="1">IFERROR(__xludf.DUMMYFUNCTION("""COMPUTED_VALUE"""),"Pruthvi zankat ")</f>
        <v xml:space="preserve">Pruthvi zankat </v>
      </c>
      <c r="C345" s="72" t="str">
        <f ca="1">IFERROR(__xludf.DUMMYFUNCTION("""COMPUTED_VALUE"""),"22SDSCV01018")</f>
        <v>22SDSCV01018</v>
      </c>
      <c r="D345" s="73">
        <f ca="1">IFERROR(__xludf.DUMMYFUNCTION("""COMPUTED_VALUE"""),45222)</f>
        <v>45222</v>
      </c>
      <c r="E345" s="74">
        <f ca="1">IFERROR(__xludf.DUMMYFUNCTION("""COMPUTED_VALUE"""),0)</f>
        <v>0</v>
      </c>
      <c r="F345" s="72">
        <f ca="1">IFERROR(__xludf.DUMMYFUNCTION("""COMPUTED_VALUE"""),0)</f>
        <v>0</v>
      </c>
      <c r="G345" s="75"/>
      <c r="H345" s="59" t="str">
        <f ca="1">IFERROR(__xludf.DUMMYFUNCTION("""COMPUTED_VALUE"""),"UPDATED")</f>
        <v>UPDATED</v>
      </c>
      <c r="I345" s="76" t="str">
        <f ca="1">IFERROR(__xludf.DUMMYFUNCTION("""COMPUTED_VALUE"""),"https://drive.google.com/open?id=1u5sbjE-JCaG9CHIbIxpLdWNxYcf5_8yM")</f>
        <v>https://drive.google.com/open?id=1u5sbjE-JCaG9CHIbIxpLdWNxYcf5_8yM</v>
      </c>
      <c r="J345" s="59"/>
      <c r="K345" s="59"/>
      <c r="L345" s="59"/>
      <c r="M345" s="59"/>
      <c r="N345" s="59"/>
      <c r="O345" s="59"/>
      <c r="P345" s="59"/>
    </row>
    <row r="346" spans="1:16">
      <c r="A346" s="71">
        <f ca="1">IFERROR(__xludf.DUMMYFUNCTION("""COMPUTED_VALUE"""),45222.6326184375)</f>
        <v>45222.632618437499</v>
      </c>
      <c r="B346" s="59" t="str">
        <f ca="1">IFERROR(__xludf.DUMMYFUNCTION("""COMPUTED_VALUE"""),"Krishrajsinh vala")</f>
        <v>Krishrajsinh vala</v>
      </c>
      <c r="C346" s="72" t="str">
        <f ca="1">IFERROR(__xludf.DUMMYFUNCTION("""COMPUTED_VALUE"""),"22SDSCV01015")</f>
        <v>22SDSCV01015</v>
      </c>
      <c r="D346" s="73">
        <f ca="1">IFERROR(__xludf.DUMMYFUNCTION("""COMPUTED_VALUE"""),45222)</f>
        <v>45222</v>
      </c>
      <c r="E346" s="74">
        <f ca="1">IFERROR(__xludf.DUMMYFUNCTION("""COMPUTED_VALUE"""),0)</f>
        <v>0</v>
      </c>
      <c r="F346" s="72">
        <f ca="1">IFERROR(__xludf.DUMMYFUNCTION("""COMPUTED_VALUE"""),0)</f>
        <v>0</v>
      </c>
      <c r="G346" s="75"/>
      <c r="H346" s="59" t="str">
        <f ca="1">IFERROR(__xludf.DUMMYFUNCTION("""COMPUTED_VALUE"""),"UPDATED")</f>
        <v>UPDATED</v>
      </c>
      <c r="I346" s="76" t="str">
        <f ca="1">IFERROR(__xludf.DUMMYFUNCTION("""COMPUTED_VALUE"""),"https://drive.google.com/open?id=1OBuZNxQN2UPhc81mx38ph1XGYFCtGP0a")</f>
        <v>https://drive.google.com/open?id=1OBuZNxQN2UPhc81mx38ph1XGYFCtGP0a</v>
      </c>
      <c r="J346" s="59"/>
      <c r="K346" s="59"/>
      <c r="L346" s="59"/>
      <c r="M346" s="59"/>
      <c r="N346" s="59"/>
      <c r="O346" s="59"/>
      <c r="P346" s="59"/>
    </row>
    <row r="347" spans="1:16">
      <c r="A347" s="71">
        <f ca="1">IFERROR(__xludf.DUMMYFUNCTION("""COMPUTED_VALUE"""),45222.6106928009)</f>
        <v>45222.610692800903</v>
      </c>
      <c r="B347" s="59" t="str">
        <f ca="1">IFERROR(__xludf.DUMMYFUNCTION("""COMPUTED_VALUE"""),"Ttivedi jaimil kamal")</f>
        <v>Ttivedi jaimil kamal</v>
      </c>
      <c r="C347" s="72" t="str">
        <f ca="1">IFERROR(__xludf.DUMMYFUNCTION("""COMPUTED_VALUE"""),"22SDSCE01113")</f>
        <v>22SDSCE01113</v>
      </c>
      <c r="D347" s="73">
        <f ca="1">IFERROR(__xludf.DUMMYFUNCTION("""COMPUTED_VALUE"""),45222)</f>
        <v>45222</v>
      </c>
      <c r="E347" s="74">
        <f ca="1">IFERROR(__xludf.DUMMYFUNCTION("""COMPUTED_VALUE"""),0)</f>
        <v>0</v>
      </c>
      <c r="F347" s="72">
        <f ca="1">IFERROR(__xludf.DUMMYFUNCTION("""COMPUTED_VALUE"""),3200)</f>
        <v>3200</v>
      </c>
      <c r="G347" s="75"/>
      <c r="H347" s="59" t="str">
        <f ca="1">IFERROR(__xludf.DUMMYFUNCTION("""COMPUTED_VALUE"""),"UPDATED")</f>
        <v>UPDATED</v>
      </c>
      <c r="I347" s="76" t="str">
        <f ca="1">IFERROR(__xludf.DUMMYFUNCTION("""COMPUTED_VALUE"""),"https://drive.google.com/open?id=1SUeBGJdoS013Kllh2MKVVD_aNg9gmkGU")</f>
        <v>https://drive.google.com/open?id=1SUeBGJdoS013Kllh2MKVVD_aNg9gmkGU</v>
      </c>
      <c r="J347" s="59"/>
      <c r="K347" s="59"/>
      <c r="L347" s="59"/>
      <c r="M347" s="59"/>
      <c r="N347" s="59"/>
      <c r="O347" s="59"/>
      <c r="P347" s="59"/>
    </row>
    <row r="348" spans="1:16">
      <c r="A348" s="71">
        <f ca="1">IFERROR(__xludf.DUMMYFUNCTION("""COMPUTED_VALUE"""),45222.6020785763)</f>
        <v>45222.602078576303</v>
      </c>
      <c r="B348" s="59" t="str">
        <f ca="1">IFERROR(__xludf.DUMMYFUNCTION("""COMPUTED_VALUE"""),"Trivedi jaimil kamal")</f>
        <v>Trivedi jaimil kamal</v>
      </c>
      <c r="C348" s="72" t="str">
        <f ca="1">IFERROR(__xludf.DUMMYFUNCTION("""COMPUTED_VALUE"""),"22SDSCE01113")</f>
        <v>22SDSCE01113</v>
      </c>
      <c r="D348" s="73">
        <f ca="1">IFERROR(__xludf.DUMMYFUNCTION("""COMPUTED_VALUE"""),45222)</f>
        <v>45222</v>
      </c>
      <c r="E348" s="74">
        <f ca="1">IFERROR(__xludf.DUMMYFUNCTION("""COMPUTED_VALUE"""),0)</f>
        <v>0</v>
      </c>
      <c r="F348" s="72">
        <f ca="1">IFERROR(__xludf.DUMMYFUNCTION("""COMPUTED_VALUE"""),3200)</f>
        <v>3200</v>
      </c>
      <c r="G348" s="75"/>
      <c r="H348" s="59" t="str">
        <f ca="1">IFERROR(__xludf.DUMMYFUNCTION("""COMPUTED_VALUE"""),"WRONG SNAPSHOT")</f>
        <v>WRONG SNAPSHOT</v>
      </c>
      <c r="I348" s="76" t="str">
        <f ca="1">IFERROR(__xludf.DUMMYFUNCTION("""COMPUTED_VALUE"""),"https://drive.google.com/open?id=16erNXB5WXtESBi8x86Dfk3eeqwBMgjK6")</f>
        <v>https://drive.google.com/open?id=16erNXB5WXtESBi8x86Dfk3eeqwBMgjK6</v>
      </c>
      <c r="J348" s="59"/>
      <c r="K348" s="59"/>
      <c r="L348" s="59"/>
      <c r="M348" s="59"/>
      <c r="N348" s="59"/>
      <c r="O348" s="59"/>
      <c r="P348" s="59"/>
    </row>
    <row r="349" spans="1:16">
      <c r="A349" s="71">
        <f ca="1">IFERROR(__xludf.DUMMYFUNCTION("""COMPUTED_VALUE"""),45222.3504011921)</f>
        <v>45222.350401192103</v>
      </c>
      <c r="B349" s="59" t="str">
        <f ca="1">IFERROR(__xludf.DUMMYFUNCTION("""COMPUTED_VALUE"""),"Makda Juzar Abbasbhai")</f>
        <v>Makda Juzar Abbasbhai</v>
      </c>
      <c r="C349" s="72" t="str">
        <f ca="1">IFERROR(__xludf.DUMMYFUNCTION("""COMPUTED_VALUE"""),"21SDSCE01134")</f>
        <v>21SDSCE01134</v>
      </c>
      <c r="D349" s="73">
        <f ca="1">IFERROR(__xludf.DUMMYFUNCTION("""COMPUTED_VALUE"""),45112)</f>
        <v>45112</v>
      </c>
      <c r="E349" s="72"/>
      <c r="F349" s="72">
        <f ca="1">IFERROR(__xludf.DUMMYFUNCTION("""COMPUTED_VALUE"""),2500)</f>
        <v>2500</v>
      </c>
      <c r="G349" s="75"/>
      <c r="H349" s="59" t="str">
        <f ca="1">IFERROR(__xludf.DUMMYFUNCTION("""COMPUTED_VALUE"""),"UPDATED")</f>
        <v>UPDATED</v>
      </c>
      <c r="I349" s="76" t="str">
        <f ca="1">IFERROR(__xludf.DUMMYFUNCTION("""COMPUTED_VALUE"""),"https://drive.google.com/open?id=1SHFYeObvi3KGRJq8Wvxb6LMtpGgvca8w")</f>
        <v>https://drive.google.com/open?id=1SHFYeObvi3KGRJq8Wvxb6LMtpGgvca8w</v>
      </c>
      <c r="J349" s="59"/>
      <c r="K349" s="59"/>
      <c r="L349" s="59"/>
      <c r="M349" s="59"/>
      <c r="N349" s="59"/>
      <c r="O349" s="59"/>
      <c r="P349" s="59"/>
    </row>
    <row r="350" spans="1:16">
      <c r="A350" s="71">
        <f ca="1">IFERROR(__xludf.DUMMYFUNCTION("""COMPUTED_VALUE"""),45219.8486996412)</f>
        <v>45219.848699641203</v>
      </c>
      <c r="B350" s="59" t="str">
        <f ca="1">IFERROR(__xludf.DUMMYFUNCTION("""COMPUTED_VALUE"""),"Dhameliya Nirav Pravinbhai")</f>
        <v>Dhameliya Nirav Pravinbhai</v>
      </c>
      <c r="C350" s="72" t="str">
        <f ca="1">IFERROR(__xludf.DUMMYFUNCTION("""COMPUTED_VALUE"""),"22SDSCE01038")</f>
        <v>22SDSCE01038</v>
      </c>
      <c r="D350" s="73">
        <f ca="1">IFERROR(__xludf.DUMMYFUNCTION("""COMPUTED_VALUE"""),45219)</f>
        <v>45219</v>
      </c>
      <c r="E350" s="74">
        <f ca="1">IFERROR(__xludf.DUMMYFUNCTION("""COMPUTED_VALUE"""),25000)</f>
        <v>25000</v>
      </c>
      <c r="F350" s="72">
        <f ca="1">IFERROR(__xludf.DUMMYFUNCTION("""COMPUTED_VALUE"""),4000)</f>
        <v>4000</v>
      </c>
      <c r="G350" s="75"/>
      <c r="H350" s="59" t="str">
        <f ca="1">IFERROR(__xludf.DUMMYFUNCTION("""COMPUTED_VALUE"""),"UPDATED")</f>
        <v>UPDATED</v>
      </c>
      <c r="I350" s="76" t="str">
        <f ca="1">IFERROR(__xludf.DUMMYFUNCTION("""COMPUTED_VALUE"""),"https://drive.google.com/open?id=1H8YzokYPfhTj3jWRuwCIfIDsUHtZ_0hO")</f>
        <v>https://drive.google.com/open?id=1H8YzokYPfhTj3jWRuwCIfIDsUHtZ_0hO</v>
      </c>
      <c r="J350" s="59"/>
      <c r="K350" s="59"/>
      <c r="L350" s="59"/>
      <c r="M350" s="59"/>
      <c r="N350" s="59"/>
      <c r="O350" s="59"/>
      <c r="P350" s="59"/>
    </row>
    <row r="351" spans="1:16">
      <c r="A351" s="71">
        <f ca="1">IFERROR(__xludf.DUMMYFUNCTION("""COMPUTED_VALUE"""),45218.8622412384)</f>
        <v>45218.862241238399</v>
      </c>
      <c r="B351" s="59" t="str">
        <f ca="1">IFERROR(__xludf.DUMMYFUNCTION("""COMPUTED_VALUE"""),"Foram ghanshyambhai ghelani")</f>
        <v>Foram ghanshyambhai ghelani</v>
      </c>
      <c r="C351" s="72" t="str">
        <f ca="1">IFERROR(__xludf.DUMMYFUNCTION("""COMPUTED_VALUE"""),"22SDSCE01044")</f>
        <v>22SDSCE01044</v>
      </c>
      <c r="D351" s="73">
        <f ca="1">IFERROR(__xludf.DUMMYFUNCTION("""COMPUTED_VALUE"""),45118)</f>
        <v>45118</v>
      </c>
      <c r="E351" s="74">
        <f ca="1">IFERROR(__xludf.DUMMYFUNCTION("""COMPUTED_VALUE"""),25000)</f>
        <v>25000</v>
      </c>
      <c r="F351" s="72">
        <f ca="1">IFERROR(__xludf.DUMMYFUNCTION("""COMPUTED_VALUE"""),3000)</f>
        <v>3000</v>
      </c>
      <c r="G351" s="75"/>
      <c r="H351" s="59" t="str">
        <f ca="1">IFERROR(__xludf.DUMMYFUNCTION("""COMPUTED_VALUE"""),"UPDATE")</f>
        <v>UPDATE</v>
      </c>
      <c r="I351" s="76" t="str">
        <f ca="1">IFERROR(__xludf.DUMMYFUNCTION("""COMPUTED_VALUE"""),"https://drive.google.com/open?id=1zXAVBuQVbbqZez5a50I-mGTN38JTv2wY")</f>
        <v>https://drive.google.com/open?id=1zXAVBuQVbbqZez5a50I-mGTN38JTv2wY</v>
      </c>
      <c r="J351" s="59"/>
      <c r="K351" s="59"/>
      <c r="L351" s="59"/>
      <c r="M351" s="59"/>
      <c r="N351" s="59"/>
      <c r="O351" s="59"/>
      <c r="P351" s="59"/>
    </row>
    <row r="352" spans="1:16">
      <c r="A352" s="71">
        <f ca="1">IFERROR(__xludf.DUMMYFUNCTION("""COMPUTED_VALUE"""),45217.7437596412)</f>
        <v>45217.743759641198</v>
      </c>
      <c r="B352" s="59" t="str">
        <f ca="1">IFERROR(__xludf.DUMMYFUNCTION("""COMPUTED_VALUE"""),"Vekariya saloni ")</f>
        <v xml:space="preserve">Vekariya saloni </v>
      </c>
      <c r="C352" s="72" t="str">
        <f ca="1">IFERROR(__xludf.DUMMYFUNCTION("""COMPUTED_VALUE"""),"21SDSCE01162")</f>
        <v>21SDSCE01162</v>
      </c>
      <c r="D352" s="73">
        <f ca="1">IFERROR(__xludf.DUMMYFUNCTION("""COMPUTED_VALUE"""),45216)</f>
        <v>45216</v>
      </c>
      <c r="E352" s="74">
        <f ca="1">IFERROR(__xludf.DUMMYFUNCTION("""COMPUTED_VALUE"""),12500)</f>
        <v>12500</v>
      </c>
      <c r="F352" s="72">
        <f ca="1">IFERROR(__xludf.DUMMYFUNCTION("""COMPUTED_VALUE"""),3000)</f>
        <v>3000</v>
      </c>
      <c r="G352" s="75"/>
      <c r="H352" s="59" t="str">
        <f ca="1">IFERROR(__xludf.DUMMYFUNCTION("""COMPUTED_VALUE"""),"UPDATE")</f>
        <v>UPDATE</v>
      </c>
      <c r="I352" s="76" t="str">
        <f ca="1">IFERROR(__xludf.DUMMYFUNCTION("""COMPUTED_VALUE"""),"https://drive.google.com/open?id=1ftDDjwWidCjUAzYkzISg7QsiCB5nngyI")</f>
        <v>https://drive.google.com/open?id=1ftDDjwWidCjUAzYkzISg7QsiCB5nngyI</v>
      </c>
      <c r="J352" s="59"/>
      <c r="K352" s="59"/>
      <c r="L352" s="59"/>
      <c r="M352" s="59"/>
      <c r="N352" s="59"/>
      <c r="O352" s="59"/>
      <c r="P352" s="59"/>
    </row>
    <row r="353" spans="1:16">
      <c r="A353" s="71">
        <f ca="1">IFERROR(__xludf.DUMMYFUNCTION("""COMPUTED_VALUE"""),45208.9384042129)</f>
        <v>45208.938404212902</v>
      </c>
      <c r="B353" s="59" t="str">
        <f ca="1">IFERROR(__xludf.DUMMYFUNCTION("""COMPUTED_VALUE"""),"Dipesh pd Patel ")</f>
        <v xml:space="preserve">Dipesh pd Patel </v>
      </c>
      <c r="C353" s="72" t="str">
        <f ca="1">IFERROR(__xludf.DUMMYFUNCTION("""COMPUTED_VALUE"""),"22SDSCV01607")</f>
        <v>22SDSCV01607</v>
      </c>
      <c r="D353" s="73">
        <f ca="1">IFERROR(__xludf.DUMMYFUNCTION("""COMPUTED_VALUE"""),45206)</f>
        <v>45206</v>
      </c>
      <c r="E353" s="74">
        <f ca="1">IFERROR(__xludf.DUMMYFUNCTION("""COMPUTED_VALUE"""),0)</f>
        <v>0</v>
      </c>
      <c r="F353" s="72">
        <f ca="1">IFERROR(__xludf.DUMMYFUNCTION("""COMPUTED_VALUE"""),0)</f>
        <v>0</v>
      </c>
      <c r="G353" s="75"/>
      <c r="H353" s="59" t="str">
        <f ca="1">IFERROR(__xludf.DUMMYFUNCTION("""COMPUTED_VALUE"""),"UPDATE")</f>
        <v>UPDATE</v>
      </c>
      <c r="I353" s="76" t="str">
        <f ca="1">IFERROR(__xludf.DUMMYFUNCTION("""COMPUTED_VALUE"""),"https://drive.google.com/open?id=1Sdeea9-2CBLISKgY7MxUtDTZLezJZsm1")</f>
        <v>https://drive.google.com/open?id=1Sdeea9-2CBLISKgY7MxUtDTZLezJZsm1</v>
      </c>
      <c r="J353" s="59"/>
      <c r="K353" s="59"/>
      <c r="L353" s="59"/>
      <c r="M353" s="59"/>
      <c r="N353" s="59"/>
      <c r="O353" s="59"/>
      <c r="P353" s="59"/>
    </row>
    <row r="354" spans="1:16">
      <c r="A354" s="71">
        <f ca="1">IFERROR(__xludf.DUMMYFUNCTION("""COMPUTED_VALUE"""),45197.6868387268)</f>
        <v>45197.686838726797</v>
      </c>
      <c r="B354" s="59" t="str">
        <f ca="1">IFERROR(__xludf.DUMMYFUNCTION("""COMPUTED_VALUE"""),"Mihir Jungiwala ")</f>
        <v xml:space="preserve">Mihir Jungiwala </v>
      </c>
      <c r="C354" s="72" t="str">
        <f ca="1">IFERROR(__xludf.DUMMYFUNCTION("""COMPUTED_VALUE"""),"21SDSCE01023")</f>
        <v>21SDSCE01023</v>
      </c>
      <c r="D354" s="73">
        <f ca="1">IFERROR(__xludf.DUMMYFUNCTION("""COMPUTED_VALUE"""),45197)</f>
        <v>45197</v>
      </c>
      <c r="E354" s="74">
        <f ca="1">IFERROR(__xludf.DUMMYFUNCTION("""COMPUTED_VALUE"""),25000)</f>
        <v>25000</v>
      </c>
      <c r="F354" s="72">
        <f ca="1">IFERROR(__xludf.DUMMYFUNCTION("""COMPUTED_VALUE"""),2500)</f>
        <v>2500</v>
      </c>
      <c r="G354" s="75"/>
      <c r="H354" s="59" t="str">
        <f ca="1">IFERROR(__xludf.DUMMYFUNCTION("""COMPUTED_VALUE"""),"UPDATE")</f>
        <v>UPDATE</v>
      </c>
      <c r="I354" s="76" t="str">
        <f ca="1">IFERROR(__xludf.DUMMYFUNCTION("""COMPUTED_VALUE"""),"https://drive.google.com/open?id=1rMwC601YW98gPds8-opotKsk87ii3-LK")</f>
        <v>https://drive.google.com/open?id=1rMwC601YW98gPds8-opotKsk87ii3-LK</v>
      </c>
      <c r="J354" s="59"/>
      <c r="K354" s="59"/>
      <c r="L354" s="59"/>
      <c r="M354" s="59"/>
      <c r="N354" s="59"/>
      <c r="O354" s="59"/>
      <c r="P354" s="59"/>
    </row>
    <row r="355" spans="1:16">
      <c r="A355" s="71">
        <f ca="1">IFERROR(__xludf.DUMMYFUNCTION("""COMPUTED_VALUE"""),45197.4892185763)</f>
        <v>45197.489218576302</v>
      </c>
      <c r="B355" s="59" t="str">
        <f ca="1">IFERROR(__xludf.DUMMYFUNCTION("""COMPUTED_VALUE"""),"Makawana yashvi jayeshbhai")</f>
        <v>Makawana yashvi jayeshbhai</v>
      </c>
      <c r="C355" s="72" t="str">
        <f ca="1">IFERROR(__xludf.DUMMYFUNCTION("""COMPUTED_VALUE"""),"21SDSCE01035")</f>
        <v>21SDSCE01035</v>
      </c>
      <c r="D355" s="73">
        <f ca="1">IFERROR(__xludf.DUMMYFUNCTION("""COMPUTED_VALUE"""),45197)</f>
        <v>45197</v>
      </c>
      <c r="E355" s="72"/>
      <c r="F355" s="72">
        <f ca="1">IFERROR(__xludf.DUMMYFUNCTION("""COMPUTED_VALUE"""),2500)</f>
        <v>2500</v>
      </c>
      <c r="G355" s="75"/>
      <c r="H355" s="59" t="str">
        <f ca="1">IFERROR(__xludf.DUMMYFUNCTION("""COMPUTED_VALUE"""),"UPDATE")</f>
        <v>UPDATE</v>
      </c>
      <c r="I355" s="76" t="str">
        <f ca="1">IFERROR(__xludf.DUMMYFUNCTION("""COMPUTED_VALUE"""),"https://drive.google.com/open?id=1v_YAe740MRY6IBKvu4d7o7ZZHCkErC5Y")</f>
        <v>https://drive.google.com/open?id=1v_YAe740MRY6IBKvu4d7o7ZZHCkErC5Y</v>
      </c>
      <c r="J355" s="59"/>
      <c r="K355" s="59"/>
      <c r="L355" s="59"/>
      <c r="M355" s="59"/>
      <c r="N355" s="59"/>
      <c r="O355" s="59"/>
      <c r="P355" s="59"/>
    </row>
    <row r="356" spans="1:16">
      <c r="A356" s="71">
        <f ca="1">IFERROR(__xludf.DUMMYFUNCTION("""COMPUTED_VALUE"""),45194.9361124074)</f>
        <v>45194.936112407398</v>
      </c>
      <c r="B356" s="59" t="str">
        <f ca="1">IFERROR(__xludf.DUMMYFUNCTION("""COMPUTED_VALUE"""),"Vansh vaja")</f>
        <v>Vansh vaja</v>
      </c>
      <c r="C356" s="72" t="str">
        <f ca="1">IFERROR(__xludf.DUMMYFUNCTION("""COMPUTED_VALUE"""),"22SDSCE01195")</f>
        <v>22SDSCE01195</v>
      </c>
      <c r="D356" s="73">
        <f ca="1">IFERROR(__xludf.DUMMYFUNCTION("""COMPUTED_VALUE"""),45194)</f>
        <v>45194</v>
      </c>
      <c r="E356" s="74">
        <f ca="1">IFERROR(__xludf.DUMMYFUNCTION("""COMPUTED_VALUE"""),25000)</f>
        <v>25000</v>
      </c>
      <c r="F356" s="72">
        <f ca="1">IFERROR(__xludf.DUMMYFUNCTION("""COMPUTED_VALUE"""),3000)</f>
        <v>3000</v>
      </c>
      <c r="G356" s="75"/>
      <c r="H356" s="59" t="str">
        <f ca="1">IFERROR(__xludf.DUMMYFUNCTION("""COMPUTED_VALUE"""),"UPDATE")</f>
        <v>UPDATE</v>
      </c>
      <c r="I356" s="76" t="str">
        <f ca="1">IFERROR(__xludf.DUMMYFUNCTION("""COMPUTED_VALUE"""),"https://drive.google.com/open?id=1Fpnt-YnqjpZ8W8F7TKQCYJVkqiv4sOE0")</f>
        <v>https://drive.google.com/open?id=1Fpnt-YnqjpZ8W8F7TKQCYJVkqiv4sOE0</v>
      </c>
      <c r="J356" s="59"/>
      <c r="K356" s="59"/>
      <c r="L356" s="59"/>
      <c r="M356" s="59"/>
      <c r="N356" s="59"/>
      <c r="O356" s="59"/>
      <c r="P356" s="59"/>
    </row>
    <row r="357" spans="1:16">
      <c r="A357" s="71">
        <f ca="1">IFERROR(__xludf.DUMMYFUNCTION("""COMPUTED_VALUE"""),45192.4756268981)</f>
        <v>45192.4756268981</v>
      </c>
      <c r="B357" s="59" t="str">
        <f ca="1">IFERROR(__xludf.DUMMYFUNCTION("""COMPUTED_VALUE"""),"VIKASH KUMAR")</f>
        <v>VIKASH KUMAR</v>
      </c>
      <c r="C357" s="72" t="str">
        <f ca="1">IFERROR(__xludf.DUMMYFUNCTION("""COMPUTED_VALUE"""),"22SDSEE01012")</f>
        <v>22SDSEE01012</v>
      </c>
      <c r="D357" s="73">
        <f ca="1">IFERROR(__xludf.DUMMYFUNCTION("""COMPUTED_VALUE"""),45188)</f>
        <v>45188</v>
      </c>
      <c r="E357" s="72"/>
      <c r="F357" s="72">
        <f ca="1">IFERROR(__xludf.DUMMYFUNCTION("""COMPUTED_VALUE"""),85000)</f>
        <v>85000</v>
      </c>
      <c r="G357" s="75"/>
      <c r="H357" s="59" t="str">
        <f ca="1">IFERROR(__xludf.DUMMYFUNCTION("""COMPUTED_VALUE"""),"UPDATE")</f>
        <v>UPDATE</v>
      </c>
      <c r="I357" s="76" t="str">
        <f ca="1">IFERROR(__xludf.DUMMYFUNCTION("""COMPUTED_VALUE"""),"https://drive.google.com/open?id=18ZDgdD7cleTeErkctgVlP5OBhaqKrPMY")</f>
        <v>https://drive.google.com/open?id=18ZDgdD7cleTeErkctgVlP5OBhaqKrPMY</v>
      </c>
      <c r="J357" s="59"/>
      <c r="K357" s="59"/>
      <c r="L357" s="59"/>
      <c r="M357" s="59"/>
      <c r="N357" s="59"/>
      <c r="O357" s="59"/>
      <c r="P357" s="59"/>
    </row>
    <row r="358" spans="1:16">
      <c r="A358" s="71">
        <f ca="1">IFERROR(__xludf.DUMMYFUNCTION("""COMPUTED_VALUE"""),45191.6039538657)</f>
        <v>45191.603953865699</v>
      </c>
      <c r="B358" s="59" t="str">
        <f ca="1">IFERROR(__xludf.DUMMYFUNCTION("""COMPUTED_VALUE"""),"KAVA MITESH RAJESHBHAI")</f>
        <v>KAVA MITESH RAJESHBHAI</v>
      </c>
      <c r="C358" s="72" t="str">
        <f ca="1">IFERROR(__xludf.DUMMYFUNCTION("""COMPUTED_VALUE"""),"22SDSCE01203")</f>
        <v>22SDSCE01203</v>
      </c>
      <c r="D358" s="73">
        <f ca="1">IFERROR(__xludf.DUMMYFUNCTION("""COMPUTED_VALUE"""),45191)</f>
        <v>45191</v>
      </c>
      <c r="E358" s="74">
        <f ca="1">IFERROR(__xludf.DUMMYFUNCTION("""COMPUTED_VALUE"""),12500)</f>
        <v>12500</v>
      </c>
      <c r="F358" s="72">
        <f ca="1">IFERROR(__xludf.DUMMYFUNCTION("""COMPUTED_VALUE"""),3000)</f>
        <v>3000</v>
      </c>
      <c r="G358" s="75"/>
      <c r="H358" s="59" t="str">
        <f ca="1">IFERROR(__xludf.DUMMYFUNCTION("""COMPUTED_VALUE"""),"UPDATE")</f>
        <v>UPDATE</v>
      </c>
      <c r="I358" s="76" t="str">
        <f ca="1">IFERROR(__xludf.DUMMYFUNCTION("""COMPUTED_VALUE"""),"https://drive.google.com/open?id=1GYkk3Hrg626E9XRz1B01VpcZxfKwGPYG")</f>
        <v>https://drive.google.com/open?id=1GYkk3Hrg626E9XRz1B01VpcZxfKwGPYG</v>
      </c>
      <c r="J358" s="59"/>
      <c r="K358" s="59"/>
      <c r="L358" s="59"/>
      <c r="M358" s="59"/>
      <c r="N358" s="59"/>
      <c r="O358" s="59"/>
      <c r="P358" s="59"/>
    </row>
    <row r="359" spans="1:16">
      <c r="A359" s="71">
        <f ca="1">IFERROR(__xludf.DUMMYFUNCTION("""COMPUTED_VALUE"""),45189.9194570601)</f>
        <v>45189.919457060103</v>
      </c>
      <c r="B359" s="59" t="str">
        <f ca="1">IFERROR(__xludf.DUMMYFUNCTION("""COMPUTED_VALUE"""),"dkardani921@rku.ac.in")</f>
        <v>dkardani921@rku.ac.in</v>
      </c>
      <c r="C359" s="72" t="str">
        <f ca="1">IFERROR(__xludf.DUMMYFUNCTION("""COMPUTED_VALUE"""),"20SDSCE01051")</f>
        <v>20SDSCE01051</v>
      </c>
      <c r="D359" s="73">
        <f ca="1">IFERROR(__xludf.DUMMYFUNCTION("""COMPUTED_VALUE"""),45189)</f>
        <v>45189</v>
      </c>
      <c r="E359" s="74">
        <f ca="1">IFERROR(__xludf.DUMMYFUNCTION("""COMPUTED_VALUE"""),25000)</f>
        <v>25000</v>
      </c>
      <c r="F359" s="72">
        <f ca="1">IFERROR(__xludf.DUMMYFUNCTION("""COMPUTED_VALUE"""),2500)</f>
        <v>2500</v>
      </c>
      <c r="G359" s="75"/>
      <c r="H359" s="59" t="str">
        <f ca="1">IFERROR(__xludf.DUMMYFUNCTION("""COMPUTED_VALUE"""),"UPDATE")</f>
        <v>UPDATE</v>
      </c>
      <c r="I359" s="76" t="str">
        <f ca="1">IFERROR(__xludf.DUMMYFUNCTION("""COMPUTED_VALUE"""),"https://drive.google.com/open?id=1D6_VKHFndLL2AbR9dUpSY55SxjrURXC7")</f>
        <v>https://drive.google.com/open?id=1D6_VKHFndLL2AbR9dUpSY55SxjrURXC7</v>
      </c>
      <c r="J359" s="59"/>
      <c r="K359" s="59"/>
      <c r="L359" s="59"/>
      <c r="M359" s="59"/>
      <c r="N359" s="59"/>
      <c r="O359" s="59"/>
      <c r="P359" s="59"/>
    </row>
    <row r="360" spans="1:16">
      <c r="A360" s="71">
        <f ca="1">IFERROR(__xludf.DUMMYFUNCTION("""COMPUTED_VALUE"""),45189.303020162)</f>
        <v>45189.303020161999</v>
      </c>
      <c r="B360" s="59" t="str">
        <f ca="1">IFERROR(__xludf.DUMMYFUNCTION("""COMPUTED_VALUE"""),"Gohel Maitri Nayanbhai ")</f>
        <v xml:space="preserve">Gohel Maitri Nayanbhai </v>
      </c>
      <c r="C360" s="72" t="str">
        <f ca="1">IFERROR(__xludf.DUMMYFUNCTION("""COMPUTED_VALUE"""),"21SDSCE01128")</f>
        <v>21SDSCE01128</v>
      </c>
      <c r="D360" s="73">
        <f ca="1">IFERROR(__xludf.DUMMYFUNCTION("""COMPUTED_VALUE"""),45189)</f>
        <v>45189</v>
      </c>
      <c r="E360" s="74">
        <f ca="1">IFERROR(__xludf.DUMMYFUNCTION("""COMPUTED_VALUE"""),12500)</f>
        <v>12500</v>
      </c>
      <c r="F360" s="72">
        <f ca="1">IFERROR(__xludf.DUMMYFUNCTION("""COMPUTED_VALUE"""),5000)</f>
        <v>5000</v>
      </c>
      <c r="G360" s="75"/>
      <c r="H360" s="59" t="str">
        <f ca="1">IFERROR(__xludf.DUMMYFUNCTION("""COMPUTED_VALUE"""),"UPDATE")</f>
        <v>UPDATE</v>
      </c>
      <c r="I360" s="76" t="str">
        <f ca="1">IFERROR(__xludf.DUMMYFUNCTION("""COMPUTED_VALUE"""),"https://drive.google.com/open?id=1YUux166XXxeP_MThu2FsZFMgio6ublPY")</f>
        <v>https://drive.google.com/open?id=1YUux166XXxeP_MThu2FsZFMgio6ublPY</v>
      </c>
      <c r="J360" s="59"/>
      <c r="K360" s="59"/>
      <c r="L360" s="59"/>
      <c r="M360" s="59"/>
      <c r="N360" s="59"/>
      <c r="O360" s="59"/>
      <c r="P360" s="59"/>
    </row>
    <row r="361" spans="1:16">
      <c r="A361" s="71">
        <f ca="1">IFERROR(__xludf.DUMMYFUNCTION("""COMPUTED_VALUE"""),45188.8941448726)</f>
        <v>45188.894144872596</v>
      </c>
      <c r="B361" s="59" t="str">
        <f ca="1">IFERROR(__xludf.DUMMYFUNCTION("""COMPUTED_VALUE"""),"DOBARIYA YASH NILESHBHAI")</f>
        <v>DOBARIYA YASH NILESHBHAI</v>
      </c>
      <c r="C361" s="72" t="str">
        <f ca="1">IFERROR(__xludf.DUMMYFUNCTION("""COMPUTED_VALUE"""),"22SDSCE01145")</f>
        <v>22SDSCE01145</v>
      </c>
      <c r="D361" s="73">
        <f ca="1">IFERROR(__xludf.DUMMYFUNCTION("""COMPUTED_VALUE"""),45187)</f>
        <v>45187</v>
      </c>
      <c r="E361" s="72"/>
      <c r="F361" s="72"/>
      <c r="G361" s="75"/>
      <c r="H361" s="59" t="str">
        <f ca="1">IFERROR(__xludf.DUMMYFUNCTION("""COMPUTED_VALUE"""),"UPDATE")</f>
        <v>UPDATE</v>
      </c>
      <c r="I361" s="76" t="str">
        <f ca="1">IFERROR(__xludf.DUMMYFUNCTION("""COMPUTED_VALUE"""),"https://drive.google.com/open?id=1sINh5GHgI-g3X3cixdcGuQ5EB42FLQm5")</f>
        <v>https://drive.google.com/open?id=1sINh5GHgI-g3X3cixdcGuQ5EB42FLQm5</v>
      </c>
      <c r="J361" s="59"/>
      <c r="K361" s="59"/>
      <c r="L361" s="59"/>
      <c r="M361" s="59"/>
      <c r="N361" s="59"/>
      <c r="O361" s="59"/>
      <c r="P361" s="59"/>
    </row>
    <row r="362" spans="1:16">
      <c r="A362" s="71">
        <f ca="1">IFERROR(__xludf.DUMMYFUNCTION("""COMPUTED_VALUE"""),45184.4286161921)</f>
        <v>45184.428616192097</v>
      </c>
      <c r="B362" s="59" t="str">
        <f ca="1">IFERROR(__xludf.DUMMYFUNCTION("""COMPUTED_VALUE"""),"Om vaghasiya ")</f>
        <v xml:space="preserve">Om vaghasiya </v>
      </c>
      <c r="C362" s="72" t="str">
        <f ca="1">IFERROR(__xludf.DUMMYFUNCTION("""COMPUTED_VALUE"""),"21SDSCE01157 ")</f>
        <v xml:space="preserve">21SDSCE01157 </v>
      </c>
      <c r="D362" s="73">
        <f ca="1">IFERROR(__xludf.DUMMYFUNCTION("""COMPUTED_VALUE"""),45184)</f>
        <v>45184</v>
      </c>
      <c r="E362" s="74">
        <f ca="1">IFERROR(__xludf.DUMMYFUNCTION("""COMPUTED_VALUE"""),0)</f>
        <v>0</v>
      </c>
      <c r="F362" s="72">
        <f ca="1">IFERROR(__xludf.DUMMYFUNCTION("""COMPUTED_VALUE"""),2700)</f>
        <v>2700</v>
      </c>
      <c r="G362" s="75"/>
      <c r="H362" s="59" t="str">
        <f ca="1">IFERROR(__xludf.DUMMYFUNCTION("""COMPUTED_VALUE"""),"UPDATE")</f>
        <v>UPDATE</v>
      </c>
      <c r="I362" s="76" t="str">
        <f ca="1">IFERROR(__xludf.DUMMYFUNCTION("""COMPUTED_VALUE"""),"https://drive.google.com/open?id=1aol5nLb6byMY_kzNCUOoFgEdkyPMhYI5")</f>
        <v>https://drive.google.com/open?id=1aol5nLb6byMY_kzNCUOoFgEdkyPMhYI5</v>
      </c>
      <c r="J362" s="59"/>
      <c r="K362" s="59"/>
      <c r="L362" s="59"/>
      <c r="M362" s="59"/>
      <c r="N362" s="59"/>
      <c r="O362" s="59"/>
      <c r="P362" s="59"/>
    </row>
    <row r="363" spans="1:16">
      <c r="A363" s="71">
        <f ca="1">IFERROR(__xludf.DUMMYFUNCTION("""COMPUTED_VALUE"""),45181.3694007291)</f>
        <v>45181.369400729098</v>
      </c>
      <c r="B363" s="59" t="str">
        <f ca="1">IFERROR(__xludf.DUMMYFUNCTION("""COMPUTED_VALUE"""),"Ujjwal kumar")</f>
        <v>Ujjwal kumar</v>
      </c>
      <c r="C363" s="72" t="str">
        <f ca="1">IFERROR(__xludf.DUMMYFUNCTION("""COMPUTED_VALUE"""),"22SDSEE01045")</f>
        <v>22SDSEE01045</v>
      </c>
      <c r="D363" s="73">
        <f ca="1">IFERROR(__xludf.DUMMYFUNCTION("""COMPUTED_VALUE"""),37132)</f>
        <v>37132</v>
      </c>
      <c r="E363" s="74">
        <f ca="1">IFERROR(__xludf.DUMMYFUNCTION("""COMPUTED_VALUE"""),85000)</f>
        <v>85000</v>
      </c>
      <c r="F363" s="72"/>
      <c r="G363" s="75"/>
      <c r="H363" s="59" t="str">
        <f ca="1">IFERROR(__xludf.DUMMYFUNCTION("""COMPUTED_VALUE"""),"UPDATE")</f>
        <v>UPDATE</v>
      </c>
      <c r="I363" s="76" t="str">
        <f ca="1">IFERROR(__xludf.DUMMYFUNCTION("""COMPUTED_VALUE"""),"https://drive.google.com/open?id=1lYnKEHQDPJfBOa8Z7QsXVsQsA6rVEAgW")</f>
        <v>https://drive.google.com/open?id=1lYnKEHQDPJfBOa8Z7QsXVsQsA6rVEAgW</v>
      </c>
      <c r="J363" s="59"/>
      <c r="K363" s="59"/>
      <c r="L363" s="59"/>
      <c r="M363" s="59"/>
      <c r="N363" s="59"/>
      <c r="O363" s="59"/>
      <c r="P363" s="59"/>
    </row>
    <row r="364" spans="1:16">
      <c r="A364" s="71">
        <f ca="1">IFERROR(__xludf.DUMMYFUNCTION("""COMPUTED_VALUE"""),45180.8579066435)</f>
        <v>45180.857906643498</v>
      </c>
      <c r="B364" s="59" t="str">
        <f ca="1">IFERROR(__xludf.DUMMYFUNCTION("""COMPUTED_VALUE"""),"Sudip Chaudhary Sudip Chaudhary")</f>
        <v>Sudip Chaudhary Sudip Chaudhary</v>
      </c>
      <c r="C364" s="72" t="str">
        <f ca="1">IFERROR(__xludf.DUMMYFUNCTION("""COMPUTED_VALUE"""),"22SDSCE01624")</f>
        <v>22SDSCE01624</v>
      </c>
      <c r="D364" s="73">
        <f ca="1">IFERROR(__xludf.DUMMYFUNCTION("""COMPUTED_VALUE"""),45167)</f>
        <v>45167</v>
      </c>
      <c r="E364" s="72"/>
      <c r="F364" s="72"/>
      <c r="G364" s="75"/>
      <c r="H364" s="59" t="str">
        <f ca="1">IFERROR(__xludf.DUMMYFUNCTION("""COMPUTED_VALUE"""),"UPDATE")</f>
        <v>UPDATE</v>
      </c>
      <c r="I364" s="76" t="str">
        <f ca="1">IFERROR(__xludf.DUMMYFUNCTION("""COMPUTED_VALUE"""),"https://drive.google.com/open?id=1gfUlKK-l6vbWWIBecIK8SWhI4ZtbYO3b")</f>
        <v>https://drive.google.com/open?id=1gfUlKK-l6vbWWIBecIK8SWhI4ZtbYO3b</v>
      </c>
      <c r="J364" s="59"/>
      <c r="K364" s="59"/>
      <c r="L364" s="59"/>
      <c r="M364" s="59"/>
      <c r="N364" s="59"/>
      <c r="O364" s="59"/>
      <c r="P364" s="59"/>
    </row>
    <row r="365" spans="1:16">
      <c r="A365" s="71">
        <f ca="1">IFERROR(__xludf.DUMMYFUNCTION("""COMPUTED_VALUE"""),45180.8541435763)</f>
        <v>45180.854143576304</v>
      </c>
      <c r="B365" s="59" t="str">
        <f ca="1">IFERROR(__xludf.DUMMYFUNCTION("""COMPUTED_VALUE"""),"Sudip Chaudhary ")</f>
        <v xml:space="preserve">Sudip Chaudhary </v>
      </c>
      <c r="C365" s="72" t="str">
        <f ca="1">IFERROR(__xludf.DUMMYFUNCTION("""COMPUTED_VALUE"""),"22SDSCE01624")</f>
        <v>22SDSCE01624</v>
      </c>
      <c r="D365" s="73">
        <f ca="1">IFERROR(__xludf.DUMMYFUNCTION("""COMPUTED_VALUE"""),45167)</f>
        <v>45167</v>
      </c>
      <c r="E365" s="72"/>
      <c r="F365" s="72"/>
      <c r="G365" s="75"/>
      <c r="H365" s="59" t="str">
        <f ca="1">IFERROR(__xludf.DUMMYFUNCTION("""COMPUTED_VALUE"""),"UPDATE")</f>
        <v>UPDATE</v>
      </c>
      <c r="I365" s="76" t="str">
        <f ca="1">IFERROR(__xludf.DUMMYFUNCTION("""COMPUTED_VALUE"""),"https://drive.google.com/open?id=1JyP2FOW5ioAYGQg3lKNu2NuIJZakKRhk")</f>
        <v>https://drive.google.com/open?id=1JyP2FOW5ioAYGQg3lKNu2NuIJZakKRhk</v>
      </c>
      <c r="J365" s="59"/>
      <c r="K365" s="59"/>
      <c r="L365" s="59"/>
      <c r="M365" s="59"/>
      <c r="N365" s="59"/>
      <c r="O365" s="59"/>
      <c r="P365" s="59"/>
    </row>
    <row r="366" spans="1:16">
      <c r="A366" s="71">
        <f ca="1">IFERROR(__xludf.DUMMYFUNCTION("""COMPUTED_VALUE"""),45165.9922043055)</f>
        <v>45165.992204305498</v>
      </c>
      <c r="B366" s="59" t="str">
        <f ca="1">IFERROR(__xludf.DUMMYFUNCTION("""COMPUTED_VALUE"""),"Kunjal thakkar")</f>
        <v>Kunjal thakkar</v>
      </c>
      <c r="C366" s="72" t="str">
        <f ca="1">IFERROR(__xludf.DUMMYFUNCTION("""COMPUTED_VALUE"""),"21SDSCE01052")</f>
        <v>21SDSCE01052</v>
      </c>
      <c r="D366" s="73">
        <f ca="1">IFERROR(__xludf.DUMMYFUNCTION("""COMPUTED_VALUE"""),45147)</f>
        <v>45147</v>
      </c>
      <c r="E366" s="74">
        <f ca="1">IFERROR(__xludf.DUMMYFUNCTION("""COMPUTED_VALUE"""),25000)</f>
        <v>25000</v>
      </c>
      <c r="F366" s="72">
        <f ca="1">IFERROR(__xludf.DUMMYFUNCTION("""COMPUTED_VALUE"""),2500)</f>
        <v>2500</v>
      </c>
      <c r="G366" s="75"/>
      <c r="H366" s="59" t="str">
        <f ca="1">IFERROR(__xludf.DUMMYFUNCTION("""COMPUTED_VALUE"""),"UPDATE")</f>
        <v>UPDATE</v>
      </c>
      <c r="I366" s="76" t="str">
        <f ca="1">IFERROR(__xludf.DUMMYFUNCTION("""COMPUTED_VALUE"""),"https://drive.google.com/open?id=1Jc-l6QaTmDlz-UHuVcm8-5kd2QipStAe")</f>
        <v>https://drive.google.com/open?id=1Jc-l6QaTmDlz-UHuVcm8-5kd2QipStAe</v>
      </c>
      <c r="J366" s="59"/>
      <c r="K366" s="59"/>
      <c r="L366" s="59"/>
      <c r="M366" s="59"/>
      <c r="N366" s="59"/>
      <c r="O366" s="59"/>
      <c r="P366" s="59"/>
    </row>
    <row r="367" spans="1:16">
      <c r="A367" s="71">
        <f ca="1">IFERROR(__xludf.DUMMYFUNCTION("""COMPUTED_VALUE"""),45165.5219074305)</f>
        <v>45165.521907430499</v>
      </c>
      <c r="B367" s="59" t="str">
        <f ca="1">IFERROR(__xludf.DUMMYFUNCTION("""COMPUTED_VALUE"""),"JitKumar Arvindbhai mavani ")</f>
        <v xml:space="preserve">JitKumar Arvindbhai mavani </v>
      </c>
      <c r="C367" s="72" t="str">
        <f ca="1">IFERROR(__xludf.DUMMYFUNCTION("""COMPUTED_VALUE"""),"22SDSCE01172")</f>
        <v>22SDSCE01172</v>
      </c>
      <c r="D367" s="73">
        <f ca="1">IFERROR(__xludf.DUMMYFUNCTION("""COMPUTED_VALUE"""),45163)</f>
        <v>45163</v>
      </c>
      <c r="E367" s="72"/>
      <c r="F367" s="72"/>
      <c r="G367" s="75"/>
      <c r="H367" s="59" t="str">
        <f ca="1">IFERROR(__xludf.DUMMYFUNCTION("""COMPUTED_VALUE"""),"UPDATE")</f>
        <v>UPDATE</v>
      </c>
      <c r="I367" s="76" t="str">
        <f ca="1">IFERROR(__xludf.DUMMYFUNCTION("""COMPUTED_VALUE"""),"https://drive.google.com/open?id=17liOxLHY1rN7ekZzmp4lgm6Vs09SMdC2")</f>
        <v>https://drive.google.com/open?id=17liOxLHY1rN7ekZzmp4lgm6Vs09SMdC2</v>
      </c>
      <c r="J367" s="59"/>
      <c r="K367" s="59"/>
      <c r="L367" s="59"/>
      <c r="M367" s="59"/>
      <c r="N367" s="59"/>
      <c r="O367" s="59"/>
      <c r="P367" s="59"/>
    </row>
    <row r="368" spans="1:16">
      <c r="A368" s="71">
        <f ca="1">IFERROR(__xludf.DUMMYFUNCTION("""COMPUTED_VALUE"""),45164.6563467824)</f>
        <v>45164.656346782402</v>
      </c>
      <c r="B368" s="59" t="str">
        <f ca="1">IFERROR(__xludf.DUMMYFUNCTION("""COMPUTED_VALUE"""),"Mohit Kaushik Paddhariya")</f>
        <v>Mohit Kaushik Paddhariya</v>
      </c>
      <c r="C368" s="72" t="str">
        <f ca="1">IFERROR(__xludf.DUMMYFUNCTION("""COMPUTED_VALUE"""),"21SDSCE01038")</f>
        <v>21SDSCE01038</v>
      </c>
      <c r="D368" s="73">
        <f ca="1">IFERROR(__xludf.DUMMYFUNCTION("""COMPUTED_VALUE"""),45163)</f>
        <v>45163</v>
      </c>
      <c r="E368" s="72"/>
      <c r="F368" s="72">
        <f ca="1">IFERROR(__xludf.DUMMYFUNCTION("""COMPUTED_VALUE"""),2500)</f>
        <v>2500</v>
      </c>
      <c r="G368" s="75"/>
      <c r="H368" s="59" t="str">
        <f ca="1">IFERROR(__xludf.DUMMYFUNCTION("""COMPUTED_VALUE"""),"UPDATE")</f>
        <v>UPDATE</v>
      </c>
      <c r="I368" s="76" t="str">
        <f ca="1">IFERROR(__xludf.DUMMYFUNCTION("""COMPUTED_VALUE"""),"https://drive.google.com/open?id=1bPGo_1B3Ra9fSBLZnCFhLoWVuANlbQT8")</f>
        <v>https://drive.google.com/open?id=1bPGo_1B3Ra9fSBLZnCFhLoWVuANlbQT8</v>
      </c>
      <c r="J368" s="59"/>
      <c r="K368" s="59"/>
      <c r="L368" s="59"/>
      <c r="M368" s="59"/>
      <c r="N368" s="59"/>
      <c r="O368" s="59"/>
      <c r="P368" s="59"/>
    </row>
    <row r="369" spans="1:16">
      <c r="A369" s="71">
        <f ca="1">IFERROR(__xludf.DUMMYFUNCTION("""COMPUTED_VALUE"""),45162.528452824)</f>
        <v>45162.528452824001</v>
      </c>
      <c r="B369" s="59" t="str">
        <f ca="1">IFERROR(__xludf.DUMMYFUNCTION("""COMPUTED_VALUE"""),"Prakash Gurung ")</f>
        <v xml:space="preserve">Prakash Gurung </v>
      </c>
      <c r="C369" s="72" t="str">
        <f ca="1">IFERROR(__xludf.DUMMYFUNCTION("""COMPUTED_VALUE"""),"22SDSEE01601")</f>
        <v>22SDSEE01601</v>
      </c>
      <c r="D369" s="73">
        <f ca="1">IFERROR(__xludf.DUMMYFUNCTION("""COMPUTED_VALUE"""),45161)</f>
        <v>45161</v>
      </c>
      <c r="E369" s="74">
        <f ca="1">IFERROR(__xludf.DUMMYFUNCTION("""COMPUTED_VALUE"""),37500)</f>
        <v>37500</v>
      </c>
      <c r="F369" s="72"/>
      <c r="G369" s="75"/>
      <c r="H369" s="59" t="str">
        <f ca="1">IFERROR(__xludf.DUMMYFUNCTION("""COMPUTED_VALUE"""),"UPDATE")</f>
        <v>UPDATE</v>
      </c>
      <c r="I369" s="76" t="str">
        <f ca="1">IFERROR(__xludf.DUMMYFUNCTION("""COMPUTED_VALUE"""),"https://drive.google.com/open?id=1Vn1YRukCzp1TuaJb7o4FP2N5LAORMtsh")</f>
        <v>https://drive.google.com/open?id=1Vn1YRukCzp1TuaJb7o4FP2N5LAORMtsh</v>
      </c>
      <c r="J369" s="59"/>
      <c r="K369" s="59"/>
      <c r="L369" s="59"/>
      <c r="M369" s="59"/>
      <c r="N369" s="59"/>
      <c r="O369" s="59"/>
      <c r="P369" s="59"/>
    </row>
    <row r="370" spans="1:16">
      <c r="A370" s="71">
        <f ca="1">IFERROR(__xludf.DUMMYFUNCTION("""COMPUTED_VALUE"""),45161.6849765856)</f>
        <v>45161.684976585602</v>
      </c>
      <c r="B370" s="59" t="str">
        <f ca="1">IFERROR(__xludf.DUMMYFUNCTION("""COMPUTED_VALUE"""),"Surendra Kumar mahato")</f>
        <v>Surendra Kumar mahato</v>
      </c>
      <c r="C370" s="72" t="str">
        <f ca="1">IFERROR(__xludf.DUMMYFUNCTION("""COMPUTED_VALUE"""),"22sdsce01609")</f>
        <v>22sdsce01609</v>
      </c>
      <c r="D370" s="73">
        <f ca="1">IFERROR(__xludf.DUMMYFUNCTION("""COMPUTED_VALUE"""),45161)</f>
        <v>45161</v>
      </c>
      <c r="E370" s="72"/>
      <c r="F370" s="72">
        <f ca="1">IFERROR(__xludf.DUMMYFUNCTION("""COMPUTED_VALUE"""),38500)</f>
        <v>38500</v>
      </c>
      <c r="G370" s="75"/>
      <c r="H370" s="59"/>
      <c r="I370" s="76" t="str">
        <f ca="1">IFERROR(__xludf.DUMMYFUNCTION("""COMPUTED_VALUE"""),"https://drive.google.com/open?id=1ceTuTNp-ZajiZ3oERigmn3WevSwlMSYX")</f>
        <v>https://drive.google.com/open?id=1ceTuTNp-ZajiZ3oERigmn3WevSwlMSYX</v>
      </c>
      <c r="J370" s="59"/>
      <c r="K370" s="59"/>
      <c r="L370" s="59"/>
      <c r="M370" s="59"/>
      <c r="N370" s="59"/>
      <c r="O370" s="59"/>
      <c r="P370" s="59"/>
    </row>
    <row r="371" spans="1:16">
      <c r="A371" s="71">
        <f ca="1">IFERROR(__xludf.DUMMYFUNCTION("""COMPUTED_VALUE"""),45155.9303816782)</f>
        <v>45155.930381678198</v>
      </c>
      <c r="B371" s="59" t="str">
        <f ca="1">IFERROR(__xludf.DUMMYFUNCTION("""COMPUTED_VALUE"""),"Dev Ramjiyani ")</f>
        <v xml:space="preserve">Dev Ramjiyani </v>
      </c>
      <c r="C371" s="72" t="str">
        <f ca="1">IFERROR(__xludf.DUMMYFUNCTION("""COMPUTED_VALUE"""),"22SDSCE01183")</f>
        <v>22SDSCE01183</v>
      </c>
      <c r="D371" s="73">
        <f ca="1">IFERROR(__xludf.DUMMYFUNCTION("""COMPUTED_VALUE"""),45155)</f>
        <v>45155</v>
      </c>
      <c r="E371" s="72"/>
      <c r="F371" s="72"/>
      <c r="G371" s="75"/>
      <c r="H371" s="59" t="str">
        <f ca="1">IFERROR(__xludf.DUMMYFUNCTION("""COMPUTED_VALUE"""),"UPDATE")</f>
        <v>UPDATE</v>
      </c>
      <c r="I371" s="76" t="str">
        <f ca="1">IFERROR(__xludf.DUMMYFUNCTION("""COMPUTED_VALUE"""),"https://drive.google.com/open?id=1YoIdbmjCtVrrpasQUzj4wNVY92m4kB1M")</f>
        <v>https://drive.google.com/open?id=1YoIdbmjCtVrrpasQUzj4wNVY92m4kB1M</v>
      </c>
      <c r="J371" s="59"/>
      <c r="K371" s="59"/>
      <c r="L371" s="59"/>
      <c r="M371" s="59"/>
      <c r="N371" s="59"/>
      <c r="O371" s="59"/>
      <c r="P371" s="59"/>
    </row>
    <row r="372" spans="1:16">
      <c r="A372" s="71">
        <f ca="1">IFERROR(__xludf.DUMMYFUNCTION("""COMPUTED_VALUE"""),45155.6961576736)</f>
        <v>45155.696157673599</v>
      </c>
      <c r="B372" s="59" t="str">
        <f ca="1">IFERROR(__xludf.DUMMYFUNCTION("""COMPUTED_VALUE"""),"Sahid safi")</f>
        <v>Sahid safi</v>
      </c>
      <c r="C372" s="72" t="str">
        <f ca="1">IFERROR(__xludf.DUMMYFUNCTION("""COMPUTED_VALUE"""),"22sdsce01614")</f>
        <v>22sdsce01614</v>
      </c>
      <c r="D372" s="73">
        <f ca="1">IFERROR(__xludf.DUMMYFUNCTION("""COMPUTED_VALUE"""),45155)</f>
        <v>45155</v>
      </c>
      <c r="E372" s="72"/>
      <c r="F372" s="72">
        <f ca="1">IFERROR(__xludf.DUMMYFUNCTION("""COMPUTED_VALUE"""),75000)</f>
        <v>75000</v>
      </c>
      <c r="G372" s="75"/>
      <c r="H372" s="59" t="str">
        <f ca="1">IFERROR(__xludf.DUMMYFUNCTION("""COMPUTED_VALUE"""),"UPDATE")</f>
        <v>UPDATE</v>
      </c>
      <c r="I372" s="76" t="str">
        <f ca="1">IFERROR(__xludf.DUMMYFUNCTION("""COMPUTED_VALUE"""),"https://drive.google.com/open?id=1sxp6rqmE_ANg0YDMD7QDe-JfzWuSJhU0")</f>
        <v>https://drive.google.com/open?id=1sxp6rqmE_ANg0YDMD7QDe-JfzWuSJhU0</v>
      </c>
      <c r="J372" s="59"/>
      <c r="K372" s="59"/>
      <c r="L372" s="59"/>
      <c r="M372" s="59"/>
      <c r="N372" s="59"/>
      <c r="O372" s="59"/>
      <c r="P372" s="59"/>
    </row>
    <row r="373" spans="1:16">
      <c r="A373" s="71">
        <f ca="1">IFERROR(__xludf.DUMMYFUNCTION("""COMPUTED_VALUE"""),45155.4484951273)</f>
        <v>45155.448495127297</v>
      </c>
      <c r="B373" s="59" t="str">
        <f ca="1">IFERROR(__xludf.DUMMYFUNCTION("""COMPUTED_VALUE"""),"PRABIND KUMAR MANDAL ")</f>
        <v xml:space="preserve">PRABIND KUMAR MANDAL </v>
      </c>
      <c r="C373" s="72" t="str">
        <f ca="1">IFERROR(__xludf.DUMMYFUNCTION("""COMPUTED_VALUE"""),"22SDSCE01602")</f>
        <v>22SDSCE01602</v>
      </c>
      <c r="D373" s="73">
        <f ca="1">IFERROR(__xludf.DUMMYFUNCTION("""COMPUTED_VALUE"""),45155)</f>
        <v>45155</v>
      </c>
      <c r="E373" s="72"/>
      <c r="F373" s="72"/>
      <c r="G373" s="75"/>
      <c r="H373" s="59" t="str">
        <f ca="1">IFERROR(__xludf.DUMMYFUNCTION("""COMPUTED_VALUE"""),"UPDATE")</f>
        <v>UPDATE</v>
      </c>
      <c r="I373" s="76" t="str">
        <f ca="1">IFERROR(__xludf.DUMMYFUNCTION("""COMPUTED_VALUE"""),"https://drive.google.com/open?id=11Zu4Olo1kHyKpLNYhIF-QqeVO2pZgsIs")</f>
        <v>https://drive.google.com/open?id=11Zu4Olo1kHyKpLNYhIF-QqeVO2pZgsIs</v>
      </c>
      <c r="J373" s="59"/>
      <c r="K373" s="59"/>
      <c r="L373" s="59"/>
      <c r="M373" s="59"/>
      <c r="N373" s="59"/>
      <c r="O373" s="59"/>
      <c r="P373" s="59"/>
    </row>
    <row r="374" spans="1:16">
      <c r="A374" s="71">
        <f ca="1">IFERROR(__xludf.DUMMYFUNCTION("""COMPUTED_VALUE"""),45152.6921398611)</f>
        <v>45152.692139861101</v>
      </c>
      <c r="B374" s="59" t="str">
        <f ca="1">IFERROR(__xludf.DUMMYFUNCTION("""COMPUTED_VALUE"""),"Abdul Hakim")</f>
        <v>Abdul Hakim</v>
      </c>
      <c r="C374" s="72" t="str">
        <f ca="1">IFERROR(__xludf.DUMMYFUNCTION("""COMPUTED_VALUE"""),"22SDSCE01621")</f>
        <v>22SDSCE01621</v>
      </c>
      <c r="D374" s="73">
        <f ca="1">IFERROR(__xludf.DUMMYFUNCTION("""COMPUTED_VALUE"""),45152)</f>
        <v>45152</v>
      </c>
      <c r="E374" s="72"/>
      <c r="F374" s="72">
        <f ca="1">IFERROR(__xludf.DUMMYFUNCTION("""COMPUTED_VALUE"""),37502)</f>
        <v>37502</v>
      </c>
      <c r="G374" s="75"/>
      <c r="H374" s="59" t="str">
        <f ca="1">IFERROR(__xludf.DUMMYFUNCTION("""COMPUTED_VALUE"""),"UPDATE")</f>
        <v>UPDATE</v>
      </c>
      <c r="I374" s="76" t="str">
        <f ca="1">IFERROR(__xludf.DUMMYFUNCTION("""COMPUTED_VALUE"""),"https://drive.google.com/open?id=1ZOYZy_xWgenDxK4HvKCwEAlStcO0V71y")</f>
        <v>https://drive.google.com/open?id=1ZOYZy_xWgenDxK4HvKCwEAlStcO0V71y</v>
      </c>
      <c r="J374" s="59"/>
      <c r="K374" s="59"/>
      <c r="L374" s="59"/>
      <c r="M374" s="59"/>
      <c r="N374" s="59"/>
      <c r="O374" s="59"/>
      <c r="P374" s="59"/>
    </row>
    <row r="375" spans="1:16">
      <c r="A375" s="71">
        <f ca="1">IFERROR(__xludf.DUMMYFUNCTION("""COMPUTED_VALUE"""),45152.6744440625)</f>
        <v>45152.674444062497</v>
      </c>
      <c r="B375" s="59" t="str">
        <f ca="1">IFERROR(__xludf.DUMMYFUNCTION("""COMPUTED_VALUE"""),"Sumit Kumar Chaudhary ")</f>
        <v xml:space="preserve">Sumit Kumar Chaudhary </v>
      </c>
      <c r="C375" s="72" t="str">
        <f ca="1">IFERROR(__xludf.DUMMYFUNCTION("""COMPUTED_VALUE"""),"22SDSCE01615")</f>
        <v>22SDSCE01615</v>
      </c>
      <c r="D375" s="73">
        <f ca="1">IFERROR(__xludf.DUMMYFUNCTION("""COMPUTED_VALUE"""),45152)</f>
        <v>45152</v>
      </c>
      <c r="E375" s="72"/>
      <c r="F375" s="72"/>
      <c r="G375" s="75"/>
      <c r="H375" s="59" t="str">
        <f ca="1">IFERROR(__xludf.DUMMYFUNCTION("""COMPUTED_VALUE"""),"UPDATE")</f>
        <v>UPDATE</v>
      </c>
      <c r="I375" s="76" t="str">
        <f ca="1">IFERROR(__xludf.DUMMYFUNCTION("""COMPUTED_VALUE"""),"https://drive.google.com/open?id=10YpxgUUwuJA6mBBqlA5LHaSZm2huBwHH")</f>
        <v>https://drive.google.com/open?id=10YpxgUUwuJA6mBBqlA5LHaSZm2huBwHH</v>
      </c>
      <c r="J375" s="59"/>
      <c r="K375" s="59"/>
      <c r="L375" s="59"/>
      <c r="M375" s="59"/>
      <c r="N375" s="59"/>
      <c r="O375" s="59"/>
      <c r="P375" s="59"/>
    </row>
    <row r="376" spans="1:16">
      <c r="A376" s="71">
        <f ca="1">IFERROR(__xludf.DUMMYFUNCTION("""COMPUTED_VALUE"""),45150.7666594675)</f>
        <v>45150.766659467503</v>
      </c>
      <c r="B376" s="59" t="str">
        <f ca="1">IFERROR(__xludf.DUMMYFUNCTION("""COMPUTED_VALUE"""),"Dev Ramjiyani ")</f>
        <v xml:space="preserve">Dev Ramjiyani </v>
      </c>
      <c r="C376" s="72" t="str">
        <f ca="1">IFERROR(__xludf.DUMMYFUNCTION("""COMPUTED_VALUE"""),"22SDSCE01183")</f>
        <v>22SDSCE01183</v>
      </c>
      <c r="D376" s="73">
        <f ca="1">IFERROR(__xludf.DUMMYFUNCTION("""COMPUTED_VALUE"""),45150)</f>
        <v>45150</v>
      </c>
      <c r="E376" s="74">
        <f ca="1">IFERROR(__xludf.DUMMYFUNCTION("""COMPUTED_VALUE"""),25000)</f>
        <v>25000</v>
      </c>
      <c r="F376" s="72">
        <f ca="1">IFERROR(__xludf.DUMMYFUNCTION("""COMPUTED_VALUE"""),3000)</f>
        <v>3000</v>
      </c>
      <c r="G376" s="75"/>
      <c r="H376" s="59" t="str">
        <f ca="1">IFERROR(__xludf.DUMMYFUNCTION("""COMPUTED_VALUE"""),"UPDATE")</f>
        <v>UPDATE</v>
      </c>
      <c r="I376" s="76" t="str">
        <f ca="1">IFERROR(__xludf.DUMMYFUNCTION("""COMPUTED_VALUE"""),"https://drive.google.com/open?id=1RtBde4s3oakNlpVmxHiUnudkZ7S7hcij")</f>
        <v>https://drive.google.com/open?id=1RtBde4s3oakNlpVmxHiUnudkZ7S7hcij</v>
      </c>
      <c r="J376" s="59"/>
      <c r="K376" s="59"/>
      <c r="L376" s="59"/>
      <c r="M376" s="59"/>
      <c r="N376" s="59"/>
      <c r="O376" s="59"/>
      <c r="P376" s="59"/>
    </row>
    <row r="377" spans="1:16">
      <c r="A377" s="71">
        <f ca="1">IFERROR(__xludf.DUMMYFUNCTION("""COMPUTED_VALUE"""),45150.47870228)</f>
        <v>45150.478702280001</v>
      </c>
      <c r="B377" s="59" t="str">
        <f ca="1">IFERROR(__xludf.DUMMYFUNCTION("""COMPUTED_VALUE"""),"Shubham kumar")</f>
        <v>Shubham kumar</v>
      </c>
      <c r="C377" s="72" t="str">
        <f ca="1">IFERROR(__xludf.DUMMYFUNCTION("""COMPUTED_VALUE"""),"22SDSEE01043")</f>
        <v>22SDSEE01043</v>
      </c>
      <c r="D377" s="73">
        <f ca="1">IFERROR(__xludf.DUMMYFUNCTION("""COMPUTED_VALUE"""),44875)</f>
        <v>44875</v>
      </c>
      <c r="E377" s="74">
        <f ca="1">IFERROR(__xludf.DUMMYFUNCTION("""COMPUTED_VALUE"""),20000)</f>
        <v>20000</v>
      </c>
      <c r="F377" s="72">
        <f ca="1">IFERROR(__xludf.DUMMYFUNCTION("""COMPUTED_VALUE"""),0)</f>
        <v>0</v>
      </c>
      <c r="G377" s="75"/>
      <c r="H377" s="59" t="str">
        <f ca="1">IFERROR(__xludf.DUMMYFUNCTION("""COMPUTED_VALUE"""),"UPDATE")</f>
        <v>UPDATE</v>
      </c>
      <c r="I377" s="76" t="str">
        <f ca="1">IFERROR(__xludf.DUMMYFUNCTION("""COMPUTED_VALUE"""),"https://drive.google.com/open?id=1_lQ9gIi19WLhljMy0L1msph3qv3saJDC")</f>
        <v>https://drive.google.com/open?id=1_lQ9gIi19WLhljMy0L1msph3qv3saJDC</v>
      </c>
      <c r="J377" s="59"/>
      <c r="K377" s="59"/>
      <c r="L377" s="59"/>
      <c r="M377" s="59"/>
      <c r="N377" s="59"/>
      <c r="O377" s="59"/>
      <c r="P377" s="59"/>
    </row>
    <row r="378" spans="1:16">
      <c r="A378" s="71">
        <f ca="1">IFERROR(__xludf.DUMMYFUNCTION("""COMPUTED_VALUE"""),45149.5336848726)</f>
        <v>45149.5336848726</v>
      </c>
      <c r="B378" s="59" t="str">
        <f ca="1">IFERROR(__xludf.DUMMYFUNCTION("""COMPUTED_VALUE"""),"Navin Kumar Gupta ")</f>
        <v xml:space="preserve">Navin Kumar Gupta </v>
      </c>
      <c r="C378" s="72" t="str">
        <f ca="1">IFERROR(__xludf.DUMMYFUNCTION("""COMPUTED_VALUE"""),"22SDSEE01029")</f>
        <v>22SDSEE01029</v>
      </c>
      <c r="D378" s="73">
        <f ca="1">IFERROR(__xludf.DUMMYFUNCTION("""COMPUTED_VALUE"""),45149)</f>
        <v>45149</v>
      </c>
      <c r="E378" s="74">
        <f ca="1">IFERROR(__xludf.DUMMYFUNCTION("""COMPUTED_VALUE"""),42500)</f>
        <v>42500</v>
      </c>
      <c r="F378" s="72"/>
      <c r="G378" s="75"/>
      <c r="H378" s="59" t="str">
        <f ca="1">IFERROR(__xludf.DUMMYFUNCTION("""COMPUTED_VALUE"""),"UPDATE")</f>
        <v>UPDATE</v>
      </c>
      <c r="I378" s="76" t="str">
        <f ca="1">IFERROR(__xludf.DUMMYFUNCTION("""COMPUTED_VALUE"""),"https://drive.google.com/open?id=1_QPYZuDcu6vjFk4en4Bfcf_YBzMUVxUo")</f>
        <v>https://drive.google.com/open?id=1_QPYZuDcu6vjFk4en4Bfcf_YBzMUVxUo</v>
      </c>
      <c r="J378" s="59"/>
      <c r="K378" s="59"/>
      <c r="L378" s="59"/>
      <c r="M378" s="59"/>
      <c r="N378" s="59"/>
      <c r="O378" s="59"/>
      <c r="P378" s="59"/>
    </row>
    <row r="379" spans="1:16">
      <c r="A379" s="71">
        <f ca="1">IFERROR(__xludf.DUMMYFUNCTION("""COMPUTED_VALUE"""),45148.5571062384)</f>
        <v>45148.557106238397</v>
      </c>
      <c r="B379" s="59" t="str">
        <f ca="1">IFERROR(__xludf.DUMMYFUNCTION("""COMPUTED_VALUE"""),"Vansh vaja")</f>
        <v>Vansh vaja</v>
      </c>
      <c r="C379" s="72" t="str">
        <f ca="1">IFERROR(__xludf.DUMMYFUNCTION("""COMPUTED_VALUE"""),"22sdsce01195")</f>
        <v>22sdsce01195</v>
      </c>
      <c r="D379" s="73">
        <f ca="1">IFERROR(__xludf.DUMMYFUNCTION("""COMPUTED_VALUE"""),45207)</f>
        <v>45207</v>
      </c>
      <c r="E379" s="72"/>
      <c r="F379" s="72"/>
      <c r="G379" s="75"/>
      <c r="H379" s="59" t="str">
        <f ca="1">IFERROR(__xludf.DUMMYFUNCTION("""COMPUTED_VALUE"""),"UPDATE")</f>
        <v>UPDATE</v>
      </c>
      <c r="I379" s="76" t="str">
        <f ca="1">IFERROR(__xludf.DUMMYFUNCTION("""COMPUTED_VALUE"""),"https://drive.google.com/open?id=1hyWtN26oOAKFGtYw1jXGLZQvNL7tpzAi")</f>
        <v>https://drive.google.com/open?id=1hyWtN26oOAKFGtYw1jXGLZQvNL7tpzAi</v>
      </c>
      <c r="J379" s="59"/>
      <c r="K379" s="59"/>
      <c r="L379" s="59"/>
      <c r="M379" s="59"/>
      <c r="N379" s="59"/>
      <c r="O379" s="59"/>
      <c r="P379" s="59"/>
    </row>
    <row r="380" spans="1:16">
      <c r="A380" s="71">
        <f ca="1">IFERROR(__xludf.DUMMYFUNCTION("""COMPUTED_VALUE"""),45147.8309990046)</f>
        <v>45147.830999004596</v>
      </c>
      <c r="B380" s="59" t="str">
        <f ca="1">IFERROR(__xludf.DUMMYFUNCTION("""COMPUTED_VALUE"""),"Tribhuwan sardar")</f>
        <v>Tribhuwan sardar</v>
      </c>
      <c r="C380" s="72" t="str">
        <f ca="1">IFERROR(__xludf.DUMMYFUNCTION("""COMPUTED_VALUE"""),"22SDSCE01603")</f>
        <v>22SDSCE01603</v>
      </c>
      <c r="D380" s="73">
        <f ca="1">IFERROR(__xludf.DUMMYFUNCTION("""COMPUTED_VALUE"""),45147)</f>
        <v>45147</v>
      </c>
      <c r="E380" s="74">
        <f ca="1">IFERROR(__xludf.DUMMYFUNCTION("""COMPUTED_VALUE"""),37900)</f>
        <v>37900</v>
      </c>
      <c r="F380" s="72">
        <f ca="1">IFERROR(__xludf.DUMMYFUNCTION("""COMPUTED_VALUE"""),37900)</f>
        <v>37900</v>
      </c>
      <c r="G380" s="75"/>
      <c r="H380" s="59" t="str">
        <f ca="1">IFERROR(__xludf.DUMMYFUNCTION("""COMPUTED_VALUE"""),"UPDATE")</f>
        <v>UPDATE</v>
      </c>
      <c r="I380" s="76" t="str">
        <f ca="1">IFERROR(__xludf.DUMMYFUNCTION("""COMPUTED_VALUE"""),"https://drive.google.com/open?id=1qSfY7POBgenYaRE_gXpYo7ZIPDXAx7Ny")</f>
        <v>https://drive.google.com/open?id=1qSfY7POBgenYaRE_gXpYo7ZIPDXAx7Ny</v>
      </c>
      <c r="J380" s="59"/>
      <c r="K380" s="59"/>
      <c r="L380" s="59"/>
      <c r="M380" s="59"/>
      <c r="N380" s="59"/>
      <c r="O380" s="59"/>
      <c r="P380" s="59"/>
    </row>
    <row r="381" spans="1:16">
      <c r="A381" s="71">
        <f ca="1">IFERROR(__xludf.DUMMYFUNCTION("""COMPUTED_VALUE"""),45147.5802586574)</f>
        <v>45147.580258657399</v>
      </c>
      <c r="B381" s="59" t="str">
        <f ca="1">IFERROR(__xludf.DUMMYFUNCTION("""COMPUTED_VALUE"""),"TRIBHUWAN SARDAR ")</f>
        <v xml:space="preserve">TRIBHUWAN SARDAR </v>
      </c>
      <c r="C381" s="72" t="str">
        <f ca="1">IFERROR(__xludf.DUMMYFUNCTION("""COMPUTED_VALUE"""),"22SDSCE01603")</f>
        <v>22SDSCE01603</v>
      </c>
      <c r="D381" s="73">
        <f ca="1">IFERROR(__xludf.DUMMYFUNCTION("""COMPUTED_VALUE"""),45147)</f>
        <v>45147</v>
      </c>
      <c r="E381" s="74">
        <f ca="1">IFERROR(__xludf.DUMMYFUNCTION("""COMPUTED_VALUE"""),37500)</f>
        <v>37500</v>
      </c>
      <c r="F381" s="72">
        <f ca="1">IFERROR(__xludf.DUMMYFUNCTION("""COMPUTED_VALUE"""),400)</f>
        <v>400</v>
      </c>
      <c r="G381" s="75"/>
      <c r="H381" s="59" t="str">
        <f ca="1">IFERROR(__xludf.DUMMYFUNCTION("""COMPUTED_VALUE"""),"UPDATE")</f>
        <v>UPDATE</v>
      </c>
      <c r="I381" s="76" t="str">
        <f ca="1">IFERROR(__xludf.DUMMYFUNCTION("""COMPUTED_VALUE"""),"https://drive.google.com/open?id=17BUC5ZXWQzrVsNj2R8Am6PDgcKSRADOU")</f>
        <v>https://drive.google.com/open?id=17BUC5ZXWQzrVsNj2R8Am6PDgcKSRADOU</v>
      </c>
      <c r="J381" s="59"/>
      <c r="K381" s="59"/>
      <c r="L381" s="59"/>
      <c r="M381" s="59"/>
      <c r="N381" s="59"/>
      <c r="O381" s="59"/>
      <c r="P381" s="59"/>
    </row>
    <row r="382" spans="1:16">
      <c r="A382" s="71">
        <f ca="1">IFERROR(__xludf.DUMMYFUNCTION("""COMPUTED_VALUE"""),45143.8691443287)</f>
        <v>45143.869144328703</v>
      </c>
      <c r="B382" s="59" t="str">
        <f ca="1">IFERROR(__xludf.DUMMYFUNCTION("""COMPUTED_VALUE"""),"Garchar Karan ")</f>
        <v xml:space="preserve">Garchar Karan </v>
      </c>
      <c r="C382" s="72" t="str">
        <f ca="1">IFERROR(__xludf.DUMMYFUNCTION("""COMPUTED_VALUE"""),"22SDSCE01150")</f>
        <v>22SDSCE01150</v>
      </c>
      <c r="D382" s="73">
        <f ca="1">IFERROR(__xludf.DUMMYFUNCTION("""COMPUTED_VALUE"""),45143)</f>
        <v>45143</v>
      </c>
      <c r="E382" s="74">
        <f ca="1">IFERROR(__xludf.DUMMYFUNCTION("""COMPUTED_VALUE"""),25000)</f>
        <v>25000</v>
      </c>
      <c r="F382" s="72">
        <f ca="1">IFERROR(__xludf.DUMMYFUNCTION("""COMPUTED_VALUE"""),3000)</f>
        <v>3000</v>
      </c>
      <c r="G382" s="75"/>
      <c r="H382" s="59" t="str">
        <f ca="1">IFERROR(__xludf.DUMMYFUNCTION("""COMPUTED_VALUE"""),"UPDATE")</f>
        <v>UPDATE</v>
      </c>
      <c r="I382" s="76" t="str">
        <f ca="1">IFERROR(__xludf.DUMMYFUNCTION("""COMPUTED_VALUE"""),"https://drive.google.com/open?id=1DFBioq-un1IulItfDs43p5XwcPE6DT1g")</f>
        <v>https://drive.google.com/open?id=1DFBioq-un1IulItfDs43p5XwcPE6DT1g</v>
      </c>
      <c r="J382" s="59"/>
      <c r="K382" s="59"/>
      <c r="L382" s="59"/>
      <c r="M382" s="59"/>
      <c r="N382" s="59"/>
      <c r="O382" s="59"/>
      <c r="P382" s="59"/>
    </row>
    <row r="383" spans="1:16">
      <c r="A383" s="71">
        <f ca="1">IFERROR(__xludf.DUMMYFUNCTION("""COMPUTED_VALUE"""),45143.4307335879)</f>
        <v>45143.430733587898</v>
      </c>
      <c r="B383" s="59" t="str">
        <f ca="1">IFERROR(__xludf.DUMMYFUNCTION("""COMPUTED_VALUE"""),"Bhakhar kunj Nitinkumar")</f>
        <v>Bhakhar kunj Nitinkumar</v>
      </c>
      <c r="C383" s="72" t="str">
        <f ca="1">IFERROR(__xludf.DUMMYFUNCTION("""COMPUTED_VALUE"""),"22SDSCE01014")</f>
        <v>22SDSCE01014</v>
      </c>
      <c r="D383" s="73">
        <f ca="1">IFERROR(__xludf.DUMMYFUNCTION("""COMPUTED_VALUE"""),45143)</f>
        <v>45143</v>
      </c>
      <c r="E383" s="74">
        <f ca="1">IFERROR(__xludf.DUMMYFUNCTION("""COMPUTED_VALUE"""),25000)</f>
        <v>25000</v>
      </c>
      <c r="F383" s="72"/>
      <c r="G383" s="75"/>
      <c r="H383" s="59" t="str">
        <f ca="1">IFERROR(__xludf.DUMMYFUNCTION("""COMPUTED_VALUE"""),"UPDATE")</f>
        <v>UPDATE</v>
      </c>
      <c r="I383" s="76" t="str">
        <f ca="1">IFERROR(__xludf.DUMMYFUNCTION("""COMPUTED_VALUE"""),"https://drive.google.com/open?id=1vUhLPwV2c6jKl0luNoVbbwlTj8DIV1y-")</f>
        <v>https://drive.google.com/open?id=1vUhLPwV2c6jKl0luNoVbbwlTj8DIV1y-</v>
      </c>
      <c r="J383" s="59"/>
      <c r="K383" s="59"/>
      <c r="L383" s="59"/>
      <c r="M383" s="59"/>
      <c r="N383" s="59"/>
      <c r="O383" s="59"/>
      <c r="P383" s="59"/>
    </row>
    <row r="384" spans="1:16">
      <c r="A384" s="71">
        <f ca="1">IFERROR(__xludf.DUMMYFUNCTION("""COMPUTED_VALUE"""),45142.5558750462)</f>
        <v>45142.555875046201</v>
      </c>
      <c r="B384" s="59" t="str">
        <f ca="1">IFERROR(__xludf.DUMMYFUNCTION("""COMPUTED_VALUE"""),"vatsal kotadiya")</f>
        <v>vatsal kotadiya</v>
      </c>
      <c r="C384" s="72" t="str">
        <f ca="1">IFERROR(__xludf.DUMMYFUNCTION("""COMPUTED_VALUE"""),"22SDSCE01055")</f>
        <v>22SDSCE01055</v>
      </c>
      <c r="D384" s="73">
        <f ca="1">IFERROR(__xludf.DUMMYFUNCTION("""COMPUTED_VALUE"""),45142)</f>
        <v>45142</v>
      </c>
      <c r="E384" s="72"/>
      <c r="F384" s="72"/>
      <c r="G384" s="75"/>
      <c r="H384" s="59" t="str">
        <f ca="1">IFERROR(__xludf.DUMMYFUNCTION("""COMPUTED_VALUE"""),"UPDATE")</f>
        <v>UPDATE</v>
      </c>
      <c r="I384" s="76" t="str">
        <f ca="1">IFERROR(__xludf.DUMMYFUNCTION("""COMPUTED_VALUE"""),"https://drive.google.com/open?id=1ia63Yt4JTUSLo-MwRXaieOxGB84n1oBp")</f>
        <v>https://drive.google.com/open?id=1ia63Yt4JTUSLo-MwRXaieOxGB84n1oBp</v>
      </c>
      <c r="J384" s="59"/>
      <c r="K384" s="59"/>
      <c r="L384" s="59"/>
      <c r="M384" s="59"/>
      <c r="N384" s="59"/>
      <c r="O384" s="59"/>
      <c r="P384" s="59"/>
    </row>
    <row r="385" spans="1:16">
      <c r="A385" s="71">
        <f ca="1">IFERROR(__xludf.DUMMYFUNCTION("""COMPUTED_VALUE"""),45142.400027824)</f>
        <v>45142.400027823998</v>
      </c>
      <c r="B385" s="59" t="str">
        <f ca="1">IFERROR(__xludf.DUMMYFUNCTION("""COMPUTED_VALUE"""),"Bijay Kumar muraw")</f>
        <v>Bijay Kumar muraw</v>
      </c>
      <c r="C385" s="72" t="str">
        <f ca="1">IFERROR(__xludf.DUMMYFUNCTION("""COMPUTED_VALUE"""),"22SDSCE01610")</f>
        <v>22SDSCE01610</v>
      </c>
      <c r="D385" s="73">
        <f ca="1">IFERROR(__xludf.DUMMYFUNCTION("""COMPUTED_VALUE"""),45140)</f>
        <v>45140</v>
      </c>
      <c r="E385" s="72"/>
      <c r="F385" s="72">
        <f ca="1">IFERROR(__xludf.DUMMYFUNCTION("""COMPUTED_VALUE"""),12700)</f>
        <v>12700</v>
      </c>
      <c r="G385" s="75"/>
      <c r="H385" s="59" t="str">
        <f ca="1">IFERROR(__xludf.DUMMYFUNCTION("""COMPUTED_VALUE"""),"UPDATE")</f>
        <v>UPDATE</v>
      </c>
      <c r="I385" s="76" t="str">
        <f ca="1">IFERROR(__xludf.DUMMYFUNCTION("""COMPUTED_VALUE"""),"https://drive.google.com/open?id=105WsOFSmGHy7S8EvwYWa5zDYsBdjwFo3")</f>
        <v>https://drive.google.com/open?id=105WsOFSmGHy7S8EvwYWa5zDYsBdjwFo3</v>
      </c>
      <c r="J385" s="59"/>
      <c r="K385" s="59"/>
      <c r="L385" s="59"/>
      <c r="M385" s="59"/>
      <c r="N385" s="59"/>
      <c r="O385" s="59"/>
      <c r="P385" s="59"/>
    </row>
    <row r="386" spans="1:16">
      <c r="A386" s="71">
        <f ca="1">IFERROR(__xludf.DUMMYFUNCTION("""COMPUTED_VALUE"""),45142.3962018402)</f>
        <v>45142.396201840202</v>
      </c>
      <c r="B386" s="59" t="str">
        <f ca="1">IFERROR(__xludf.DUMMYFUNCTION("""COMPUTED_VALUE"""),"Bijay Kumar muraw")</f>
        <v>Bijay Kumar muraw</v>
      </c>
      <c r="C386" s="72" t="str">
        <f ca="1">IFERROR(__xludf.DUMMYFUNCTION("""COMPUTED_VALUE"""),"22SDSCE01610")</f>
        <v>22SDSCE01610</v>
      </c>
      <c r="D386" s="73">
        <f ca="1">IFERROR(__xludf.DUMMYFUNCTION("""COMPUTED_VALUE"""),45140)</f>
        <v>45140</v>
      </c>
      <c r="E386" s="72"/>
      <c r="F386" s="72">
        <f ca="1">IFERROR(__xludf.DUMMYFUNCTION("""COMPUTED_VALUE"""),25000)</f>
        <v>25000</v>
      </c>
      <c r="G386" s="75"/>
      <c r="H386" s="59" t="str">
        <f ca="1">IFERROR(__xludf.DUMMYFUNCTION("""COMPUTED_VALUE"""),"UPDATE")</f>
        <v>UPDATE</v>
      </c>
      <c r="I386" s="76" t="str">
        <f ca="1">IFERROR(__xludf.DUMMYFUNCTION("""COMPUTED_VALUE"""),"https://drive.google.com/open?id=1ZixkiPq_aqSkbHthrUVnswIuOZMIXGDY")</f>
        <v>https://drive.google.com/open?id=1ZixkiPq_aqSkbHthrUVnswIuOZMIXGDY</v>
      </c>
      <c r="J386" s="59"/>
      <c r="K386" s="59"/>
      <c r="L386" s="59"/>
      <c r="M386" s="59"/>
      <c r="N386" s="59"/>
      <c r="O386" s="59"/>
      <c r="P386" s="59"/>
    </row>
    <row r="387" spans="1:16">
      <c r="A387" s="71">
        <f ca="1">IFERROR(__xludf.DUMMYFUNCTION("""COMPUTED_VALUE"""),45141.6187166088)</f>
        <v>45141.618716608798</v>
      </c>
      <c r="B387" s="59" t="str">
        <f ca="1">IFERROR(__xludf.DUMMYFUNCTION("""COMPUTED_VALUE"""),"Bhakhar kunj Nitinkumar")</f>
        <v>Bhakhar kunj Nitinkumar</v>
      </c>
      <c r="C387" s="72" t="str">
        <f ca="1">IFERROR(__xludf.DUMMYFUNCTION("""COMPUTED_VALUE"""),"22SDSCE01014")</f>
        <v>22SDSCE01014</v>
      </c>
      <c r="D387" s="73">
        <f ca="1">IFERROR(__xludf.DUMMYFUNCTION("""COMPUTED_VALUE"""),45141)</f>
        <v>45141</v>
      </c>
      <c r="E387" s="74">
        <f ca="1">IFERROR(__xludf.DUMMYFUNCTION("""COMPUTED_VALUE"""),3000)</f>
        <v>3000</v>
      </c>
      <c r="F387" s="72">
        <f ca="1">IFERROR(__xludf.DUMMYFUNCTION("""COMPUTED_VALUE"""),0)</f>
        <v>0</v>
      </c>
      <c r="G387" s="75"/>
      <c r="H387" s="59" t="str">
        <f ca="1">IFERROR(__xludf.DUMMYFUNCTION("""COMPUTED_VALUE"""),"UPDATE")</f>
        <v>UPDATE</v>
      </c>
      <c r="I387" s="76" t="str">
        <f ca="1">IFERROR(__xludf.DUMMYFUNCTION("""COMPUTED_VALUE"""),"https://drive.google.com/open?id=1tP81TsNDUUp5ZFL_UlzUC1ORooI7wDtA")</f>
        <v>https://drive.google.com/open?id=1tP81TsNDUUp5ZFL_UlzUC1ORooI7wDtA</v>
      </c>
      <c r="J387" s="59"/>
      <c r="K387" s="59"/>
      <c r="L387" s="59"/>
      <c r="M387" s="59"/>
      <c r="N387" s="59"/>
      <c r="O387" s="59"/>
      <c r="P387" s="59"/>
    </row>
    <row r="388" spans="1:16">
      <c r="A388" s="71">
        <f ca="1">IFERROR(__xludf.DUMMYFUNCTION("""COMPUTED_VALUE"""),45140.8707998148)</f>
        <v>45140.870799814802</v>
      </c>
      <c r="B388" s="59" t="str">
        <f ca="1">IFERROR(__xludf.DUMMYFUNCTION("""COMPUTED_VALUE"""),"Jeet Chudasama")</f>
        <v>Jeet Chudasama</v>
      </c>
      <c r="C388" s="72" t="str">
        <f ca="1">IFERROR(__xludf.DUMMYFUNCTION("""COMPUTED_VALUE"""),"22SDSCE01032")</f>
        <v>22SDSCE01032</v>
      </c>
      <c r="D388" s="73">
        <f ca="1">IFERROR(__xludf.DUMMYFUNCTION("""COMPUTED_VALUE"""),45140)</f>
        <v>45140</v>
      </c>
      <c r="E388" s="72"/>
      <c r="F388" s="72">
        <f ca="1">IFERROR(__xludf.DUMMYFUNCTION("""COMPUTED_VALUE"""),3000)</f>
        <v>3000</v>
      </c>
      <c r="G388" s="75"/>
      <c r="H388" s="59" t="str">
        <f ca="1">IFERROR(__xludf.DUMMYFUNCTION("""COMPUTED_VALUE"""),"UPDATE")</f>
        <v>UPDATE</v>
      </c>
      <c r="I388" s="76" t="str">
        <f ca="1">IFERROR(__xludf.DUMMYFUNCTION("""COMPUTED_VALUE"""),"https://drive.google.com/open?id=1BWTj89tvvnpewRaGHKS_Tvs_9IXNBX6I")</f>
        <v>https://drive.google.com/open?id=1BWTj89tvvnpewRaGHKS_Tvs_9IXNBX6I</v>
      </c>
      <c r="J388" s="59"/>
      <c r="K388" s="59"/>
      <c r="L388" s="59"/>
      <c r="M388" s="59"/>
      <c r="N388" s="59"/>
      <c r="O388" s="59"/>
      <c r="P388" s="59"/>
    </row>
    <row r="389" spans="1:16">
      <c r="A389" s="71">
        <f ca="1">IFERROR(__xludf.DUMMYFUNCTION("""COMPUTED_VALUE"""),45140.5171632175)</f>
        <v>45140.517163217497</v>
      </c>
      <c r="B389" s="59" t="str">
        <f ca="1">IFERROR(__xludf.DUMMYFUNCTION("""COMPUTED_VALUE"""),"Khushi jayesh kapdi ")</f>
        <v xml:space="preserve">Khushi jayesh kapdi </v>
      </c>
      <c r="C389" s="72" t="str">
        <f ca="1">IFERROR(__xludf.DUMMYFUNCTION("""COMPUTED_VALUE"""),"22sdsce03901")</f>
        <v>22sdsce03901</v>
      </c>
      <c r="D389" s="73">
        <f ca="1">IFERROR(__xludf.DUMMYFUNCTION("""COMPUTED_VALUE"""),45140)</f>
        <v>45140</v>
      </c>
      <c r="E389" s="72"/>
      <c r="F389" s="72"/>
      <c r="G389" s="75"/>
      <c r="H389" s="59" t="str">
        <f ca="1">IFERROR(__xludf.DUMMYFUNCTION("""COMPUTED_VALUE"""),"UPDATE")</f>
        <v>UPDATE</v>
      </c>
      <c r="I389" s="76" t="str">
        <f ca="1">IFERROR(__xludf.DUMMYFUNCTION("""COMPUTED_VALUE"""),"https://drive.google.com/open?id=1AbUh6e6I7KAkuzJndzvBMGWmU5vdhs1N")</f>
        <v>https://drive.google.com/open?id=1AbUh6e6I7KAkuzJndzvBMGWmU5vdhs1N</v>
      </c>
      <c r="J389" s="59"/>
      <c r="K389" s="59"/>
      <c r="L389" s="59"/>
      <c r="M389" s="59"/>
      <c r="N389" s="59"/>
      <c r="O389" s="59"/>
      <c r="P389" s="59"/>
    </row>
    <row r="390" spans="1:16">
      <c r="A390" s="71">
        <f ca="1">IFERROR(__xludf.DUMMYFUNCTION("""COMPUTED_VALUE"""),45140.502715)</f>
        <v>45140.502715000002</v>
      </c>
      <c r="B390" s="59" t="str">
        <f ca="1">IFERROR(__xludf.DUMMYFUNCTION("""COMPUTED_VALUE"""),"Sanchaniya sakshi Tusharbhai")</f>
        <v>Sanchaniya sakshi Tusharbhai</v>
      </c>
      <c r="C390" s="72" t="str">
        <f ca="1">IFERROR(__xludf.DUMMYFUNCTION("""COMPUTED_VALUE"""),"22SDSCE01062")</f>
        <v>22SDSCE01062</v>
      </c>
      <c r="D390" s="73">
        <f ca="1">IFERROR(__xludf.DUMMYFUNCTION("""COMPUTED_VALUE"""),45131)</f>
        <v>45131</v>
      </c>
      <c r="E390" s="72"/>
      <c r="F390" s="72"/>
      <c r="G390" s="75"/>
      <c r="H390" s="59" t="str">
        <f ca="1">IFERROR(__xludf.DUMMYFUNCTION("""COMPUTED_VALUE"""),"UPDATE")</f>
        <v>UPDATE</v>
      </c>
      <c r="I390" s="76" t="str">
        <f ca="1">IFERROR(__xludf.DUMMYFUNCTION("""COMPUTED_VALUE"""),"https://drive.google.com/open?id=1F4q_i6EU-oQGne2YqC28rLYuPG4WT2fT")</f>
        <v>https://drive.google.com/open?id=1F4q_i6EU-oQGne2YqC28rLYuPG4WT2fT</v>
      </c>
      <c r="J390" s="59"/>
      <c r="K390" s="59"/>
      <c r="L390" s="59"/>
      <c r="M390" s="59"/>
      <c r="N390" s="59"/>
      <c r="O390" s="59"/>
      <c r="P390" s="59"/>
    </row>
    <row r="391" spans="1:16">
      <c r="A391" s="71">
        <f ca="1">IFERROR(__xludf.DUMMYFUNCTION("""COMPUTED_VALUE"""),45140.4971980092)</f>
        <v>45140.497198009201</v>
      </c>
      <c r="B391" s="59" t="str">
        <f ca="1">IFERROR(__xludf.DUMMYFUNCTION("""COMPUTED_VALUE"""),"Goraniya karan")</f>
        <v>Goraniya karan</v>
      </c>
      <c r="C391" s="72" t="str">
        <f ca="1">IFERROR(__xludf.DUMMYFUNCTION("""COMPUTED_VALUE"""),"22SDSCE01152")</f>
        <v>22SDSCE01152</v>
      </c>
      <c r="D391" s="73">
        <f ca="1">IFERROR(__xludf.DUMMYFUNCTION("""COMPUTED_VALUE"""),45139)</f>
        <v>45139</v>
      </c>
      <c r="E391" s="74">
        <f ca="1">IFERROR(__xludf.DUMMYFUNCTION("""COMPUTED_VALUE"""),25000)</f>
        <v>25000</v>
      </c>
      <c r="F391" s="72">
        <f ca="1">IFERROR(__xludf.DUMMYFUNCTION("""COMPUTED_VALUE"""),3000)</f>
        <v>3000</v>
      </c>
      <c r="G391" s="75"/>
      <c r="H391" s="59" t="str">
        <f ca="1">IFERROR(__xludf.DUMMYFUNCTION("""COMPUTED_VALUE"""),"UPDATE")</f>
        <v>UPDATE</v>
      </c>
      <c r="I391" s="76" t="str">
        <f ca="1">IFERROR(__xludf.DUMMYFUNCTION("""COMPUTED_VALUE"""),"https://drive.google.com/open?id=1TdpXkzVBHGb7fOM633IBbsvooSbVLhzd")</f>
        <v>https://drive.google.com/open?id=1TdpXkzVBHGb7fOM633IBbsvooSbVLhzd</v>
      </c>
      <c r="J391" s="59"/>
      <c r="K391" s="59"/>
      <c r="L391" s="59"/>
      <c r="M391" s="59"/>
      <c r="N391" s="59"/>
      <c r="O391" s="59"/>
      <c r="P391" s="59"/>
    </row>
    <row r="392" spans="1:16">
      <c r="A392" s="71">
        <f ca="1">IFERROR(__xludf.DUMMYFUNCTION("""COMPUTED_VALUE"""),45139.9422657638)</f>
        <v>45139.942265763799</v>
      </c>
      <c r="B392" s="59" t="str">
        <f ca="1">IFERROR(__xludf.DUMMYFUNCTION("""COMPUTED_VALUE"""),"Prince sah")</f>
        <v>Prince sah</v>
      </c>
      <c r="C392" s="72" t="str">
        <f ca="1">IFERROR(__xludf.DUMMYFUNCTION("""COMPUTED_VALUE"""),"22SDSCE01619")</f>
        <v>22SDSCE01619</v>
      </c>
      <c r="D392" s="73">
        <f ca="1">IFERROR(__xludf.DUMMYFUNCTION("""COMPUTED_VALUE"""),45139)</f>
        <v>45139</v>
      </c>
      <c r="E392" s="74">
        <f ca="1">IFERROR(__xludf.DUMMYFUNCTION("""COMPUTED_VALUE"""),37700)</f>
        <v>37700</v>
      </c>
      <c r="F392" s="72">
        <f ca="1">IFERROR(__xludf.DUMMYFUNCTION("""COMPUTED_VALUE"""),0)</f>
        <v>0</v>
      </c>
      <c r="G392" s="75"/>
      <c r="H392" s="59" t="str">
        <f ca="1">IFERROR(__xludf.DUMMYFUNCTION("""COMPUTED_VALUE"""),"UPDATE")</f>
        <v>UPDATE</v>
      </c>
      <c r="I392" s="76" t="str">
        <f ca="1">IFERROR(__xludf.DUMMYFUNCTION("""COMPUTED_VALUE"""),"https://drive.google.com/open?id=1e0vB6gbC96TFY28u3VmSKifs6Y4hC2A9")</f>
        <v>https://drive.google.com/open?id=1e0vB6gbC96TFY28u3VmSKifs6Y4hC2A9</v>
      </c>
      <c r="J392" s="59"/>
      <c r="K392" s="59"/>
      <c r="L392" s="59"/>
      <c r="M392" s="59"/>
      <c r="N392" s="59"/>
      <c r="O392" s="59"/>
      <c r="P392" s="59"/>
    </row>
    <row r="393" spans="1:16">
      <c r="A393" s="71">
        <f ca="1">IFERROR(__xludf.DUMMYFUNCTION("""COMPUTED_VALUE"""),45139.6109701504)</f>
        <v>45139.610970150403</v>
      </c>
      <c r="B393" s="59" t="str">
        <f ca="1">IFERROR(__xludf.DUMMYFUNCTION("""COMPUTED_VALUE"""),"Bharadwa pritesh")</f>
        <v>Bharadwa pritesh</v>
      </c>
      <c r="C393" s="72" t="str">
        <f ca="1">IFERROR(__xludf.DUMMYFUNCTION("""COMPUTED_VALUE"""),"22SDSCE01133")</f>
        <v>22SDSCE01133</v>
      </c>
      <c r="D393" s="73">
        <f ca="1">IFERROR(__xludf.DUMMYFUNCTION("""COMPUTED_VALUE"""),45139)</f>
        <v>45139</v>
      </c>
      <c r="E393" s="72"/>
      <c r="F393" s="72"/>
      <c r="G393" s="75"/>
      <c r="H393" s="59" t="str">
        <f ca="1">IFERROR(__xludf.DUMMYFUNCTION("""COMPUTED_VALUE"""),"UPDATE")</f>
        <v>UPDATE</v>
      </c>
      <c r="I393" s="76" t="str">
        <f ca="1">IFERROR(__xludf.DUMMYFUNCTION("""COMPUTED_VALUE"""),"https://drive.google.com/open?id=1i-smkjwS978p14b8esceLI_nXm-Qp9Ug")</f>
        <v>https://drive.google.com/open?id=1i-smkjwS978p14b8esceLI_nXm-Qp9Ug</v>
      </c>
      <c r="J393" s="59"/>
      <c r="K393" s="59"/>
      <c r="L393" s="59"/>
      <c r="M393" s="59"/>
      <c r="N393" s="59"/>
      <c r="O393" s="59"/>
      <c r="P393" s="59"/>
    </row>
    <row r="394" spans="1:16">
      <c r="A394" s="71">
        <f ca="1">IFERROR(__xludf.DUMMYFUNCTION("""COMPUTED_VALUE"""),45138.9184453935)</f>
        <v>45138.918445393501</v>
      </c>
      <c r="B394" s="59" t="str">
        <f ca="1">IFERROR(__xludf.DUMMYFUNCTION("""COMPUTED_VALUE"""),"Anish Adhikari ")</f>
        <v xml:space="preserve">Anish Adhikari </v>
      </c>
      <c r="C394" s="72" t="str">
        <f ca="1">IFERROR(__xludf.DUMMYFUNCTION("""COMPUTED_VALUE"""),"22SDSCE01605")</f>
        <v>22SDSCE01605</v>
      </c>
      <c r="D394" s="73">
        <f ca="1">IFERROR(__xludf.DUMMYFUNCTION("""COMPUTED_VALUE"""),45138)</f>
        <v>45138</v>
      </c>
      <c r="E394" s="72"/>
      <c r="F394" s="72"/>
      <c r="G394" s="75"/>
      <c r="H394" s="59" t="str">
        <f ca="1">IFERROR(__xludf.DUMMYFUNCTION("""COMPUTED_VALUE"""),"UPDATE")</f>
        <v>UPDATE</v>
      </c>
      <c r="I394" s="76" t="str">
        <f ca="1">IFERROR(__xludf.DUMMYFUNCTION("""COMPUTED_VALUE"""),"https://drive.google.com/open?id=1Lwrk97OSQsau34gCh8jZBVA5ExrlkN2M")</f>
        <v>https://drive.google.com/open?id=1Lwrk97OSQsau34gCh8jZBVA5ExrlkN2M</v>
      </c>
      <c r="J394" s="59"/>
      <c r="K394" s="59"/>
      <c r="L394" s="59"/>
      <c r="M394" s="59"/>
      <c r="N394" s="59"/>
      <c r="O394" s="59"/>
      <c r="P394" s="59"/>
    </row>
    <row r="395" spans="1:16">
      <c r="A395" s="71">
        <f ca="1">IFERROR(__xludf.DUMMYFUNCTION("""COMPUTED_VALUE"""),45138.6499864467)</f>
        <v>45138.649986446697</v>
      </c>
      <c r="B395" s="59" t="str">
        <f ca="1">IFERROR(__xludf.DUMMYFUNCTION("""COMPUTED_VALUE"""),"Ronak senghani")</f>
        <v>Ronak senghani</v>
      </c>
      <c r="C395" s="72" t="str">
        <f ca="1">IFERROR(__xludf.DUMMYFUNCTION("""COMPUTED_VALUE"""),"22SDSCV01011")</f>
        <v>22SDSCV01011</v>
      </c>
      <c r="D395" s="73">
        <f ca="1">IFERROR(__xludf.DUMMYFUNCTION("""COMPUTED_VALUE"""),45138)</f>
        <v>45138</v>
      </c>
      <c r="E395" s="74">
        <f ca="1">IFERROR(__xludf.DUMMYFUNCTION("""COMPUTED_VALUE"""),25000)</f>
        <v>25000</v>
      </c>
      <c r="F395" s="72">
        <f ca="1">IFERROR(__xludf.DUMMYFUNCTION("""COMPUTED_VALUE"""),3200)</f>
        <v>3200</v>
      </c>
      <c r="G395" s="75"/>
      <c r="H395" s="59" t="str">
        <f ca="1">IFERROR(__xludf.DUMMYFUNCTION("""COMPUTED_VALUE"""),"UPDATE")</f>
        <v>UPDATE</v>
      </c>
      <c r="I395" s="76" t="str">
        <f ca="1">IFERROR(__xludf.DUMMYFUNCTION("""COMPUTED_VALUE"""),"https://drive.google.com/open?id=1nZTv_Sso8Zv70vZHch7tiQArrSSfAaJn")</f>
        <v>https://drive.google.com/open?id=1nZTv_Sso8Zv70vZHch7tiQArrSSfAaJn</v>
      </c>
      <c r="J395" s="59"/>
      <c r="K395" s="59"/>
      <c r="L395" s="59"/>
      <c r="M395" s="59"/>
      <c r="N395" s="59"/>
      <c r="O395" s="59"/>
      <c r="P395" s="59"/>
    </row>
    <row r="396" spans="1:16">
      <c r="A396" s="71">
        <f ca="1">IFERROR(__xludf.DUMMYFUNCTION("""COMPUTED_VALUE"""),45138.630952662)</f>
        <v>45138.630952662003</v>
      </c>
      <c r="B396" s="59" t="str">
        <f ca="1">IFERROR(__xludf.DUMMYFUNCTION("""COMPUTED_VALUE"""),"Ronak senghani")</f>
        <v>Ronak senghani</v>
      </c>
      <c r="C396" s="72" t="str">
        <f ca="1">IFERROR(__xludf.DUMMYFUNCTION("""COMPUTED_VALUE"""),"22SDSCV01011")</f>
        <v>22SDSCV01011</v>
      </c>
      <c r="D396" s="73">
        <f ca="1">IFERROR(__xludf.DUMMYFUNCTION("""COMPUTED_VALUE"""),45138)</f>
        <v>45138</v>
      </c>
      <c r="E396" s="72"/>
      <c r="F396" s="72"/>
      <c r="G396" s="75"/>
      <c r="H396" s="59" t="str">
        <f ca="1">IFERROR(__xludf.DUMMYFUNCTION("""COMPUTED_VALUE"""),"UPDATE")</f>
        <v>UPDATE</v>
      </c>
      <c r="I396" s="76" t="str">
        <f ca="1">IFERROR(__xludf.DUMMYFUNCTION("""COMPUTED_VALUE"""),"https://drive.google.com/open?id=1BP_1rT1QGIaaQUL9_nbXdP3sBUKEIEXs")</f>
        <v>https://drive.google.com/open?id=1BP_1rT1QGIaaQUL9_nbXdP3sBUKEIEXs</v>
      </c>
      <c r="J396" s="59"/>
      <c r="K396" s="59"/>
      <c r="L396" s="59"/>
      <c r="M396" s="59"/>
      <c r="N396" s="59"/>
      <c r="O396" s="59"/>
      <c r="P396" s="59"/>
    </row>
    <row r="397" spans="1:16">
      <c r="A397" s="71">
        <f ca="1">IFERROR(__xludf.DUMMYFUNCTION("""COMPUTED_VALUE"""),45138.6049806597)</f>
        <v>45138.6049806597</v>
      </c>
      <c r="B397" s="59" t="str">
        <f ca="1">IFERROR(__xludf.DUMMYFUNCTION("""COMPUTED_VALUE"""),"Arman Ansari")</f>
        <v>Arman Ansari</v>
      </c>
      <c r="C397" s="72" t="str">
        <f ca="1">IFERROR(__xludf.DUMMYFUNCTION("""COMPUTED_VALUE"""),"22SDSCE01606")</f>
        <v>22SDSCE01606</v>
      </c>
      <c r="D397" s="73">
        <f ca="1">IFERROR(__xludf.DUMMYFUNCTION("""COMPUTED_VALUE"""),45137)</f>
        <v>45137</v>
      </c>
      <c r="E397" s="74">
        <f ca="1">IFERROR(__xludf.DUMMYFUNCTION("""COMPUTED_VALUE"""),37500)</f>
        <v>37500</v>
      </c>
      <c r="F397" s="72">
        <f ca="1">IFERROR(__xludf.DUMMYFUNCTION("""COMPUTED_VALUE"""),0)</f>
        <v>0</v>
      </c>
      <c r="G397" s="75"/>
      <c r="H397" s="59" t="str">
        <f ca="1">IFERROR(__xludf.DUMMYFUNCTION("""COMPUTED_VALUE"""),"UPDATE")</f>
        <v>UPDATE</v>
      </c>
      <c r="I397" s="76" t="str">
        <f ca="1">IFERROR(__xludf.DUMMYFUNCTION("""COMPUTED_VALUE"""),"https://drive.google.com/open?id=1DzfgHT9yYG7I0mN1WTr1f9nKY6wa3DW1")</f>
        <v>https://drive.google.com/open?id=1DzfgHT9yYG7I0mN1WTr1f9nKY6wa3DW1</v>
      </c>
      <c r="J397" s="59"/>
      <c r="K397" s="59"/>
      <c r="L397" s="59"/>
      <c r="M397" s="59"/>
      <c r="N397" s="59"/>
      <c r="O397" s="59"/>
      <c r="P397" s="59"/>
    </row>
    <row r="398" spans="1:16">
      <c r="A398" s="71">
        <f ca="1">IFERROR(__xludf.DUMMYFUNCTION("""COMPUTED_VALUE"""),45138.6036315625)</f>
        <v>45138.603631562502</v>
      </c>
      <c r="B398" s="59" t="str">
        <f ca="1">IFERROR(__xludf.DUMMYFUNCTION("""COMPUTED_VALUE"""),"Odedara Jaykumar ")</f>
        <v xml:space="preserve">Odedara Jaykumar </v>
      </c>
      <c r="C398" s="72" t="str">
        <f ca="1">IFERROR(__xludf.DUMMYFUNCTION("""COMPUTED_VALUE"""),"22SDSCE01178")</f>
        <v>22SDSCE01178</v>
      </c>
      <c r="D398" s="73">
        <f ca="1">IFERROR(__xludf.DUMMYFUNCTION("""COMPUTED_VALUE"""),45138)</f>
        <v>45138</v>
      </c>
      <c r="E398" s="74">
        <f ca="1">IFERROR(__xludf.DUMMYFUNCTION("""COMPUTED_VALUE"""),25000)</f>
        <v>25000</v>
      </c>
      <c r="F398" s="72">
        <f ca="1">IFERROR(__xludf.DUMMYFUNCTION("""COMPUTED_VALUE"""),3000)</f>
        <v>3000</v>
      </c>
      <c r="G398" s="75"/>
      <c r="H398" s="59" t="str">
        <f ca="1">IFERROR(__xludf.DUMMYFUNCTION("""COMPUTED_VALUE"""),"UPDATE")</f>
        <v>UPDATE</v>
      </c>
      <c r="I398" s="76" t="str">
        <f ca="1">IFERROR(__xludf.DUMMYFUNCTION("""COMPUTED_VALUE"""),"https://drive.google.com/open?id=1oihaBRu9uehArgHOQ0aJpNBeCU5cW32f")</f>
        <v>https://drive.google.com/open?id=1oihaBRu9uehArgHOQ0aJpNBeCU5cW32f</v>
      </c>
      <c r="J398" s="59"/>
      <c r="K398" s="59"/>
      <c r="L398" s="59"/>
      <c r="M398" s="59"/>
      <c r="N398" s="59"/>
      <c r="O398" s="59"/>
      <c r="P398" s="59"/>
    </row>
    <row r="399" spans="1:16">
      <c r="A399" s="71">
        <f ca="1">IFERROR(__xludf.DUMMYFUNCTION("""COMPUTED_VALUE"""),45138.5961624074)</f>
        <v>45138.596162407397</v>
      </c>
      <c r="B399" s="59" t="str">
        <f ca="1">IFERROR(__xludf.DUMMYFUNCTION("""COMPUTED_VALUE"""),"BARASIYA SMIT VIJAYBHAI ")</f>
        <v xml:space="preserve">BARASIYA SMIT VIJAYBHAI </v>
      </c>
      <c r="C399" s="72" t="str">
        <f ca="1">IFERROR(__xludf.DUMMYFUNCTION("""COMPUTED_VALUE"""),"22SDSME01002")</f>
        <v>22SDSME01002</v>
      </c>
      <c r="D399" s="73">
        <f ca="1">IFERROR(__xludf.DUMMYFUNCTION("""COMPUTED_VALUE"""),45138)</f>
        <v>45138</v>
      </c>
      <c r="E399" s="74">
        <f ca="1">IFERROR(__xludf.DUMMYFUNCTION("""COMPUTED_VALUE"""),12500)</f>
        <v>12500</v>
      </c>
      <c r="F399" s="72">
        <f ca="1">IFERROR(__xludf.DUMMYFUNCTION("""COMPUTED_VALUE"""),3000)</f>
        <v>3000</v>
      </c>
      <c r="G399" s="75"/>
      <c r="H399" s="59" t="str">
        <f ca="1">IFERROR(__xludf.DUMMYFUNCTION("""COMPUTED_VALUE"""),"UPDATE")</f>
        <v>UPDATE</v>
      </c>
      <c r="I399" s="76" t="str">
        <f ca="1">IFERROR(__xludf.DUMMYFUNCTION("""COMPUTED_VALUE"""),"https://drive.google.com/open?id=1Wf4XkUVYyOvqNxpNCUpLocJZy0QeobHS")</f>
        <v>https://drive.google.com/open?id=1Wf4XkUVYyOvqNxpNCUpLocJZy0QeobHS</v>
      </c>
      <c r="J399" s="59"/>
      <c r="K399" s="59"/>
      <c r="L399" s="59"/>
      <c r="M399" s="59"/>
      <c r="N399" s="59"/>
      <c r="O399" s="59"/>
      <c r="P399" s="59"/>
    </row>
    <row r="400" spans="1:16">
      <c r="A400" s="71">
        <f ca="1">IFERROR(__xludf.DUMMYFUNCTION("""COMPUTED_VALUE"""),45138.594564699)</f>
        <v>45138.594564699</v>
      </c>
      <c r="B400" s="59" t="str">
        <f ca="1">IFERROR(__xludf.DUMMYFUNCTION("""COMPUTED_VALUE"""),"BARASIYA SMIT VIJAYBHAI")</f>
        <v>BARASIYA SMIT VIJAYBHAI</v>
      </c>
      <c r="C400" s="72" t="str">
        <f ca="1">IFERROR(__xludf.DUMMYFUNCTION("""COMPUTED_VALUE"""),"22SDSME01002")</f>
        <v>22SDSME01002</v>
      </c>
      <c r="D400" s="73">
        <f ca="1">IFERROR(__xludf.DUMMYFUNCTION("""COMPUTED_VALUE"""),45138)</f>
        <v>45138</v>
      </c>
      <c r="E400" s="74">
        <f ca="1">IFERROR(__xludf.DUMMYFUNCTION("""COMPUTED_VALUE"""),12500)</f>
        <v>12500</v>
      </c>
      <c r="F400" s="72">
        <f ca="1">IFERROR(__xludf.DUMMYFUNCTION("""COMPUTED_VALUE"""),3000)</f>
        <v>3000</v>
      </c>
      <c r="G400" s="75"/>
      <c r="H400" s="59" t="str">
        <f ca="1">IFERROR(__xludf.DUMMYFUNCTION("""COMPUTED_VALUE"""),"UPDATE")</f>
        <v>UPDATE</v>
      </c>
      <c r="I400" s="76" t="str">
        <f ca="1">IFERROR(__xludf.DUMMYFUNCTION("""COMPUTED_VALUE"""),"https://drive.google.com/open?id=1ucJ4Jk2MW1mJrGd-ae0DBXZt7gzYP4eo")</f>
        <v>https://drive.google.com/open?id=1ucJ4Jk2MW1mJrGd-ae0DBXZt7gzYP4eo</v>
      </c>
      <c r="J400" s="59"/>
      <c r="K400" s="59"/>
      <c r="L400" s="59"/>
      <c r="M400" s="59"/>
      <c r="N400" s="59"/>
      <c r="O400" s="59"/>
      <c r="P400" s="59"/>
    </row>
    <row r="401" spans="1:16">
      <c r="A401" s="71">
        <f ca="1">IFERROR(__xludf.DUMMYFUNCTION("""COMPUTED_VALUE"""),45138.4970390277)</f>
        <v>45138.497039027701</v>
      </c>
      <c r="B401" s="59" t="str">
        <f ca="1">IFERROR(__xludf.DUMMYFUNCTION("""COMPUTED_VALUE"""),"TRIVEDI SHIVAM SACHINBHAI")</f>
        <v>TRIVEDI SHIVAM SACHINBHAI</v>
      </c>
      <c r="C401" s="72" t="str">
        <f ca="1">IFERROR(__xludf.DUMMYFUNCTION("""COMPUTED_VALUE"""),"22SDSME01016 ")</f>
        <v xml:space="preserve">22SDSME01016 </v>
      </c>
      <c r="D401" s="73">
        <f ca="1">IFERROR(__xludf.DUMMYFUNCTION("""COMPUTED_VALUE"""),45138)</f>
        <v>45138</v>
      </c>
      <c r="E401" s="74">
        <f ca="1">IFERROR(__xludf.DUMMYFUNCTION("""COMPUTED_VALUE"""),12500)</f>
        <v>12500</v>
      </c>
      <c r="F401" s="72">
        <f ca="1">IFERROR(__xludf.DUMMYFUNCTION("""COMPUTED_VALUE"""),3000)</f>
        <v>3000</v>
      </c>
      <c r="G401" s="75"/>
      <c r="H401" s="59" t="str">
        <f ca="1">IFERROR(__xludf.DUMMYFUNCTION("""COMPUTED_VALUE"""),"UPDATE")</f>
        <v>UPDATE</v>
      </c>
      <c r="I401" s="76" t="str">
        <f ca="1">IFERROR(__xludf.DUMMYFUNCTION("""COMPUTED_VALUE"""),"https://drive.google.com/open?id=1jaWXMqCTPuugTi80cb5X5HfN7e5JYn0w")</f>
        <v>https://drive.google.com/open?id=1jaWXMqCTPuugTi80cb5X5HfN7e5JYn0w</v>
      </c>
      <c r="J401" s="59"/>
      <c r="K401" s="59"/>
      <c r="L401" s="59"/>
      <c r="M401" s="59"/>
      <c r="N401" s="59"/>
      <c r="O401" s="59"/>
      <c r="P401" s="59"/>
    </row>
    <row r="402" spans="1:16">
      <c r="A402" s="71">
        <f ca="1">IFERROR(__xludf.DUMMYFUNCTION("""COMPUTED_VALUE"""),45136.8724975463)</f>
        <v>45136.872497546297</v>
      </c>
      <c r="B402" s="59" t="str">
        <f ca="1">IFERROR(__xludf.DUMMYFUNCTION("""COMPUTED_VALUE"""),"Gohel Amit Kishorbhai ")</f>
        <v xml:space="preserve">Gohel Amit Kishorbhai </v>
      </c>
      <c r="C402" s="72" t="str">
        <f ca="1">IFERROR(__xludf.DUMMYFUNCTION("""COMPUTED_VALUE"""),"22SDSEE01007")</f>
        <v>22SDSEE01007</v>
      </c>
      <c r="D402" s="73">
        <f ca="1">IFERROR(__xludf.DUMMYFUNCTION("""COMPUTED_VALUE"""),45136)</f>
        <v>45136</v>
      </c>
      <c r="E402" s="72"/>
      <c r="F402" s="72">
        <f ca="1">IFERROR(__xludf.DUMMYFUNCTION("""COMPUTED_VALUE"""),3000)</f>
        <v>3000</v>
      </c>
      <c r="G402" s="75"/>
      <c r="H402" s="59" t="str">
        <f ca="1">IFERROR(__xludf.DUMMYFUNCTION("""COMPUTED_VALUE"""),"UPDATE")</f>
        <v>UPDATE</v>
      </c>
      <c r="I402" s="76" t="str">
        <f ca="1">IFERROR(__xludf.DUMMYFUNCTION("""COMPUTED_VALUE"""),"https://drive.google.com/open?id=1rbZtJoZeYSw3aSCOWta3Mm6oB-ew5BDB")</f>
        <v>https://drive.google.com/open?id=1rbZtJoZeYSw3aSCOWta3Mm6oB-ew5BDB</v>
      </c>
      <c r="J402" s="59"/>
      <c r="K402" s="59"/>
      <c r="L402" s="59"/>
      <c r="M402" s="59"/>
      <c r="N402" s="59"/>
      <c r="O402" s="59"/>
      <c r="P402" s="59"/>
    </row>
    <row r="403" spans="1:16">
      <c r="A403" s="71">
        <f ca="1">IFERROR(__xludf.DUMMYFUNCTION("""COMPUTED_VALUE"""),45136.8707610648)</f>
        <v>45136.870761064798</v>
      </c>
      <c r="B403" s="59" t="str">
        <f ca="1">IFERROR(__xludf.DUMMYFUNCTION("""COMPUTED_VALUE"""),"Gohel Amit Kishorbhai ")</f>
        <v xml:space="preserve">Gohel Amit Kishorbhai </v>
      </c>
      <c r="C403" s="72" t="str">
        <f ca="1">IFERROR(__xludf.DUMMYFUNCTION("""COMPUTED_VALUE"""),"22SDSEE01007")</f>
        <v>22SDSEE01007</v>
      </c>
      <c r="D403" s="73">
        <f ca="1">IFERROR(__xludf.DUMMYFUNCTION("""COMPUTED_VALUE"""),45136)</f>
        <v>45136</v>
      </c>
      <c r="E403" s="74">
        <f ca="1">IFERROR(__xludf.DUMMYFUNCTION("""COMPUTED_VALUE"""),25000)</f>
        <v>25000</v>
      </c>
      <c r="F403" s="72"/>
      <c r="G403" s="75"/>
      <c r="H403" s="59" t="str">
        <f ca="1">IFERROR(__xludf.DUMMYFUNCTION("""COMPUTED_VALUE"""),"UPDATE")</f>
        <v>UPDATE</v>
      </c>
      <c r="I403" s="76" t="str">
        <f ca="1">IFERROR(__xludf.DUMMYFUNCTION("""COMPUTED_VALUE"""),"https://drive.google.com/open?id=1kI37FSInRqgI1rb8XH7bYnFnXJyGgD5J")</f>
        <v>https://drive.google.com/open?id=1kI37FSInRqgI1rb8XH7bYnFnXJyGgD5J</v>
      </c>
      <c r="J403" s="59"/>
      <c r="K403" s="59"/>
      <c r="L403" s="59"/>
      <c r="M403" s="59"/>
      <c r="N403" s="59"/>
      <c r="O403" s="59"/>
      <c r="P403" s="59"/>
    </row>
    <row r="404" spans="1:16">
      <c r="A404" s="71">
        <f ca="1">IFERROR(__xludf.DUMMYFUNCTION("""COMPUTED_VALUE"""),45136.6275256018)</f>
        <v>45136.627525601798</v>
      </c>
      <c r="B404" s="59" t="str">
        <f ca="1">IFERROR(__xludf.DUMMYFUNCTION("""COMPUTED_VALUE"""),"MAYARIYA SAHIL LAKHDEERBHAI ")</f>
        <v xml:space="preserve">MAYARIYA SAHIL LAKHDEERBHAI </v>
      </c>
      <c r="C404" s="72" t="str">
        <f ca="1">IFERROR(__xludf.DUMMYFUNCTION("""COMPUTED_VALUE"""),"22SDSCE01173")</f>
        <v>22SDSCE01173</v>
      </c>
      <c r="D404" s="73">
        <f ca="1">IFERROR(__xludf.DUMMYFUNCTION("""COMPUTED_VALUE"""),45134)</f>
        <v>45134</v>
      </c>
      <c r="E404" s="74">
        <f ca="1">IFERROR(__xludf.DUMMYFUNCTION("""COMPUTED_VALUE"""),12500)</f>
        <v>12500</v>
      </c>
      <c r="F404" s="72">
        <f ca="1">IFERROR(__xludf.DUMMYFUNCTION("""COMPUTED_VALUE"""),3000)</f>
        <v>3000</v>
      </c>
      <c r="G404" s="75"/>
      <c r="H404" s="59" t="str">
        <f ca="1">IFERROR(__xludf.DUMMYFUNCTION("""COMPUTED_VALUE"""),"UPDATE")</f>
        <v>UPDATE</v>
      </c>
      <c r="I404" s="76" t="str">
        <f ca="1">IFERROR(__xludf.DUMMYFUNCTION("""COMPUTED_VALUE"""),"https://drive.google.com/open?id=1xuNr3XFrc24XYjoUko9jcgV5ZwixtvCF")</f>
        <v>https://drive.google.com/open?id=1xuNr3XFrc24XYjoUko9jcgV5ZwixtvCF</v>
      </c>
      <c r="J404" s="59"/>
      <c r="K404" s="59"/>
      <c r="L404" s="59"/>
      <c r="M404" s="59"/>
      <c r="N404" s="59"/>
      <c r="O404" s="59"/>
      <c r="P404" s="59"/>
    </row>
    <row r="405" spans="1:16">
      <c r="A405" s="71">
        <f ca="1">IFERROR(__xludf.DUMMYFUNCTION("""COMPUTED_VALUE"""),45136.5374984953)</f>
        <v>45136.537498495301</v>
      </c>
      <c r="B405" s="59" t="str">
        <f ca="1">IFERROR(__xludf.DUMMYFUNCTION("""COMPUTED_VALUE"""),"vatsalkotadiya ")</f>
        <v xml:space="preserve">vatsalkotadiya </v>
      </c>
      <c r="C405" s="72" t="str">
        <f ca="1">IFERROR(__xludf.DUMMYFUNCTION("""COMPUTED_VALUE"""),"22SDSCE01055")</f>
        <v>22SDSCE01055</v>
      </c>
      <c r="D405" s="73">
        <f ca="1">IFERROR(__xludf.DUMMYFUNCTION("""COMPUTED_VALUE"""),45136)</f>
        <v>45136</v>
      </c>
      <c r="E405" s="74">
        <f ca="1">IFERROR(__xludf.DUMMYFUNCTION("""COMPUTED_VALUE"""),25000)</f>
        <v>25000</v>
      </c>
      <c r="F405" s="72"/>
      <c r="G405" s="75"/>
      <c r="H405" s="59" t="str">
        <f ca="1">IFERROR(__xludf.DUMMYFUNCTION("""COMPUTED_VALUE"""),"UPDATE")</f>
        <v>UPDATE</v>
      </c>
      <c r="I405" s="76" t="str">
        <f ca="1">IFERROR(__xludf.DUMMYFUNCTION("""COMPUTED_VALUE"""),"https://drive.google.com/open?id=1C1dDUc4rq_xsX6L4HvMxCR5e_q8P_Sue")</f>
        <v>https://drive.google.com/open?id=1C1dDUc4rq_xsX6L4HvMxCR5e_q8P_Sue</v>
      </c>
      <c r="J405" s="59"/>
      <c r="K405" s="59"/>
      <c r="L405" s="59"/>
      <c r="M405" s="59"/>
      <c r="N405" s="59"/>
      <c r="O405" s="59"/>
      <c r="P405" s="59"/>
    </row>
    <row r="406" spans="1:16">
      <c r="A406" s="71">
        <f ca="1">IFERROR(__xludf.DUMMYFUNCTION("""COMPUTED_VALUE"""),45136.4927861226)</f>
        <v>45136.492786122602</v>
      </c>
      <c r="B406" s="59" t="str">
        <f ca="1">IFERROR(__xludf.DUMMYFUNCTION("""COMPUTED_VALUE"""),"Gohel Amit Kishorbhai")</f>
        <v>Gohel Amit Kishorbhai</v>
      </c>
      <c r="C406" s="72" t="str">
        <f ca="1">IFERROR(__xludf.DUMMYFUNCTION("""COMPUTED_VALUE"""),"22SDS01007")</f>
        <v>22SDS01007</v>
      </c>
      <c r="D406" s="73">
        <f ca="1">IFERROR(__xludf.DUMMYFUNCTION("""COMPUTED_VALUE"""),45135)</f>
        <v>45135</v>
      </c>
      <c r="E406" s="72"/>
      <c r="F406" s="72"/>
      <c r="G406" s="75"/>
      <c r="H406" s="59"/>
      <c r="I406" s="76" t="str">
        <f ca="1">IFERROR(__xludf.DUMMYFUNCTION("""COMPUTED_VALUE"""),"https://drive.google.com/open?id=1yh_zkEmm6mgS-LYxbByMHnTKKat7WP_S")</f>
        <v>https://drive.google.com/open?id=1yh_zkEmm6mgS-LYxbByMHnTKKat7WP_S</v>
      </c>
      <c r="J406" s="59"/>
      <c r="K406" s="59"/>
      <c r="L406" s="59"/>
      <c r="M406" s="59"/>
      <c r="N406" s="59"/>
      <c r="O406" s="59"/>
      <c r="P406" s="59"/>
    </row>
    <row r="407" spans="1:16">
      <c r="A407" s="71">
        <f ca="1">IFERROR(__xludf.DUMMYFUNCTION("""COMPUTED_VALUE"""),45135.5191415393)</f>
        <v>45135.519141539298</v>
      </c>
      <c r="B407" s="59" t="str">
        <f ca="1">IFERROR(__xludf.DUMMYFUNCTION("""COMPUTED_VALUE"""),"Dhruvesh kanjibhai vora")</f>
        <v>Dhruvesh kanjibhai vora</v>
      </c>
      <c r="C407" s="72" t="str">
        <f ca="1">IFERROR(__xludf.DUMMYFUNCTION("""COMPUTED_VALUE"""),"21SDSCE01111")</f>
        <v>21SDSCE01111</v>
      </c>
      <c r="D407" s="73">
        <f ca="1">IFERROR(__xludf.DUMMYFUNCTION("""COMPUTED_VALUE"""),45135)</f>
        <v>45135</v>
      </c>
      <c r="E407" s="74">
        <f ca="1">IFERROR(__xludf.DUMMYFUNCTION("""COMPUTED_VALUE"""),15000)</f>
        <v>15000</v>
      </c>
      <c r="F407" s="72"/>
      <c r="G407" s="75"/>
      <c r="H407" s="59" t="str">
        <f ca="1">IFERROR(__xludf.DUMMYFUNCTION("""COMPUTED_VALUE"""),"UPDATE")</f>
        <v>UPDATE</v>
      </c>
      <c r="I407" s="76" t="str">
        <f ca="1">IFERROR(__xludf.DUMMYFUNCTION("""COMPUTED_VALUE"""),"https://drive.google.com/open?id=1TX0S_y6SbgGQ-zbQ7QnkNaZxu3qEOjg7")</f>
        <v>https://drive.google.com/open?id=1TX0S_y6SbgGQ-zbQ7QnkNaZxu3qEOjg7</v>
      </c>
      <c r="J407" s="59"/>
      <c r="K407" s="59"/>
      <c r="L407" s="59"/>
      <c r="M407" s="59"/>
      <c r="N407" s="59"/>
      <c r="O407" s="59"/>
      <c r="P407" s="59"/>
    </row>
    <row r="408" spans="1:16">
      <c r="A408" s="71">
        <f ca="1">IFERROR(__xludf.DUMMYFUNCTION("""COMPUTED_VALUE"""),45135.0013713078)</f>
        <v>45135.001371307801</v>
      </c>
      <c r="B408" s="59" t="str">
        <f ca="1">IFERROR(__xludf.DUMMYFUNCTION("""COMPUTED_VALUE"""),"Rajesh Kumar Mandal")</f>
        <v>Rajesh Kumar Mandal</v>
      </c>
      <c r="C408" s="72" t="str">
        <f ca="1">IFERROR(__xludf.DUMMYFUNCTION("""COMPUTED_VALUE"""),"22SDSCV01606")</f>
        <v>22SDSCV01606</v>
      </c>
      <c r="D408" s="73">
        <f ca="1">IFERROR(__xludf.DUMMYFUNCTION("""COMPUTED_VALUE"""),45133)</f>
        <v>45133</v>
      </c>
      <c r="E408" s="72"/>
      <c r="F408" s="72"/>
      <c r="G408" s="75"/>
      <c r="H408" s="59" t="str">
        <f ca="1">IFERROR(__xludf.DUMMYFUNCTION("""COMPUTED_VALUE"""),"UPDATE")</f>
        <v>UPDATE</v>
      </c>
      <c r="I408" s="76" t="str">
        <f ca="1">IFERROR(__xludf.DUMMYFUNCTION("""COMPUTED_VALUE"""),"https://drive.google.com/open?id=1hVeAM-wkHqUe5VTK_pwYPqUc4GKQlrI1")</f>
        <v>https://drive.google.com/open?id=1hVeAM-wkHqUe5VTK_pwYPqUc4GKQlrI1</v>
      </c>
      <c r="J408" s="59"/>
      <c r="K408" s="59"/>
      <c r="L408" s="59"/>
      <c r="M408" s="59"/>
      <c r="N408" s="59"/>
      <c r="O408" s="59"/>
      <c r="P408" s="59"/>
    </row>
    <row r="409" spans="1:16">
      <c r="A409" s="71">
        <f ca="1">IFERROR(__xludf.DUMMYFUNCTION("""COMPUTED_VALUE"""),45134.9975414467)</f>
        <v>45134.997541446697</v>
      </c>
      <c r="B409" s="59" t="str">
        <f ca="1">IFERROR(__xludf.DUMMYFUNCTION("""COMPUTED_VALUE"""),"Rajesh Kumar Mandal ")</f>
        <v xml:space="preserve">Rajesh Kumar Mandal </v>
      </c>
      <c r="C409" s="72" t="str">
        <f ca="1">IFERROR(__xludf.DUMMYFUNCTION("""COMPUTED_VALUE"""),"22SDSCV01606")</f>
        <v>22SDSCV01606</v>
      </c>
      <c r="D409" s="73">
        <f ca="1">IFERROR(__xludf.DUMMYFUNCTION("""COMPUTED_VALUE"""),45133)</f>
        <v>45133</v>
      </c>
      <c r="E409" s="72"/>
      <c r="F409" s="72"/>
      <c r="G409" s="75"/>
      <c r="H409" s="59" t="str">
        <f ca="1">IFERROR(__xludf.DUMMYFUNCTION("""COMPUTED_VALUE"""),"UPDATE")</f>
        <v>UPDATE</v>
      </c>
      <c r="I409" s="76" t="str">
        <f ca="1">IFERROR(__xludf.DUMMYFUNCTION("""COMPUTED_VALUE"""),"https://drive.google.com/open?id=145U4BSEcB-BOvl-0D9t-iEompgoh8Dw1")</f>
        <v>https://drive.google.com/open?id=145U4BSEcB-BOvl-0D9t-iEompgoh8Dw1</v>
      </c>
      <c r="J409" s="59"/>
      <c r="K409" s="59"/>
      <c r="L409" s="59"/>
      <c r="M409" s="59"/>
      <c r="N409" s="59"/>
      <c r="O409" s="59"/>
      <c r="P409" s="59"/>
    </row>
    <row r="410" spans="1:16">
      <c r="A410" s="71">
        <f ca="1">IFERROR(__xludf.DUMMYFUNCTION("""COMPUTED_VALUE"""),45134.5621846296)</f>
        <v>45134.562184629598</v>
      </c>
      <c r="B410" s="59" t="str">
        <f ca="1">IFERROR(__xludf.DUMMYFUNCTION("""COMPUTED_VALUE"""),"Brijmohan kalwar ")</f>
        <v xml:space="preserve">Brijmohan kalwar </v>
      </c>
      <c r="C410" s="72" t="str">
        <f ca="1">IFERROR(__xludf.DUMMYFUNCTION("""COMPUTED_VALUE"""),"22SDSCE01611")</f>
        <v>22SDSCE01611</v>
      </c>
      <c r="D410" s="73">
        <f ca="1">IFERROR(__xludf.DUMMYFUNCTION("""COMPUTED_VALUE"""),45134)</f>
        <v>45134</v>
      </c>
      <c r="E410" s="72"/>
      <c r="F410" s="72"/>
      <c r="G410" s="75"/>
      <c r="H410" s="59" t="str">
        <f ca="1">IFERROR(__xludf.DUMMYFUNCTION("""COMPUTED_VALUE"""),"UPDATE")</f>
        <v>UPDATE</v>
      </c>
      <c r="I410" s="76" t="str">
        <f ca="1">IFERROR(__xludf.DUMMYFUNCTION("""COMPUTED_VALUE"""),"https://drive.google.com/open?id=1c2oQLnrn-M_ELcC_1pIFeDQ-P-VCBh8r")</f>
        <v>https://drive.google.com/open?id=1c2oQLnrn-M_ELcC_1pIFeDQ-P-VCBh8r</v>
      </c>
      <c r="J410" s="59"/>
      <c r="K410" s="59"/>
      <c r="L410" s="59"/>
      <c r="M410" s="59"/>
      <c r="N410" s="59"/>
      <c r="O410" s="59"/>
      <c r="P410" s="59"/>
    </row>
    <row r="411" spans="1:16">
      <c r="A411" s="71">
        <f ca="1">IFERROR(__xludf.DUMMYFUNCTION("""COMPUTED_VALUE"""),45134.5081476388)</f>
        <v>45134.5081476388</v>
      </c>
      <c r="B411" s="59" t="str">
        <f ca="1">IFERROR(__xludf.DUMMYFUNCTION("""COMPUTED_VALUE"""),"Zeel ladani")</f>
        <v>Zeel ladani</v>
      </c>
      <c r="C411" s="72" t="str">
        <f ca="1">IFERROR(__xludf.DUMMYFUNCTION("""COMPUTED_VALUE"""),"22SDSEE01014")</f>
        <v>22SDSEE01014</v>
      </c>
      <c r="D411" s="73">
        <f ca="1">IFERROR(__xludf.DUMMYFUNCTION("""COMPUTED_VALUE"""),45134)</f>
        <v>45134</v>
      </c>
      <c r="E411" s="74">
        <f ca="1">IFERROR(__xludf.DUMMYFUNCTION("""COMPUTED_VALUE"""),0)</f>
        <v>0</v>
      </c>
      <c r="F411" s="72">
        <f ca="1">IFERROR(__xludf.DUMMYFUNCTION("""COMPUTED_VALUE"""),3000)</f>
        <v>3000</v>
      </c>
      <c r="G411" s="75"/>
      <c r="H411" s="59" t="str">
        <f ca="1">IFERROR(__xludf.DUMMYFUNCTION("""COMPUTED_VALUE"""),"UPDATE")</f>
        <v>UPDATE</v>
      </c>
      <c r="I411" s="76" t="str">
        <f ca="1">IFERROR(__xludf.DUMMYFUNCTION("""COMPUTED_VALUE"""),"https://drive.google.com/open?id=1np5eIuejqoowNeQnPGhH4mVBk1kZUvJu")</f>
        <v>https://drive.google.com/open?id=1np5eIuejqoowNeQnPGhH4mVBk1kZUvJu</v>
      </c>
      <c r="J411" s="59"/>
      <c r="K411" s="59"/>
      <c r="L411" s="59"/>
      <c r="M411" s="59"/>
      <c r="N411" s="59"/>
      <c r="O411" s="59"/>
      <c r="P411" s="59"/>
    </row>
    <row r="412" spans="1:16">
      <c r="A412" s="71">
        <f ca="1">IFERROR(__xludf.DUMMYFUNCTION("""COMPUTED_VALUE"""),45133.7209655324)</f>
        <v>45133.720965532397</v>
      </c>
      <c r="B412" s="59" t="str">
        <f ca="1">IFERROR(__xludf.DUMMYFUNCTION("""COMPUTED_VALUE"""),"Ranavaya Disha Murubhai ")</f>
        <v xml:space="preserve">Ranavaya Disha Murubhai </v>
      </c>
      <c r="C412" s="72" t="str">
        <f ca="1">IFERROR(__xludf.DUMMYFUNCTION("""COMPUTED_VALUE"""),"22SDSCE01184")</f>
        <v>22SDSCE01184</v>
      </c>
      <c r="D412" s="73">
        <f ca="1">IFERROR(__xludf.DUMMYFUNCTION("""COMPUTED_VALUE"""),45132)</f>
        <v>45132</v>
      </c>
      <c r="E412" s="72"/>
      <c r="F412" s="72"/>
      <c r="G412" s="75"/>
      <c r="H412" s="59" t="str">
        <f ca="1">IFERROR(__xludf.DUMMYFUNCTION("""COMPUTED_VALUE"""),"UPDATE")</f>
        <v>UPDATE</v>
      </c>
      <c r="I412" s="76" t="str">
        <f ca="1">IFERROR(__xludf.DUMMYFUNCTION("""COMPUTED_VALUE"""),"https://drive.google.com/open?id=1NY6kVaIjPbNTfHGW9pFpmf5dC6Lv0v8X")</f>
        <v>https://drive.google.com/open?id=1NY6kVaIjPbNTfHGW9pFpmf5dC6Lv0v8X</v>
      </c>
      <c r="J412" s="59"/>
      <c r="K412" s="59"/>
      <c r="L412" s="59"/>
      <c r="M412" s="59"/>
      <c r="N412" s="59"/>
      <c r="O412" s="59"/>
      <c r="P412" s="59"/>
    </row>
    <row r="413" spans="1:16">
      <c r="A413" s="71">
        <f ca="1">IFERROR(__xludf.DUMMYFUNCTION("""COMPUTED_VALUE"""),45133.7198269444)</f>
        <v>45133.719826944398</v>
      </c>
      <c r="B413" s="59" t="str">
        <f ca="1">IFERROR(__xludf.DUMMYFUNCTION("""COMPUTED_VALUE"""),"Ranavaya Disha Murubhai ")</f>
        <v xml:space="preserve">Ranavaya Disha Murubhai </v>
      </c>
      <c r="C413" s="72" t="str">
        <f ca="1">IFERROR(__xludf.DUMMYFUNCTION("""COMPUTED_VALUE"""),"22SDSCE01184")</f>
        <v>22SDSCE01184</v>
      </c>
      <c r="D413" s="73">
        <f ca="1">IFERROR(__xludf.DUMMYFUNCTION("""COMPUTED_VALUE"""),45132)</f>
        <v>45132</v>
      </c>
      <c r="E413" s="74">
        <f ca="1">IFERROR(__xludf.DUMMYFUNCTION("""COMPUTED_VALUE"""),25000)</f>
        <v>25000</v>
      </c>
      <c r="F413" s="72">
        <f ca="1">IFERROR(__xludf.DUMMYFUNCTION("""COMPUTED_VALUE"""),3000)</f>
        <v>3000</v>
      </c>
      <c r="G413" s="75"/>
      <c r="H413" s="59" t="str">
        <f ca="1">IFERROR(__xludf.DUMMYFUNCTION("""COMPUTED_VALUE"""),"UPDATE")</f>
        <v>UPDATE</v>
      </c>
      <c r="I413" s="76" t="str">
        <f ca="1">IFERROR(__xludf.DUMMYFUNCTION("""COMPUTED_VALUE"""),"https://drive.google.com/open?id=1dsxjYesWaOpz6Q3ZKuFRC0If2HvcPjxJ")</f>
        <v>https://drive.google.com/open?id=1dsxjYesWaOpz6Q3ZKuFRC0If2HvcPjxJ</v>
      </c>
      <c r="J413" s="59"/>
      <c r="K413" s="59"/>
      <c r="L413" s="59"/>
      <c r="M413" s="59"/>
      <c r="N413" s="59"/>
      <c r="O413" s="59"/>
      <c r="P413" s="59"/>
    </row>
    <row r="414" spans="1:16">
      <c r="A414" s="71">
        <f ca="1">IFERROR(__xludf.DUMMYFUNCTION("""COMPUTED_VALUE"""),45133.5958898726)</f>
        <v>45133.595889872602</v>
      </c>
      <c r="B414" s="59" t="str">
        <f ca="1">IFERROR(__xludf.DUMMYFUNCTION("""COMPUTED_VALUE"""),"Tank drashti ashokbhai ")</f>
        <v xml:space="preserve">Tank drashti ashokbhai </v>
      </c>
      <c r="C414" s="72" t="str">
        <f ca="1">IFERROR(__xludf.DUMMYFUNCTION("""COMPUTED_VALUE"""),"22SDSCE01063")</f>
        <v>22SDSCE01063</v>
      </c>
      <c r="D414" s="73">
        <f ca="1">IFERROR(__xludf.DUMMYFUNCTION("""COMPUTED_VALUE"""),45131)</f>
        <v>45131</v>
      </c>
      <c r="E414" s="72"/>
      <c r="F414" s="72">
        <f ca="1">IFERROR(__xludf.DUMMYFUNCTION("""COMPUTED_VALUE"""),3000)</f>
        <v>3000</v>
      </c>
      <c r="G414" s="75"/>
      <c r="H414" s="59" t="str">
        <f ca="1">IFERROR(__xludf.DUMMYFUNCTION("""COMPUTED_VALUE"""),"UPDATE")</f>
        <v>UPDATE</v>
      </c>
      <c r="I414" s="76" t="str">
        <f ca="1">IFERROR(__xludf.DUMMYFUNCTION("""COMPUTED_VALUE"""),"https://drive.google.com/open?id=1CfH6M9Q-IQ4n4m59ZBfjBjLsVTPZIzVs")</f>
        <v>https://drive.google.com/open?id=1CfH6M9Q-IQ4n4m59ZBfjBjLsVTPZIzVs</v>
      </c>
      <c r="J414" s="59"/>
      <c r="K414" s="59"/>
      <c r="L414" s="59"/>
      <c r="M414" s="59"/>
      <c r="N414" s="59"/>
      <c r="O414" s="59"/>
      <c r="P414" s="59"/>
    </row>
    <row r="415" spans="1:16">
      <c r="A415" s="71">
        <f ca="1">IFERROR(__xludf.DUMMYFUNCTION("""COMPUTED_VALUE"""),45133.5926323611)</f>
        <v>45133.592632361098</v>
      </c>
      <c r="B415" s="59" t="str">
        <f ca="1">IFERROR(__xludf.DUMMYFUNCTION("""COMPUTED_VALUE"""),"Tank drashti ashokbhai ")</f>
        <v xml:space="preserve">Tank drashti ashokbhai </v>
      </c>
      <c r="C415" s="72" t="str">
        <f ca="1">IFERROR(__xludf.DUMMYFUNCTION("""COMPUTED_VALUE"""),"22SDSCE01063")</f>
        <v>22SDSCE01063</v>
      </c>
      <c r="D415" s="73">
        <f ca="1">IFERROR(__xludf.DUMMYFUNCTION("""COMPUTED_VALUE"""),45131)</f>
        <v>45131</v>
      </c>
      <c r="E415" s="74">
        <f ca="1">IFERROR(__xludf.DUMMYFUNCTION("""COMPUTED_VALUE"""),25000)</f>
        <v>25000</v>
      </c>
      <c r="F415" s="72"/>
      <c r="G415" s="75"/>
      <c r="H415" s="59" t="str">
        <f ca="1">IFERROR(__xludf.DUMMYFUNCTION("""COMPUTED_VALUE"""),"UPDATE")</f>
        <v>UPDATE</v>
      </c>
      <c r="I415" s="76" t="str">
        <f ca="1">IFERROR(__xludf.DUMMYFUNCTION("""COMPUTED_VALUE"""),"https://drive.google.com/open?id=1adMNkaWkGIBaKLp6TV0jPuef3cXnRQUv")</f>
        <v>https://drive.google.com/open?id=1adMNkaWkGIBaKLp6TV0jPuef3cXnRQUv</v>
      </c>
      <c r="J415" s="59"/>
      <c r="K415" s="59"/>
      <c r="L415" s="59"/>
      <c r="M415" s="59"/>
      <c r="N415" s="59"/>
      <c r="O415" s="59"/>
      <c r="P415" s="59"/>
    </row>
    <row r="416" spans="1:16">
      <c r="A416" s="71">
        <f ca="1">IFERROR(__xludf.DUMMYFUNCTION("""COMPUTED_VALUE"""),45133.529244618)</f>
        <v>45133.529244618003</v>
      </c>
      <c r="B416" s="59" t="str">
        <f ca="1">IFERROR(__xludf.DUMMYFUNCTION("""COMPUTED_VALUE"""),"VAGHAMSHI SUMIT PRAFULBHAI")</f>
        <v>VAGHAMSHI SUMIT PRAFULBHAI</v>
      </c>
      <c r="C416" s="72" t="str">
        <f ca="1">IFERROR(__xludf.DUMMYFUNCTION("""COMPUTED_VALUE"""),"20SDSCE01127")</f>
        <v>20SDSCE01127</v>
      </c>
      <c r="D416" s="73">
        <f ca="1">IFERROR(__xludf.DUMMYFUNCTION("""COMPUTED_VALUE"""),45133)</f>
        <v>45133</v>
      </c>
      <c r="E416" s="74">
        <f ca="1">IFERROR(__xludf.DUMMYFUNCTION("""COMPUTED_VALUE"""),35830)</f>
        <v>35830</v>
      </c>
      <c r="F416" s="72"/>
      <c r="G416" s="75"/>
      <c r="H416" s="59" t="str">
        <f ca="1">IFERROR(__xludf.DUMMYFUNCTION("""COMPUTED_VALUE"""),"UPDATE")</f>
        <v>UPDATE</v>
      </c>
      <c r="I416" s="76" t="str">
        <f ca="1">IFERROR(__xludf.DUMMYFUNCTION("""COMPUTED_VALUE"""),"https://drive.google.com/open?id=1StbgP7pcSFtCvZX2EWBs7VuwV93V14eo")</f>
        <v>https://drive.google.com/open?id=1StbgP7pcSFtCvZX2EWBs7VuwV93V14eo</v>
      </c>
      <c r="J416" s="59"/>
      <c r="K416" s="59"/>
      <c r="L416" s="59"/>
      <c r="M416" s="59"/>
      <c r="N416" s="59"/>
      <c r="O416" s="59"/>
      <c r="P416" s="59"/>
    </row>
    <row r="417" spans="1:16">
      <c r="A417" s="71">
        <f ca="1">IFERROR(__xludf.DUMMYFUNCTION("""COMPUTED_VALUE"""),45133.4961126851)</f>
        <v>45133.496112685098</v>
      </c>
      <c r="B417" s="59" t="str">
        <f ca="1">IFERROR(__xludf.DUMMYFUNCTION("""COMPUTED_VALUE"""),"Shiv Sagar kohar")</f>
        <v>Shiv Sagar kohar</v>
      </c>
      <c r="C417" s="72" t="str">
        <f ca="1">IFERROR(__xludf.DUMMYFUNCTION("""COMPUTED_VALUE"""),"22SDSCE01625")</f>
        <v>22SDSCE01625</v>
      </c>
      <c r="D417" s="73">
        <f ca="1">IFERROR(__xludf.DUMMYFUNCTION("""COMPUTED_VALUE"""),45133)</f>
        <v>45133</v>
      </c>
      <c r="E417" s="72"/>
      <c r="F417" s="72">
        <f ca="1">IFERROR(__xludf.DUMMYFUNCTION("""COMPUTED_VALUE"""),40000)</f>
        <v>40000</v>
      </c>
      <c r="G417" s="75"/>
      <c r="H417" s="59" t="str">
        <f ca="1">IFERROR(__xludf.DUMMYFUNCTION("""COMPUTED_VALUE"""),"UPDATE")</f>
        <v>UPDATE</v>
      </c>
      <c r="I417" s="76" t="str">
        <f ca="1">IFERROR(__xludf.DUMMYFUNCTION("""COMPUTED_VALUE"""),"https://drive.google.com/open?id=1L6d5perCPh5177E55B1UgyvveE6cxEdY")</f>
        <v>https://drive.google.com/open?id=1L6d5perCPh5177E55B1UgyvveE6cxEdY</v>
      </c>
      <c r="J417" s="59"/>
      <c r="K417" s="59"/>
      <c r="L417" s="59"/>
      <c r="M417" s="59"/>
      <c r="N417" s="59"/>
      <c r="O417" s="59"/>
      <c r="P417" s="59"/>
    </row>
    <row r="418" spans="1:16">
      <c r="A418" s="71">
        <f ca="1">IFERROR(__xludf.DUMMYFUNCTION("""COMPUTED_VALUE"""),45133.4883813194)</f>
        <v>45133.488381319403</v>
      </c>
      <c r="B418" s="59" t="str">
        <f ca="1">IFERROR(__xludf.DUMMYFUNCTION("""COMPUTED_VALUE"""),"Dilip modhvadiya babubhai ")</f>
        <v xml:space="preserve">Dilip modhvadiya babubhai </v>
      </c>
      <c r="C418" s="72" t="str">
        <f ca="1">IFERROR(__xludf.DUMMYFUNCTION("""COMPUTED_VALUE"""),"22SDSCE01174")</f>
        <v>22SDSCE01174</v>
      </c>
      <c r="D418" s="73">
        <f ca="1">IFERROR(__xludf.DUMMYFUNCTION("""COMPUTED_VALUE"""),45133)</f>
        <v>45133</v>
      </c>
      <c r="E418" s="72"/>
      <c r="F418" s="72"/>
      <c r="G418" s="75"/>
      <c r="H418" s="59" t="str">
        <f ca="1">IFERROR(__xludf.DUMMYFUNCTION("""COMPUTED_VALUE"""),"UPDATE")</f>
        <v>UPDATE</v>
      </c>
      <c r="I418" s="76" t="str">
        <f ca="1">IFERROR(__xludf.DUMMYFUNCTION("""COMPUTED_VALUE"""),"https://drive.google.com/open?id=1oGyxENZk7UlfY-N_oprfF4M2Ix0uk2If")</f>
        <v>https://drive.google.com/open?id=1oGyxENZk7UlfY-N_oprfF4M2Ix0uk2If</v>
      </c>
      <c r="J418" s="59"/>
      <c r="K418" s="59"/>
      <c r="L418" s="59"/>
      <c r="M418" s="59"/>
      <c r="N418" s="59"/>
      <c r="O418" s="59"/>
      <c r="P418" s="59"/>
    </row>
    <row r="419" spans="1:16">
      <c r="A419" s="71">
        <f ca="1">IFERROR(__xludf.DUMMYFUNCTION("""COMPUTED_VALUE"""),45133.4772847106)</f>
        <v>45133.4772847106</v>
      </c>
      <c r="B419" s="59" t="str">
        <f ca="1">IFERROR(__xludf.DUMMYFUNCTION("""COMPUTED_VALUE"""),"Dhamal harsh himmatbhai ")</f>
        <v xml:space="preserve">Dhamal harsh himmatbhai </v>
      </c>
      <c r="C419" s="72" t="str">
        <f ca="1">IFERROR(__xludf.DUMMYFUNCTION("""COMPUTED_VALUE"""),"22SDSCE01141")</f>
        <v>22SDSCE01141</v>
      </c>
      <c r="D419" s="73">
        <f ca="1">IFERROR(__xludf.DUMMYFUNCTION("""COMPUTED_VALUE"""),45133)</f>
        <v>45133</v>
      </c>
      <c r="E419" s="72"/>
      <c r="F419" s="72"/>
      <c r="G419" s="75"/>
      <c r="H419" s="59" t="str">
        <f ca="1">IFERROR(__xludf.DUMMYFUNCTION("""COMPUTED_VALUE"""),"UPDATE")</f>
        <v>UPDATE</v>
      </c>
      <c r="I419" s="76" t="str">
        <f ca="1">IFERROR(__xludf.DUMMYFUNCTION("""COMPUTED_VALUE"""),"https://drive.google.com/open?id=1olGJbVVdq6t0aBbsCAAPziqp6qaJeqgl")</f>
        <v>https://drive.google.com/open?id=1olGJbVVdq6t0aBbsCAAPziqp6qaJeqgl</v>
      </c>
      <c r="J419" s="59"/>
      <c r="K419" s="59"/>
      <c r="L419" s="59"/>
      <c r="M419" s="59"/>
      <c r="N419" s="59"/>
      <c r="O419" s="59"/>
      <c r="P419" s="59"/>
    </row>
    <row r="420" spans="1:16">
      <c r="A420" s="71">
        <f ca="1">IFERROR(__xludf.DUMMYFUNCTION("""COMPUTED_VALUE"""),45133.452322824)</f>
        <v>45133.452322824</v>
      </c>
      <c r="B420" s="59" t="str">
        <f ca="1">IFERROR(__xludf.DUMMYFUNCTION("""COMPUTED_VALUE"""),"Bharadwa pritesh")</f>
        <v>Bharadwa pritesh</v>
      </c>
      <c r="C420" s="72" t="str">
        <f ca="1">IFERROR(__xludf.DUMMYFUNCTION("""COMPUTED_VALUE"""),"22SDSCE01133")</f>
        <v>22SDSCE01133</v>
      </c>
      <c r="D420" s="73">
        <f ca="1">IFERROR(__xludf.DUMMYFUNCTION("""COMPUTED_VALUE"""),45133)</f>
        <v>45133</v>
      </c>
      <c r="E420" s="74">
        <f ca="1">IFERROR(__xludf.DUMMYFUNCTION("""COMPUTED_VALUE"""),25000)</f>
        <v>25000</v>
      </c>
      <c r="F420" s="72">
        <f ca="1">IFERROR(__xludf.DUMMYFUNCTION("""COMPUTED_VALUE"""),3000)</f>
        <v>3000</v>
      </c>
      <c r="G420" s="75"/>
      <c r="H420" s="59" t="str">
        <f ca="1">IFERROR(__xludf.DUMMYFUNCTION("""COMPUTED_VALUE"""),"UPDATE")</f>
        <v>UPDATE</v>
      </c>
      <c r="I420" s="76" t="str">
        <f ca="1">IFERROR(__xludf.DUMMYFUNCTION("""COMPUTED_VALUE"""),"https://drive.google.com/open?id=1SQihdqBUaeZWf6q5qqcHDIpkjhHxrI-9")</f>
        <v>https://drive.google.com/open?id=1SQihdqBUaeZWf6q5qqcHDIpkjhHxrI-9</v>
      </c>
      <c r="J420" s="59"/>
      <c r="K420" s="59"/>
      <c r="L420" s="59"/>
      <c r="M420" s="59"/>
      <c r="N420" s="59"/>
      <c r="O420" s="59"/>
      <c r="P420" s="59"/>
    </row>
    <row r="421" spans="1:16">
      <c r="A421" s="71">
        <f ca="1">IFERROR(__xludf.DUMMYFUNCTION("""COMPUTED_VALUE"""),45132.9813220023)</f>
        <v>45132.981322002299</v>
      </c>
      <c r="B421" s="59" t="str">
        <f ca="1">IFERROR(__xludf.DUMMYFUNCTION("""COMPUTED_VALUE"""),"Kishan tanna")</f>
        <v>Kishan tanna</v>
      </c>
      <c r="C421" s="72" t="str">
        <f ca="1">IFERROR(__xludf.DUMMYFUNCTION("""COMPUTED_VALUE"""),"20SDSME01037 ( diploma en number)")</f>
        <v>20SDSME01037 ( diploma en number)</v>
      </c>
      <c r="D421" s="73">
        <f ca="1">IFERROR(__xludf.DUMMYFUNCTION("""COMPUTED_VALUE"""),45132)</f>
        <v>45132</v>
      </c>
      <c r="E421" s="74">
        <f ca="1">IFERROR(__xludf.DUMMYFUNCTION("""COMPUTED_VALUE"""),17915)</f>
        <v>17915</v>
      </c>
      <c r="F421" s="72">
        <f ca="1">IFERROR(__xludf.DUMMYFUNCTION("""COMPUTED_VALUE"""),17915)</f>
        <v>17915</v>
      </c>
      <c r="G421" s="75"/>
      <c r="H421" s="59" t="str">
        <f ca="1">IFERROR(__xludf.DUMMYFUNCTION("""COMPUTED_VALUE"""),"UPDATE")</f>
        <v>UPDATE</v>
      </c>
      <c r="I421" s="76" t="str">
        <f ca="1">IFERROR(__xludf.DUMMYFUNCTION("""COMPUTED_VALUE"""),"https://drive.google.com/open?id=1OVByKkbzCQ5S7B_gLAQdpV-npaXoTzYO")</f>
        <v>https://drive.google.com/open?id=1OVByKkbzCQ5S7B_gLAQdpV-npaXoTzYO</v>
      </c>
      <c r="J421" s="59"/>
      <c r="K421" s="59"/>
      <c r="L421" s="59"/>
      <c r="M421" s="59"/>
      <c r="N421" s="59"/>
      <c r="O421" s="59"/>
      <c r="P421" s="59"/>
    </row>
    <row r="422" spans="1:16">
      <c r="A422" s="71">
        <f ca="1">IFERROR(__xludf.DUMMYFUNCTION("""COMPUTED_VALUE"""),45132.8724679629)</f>
        <v>45132.872467962901</v>
      </c>
      <c r="B422" s="59" t="str">
        <f ca="1">IFERROR(__xludf.DUMMYFUNCTION("""COMPUTED_VALUE"""),"Anup Thakur ")</f>
        <v xml:space="preserve">Anup Thakur </v>
      </c>
      <c r="C422" s="72" t="str">
        <f ca="1">IFERROR(__xludf.DUMMYFUNCTION("""COMPUTED_VALUE"""),"22SDSCE01623")</f>
        <v>22SDSCE01623</v>
      </c>
      <c r="D422" s="73">
        <f ca="1">IFERROR(__xludf.DUMMYFUNCTION("""COMPUTED_VALUE"""),45132)</f>
        <v>45132</v>
      </c>
      <c r="E422" s="72"/>
      <c r="F422" s="72"/>
      <c r="G422" s="75"/>
      <c r="H422" s="59" t="str">
        <f ca="1">IFERROR(__xludf.DUMMYFUNCTION("""COMPUTED_VALUE"""),"UPDATE")</f>
        <v>UPDATE</v>
      </c>
      <c r="I422" s="76" t="str">
        <f ca="1">IFERROR(__xludf.DUMMYFUNCTION("""COMPUTED_VALUE"""),"https://drive.google.com/open?id=1XbT1KPu2Fb2SFneRCJ_6FIpcBWAi08p5")</f>
        <v>https://drive.google.com/open?id=1XbT1KPu2Fb2SFneRCJ_6FIpcBWAi08p5</v>
      </c>
      <c r="J422" s="59"/>
      <c r="K422" s="59"/>
      <c r="L422" s="59"/>
      <c r="M422" s="59"/>
      <c r="N422" s="59"/>
      <c r="O422" s="59"/>
      <c r="P422" s="59"/>
    </row>
    <row r="423" spans="1:16">
      <c r="A423" s="71">
        <f ca="1">IFERROR(__xludf.DUMMYFUNCTION("""COMPUTED_VALUE"""),45132.7324395601)</f>
        <v>45132.732439560103</v>
      </c>
      <c r="B423" s="59" t="str">
        <f ca="1">IFERROR(__xludf.DUMMYFUNCTION("""COMPUTED_VALUE"""),"Goraniya karan")</f>
        <v>Goraniya karan</v>
      </c>
      <c r="C423" s="72" t="str">
        <f ca="1">IFERROR(__xludf.DUMMYFUNCTION("""COMPUTED_VALUE"""),"22SDSCE01152")</f>
        <v>22SDSCE01152</v>
      </c>
      <c r="D423" s="73">
        <f ca="1">IFERROR(__xludf.DUMMYFUNCTION("""COMPUTED_VALUE"""),45132)</f>
        <v>45132</v>
      </c>
      <c r="E423" s="72"/>
      <c r="F423" s="72"/>
      <c r="G423" s="75"/>
      <c r="H423" s="59" t="str">
        <f ca="1">IFERROR(__xludf.DUMMYFUNCTION("""COMPUTED_VALUE"""),"UPDATE")</f>
        <v>UPDATE</v>
      </c>
      <c r="I423" s="76" t="str">
        <f ca="1">IFERROR(__xludf.DUMMYFUNCTION("""COMPUTED_VALUE"""),"https://drive.google.com/open?id=10fc90_hv0eB1KhlT4L4yCIZi2P0ygPQ2")</f>
        <v>https://drive.google.com/open?id=10fc90_hv0eB1KhlT4L4yCIZi2P0ygPQ2</v>
      </c>
      <c r="J423" s="59"/>
      <c r="K423" s="59"/>
      <c r="L423" s="59"/>
      <c r="M423" s="59"/>
      <c r="N423" s="59"/>
      <c r="O423" s="59"/>
      <c r="P423" s="59"/>
    </row>
    <row r="424" spans="1:16">
      <c r="A424" s="71">
        <f ca="1">IFERROR(__xludf.DUMMYFUNCTION("""COMPUTED_VALUE"""),45132.7153537615)</f>
        <v>45132.715353761501</v>
      </c>
      <c r="B424" s="59" t="str">
        <f ca="1">IFERROR(__xludf.DUMMYFUNCTION("""COMPUTED_VALUE"""),"Dobariya yash nileshbhai")</f>
        <v>Dobariya yash nileshbhai</v>
      </c>
      <c r="C424" s="72" t="str">
        <f ca="1">IFERROR(__xludf.DUMMYFUNCTION("""COMPUTED_VALUE"""),"22SDSCE01145")</f>
        <v>22SDSCE01145</v>
      </c>
      <c r="D424" s="73">
        <f ca="1">IFERROR(__xludf.DUMMYFUNCTION("""COMPUTED_VALUE"""),45132)</f>
        <v>45132</v>
      </c>
      <c r="E424" s="72"/>
      <c r="F424" s="72">
        <f ca="1">IFERROR(__xludf.DUMMYFUNCTION("""COMPUTED_VALUE"""),3000)</f>
        <v>3000</v>
      </c>
      <c r="G424" s="75"/>
      <c r="H424" s="59" t="str">
        <f ca="1">IFERROR(__xludf.DUMMYFUNCTION("""COMPUTED_VALUE"""),"UPDATE")</f>
        <v>UPDATE</v>
      </c>
      <c r="I424" s="76" t="str">
        <f ca="1">IFERROR(__xludf.DUMMYFUNCTION("""COMPUTED_VALUE"""),"https://drive.google.com/open?id=1Y_NJ2kGUYO-6I2ZvHdb1cnKY94XAJufA")</f>
        <v>https://drive.google.com/open?id=1Y_NJ2kGUYO-6I2ZvHdb1cnKY94XAJufA</v>
      </c>
      <c r="J424" s="59"/>
      <c r="K424" s="59"/>
      <c r="L424" s="59"/>
      <c r="M424" s="59"/>
      <c r="N424" s="59"/>
      <c r="O424" s="59"/>
      <c r="P424" s="59"/>
    </row>
    <row r="425" spans="1:16">
      <c r="A425" s="71">
        <f ca="1">IFERROR(__xludf.DUMMYFUNCTION("""COMPUTED_VALUE"""),45132.7131674074)</f>
        <v>45132.713167407397</v>
      </c>
      <c r="B425" s="59" t="str">
        <f ca="1">IFERROR(__xludf.DUMMYFUNCTION("""COMPUTED_VALUE"""),"Dobariya yash nileshbhai")</f>
        <v>Dobariya yash nileshbhai</v>
      </c>
      <c r="C425" s="72" t="str">
        <f ca="1">IFERROR(__xludf.DUMMYFUNCTION("""COMPUTED_VALUE"""),"22SDSCE01145")</f>
        <v>22SDSCE01145</v>
      </c>
      <c r="D425" s="73">
        <f ca="1">IFERROR(__xludf.DUMMYFUNCTION("""COMPUTED_VALUE"""),45132)</f>
        <v>45132</v>
      </c>
      <c r="E425" s="74">
        <f ca="1">IFERROR(__xludf.DUMMYFUNCTION("""COMPUTED_VALUE"""),25000)</f>
        <v>25000</v>
      </c>
      <c r="F425" s="72"/>
      <c r="G425" s="75"/>
      <c r="H425" s="59" t="str">
        <f ca="1">IFERROR(__xludf.DUMMYFUNCTION("""COMPUTED_VALUE"""),"UPDATE")</f>
        <v>UPDATE</v>
      </c>
      <c r="I425" s="76" t="str">
        <f ca="1">IFERROR(__xludf.DUMMYFUNCTION("""COMPUTED_VALUE"""),"https://drive.google.com/open?id=1k92QjqyqH_6fd8v_LanipC1NDJ-A0swD")</f>
        <v>https://drive.google.com/open?id=1k92QjqyqH_6fd8v_LanipC1NDJ-A0swD</v>
      </c>
      <c r="J425" s="59"/>
      <c r="K425" s="59"/>
      <c r="L425" s="59"/>
      <c r="M425" s="59"/>
      <c r="N425" s="59"/>
      <c r="O425" s="59"/>
      <c r="P425" s="59"/>
    </row>
    <row r="426" spans="1:16">
      <c r="A426" s="71">
        <f ca="1">IFERROR(__xludf.DUMMYFUNCTION("""COMPUTED_VALUE"""),45132.6624061111)</f>
        <v>45132.6624061111</v>
      </c>
      <c r="B426" s="59" t="str">
        <f ca="1">IFERROR(__xludf.DUMMYFUNCTION("""COMPUTED_VALUE"""),"Chavda Nikunj Jagdishbhai")</f>
        <v>Chavda Nikunj Jagdishbhai</v>
      </c>
      <c r="C426" s="72" t="str">
        <f ca="1">IFERROR(__xludf.DUMMYFUNCTION("""COMPUTED_VALUE"""),"22SDSCE01138")</f>
        <v>22SDSCE01138</v>
      </c>
      <c r="D426" s="73">
        <f ca="1">IFERROR(__xludf.DUMMYFUNCTION("""COMPUTED_VALUE"""),45132)</f>
        <v>45132</v>
      </c>
      <c r="E426" s="74">
        <f ca="1">IFERROR(__xludf.DUMMYFUNCTION("""COMPUTED_VALUE"""),12500)</f>
        <v>12500</v>
      </c>
      <c r="F426" s="72">
        <f ca="1">IFERROR(__xludf.DUMMYFUNCTION("""COMPUTED_VALUE"""),3000)</f>
        <v>3000</v>
      </c>
      <c r="G426" s="75"/>
      <c r="H426" s="59" t="str">
        <f ca="1">IFERROR(__xludf.DUMMYFUNCTION("""COMPUTED_VALUE"""),"UPDATE")</f>
        <v>UPDATE</v>
      </c>
      <c r="I426" s="76" t="str">
        <f ca="1">IFERROR(__xludf.DUMMYFUNCTION("""COMPUTED_VALUE"""),"https://drive.google.com/open?id=1egE-bfxomSJes7hDy_H3ht598UGfYDLE")</f>
        <v>https://drive.google.com/open?id=1egE-bfxomSJes7hDy_H3ht598UGfYDLE</v>
      </c>
      <c r="J426" s="59"/>
      <c r="K426" s="59"/>
      <c r="L426" s="59"/>
      <c r="M426" s="59"/>
      <c r="N426" s="59"/>
      <c r="O426" s="59"/>
      <c r="P426" s="59"/>
    </row>
    <row r="427" spans="1:16">
      <c r="A427" s="71">
        <f ca="1">IFERROR(__xludf.DUMMYFUNCTION("""COMPUTED_VALUE"""),45132.5986658333)</f>
        <v>45132.598665833299</v>
      </c>
      <c r="B427" s="59" t="str">
        <f ca="1">IFERROR(__xludf.DUMMYFUNCTION("""COMPUTED_VALUE"""),"Jadav jainik")</f>
        <v>Jadav jainik</v>
      </c>
      <c r="C427" s="72" t="str">
        <f ca="1">IFERROR(__xludf.DUMMYFUNCTION("""COMPUTED_VALUE"""),"22SDSCE01202")</f>
        <v>22SDSCE01202</v>
      </c>
      <c r="D427" s="73">
        <f ca="1">IFERROR(__xludf.DUMMYFUNCTION("""COMPUTED_VALUE"""),45118)</f>
        <v>45118</v>
      </c>
      <c r="E427" s="72"/>
      <c r="F427" s="72"/>
      <c r="G427" s="75"/>
      <c r="H427" s="59" t="str">
        <f ca="1">IFERROR(__xludf.DUMMYFUNCTION("""COMPUTED_VALUE"""),"UPDATE")</f>
        <v>UPDATE</v>
      </c>
      <c r="I427" s="76" t="str">
        <f ca="1">IFERROR(__xludf.DUMMYFUNCTION("""COMPUTED_VALUE"""),"https://drive.google.com/open?id=1tChbRPRDcii3BsKFOkI1-32mYQ_Rz1K1")</f>
        <v>https://drive.google.com/open?id=1tChbRPRDcii3BsKFOkI1-32mYQ_Rz1K1</v>
      </c>
      <c r="J427" s="59"/>
      <c r="K427" s="59"/>
      <c r="L427" s="59"/>
      <c r="M427" s="59"/>
      <c r="N427" s="59"/>
      <c r="O427" s="59"/>
      <c r="P427" s="59"/>
    </row>
    <row r="428" spans="1:16">
      <c r="A428" s="71">
        <f ca="1">IFERROR(__xludf.DUMMYFUNCTION("""COMPUTED_VALUE"""),45132.5444011805)</f>
        <v>45132.544401180501</v>
      </c>
      <c r="B428" s="59" t="str">
        <f ca="1">IFERROR(__xludf.DUMMYFUNCTION("""COMPUTED_VALUE"""),"Mithlesh Kumar Yadav")</f>
        <v>Mithlesh Kumar Yadav</v>
      </c>
      <c r="C428" s="72" t="str">
        <f ca="1">IFERROR(__xludf.DUMMYFUNCTION("""COMPUTED_VALUE"""),"22SDSCV01602")</f>
        <v>22SDSCV01602</v>
      </c>
      <c r="D428" s="73">
        <f ca="1">IFERROR(__xludf.DUMMYFUNCTION("""COMPUTED_VALUE"""),45131)</f>
        <v>45131</v>
      </c>
      <c r="E428" s="74">
        <f ca="1">IFERROR(__xludf.DUMMYFUNCTION("""COMPUTED_VALUE"""),32500)</f>
        <v>32500</v>
      </c>
      <c r="F428" s="72"/>
      <c r="G428" s="75"/>
      <c r="H428" s="59" t="str">
        <f ca="1">IFERROR(__xludf.DUMMYFUNCTION("""COMPUTED_VALUE"""),"UPDATE")</f>
        <v>UPDATE</v>
      </c>
      <c r="I428" s="76" t="str">
        <f ca="1">IFERROR(__xludf.DUMMYFUNCTION("""COMPUTED_VALUE"""),"https://drive.google.com/open?id=1IXKNKJj886EhwjeoIxdrd5QbcUBpdt4-")</f>
        <v>https://drive.google.com/open?id=1IXKNKJj886EhwjeoIxdrd5QbcUBpdt4-</v>
      </c>
      <c r="J428" s="59"/>
      <c r="K428" s="59"/>
      <c r="L428" s="59"/>
      <c r="M428" s="59"/>
      <c r="N428" s="59"/>
      <c r="O428" s="59"/>
      <c r="P428" s="59"/>
    </row>
    <row r="429" spans="1:16">
      <c r="A429" s="71">
        <f ca="1">IFERROR(__xludf.DUMMYFUNCTION("""COMPUTED_VALUE"""),45132.5416607523)</f>
        <v>45132.5416607523</v>
      </c>
      <c r="B429" s="59" t="str">
        <f ca="1">IFERROR(__xludf.DUMMYFUNCTION("""COMPUTED_VALUE"""),"Gajendra Pandit")</f>
        <v>Gajendra Pandit</v>
      </c>
      <c r="C429" s="72" t="str">
        <f ca="1">IFERROR(__xludf.DUMMYFUNCTION("""COMPUTED_VALUE"""),"22SDSCV01605")</f>
        <v>22SDSCV01605</v>
      </c>
      <c r="D429" s="73">
        <f ca="1">IFERROR(__xludf.DUMMYFUNCTION("""COMPUTED_VALUE"""),45131)</f>
        <v>45131</v>
      </c>
      <c r="E429" s="74">
        <f ca="1">IFERROR(__xludf.DUMMYFUNCTION("""COMPUTED_VALUE"""),37500)</f>
        <v>37500</v>
      </c>
      <c r="F429" s="72"/>
      <c r="G429" s="75"/>
      <c r="H429" s="59" t="str">
        <f ca="1">IFERROR(__xludf.DUMMYFUNCTION("""COMPUTED_VALUE"""),"UPDATE")</f>
        <v>UPDATE</v>
      </c>
      <c r="I429" s="76" t="str">
        <f ca="1">IFERROR(__xludf.DUMMYFUNCTION("""COMPUTED_VALUE"""),"https://drive.google.com/open?id=109b4GlcGy2UEeLA6pytHdSrtNeElembz")</f>
        <v>https://drive.google.com/open?id=109b4GlcGy2UEeLA6pytHdSrtNeElembz</v>
      </c>
      <c r="J429" s="59"/>
      <c r="K429" s="59"/>
      <c r="L429" s="59"/>
      <c r="M429" s="59"/>
      <c r="N429" s="59"/>
      <c r="O429" s="59"/>
      <c r="P429" s="59"/>
    </row>
    <row r="430" spans="1:16">
      <c r="A430" s="71">
        <f ca="1">IFERROR(__xludf.DUMMYFUNCTION("""COMPUTED_VALUE"""),45132.5172276504)</f>
        <v>45132.517227650402</v>
      </c>
      <c r="B430" s="59" t="str">
        <f ca="1">IFERROR(__xludf.DUMMYFUNCTION("""COMPUTED_VALUE"""),"Bhut milap bharatbhai")</f>
        <v>Bhut milap bharatbhai</v>
      </c>
      <c r="C430" s="72" t="str">
        <f ca="1">IFERROR(__xludf.DUMMYFUNCTION("""COMPUTED_VALUE"""),"22SDSCE01135")</f>
        <v>22SDSCE01135</v>
      </c>
      <c r="D430" s="73">
        <f ca="1">IFERROR(__xludf.DUMMYFUNCTION("""COMPUTED_VALUE"""),45132)</f>
        <v>45132</v>
      </c>
      <c r="E430" s="72"/>
      <c r="F430" s="72">
        <f ca="1">IFERROR(__xludf.DUMMYFUNCTION("""COMPUTED_VALUE"""),3000)</f>
        <v>3000</v>
      </c>
      <c r="G430" s="75"/>
      <c r="H430" s="59" t="str">
        <f ca="1">IFERROR(__xludf.DUMMYFUNCTION("""COMPUTED_VALUE"""),"UPDATE")</f>
        <v>UPDATE</v>
      </c>
      <c r="I430" s="76" t="str">
        <f ca="1">IFERROR(__xludf.DUMMYFUNCTION("""COMPUTED_VALUE"""),"https://drive.google.com/open?id=1GT4TT0tqwr3CLsu_Gd-3nF2wBVBcQW8S")</f>
        <v>https://drive.google.com/open?id=1GT4TT0tqwr3CLsu_Gd-3nF2wBVBcQW8S</v>
      </c>
      <c r="J430" s="59"/>
      <c r="K430" s="59"/>
      <c r="L430" s="59"/>
      <c r="M430" s="59"/>
      <c r="N430" s="59"/>
      <c r="O430" s="59"/>
      <c r="P430" s="59"/>
    </row>
    <row r="431" spans="1:16">
      <c r="A431" s="71">
        <f ca="1">IFERROR(__xludf.DUMMYFUNCTION("""COMPUTED_VALUE"""),45132.5164296064)</f>
        <v>45132.516429606403</v>
      </c>
      <c r="B431" s="59" t="str">
        <f ca="1">IFERROR(__xludf.DUMMYFUNCTION("""COMPUTED_VALUE"""),"Bhut milap bharatbhai")</f>
        <v>Bhut milap bharatbhai</v>
      </c>
      <c r="C431" s="72" t="str">
        <f ca="1">IFERROR(__xludf.DUMMYFUNCTION("""COMPUTED_VALUE"""),"22SDSCE01135")</f>
        <v>22SDSCE01135</v>
      </c>
      <c r="D431" s="73">
        <f ca="1">IFERROR(__xludf.DUMMYFUNCTION("""COMPUTED_VALUE"""),45132)</f>
        <v>45132</v>
      </c>
      <c r="E431" s="74">
        <f ca="1">IFERROR(__xludf.DUMMYFUNCTION("""COMPUTED_VALUE"""),12500)</f>
        <v>12500</v>
      </c>
      <c r="F431" s="72"/>
      <c r="G431" s="75"/>
      <c r="H431" s="59" t="str">
        <f ca="1">IFERROR(__xludf.DUMMYFUNCTION("""COMPUTED_VALUE"""),"UPDATE")</f>
        <v>UPDATE</v>
      </c>
      <c r="I431" s="76" t="str">
        <f ca="1">IFERROR(__xludf.DUMMYFUNCTION("""COMPUTED_VALUE"""),"https://drive.google.com/open?id=12KubV6607baYzgZpaSHGsCPLXtM7BVKf")</f>
        <v>https://drive.google.com/open?id=12KubV6607baYzgZpaSHGsCPLXtM7BVKf</v>
      </c>
      <c r="J431" s="59"/>
      <c r="K431" s="59"/>
      <c r="L431" s="59"/>
      <c r="M431" s="59"/>
      <c r="N431" s="59"/>
      <c r="O431" s="59"/>
      <c r="P431" s="59"/>
    </row>
    <row r="432" spans="1:16">
      <c r="A432" s="71">
        <f ca="1">IFERROR(__xludf.DUMMYFUNCTION("""COMPUTED_VALUE"""),45132.5023705555)</f>
        <v>45132.5023705555</v>
      </c>
      <c r="B432" s="59" t="str">
        <f ca="1">IFERROR(__xludf.DUMMYFUNCTION("""COMPUTED_VALUE"""),"Kotak Nikhil pankajbhai")</f>
        <v>Kotak Nikhil pankajbhai</v>
      </c>
      <c r="C432" s="72" t="str">
        <f ca="1">IFERROR(__xludf.DUMMYFUNCTION("""COMPUTED_VALUE"""),"22SDSCE01056")</f>
        <v>22SDSCE01056</v>
      </c>
      <c r="D432" s="73">
        <f ca="1">IFERROR(__xludf.DUMMYFUNCTION("""COMPUTED_VALUE"""),45132)</f>
        <v>45132</v>
      </c>
      <c r="E432" s="74">
        <f ca="1">IFERROR(__xludf.DUMMYFUNCTION("""COMPUTED_VALUE"""),12500)</f>
        <v>12500</v>
      </c>
      <c r="F432" s="72">
        <f ca="1">IFERROR(__xludf.DUMMYFUNCTION("""COMPUTED_VALUE"""),3000)</f>
        <v>3000</v>
      </c>
      <c r="G432" s="75"/>
      <c r="H432" s="59" t="str">
        <f ca="1">IFERROR(__xludf.DUMMYFUNCTION("""COMPUTED_VALUE"""),"UPDATE")</f>
        <v>UPDATE</v>
      </c>
      <c r="I432" s="76" t="str">
        <f ca="1">IFERROR(__xludf.DUMMYFUNCTION("""COMPUTED_VALUE"""),"https://drive.google.com/open?id=1G3cjeRfKzrkXe2dO99tEz96G1TefMmZb")</f>
        <v>https://drive.google.com/open?id=1G3cjeRfKzrkXe2dO99tEz96G1TefMmZb</v>
      </c>
      <c r="J432" s="59"/>
      <c r="K432" s="59"/>
      <c r="L432" s="59"/>
      <c r="M432" s="59"/>
      <c r="N432" s="59"/>
      <c r="O432" s="59"/>
      <c r="P432" s="59"/>
    </row>
    <row r="433" spans="1:16">
      <c r="A433" s="71">
        <f ca="1">IFERROR(__xludf.DUMMYFUNCTION("""COMPUTED_VALUE"""),45132.4407687037)</f>
        <v>45132.440768703702</v>
      </c>
      <c r="B433" s="59" t="str">
        <f ca="1">IFERROR(__xludf.DUMMYFUNCTION("""COMPUTED_VALUE"""),"Changela Dhyey Nipulbhai ")</f>
        <v xml:space="preserve">Changela Dhyey Nipulbhai </v>
      </c>
      <c r="C433" s="72" t="str">
        <f ca="1">IFERROR(__xludf.DUMMYFUNCTION("""COMPUTED_VALUE"""),"22SDSCE01026")</f>
        <v>22SDSCE01026</v>
      </c>
      <c r="D433" s="73">
        <f ca="1">IFERROR(__xludf.DUMMYFUNCTION("""COMPUTED_VALUE"""),45132)</f>
        <v>45132</v>
      </c>
      <c r="E433" s="72"/>
      <c r="F433" s="72"/>
      <c r="G433" s="75"/>
      <c r="H433" s="59" t="str">
        <f ca="1">IFERROR(__xludf.DUMMYFUNCTION("""COMPUTED_VALUE"""),"UPDATE")</f>
        <v>UPDATE</v>
      </c>
      <c r="I433" s="76" t="str">
        <f ca="1">IFERROR(__xludf.DUMMYFUNCTION("""COMPUTED_VALUE"""),"https://drive.google.com/open?id=103v20BZfePpJ4MPLiLzCjIduIoObDH69")</f>
        <v>https://drive.google.com/open?id=103v20BZfePpJ4MPLiLzCjIduIoObDH69</v>
      </c>
      <c r="J433" s="59"/>
      <c r="K433" s="59"/>
      <c r="L433" s="59"/>
      <c r="M433" s="59"/>
      <c r="N433" s="59"/>
      <c r="O433" s="59"/>
      <c r="P433" s="59"/>
    </row>
    <row r="434" spans="1:16">
      <c r="A434" s="71">
        <f ca="1">IFERROR(__xludf.DUMMYFUNCTION("""COMPUTED_VALUE"""),45132.2411374189)</f>
        <v>45132.241137418903</v>
      </c>
      <c r="B434" s="59" t="str">
        <f ca="1">IFERROR(__xludf.DUMMYFUNCTION("""COMPUTED_VALUE"""),"Anup Thakur ")</f>
        <v xml:space="preserve">Anup Thakur </v>
      </c>
      <c r="C434" s="72" t="str">
        <f ca="1">IFERROR(__xludf.DUMMYFUNCTION("""COMPUTED_VALUE"""),"22SDSCE01623")</f>
        <v>22SDSCE01623</v>
      </c>
      <c r="D434" s="73">
        <f ca="1">IFERROR(__xludf.DUMMYFUNCTION("""COMPUTED_VALUE"""),45131)</f>
        <v>45131</v>
      </c>
      <c r="E434" s="72"/>
      <c r="F434" s="72"/>
      <c r="G434" s="75"/>
      <c r="H434" s="59" t="str">
        <f ca="1">IFERROR(__xludf.DUMMYFUNCTION("""COMPUTED_VALUE"""),"UPDATE")</f>
        <v>UPDATE</v>
      </c>
      <c r="I434" s="76" t="str">
        <f ca="1">IFERROR(__xludf.DUMMYFUNCTION("""COMPUTED_VALUE"""),"https://drive.google.com/open?id=1sskyYET1NpyKEiwHeOJ3SInxLiotVi7m")</f>
        <v>https://drive.google.com/open?id=1sskyYET1NpyKEiwHeOJ3SInxLiotVi7m</v>
      </c>
      <c r="J434" s="59"/>
      <c r="K434" s="59"/>
      <c r="L434" s="59"/>
      <c r="M434" s="59"/>
      <c r="N434" s="59"/>
      <c r="O434" s="59"/>
      <c r="P434" s="59"/>
    </row>
    <row r="435" spans="1:16">
      <c r="A435" s="71">
        <f ca="1">IFERROR(__xludf.DUMMYFUNCTION("""COMPUTED_VALUE"""),45132.0055459606)</f>
        <v>45132.005545960601</v>
      </c>
      <c r="B435" s="59" t="str">
        <f ca="1">IFERROR(__xludf.DUMMYFUNCTION("""COMPUTED_VALUE"""),"Aajam husen musalman ")</f>
        <v xml:space="preserve">Aajam husen musalman </v>
      </c>
      <c r="C435" s="72" t="str">
        <f ca="1">IFERROR(__xludf.DUMMYFUNCTION("""COMPUTED_VALUE"""),"22SDSCE01612")</f>
        <v>22SDSCE01612</v>
      </c>
      <c r="D435" s="73">
        <f ca="1">IFERROR(__xludf.DUMMYFUNCTION("""COMPUTED_VALUE"""),45131)</f>
        <v>45131</v>
      </c>
      <c r="E435" s="72"/>
      <c r="F435" s="72"/>
      <c r="G435" s="75"/>
      <c r="H435" s="59" t="str">
        <f ca="1">IFERROR(__xludf.DUMMYFUNCTION("""COMPUTED_VALUE"""),"UPDATE")</f>
        <v>UPDATE</v>
      </c>
      <c r="I435" s="76" t="str">
        <f ca="1">IFERROR(__xludf.DUMMYFUNCTION("""COMPUTED_VALUE"""),"https://drive.google.com/open?id=19U_7y1DKE9BGiFZhyOrPKl1Gu0YSoHco")</f>
        <v>https://drive.google.com/open?id=19U_7y1DKE9BGiFZhyOrPKl1Gu0YSoHco</v>
      </c>
      <c r="J435" s="59"/>
      <c r="K435" s="59"/>
      <c r="L435" s="59"/>
      <c r="M435" s="59"/>
      <c r="N435" s="59"/>
      <c r="O435" s="59"/>
      <c r="P435" s="59"/>
    </row>
    <row r="436" spans="1:16">
      <c r="A436" s="71">
        <f ca="1">IFERROR(__xludf.DUMMYFUNCTION("""COMPUTED_VALUE"""),45131.9166103703)</f>
        <v>45131.916610370303</v>
      </c>
      <c r="B436" s="59" t="str">
        <f ca="1">IFERROR(__xludf.DUMMYFUNCTION("""COMPUTED_VALUE"""),"UTTAM RAJESHBHAI RAMANI")</f>
        <v>UTTAM RAJESHBHAI RAMANI</v>
      </c>
      <c r="C436" s="72" t="str">
        <f ca="1">IFERROR(__xludf.DUMMYFUNCTION("""COMPUTED_VALUE"""),"22SDSCE01060")</f>
        <v>22SDSCE01060</v>
      </c>
      <c r="D436" s="73">
        <f ca="1">IFERROR(__xludf.DUMMYFUNCTION("""COMPUTED_VALUE"""),45131)</f>
        <v>45131</v>
      </c>
      <c r="E436" s="72"/>
      <c r="F436" s="72">
        <f ca="1">IFERROR(__xludf.DUMMYFUNCTION("""COMPUTED_VALUE"""),3000)</f>
        <v>3000</v>
      </c>
      <c r="G436" s="75"/>
      <c r="H436" s="59" t="str">
        <f ca="1">IFERROR(__xludf.DUMMYFUNCTION("""COMPUTED_VALUE"""),"UPDATE")</f>
        <v>UPDATE</v>
      </c>
      <c r="I436" s="76" t="str">
        <f ca="1">IFERROR(__xludf.DUMMYFUNCTION("""COMPUTED_VALUE"""),"https://drive.google.com/open?id=1IoHKY_6MfT9ySPLjQgypSGqT9zP0MINh")</f>
        <v>https://drive.google.com/open?id=1IoHKY_6MfT9ySPLjQgypSGqT9zP0MINh</v>
      </c>
      <c r="J436" s="59"/>
      <c r="K436" s="59"/>
      <c r="L436" s="59"/>
      <c r="M436" s="59"/>
      <c r="N436" s="59"/>
      <c r="O436" s="59"/>
      <c r="P436" s="59"/>
    </row>
    <row r="437" spans="1:16">
      <c r="A437" s="71">
        <f ca="1">IFERROR(__xludf.DUMMYFUNCTION("""COMPUTED_VALUE"""),45131.8720889583)</f>
        <v>45131.872088958298</v>
      </c>
      <c r="B437" s="59" t="str">
        <f ca="1">IFERROR(__xludf.DUMMYFUNCTION("""COMPUTED_VALUE"""),"Vasoya Utsav Bakulbhai")</f>
        <v>Vasoya Utsav Bakulbhai</v>
      </c>
      <c r="C437" s="72" t="str">
        <f ca="1">IFERROR(__xludf.DUMMYFUNCTION("""COMPUTED_VALUE"""),"22SDSCE01122")</f>
        <v>22SDSCE01122</v>
      </c>
      <c r="D437" s="73">
        <f ca="1">IFERROR(__xludf.DUMMYFUNCTION("""COMPUTED_VALUE"""),45131)</f>
        <v>45131</v>
      </c>
      <c r="E437" s="74">
        <f ca="1">IFERROR(__xludf.DUMMYFUNCTION("""COMPUTED_VALUE"""),12500)</f>
        <v>12500</v>
      </c>
      <c r="F437" s="72">
        <f ca="1">IFERROR(__xludf.DUMMYFUNCTION("""COMPUTED_VALUE"""),3000)</f>
        <v>3000</v>
      </c>
      <c r="G437" s="75"/>
      <c r="H437" s="59" t="str">
        <f ca="1">IFERROR(__xludf.DUMMYFUNCTION("""COMPUTED_VALUE"""),"UPDATE")</f>
        <v>UPDATE</v>
      </c>
      <c r="I437" s="76" t="str">
        <f ca="1">IFERROR(__xludf.DUMMYFUNCTION("""COMPUTED_VALUE"""),"https://drive.google.com/open?id=1joAy_6h6NfaHVbVSMGUoKx9yu1SuLGfG")</f>
        <v>https://drive.google.com/open?id=1joAy_6h6NfaHVbVSMGUoKx9yu1SuLGfG</v>
      </c>
      <c r="J437" s="59"/>
      <c r="K437" s="59"/>
      <c r="L437" s="59"/>
      <c r="M437" s="59"/>
      <c r="N437" s="59"/>
      <c r="O437" s="59"/>
      <c r="P437" s="59"/>
    </row>
    <row r="438" spans="1:16">
      <c r="A438" s="71">
        <f ca="1">IFERROR(__xludf.DUMMYFUNCTION("""COMPUTED_VALUE"""),45131.778053449)</f>
        <v>45131.778053449001</v>
      </c>
      <c r="B438" s="59" t="str">
        <f ca="1">IFERROR(__xludf.DUMMYFUNCTION("""COMPUTED_VALUE"""),"Khunt krina piyushbhai ")</f>
        <v xml:space="preserve">Khunt krina piyushbhai </v>
      </c>
      <c r="C438" s="72" t="str">
        <f ca="1">IFERROR(__xludf.DUMMYFUNCTION("""COMPUTED_VALUE"""),"22SDSCE01161")</f>
        <v>22SDSCE01161</v>
      </c>
      <c r="D438" s="73">
        <f ca="1">IFERROR(__xludf.DUMMYFUNCTION("""COMPUTED_VALUE"""),45131)</f>
        <v>45131</v>
      </c>
      <c r="E438" s="72"/>
      <c r="F438" s="72"/>
      <c r="G438" s="75"/>
      <c r="H438" s="59" t="str">
        <f ca="1">IFERROR(__xludf.DUMMYFUNCTION("""COMPUTED_VALUE"""),"UPDATE")</f>
        <v>UPDATE</v>
      </c>
      <c r="I438" s="76" t="str">
        <f ca="1">IFERROR(__xludf.DUMMYFUNCTION("""COMPUTED_VALUE"""),"https://drive.google.com/open?id=1AD7GkP7-mZHOqdyuHgJq3h0XP-WTH3XU")</f>
        <v>https://drive.google.com/open?id=1AD7GkP7-mZHOqdyuHgJq3h0XP-WTH3XU</v>
      </c>
      <c r="J438" s="59"/>
      <c r="K438" s="59"/>
      <c r="L438" s="59"/>
      <c r="M438" s="59"/>
      <c r="N438" s="59"/>
      <c r="O438" s="59"/>
      <c r="P438" s="59"/>
    </row>
    <row r="439" spans="1:16">
      <c r="A439" s="71">
        <f ca="1">IFERROR(__xludf.DUMMYFUNCTION("""COMPUTED_VALUE"""),45131.7168799305)</f>
        <v>45131.7168799305</v>
      </c>
      <c r="B439" s="59" t="str">
        <f ca="1">IFERROR(__xludf.DUMMYFUNCTION("""COMPUTED_VALUE"""),"Krishan Kant sah ")</f>
        <v xml:space="preserve">Krishan Kant sah </v>
      </c>
      <c r="C439" s="72" t="str">
        <f ca="1">IFERROR(__xludf.DUMMYFUNCTION("""COMPUTED_VALUE"""),"22SDSCE01622")</f>
        <v>22SDSCE01622</v>
      </c>
      <c r="D439" s="73">
        <f ca="1">IFERROR(__xludf.DUMMYFUNCTION("""COMPUTED_VALUE"""),45131)</f>
        <v>45131</v>
      </c>
      <c r="E439" s="72"/>
      <c r="F439" s="72"/>
      <c r="G439" s="75"/>
      <c r="H439" s="59" t="str">
        <f ca="1">IFERROR(__xludf.DUMMYFUNCTION("""COMPUTED_VALUE"""),"UPDATE")</f>
        <v>UPDATE</v>
      </c>
      <c r="I439" s="76" t="str">
        <f ca="1">IFERROR(__xludf.DUMMYFUNCTION("""COMPUTED_VALUE"""),"https://drive.google.com/open?id=1X7W4_qXvJKu9m8yRf4NpX2gnneXkUBAr")</f>
        <v>https://drive.google.com/open?id=1X7W4_qXvJKu9m8yRf4NpX2gnneXkUBAr</v>
      </c>
      <c r="J439" s="59"/>
      <c r="K439" s="59"/>
      <c r="L439" s="59"/>
      <c r="M439" s="59"/>
      <c r="N439" s="59"/>
      <c r="O439" s="59"/>
      <c r="P439" s="59"/>
    </row>
    <row r="440" spans="1:16">
      <c r="A440" s="71">
        <f ca="1">IFERROR(__xludf.DUMMYFUNCTION("""COMPUTED_VALUE"""),45131.7057875462)</f>
        <v>45131.705787546198</v>
      </c>
      <c r="B440" s="59" t="str">
        <f ca="1">IFERROR(__xludf.DUMMYFUNCTION("""COMPUTED_VALUE"""),"Parakhiya bhakti bipinbhai ")</f>
        <v xml:space="preserve">Parakhiya bhakti bipinbhai </v>
      </c>
      <c r="C440" s="72" t="str">
        <f ca="1">IFERROR(__xludf.DUMMYFUNCTION("""COMPUTED_VALUE"""),"22SDSCE01179")</f>
        <v>22SDSCE01179</v>
      </c>
      <c r="D440" s="73">
        <f ca="1">IFERROR(__xludf.DUMMYFUNCTION("""COMPUTED_VALUE"""),45131)</f>
        <v>45131</v>
      </c>
      <c r="E440" s="72"/>
      <c r="F440" s="72"/>
      <c r="G440" s="75"/>
      <c r="H440" s="59" t="str">
        <f ca="1">IFERROR(__xludf.DUMMYFUNCTION("""COMPUTED_VALUE"""),"UPDATE")</f>
        <v>UPDATE</v>
      </c>
      <c r="I440" s="76" t="str">
        <f ca="1">IFERROR(__xludf.DUMMYFUNCTION("""COMPUTED_VALUE"""),"https://drive.google.com/open?id=1fMUZTB_X3j1BNyVw_-8SXc9h052oIARe")</f>
        <v>https://drive.google.com/open?id=1fMUZTB_X3j1BNyVw_-8SXc9h052oIARe</v>
      </c>
      <c r="J440" s="59"/>
      <c r="K440" s="59"/>
      <c r="L440" s="59"/>
      <c r="M440" s="59"/>
      <c r="N440" s="59"/>
      <c r="O440" s="59"/>
      <c r="P440" s="59"/>
    </row>
    <row r="441" spans="1:16">
      <c r="A441" s="71">
        <f ca="1">IFERROR(__xludf.DUMMYFUNCTION("""COMPUTED_VALUE"""),45131.6982067129)</f>
        <v>45131.698206712899</v>
      </c>
      <c r="B441" s="59" t="str">
        <f ca="1">IFERROR(__xludf.DUMMYFUNCTION("""COMPUTED_VALUE"""),"Bhargav dudhagara ")</f>
        <v xml:space="preserve">Bhargav dudhagara </v>
      </c>
      <c r="C441" s="72" t="str">
        <f ca="1">IFERROR(__xludf.DUMMYFUNCTION("""COMPUTED_VALUE"""),"22SDSCE01148")</f>
        <v>22SDSCE01148</v>
      </c>
      <c r="D441" s="73">
        <f ca="1">IFERROR(__xludf.DUMMYFUNCTION("""COMPUTED_VALUE"""),45131)</f>
        <v>45131</v>
      </c>
      <c r="E441" s="74">
        <f ca="1">IFERROR(__xludf.DUMMYFUNCTION("""COMPUTED_VALUE"""),25000)</f>
        <v>25000</v>
      </c>
      <c r="F441" s="72"/>
      <c r="G441" s="75"/>
      <c r="H441" s="59" t="str">
        <f ca="1">IFERROR(__xludf.DUMMYFUNCTION("""COMPUTED_VALUE"""),"UPDATE")</f>
        <v>UPDATE</v>
      </c>
      <c r="I441" s="76" t="str">
        <f ca="1">IFERROR(__xludf.DUMMYFUNCTION("""COMPUTED_VALUE"""),"https://drive.google.com/open?id=1jBrLpRlJl0D7VL_OZ3DNfEst6XWNWtKB")</f>
        <v>https://drive.google.com/open?id=1jBrLpRlJl0D7VL_OZ3DNfEst6XWNWtKB</v>
      </c>
      <c r="J441" s="59"/>
      <c r="K441" s="59"/>
      <c r="L441" s="59"/>
      <c r="M441" s="59"/>
      <c r="N441" s="59"/>
      <c r="O441" s="59"/>
      <c r="P441" s="59"/>
    </row>
    <row r="442" spans="1:16">
      <c r="A442" s="71">
        <f ca="1">IFERROR(__xludf.DUMMYFUNCTION("""COMPUTED_VALUE"""),45131.6730734837)</f>
        <v>45131.673073483696</v>
      </c>
      <c r="B442" s="59" t="str">
        <f ca="1">IFERROR(__xludf.DUMMYFUNCTION("""COMPUTED_VALUE"""),"Nimavat hemangi ")</f>
        <v xml:space="preserve">Nimavat hemangi </v>
      </c>
      <c r="C442" s="72" t="str">
        <f ca="1">IFERROR(__xludf.DUMMYFUNCTION("""COMPUTED_VALUE"""),"22SDSCE01177")</f>
        <v>22SDSCE01177</v>
      </c>
      <c r="D442" s="73">
        <f ca="1">IFERROR(__xludf.DUMMYFUNCTION("""COMPUTED_VALUE"""),45131)</f>
        <v>45131</v>
      </c>
      <c r="E442" s="72"/>
      <c r="F442" s="72"/>
      <c r="G442" s="75"/>
      <c r="H442" s="59" t="str">
        <f ca="1">IFERROR(__xludf.DUMMYFUNCTION("""COMPUTED_VALUE"""),"UPDATE")</f>
        <v>UPDATE</v>
      </c>
      <c r="I442" s="76" t="str">
        <f ca="1">IFERROR(__xludf.DUMMYFUNCTION("""COMPUTED_VALUE"""),"https://drive.google.com/open?id=1rJ3vQluXzYNs2Juoi7ztZpsj8plvlcnF")</f>
        <v>https://drive.google.com/open?id=1rJ3vQluXzYNs2Juoi7ztZpsj8plvlcnF</v>
      </c>
      <c r="J442" s="59"/>
      <c r="K442" s="59"/>
      <c r="L442" s="59"/>
      <c r="M442" s="59"/>
      <c r="N442" s="59"/>
      <c r="O442" s="59"/>
      <c r="P442" s="59"/>
    </row>
    <row r="443" spans="1:16">
      <c r="A443" s="71">
        <f ca="1">IFERROR(__xludf.DUMMYFUNCTION("""COMPUTED_VALUE"""),45131.671159537)</f>
        <v>45131.671159537</v>
      </c>
      <c r="B443" s="59" t="str">
        <f ca="1">IFERROR(__xludf.DUMMYFUNCTION("""COMPUTED_VALUE"""),"Nimavat hemangi ")</f>
        <v xml:space="preserve">Nimavat hemangi </v>
      </c>
      <c r="C443" s="72" t="str">
        <f ca="1">IFERROR(__xludf.DUMMYFUNCTION("""COMPUTED_VALUE"""),"22SDSCE01177")</f>
        <v>22SDSCE01177</v>
      </c>
      <c r="D443" s="73">
        <f ca="1">IFERROR(__xludf.DUMMYFUNCTION("""COMPUTED_VALUE"""),45131)</f>
        <v>45131</v>
      </c>
      <c r="E443" s="74">
        <f ca="1">IFERROR(__xludf.DUMMYFUNCTION("""COMPUTED_VALUE"""),25000)</f>
        <v>25000</v>
      </c>
      <c r="F443" s="72">
        <f ca="1">IFERROR(__xludf.DUMMYFUNCTION("""COMPUTED_VALUE"""),3000)</f>
        <v>3000</v>
      </c>
      <c r="G443" s="75"/>
      <c r="H443" s="59" t="str">
        <f ca="1">IFERROR(__xludf.DUMMYFUNCTION("""COMPUTED_VALUE"""),"UPDATE")</f>
        <v>UPDATE</v>
      </c>
      <c r="I443" s="76" t="str">
        <f ca="1">IFERROR(__xludf.DUMMYFUNCTION("""COMPUTED_VALUE"""),"https://drive.google.com/open?id=1IlwAjFzRs0suzS7xv4qQhjvb4lEI_7CA")</f>
        <v>https://drive.google.com/open?id=1IlwAjFzRs0suzS7xv4qQhjvb4lEI_7CA</v>
      </c>
      <c r="J443" s="59"/>
      <c r="K443" s="59"/>
      <c r="L443" s="59"/>
      <c r="M443" s="59"/>
      <c r="N443" s="59"/>
      <c r="O443" s="59"/>
      <c r="P443" s="59"/>
    </row>
    <row r="444" spans="1:16">
      <c r="A444" s="71">
        <f ca="1">IFERROR(__xludf.DUMMYFUNCTION("""COMPUTED_VALUE"""),45131.6410563425)</f>
        <v>45131.641056342502</v>
      </c>
      <c r="B444" s="59" t="str">
        <f ca="1">IFERROR(__xludf.DUMMYFUNCTION("""COMPUTED_VALUE"""),"KRISHRAJSINH VALA")</f>
        <v>KRISHRAJSINH VALA</v>
      </c>
      <c r="C444" s="72" t="str">
        <f ca="1">IFERROR(__xludf.DUMMYFUNCTION("""COMPUTED_VALUE"""),"22SDSCV01015")</f>
        <v>22SDSCV01015</v>
      </c>
      <c r="D444" s="73">
        <f ca="1">IFERROR(__xludf.DUMMYFUNCTION("""COMPUTED_VALUE"""),45131)</f>
        <v>45131</v>
      </c>
      <c r="E444" s="74">
        <f ca="1">IFERROR(__xludf.DUMMYFUNCTION("""COMPUTED_VALUE"""),25000)</f>
        <v>25000</v>
      </c>
      <c r="F444" s="72">
        <f ca="1">IFERROR(__xludf.DUMMYFUNCTION("""COMPUTED_VALUE"""),3000)</f>
        <v>3000</v>
      </c>
      <c r="G444" s="75"/>
      <c r="H444" s="59" t="str">
        <f ca="1">IFERROR(__xludf.DUMMYFUNCTION("""COMPUTED_VALUE"""),"UPDATE")</f>
        <v>UPDATE</v>
      </c>
      <c r="I444" s="76" t="str">
        <f ca="1">IFERROR(__xludf.DUMMYFUNCTION("""COMPUTED_VALUE"""),"https://drive.google.com/open?id=1UGbYgboz_ffAZXz3XC0zvuimraFCQJhD")</f>
        <v>https://drive.google.com/open?id=1UGbYgboz_ffAZXz3XC0zvuimraFCQJhD</v>
      </c>
      <c r="J444" s="59"/>
      <c r="K444" s="59"/>
      <c r="L444" s="59"/>
      <c r="M444" s="59"/>
      <c r="N444" s="59"/>
      <c r="O444" s="59"/>
      <c r="P444" s="59"/>
    </row>
    <row r="445" spans="1:16">
      <c r="A445" s="71">
        <f ca="1">IFERROR(__xludf.DUMMYFUNCTION("""COMPUTED_VALUE"""),45131.6203565277)</f>
        <v>45131.620356527703</v>
      </c>
      <c r="B445" s="59" t="str">
        <f ca="1">IFERROR(__xludf.DUMMYFUNCTION("""COMPUTED_VALUE"""),"Tala preet ketanbhai ")</f>
        <v xml:space="preserve">Tala preet ketanbhai </v>
      </c>
      <c r="C445" s="72" t="str">
        <f ca="1">IFERROR(__xludf.DUMMYFUNCTION("""COMPUTED_VALUE"""),"21sdscv01020 ")</f>
        <v xml:space="preserve">21sdscv01020 </v>
      </c>
      <c r="D445" s="73">
        <f ca="1">IFERROR(__xludf.DUMMYFUNCTION("""COMPUTED_VALUE"""),45082)</f>
        <v>45082</v>
      </c>
      <c r="E445" s="72"/>
      <c r="F445" s="72"/>
      <c r="G445" s="75"/>
      <c r="H445" s="59" t="str">
        <f ca="1">IFERROR(__xludf.DUMMYFUNCTION("""COMPUTED_VALUE"""),"UPDATE")</f>
        <v>UPDATE</v>
      </c>
      <c r="I445" s="76" t="str">
        <f ca="1">IFERROR(__xludf.DUMMYFUNCTION("""COMPUTED_VALUE"""),"https://drive.google.com/open?id=1NaOP5S5zwXqskiS4kRi-lZn1Uwkzm2EU")</f>
        <v>https://drive.google.com/open?id=1NaOP5S5zwXqskiS4kRi-lZn1Uwkzm2EU</v>
      </c>
      <c r="J445" s="59"/>
      <c r="K445" s="59"/>
      <c r="L445" s="59"/>
      <c r="M445" s="59"/>
      <c r="N445" s="59"/>
      <c r="O445" s="59"/>
      <c r="P445" s="59"/>
    </row>
    <row r="446" spans="1:16">
      <c r="A446" s="71">
        <f ca="1">IFERROR(__xludf.DUMMYFUNCTION("""COMPUTED_VALUE"""),45131.601744537)</f>
        <v>45131.601744537002</v>
      </c>
      <c r="B446" s="59" t="str">
        <f ca="1">IFERROR(__xludf.DUMMYFUNCTION("""COMPUTED_VALUE"""),"Krishan Kant sah ")</f>
        <v xml:space="preserve">Krishan Kant sah </v>
      </c>
      <c r="C446" s="72" t="str">
        <f ca="1">IFERROR(__xludf.DUMMYFUNCTION("""COMPUTED_VALUE"""),"22SDSCE01622")</f>
        <v>22SDSCE01622</v>
      </c>
      <c r="D446" s="73">
        <f ca="1">IFERROR(__xludf.DUMMYFUNCTION("""COMPUTED_VALUE"""),45217)</f>
        <v>45217</v>
      </c>
      <c r="E446" s="74">
        <f ca="1">IFERROR(__xludf.DUMMYFUNCTION("""COMPUTED_VALUE"""),35000)</f>
        <v>35000</v>
      </c>
      <c r="F446" s="72">
        <f ca="1">IFERROR(__xludf.DUMMYFUNCTION("""COMPUTED_VALUE"""),35000)</f>
        <v>35000</v>
      </c>
      <c r="G446" s="75"/>
      <c r="H446" s="59" t="str">
        <f ca="1">IFERROR(__xludf.DUMMYFUNCTION("""COMPUTED_VALUE"""),"UPDATE")</f>
        <v>UPDATE</v>
      </c>
      <c r="I446" s="76" t="str">
        <f ca="1">IFERROR(__xludf.DUMMYFUNCTION("""COMPUTED_VALUE"""),"https://drive.google.com/open?id=1YnH6nEaKaUrUnkxUI9XfjWAnWZDa5tUM")</f>
        <v>https://drive.google.com/open?id=1YnH6nEaKaUrUnkxUI9XfjWAnWZDa5tUM</v>
      </c>
      <c r="J446" s="59"/>
      <c r="K446" s="59"/>
      <c r="L446" s="59"/>
      <c r="M446" s="59"/>
      <c r="N446" s="59"/>
      <c r="O446" s="59"/>
      <c r="P446" s="59"/>
    </row>
    <row r="447" spans="1:16">
      <c r="A447" s="71">
        <f ca="1">IFERROR(__xludf.DUMMYFUNCTION("""COMPUTED_VALUE"""),45131.5114217476)</f>
        <v>45131.5114217476</v>
      </c>
      <c r="B447" s="59" t="str">
        <f ca="1">IFERROR(__xludf.DUMMYFUNCTION("""COMPUTED_VALUE"""),"Aajam husen musalman ")</f>
        <v xml:space="preserve">Aajam husen musalman </v>
      </c>
      <c r="C447" s="72" t="str">
        <f ca="1">IFERROR(__xludf.DUMMYFUNCTION("""COMPUTED_VALUE"""),"22SDSCE01612")</f>
        <v>22SDSCE01612</v>
      </c>
      <c r="D447" s="73">
        <f ca="1">IFERROR(__xludf.DUMMYFUNCTION("""COMPUTED_VALUE"""),45131)</f>
        <v>45131</v>
      </c>
      <c r="E447" s="72"/>
      <c r="F447" s="72"/>
      <c r="G447" s="75"/>
      <c r="H447" s="59" t="str">
        <f ca="1">IFERROR(__xludf.DUMMYFUNCTION("""COMPUTED_VALUE"""),"UPDATE")</f>
        <v>UPDATE</v>
      </c>
      <c r="I447" s="76" t="str">
        <f ca="1">IFERROR(__xludf.DUMMYFUNCTION("""COMPUTED_VALUE"""),"https://drive.google.com/open?id=1bHCrpOCTluyYfLaYOrV8fRL85u_6fGKF")</f>
        <v>https://drive.google.com/open?id=1bHCrpOCTluyYfLaYOrV8fRL85u_6fGKF</v>
      </c>
      <c r="J447" s="59"/>
      <c r="K447" s="59"/>
      <c r="L447" s="59"/>
      <c r="M447" s="59"/>
      <c r="N447" s="59"/>
      <c r="O447" s="59"/>
      <c r="P447" s="59"/>
    </row>
    <row r="448" spans="1:16">
      <c r="A448" s="71">
        <f ca="1">IFERROR(__xludf.DUMMYFUNCTION("""COMPUTED_VALUE"""),45131.5043999884)</f>
        <v>45131.5043999884</v>
      </c>
      <c r="B448" s="59" t="str">
        <f ca="1">IFERROR(__xludf.DUMMYFUNCTION("""COMPUTED_VALUE"""),"Vegad vivek dipakbhai")</f>
        <v>Vegad vivek dipakbhai</v>
      </c>
      <c r="C448" s="72" t="str">
        <f ca="1">IFERROR(__xludf.DUMMYFUNCTION("""COMPUTED_VALUE"""),"22SDSCE01197")</f>
        <v>22SDSCE01197</v>
      </c>
      <c r="D448" s="73">
        <f ca="1">IFERROR(__xludf.DUMMYFUNCTION("""COMPUTED_VALUE"""),45131)</f>
        <v>45131</v>
      </c>
      <c r="E448" s="74">
        <f ca="1">IFERROR(__xludf.DUMMYFUNCTION("""COMPUTED_VALUE"""),25000)</f>
        <v>25000</v>
      </c>
      <c r="F448" s="72">
        <f ca="1">IFERROR(__xludf.DUMMYFUNCTION("""COMPUTED_VALUE"""),3000)</f>
        <v>3000</v>
      </c>
      <c r="G448" s="75"/>
      <c r="H448" s="59" t="str">
        <f ca="1">IFERROR(__xludf.DUMMYFUNCTION("""COMPUTED_VALUE"""),"UPDATE")</f>
        <v>UPDATE</v>
      </c>
      <c r="I448" s="76" t="str">
        <f ca="1">IFERROR(__xludf.DUMMYFUNCTION("""COMPUTED_VALUE"""),"https://drive.google.com/open?id=1-oEhmWIpHRYl2czFw0xE7Di2GbEwpMil")</f>
        <v>https://drive.google.com/open?id=1-oEhmWIpHRYl2czFw0xE7Di2GbEwpMil</v>
      </c>
      <c r="J448" s="59"/>
      <c r="K448" s="59"/>
      <c r="L448" s="59"/>
      <c r="M448" s="59"/>
      <c r="N448" s="59"/>
      <c r="O448" s="59"/>
      <c r="P448" s="59"/>
    </row>
    <row r="449" spans="1:16">
      <c r="A449" s="71">
        <f ca="1">IFERROR(__xludf.DUMMYFUNCTION("""COMPUTED_VALUE"""),45131.4909122106)</f>
        <v>45131.490912210596</v>
      </c>
      <c r="B449" s="59" t="str">
        <f ca="1">IFERROR(__xludf.DUMMYFUNCTION("""COMPUTED_VALUE"""),"Shah dhruv mehul ")</f>
        <v xml:space="preserve">Shah dhruv mehul </v>
      </c>
      <c r="C449" s="72" t="str">
        <f ca="1">IFERROR(__xludf.DUMMYFUNCTION("""COMPUTED_VALUE"""),"22SDSCE01188")</f>
        <v>22SDSCE01188</v>
      </c>
      <c r="D449" s="73">
        <f ca="1">IFERROR(__xludf.DUMMYFUNCTION("""COMPUTED_VALUE"""),45131)</f>
        <v>45131</v>
      </c>
      <c r="E449" s="74">
        <f ca="1">IFERROR(__xludf.DUMMYFUNCTION("""COMPUTED_VALUE"""),25000)</f>
        <v>25000</v>
      </c>
      <c r="F449" s="72">
        <f ca="1">IFERROR(__xludf.DUMMYFUNCTION("""COMPUTED_VALUE"""),3000)</f>
        <v>3000</v>
      </c>
      <c r="G449" s="75"/>
      <c r="H449" s="59" t="str">
        <f ca="1">IFERROR(__xludf.DUMMYFUNCTION("""COMPUTED_VALUE"""),"UPDATE")</f>
        <v>UPDATE</v>
      </c>
      <c r="I449" s="76" t="str">
        <f ca="1">IFERROR(__xludf.DUMMYFUNCTION("""COMPUTED_VALUE"""),"https://drive.google.com/open?id=1oCk24eVIElbD9H2CF2CmwY25rxsFcV8Y")</f>
        <v>https://drive.google.com/open?id=1oCk24eVIElbD9H2CF2CmwY25rxsFcV8Y</v>
      </c>
      <c r="J449" s="59"/>
      <c r="K449" s="59"/>
      <c r="L449" s="59"/>
      <c r="M449" s="59"/>
      <c r="N449" s="59"/>
      <c r="O449" s="59"/>
      <c r="P449" s="59"/>
    </row>
    <row r="450" spans="1:16">
      <c r="A450" s="71">
        <f ca="1">IFERROR(__xludf.DUMMYFUNCTION("""COMPUTED_VALUE"""),45130.834639155)</f>
        <v>45130.834639155</v>
      </c>
      <c r="B450" s="59" t="str">
        <f ca="1">IFERROR(__xludf.DUMMYFUNCTION("""COMPUTED_VALUE"""),"Keshvala vipul jethabhai")</f>
        <v>Keshvala vipul jethabhai</v>
      </c>
      <c r="C450" s="72" t="str">
        <f ca="1">IFERROR(__xludf.DUMMYFUNCTION("""COMPUTED_VALUE"""),"22SDSCE01159")</f>
        <v>22SDSCE01159</v>
      </c>
      <c r="D450" s="73">
        <f ca="1">IFERROR(__xludf.DUMMYFUNCTION("""COMPUTED_VALUE"""),39029)</f>
        <v>39029</v>
      </c>
      <c r="E450" s="72"/>
      <c r="F450" s="72"/>
      <c r="G450" s="75"/>
      <c r="H450" s="59" t="str">
        <f ca="1">IFERROR(__xludf.DUMMYFUNCTION("""COMPUTED_VALUE"""),"UPDATE")</f>
        <v>UPDATE</v>
      </c>
      <c r="I450" s="76" t="str">
        <f ca="1">IFERROR(__xludf.DUMMYFUNCTION("""COMPUTED_VALUE"""),"https://drive.google.com/open?id=1VGiFb-XQmkNLuWgigH2wI5Vd5jITvH2L")</f>
        <v>https://drive.google.com/open?id=1VGiFb-XQmkNLuWgigH2wI5Vd5jITvH2L</v>
      </c>
      <c r="J450" s="59"/>
      <c r="K450" s="59"/>
      <c r="L450" s="59"/>
      <c r="M450" s="59"/>
      <c r="N450" s="59"/>
      <c r="O450" s="59"/>
      <c r="P450" s="59"/>
    </row>
    <row r="451" spans="1:16">
      <c r="A451" s="71">
        <f ca="1">IFERROR(__xludf.DUMMYFUNCTION("""COMPUTED_VALUE"""),45129.5410025578)</f>
        <v>45129.541002557802</v>
      </c>
      <c r="B451" s="59" t="str">
        <f ca="1">IFERROR(__xludf.DUMMYFUNCTION("""COMPUTED_VALUE"""),"Sujay Kumar Mahato")</f>
        <v>Sujay Kumar Mahato</v>
      </c>
      <c r="C451" s="72" t="str">
        <f ca="1">IFERROR(__xludf.DUMMYFUNCTION("""COMPUTED_VALUE"""),"21SDSCE01607")</f>
        <v>21SDSCE01607</v>
      </c>
      <c r="D451" s="73">
        <f ca="1">IFERROR(__xludf.DUMMYFUNCTION("""COMPUTED_VALUE"""),45129)</f>
        <v>45129</v>
      </c>
      <c r="E451" s="72"/>
      <c r="F451" s="72"/>
      <c r="G451" s="75"/>
      <c r="H451" s="59" t="str">
        <f ca="1">IFERROR(__xludf.DUMMYFUNCTION("""COMPUTED_VALUE"""),"UPDATE")</f>
        <v>UPDATE</v>
      </c>
      <c r="I451" s="76" t="str">
        <f ca="1">IFERROR(__xludf.DUMMYFUNCTION("""COMPUTED_VALUE"""),"https://drive.google.com/open?id=1QwjH84Dr94ksFmYIhs59OyP3PIB1kr9K")</f>
        <v>https://drive.google.com/open?id=1QwjH84Dr94ksFmYIhs59OyP3PIB1kr9K</v>
      </c>
      <c r="J451" s="59"/>
      <c r="K451" s="59"/>
      <c r="L451" s="59"/>
      <c r="M451" s="59"/>
      <c r="N451" s="59"/>
      <c r="O451" s="59"/>
      <c r="P451" s="59"/>
    </row>
    <row r="452" spans="1:16">
      <c r="A452" s="71">
        <f ca="1">IFERROR(__xludf.DUMMYFUNCTION("""COMPUTED_VALUE"""),45128.7083072916)</f>
        <v>45128.708307291599</v>
      </c>
      <c r="B452" s="59" t="str">
        <f ca="1">IFERROR(__xludf.DUMMYFUNCTION("""COMPUTED_VALUE"""),"Hiren Vaghela ")</f>
        <v xml:space="preserve">Hiren Vaghela </v>
      </c>
      <c r="C452" s="72" t="str">
        <f ca="1">IFERROR(__xludf.DUMMYFUNCTION("""COMPUTED_VALUE"""),"22SDSCV01014")</f>
        <v>22SDSCV01014</v>
      </c>
      <c r="D452" s="73">
        <f ca="1">IFERROR(__xludf.DUMMYFUNCTION("""COMPUTED_VALUE"""),45128)</f>
        <v>45128</v>
      </c>
      <c r="E452" s="74">
        <f ca="1">IFERROR(__xludf.DUMMYFUNCTION("""COMPUTED_VALUE"""),0)</f>
        <v>0</v>
      </c>
      <c r="F452" s="72">
        <f ca="1">IFERROR(__xludf.DUMMYFUNCTION("""COMPUTED_VALUE"""),0)</f>
        <v>0</v>
      </c>
      <c r="G452" s="75"/>
      <c r="H452" s="59" t="str">
        <f ca="1">IFERROR(__xludf.DUMMYFUNCTION("""COMPUTED_VALUE"""),"UPDATE")</f>
        <v>UPDATE</v>
      </c>
      <c r="I452" s="76" t="str">
        <f ca="1">IFERROR(__xludf.DUMMYFUNCTION("""COMPUTED_VALUE"""),"https://drive.google.com/open?id=1eKexesxeFl5c2eu_rbQ7biqxj3S_jqtb")</f>
        <v>https://drive.google.com/open?id=1eKexesxeFl5c2eu_rbQ7biqxj3S_jqtb</v>
      </c>
      <c r="J452" s="59"/>
      <c r="K452" s="59"/>
      <c r="L452" s="59"/>
      <c r="M452" s="59"/>
      <c r="N452" s="59"/>
      <c r="O452" s="59"/>
      <c r="P452" s="59"/>
    </row>
    <row r="453" spans="1:16">
      <c r="A453" s="71">
        <f ca="1">IFERROR(__xludf.DUMMYFUNCTION("""COMPUTED_VALUE"""),45128.6184838657)</f>
        <v>45128.618483865699</v>
      </c>
      <c r="B453" s="59" t="str">
        <f ca="1">IFERROR(__xludf.DUMMYFUNCTION("""COMPUTED_VALUE"""),"Dhamal harsh himmatbhai ")</f>
        <v xml:space="preserve">Dhamal harsh himmatbhai </v>
      </c>
      <c r="C453" s="72" t="str">
        <f ca="1">IFERROR(__xludf.DUMMYFUNCTION("""COMPUTED_VALUE"""),"22SDSCE01141")</f>
        <v>22SDSCE01141</v>
      </c>
      <c r="D453" s="73">
        <f ca="1">IFERROR(__xludf.DUMMYFUNCTION("""COMPUTED_VALUE"""),45111)</f>
        <v>45111</v>
      </c>
      <c r="E453" s="72"/>
      <c r="F453" s="72"/>
      <c r="G453" s="75"/>
      <c r="H453" s="59"/>
      <c r="I453" s="76" t="str">
        <f ca="1">IFERROR(__xludf.DUMMYFUNCTION("""COMPUTED_VALUE"""),"https://drive.google.com/open?id=19kgPWtrqFZixDFpeqsCNVT6pMSciTehW")</f>
        <v>https://drive.google.com/open?id=19kgPWtrqFZixDFpeqsCNVT6pMSciTehW</v>
      </c>
      <c r="J453" s="59"/>
      <c r="K453" s="59"/>
      <c r="L453" s="59"/>
      <c r="M453" s="59"/>
      <c r="N453" s="59"/>
      <c r="O453" s="59"/>
      <c r="P453" s="59"/>
    </row>
    <row r="454" spans="1:16">
      <c r="A454" s="71">
        <f ca="1">IFERROR(__xludf.DUMMYFUNCTION("""COMPUTED_VALUE"""),45128.5998157407)</f>
        <v>45128.599815740701</v>
      </c>
      <c r="B454" s="59" t="str">
        <f ca="1">IFERROR(__xludf.DUMMYFUNCTION("""COMPUTED_VALUE"""),"Dobariya Het Navneetbhai ")</f>
        <v xml:space="preserve">Dobariya Het Navneetbhai </v>
      </c>
      <c r="C454" s="72" t="str">
        <f ca="1">IFERROR(__xludf.DUMMYFUNCTION("""COMPUTED_VALUE"""),"22SDSCE01142")</f>
        <v>22SDSCE01142</v>
      </c>
      <c r="D454" s="73">
        <f ca="1">IFERROR(__xludf.DUMMYFUNCTION("""COMPUTED_VALUE"""),45128)</f>
        <v>45128</v>
      </c>
      <c r="E454" s="74">
        <f ca="1">IFERROR(__xludf.DUMMYFUNCTION("""COMPUTED_VALUE"""),15500)</f>
        <v>15500</v>
      </c>
      <c r="F454" s="72"/>
      <c r="G454" s="75"/>
      <c r="H454" s="59"/>
      <c r="I454" s="76" t="str">
        <f ca="1">IFERROR(__xludf.DUMMYFUNCTION("""COMPUTED_VALUE"""),"https://drive.google.com/open?id=1rP4ybmrXZFTkY61mzKwFyjnzp-uQw-Pv")</f>
        <v>https://drive.google.com/open?id=1rP4ybmrXZFTkY61mzKwFyjnzp-uQw-Pv</v>
      </c>
      <c r="J454" s="59"/>
      <c r="K454" s="59"/>
      <c r="L454" s="59"/>
      <c r="M454" s="59"/>
      <c r="N454" s="59"/>
      <c r="O454" s="59"/>
      <c r="P454" s="59"/>
    </row>
    <row r="455" spans="1:16">
      <c r="A455" s="71">
        <f ca="1">IFERROR(__xludf.DUMMYFUNCTION("""COMPUTED_VALUE"""),45128.510535787)</f>
        <v>45128.510535786998</v>
      </c>
      <c r="B455" s="59" t="str">
        <f ca="1">IFERROR(__xludf.DUMMYFUNCTION("""COMPUTED_VALUE"""),"Bhalani tisha Rameshbhai")</f>
        <v>Bhalani tisha Rameshbhai</v>
      </c>
      <c r="C455" s="72" t="str">
        <f ca="1">IFERROR(__xludf.DUMMYFUNCTION("""COMPUTED_VALUE"""),"22SDSCE01016")</f>
        <v>22SDSCE01016</v>
      </c>
      <c r="D455" s="73">
        <f ca="1">IFERROR(__xludf.DUMMYFUNCTION("""COMPUTED_VALUE"""),45127)</f>
        <v>45127</v>
      </c>
      <c r="E455" s="74">
        <f ca="1">IFERROR(__xludf.DUMMYFUNCTION("""COMPUTED_VALUE"""),25000)</f>
        <v>25000</v>
      </c>
      <c r="F455" s="72">
        <f ca="1">IFERROR(__xludf.DUMMYFUNCTION("""COMPUTED_VALUE"""),3000)</f>
        <v>3000</v>
      </c>
      <c r="G455" s="75"/>
      <c r="H455" s="59" t="str">
        <f ca="1">IFERROR(__xludf.DUMMYFUNCTION("""COMPUTED_VALUE"""),"UPDATE")</f>
        <v>UPDATE</v>
      </c>
      <c r="I455" s="76" t="str">
        <f ca="1">IFERROR(__xludf.DUMMYFUNCTION("""COMPUTED_VALUE"""),"https://drive.google.com/open?id=1CeD6HNDAW5HpZ0_T6bLbKPoQor_wrnj6")</f>
        <v>https://drive.google.com/open?id=1CeD6HNDAW5HpZ0_T6bLbKPoQor_wrnj6</v>
      </c>
      <c r="J455" s="59"/>
      <c r="K455" s="59"/>
      <c r="L455" s="59"/>
      <c r="M455" s="59"/>
      <c r="N455" s="59"/>
      <c r="O455" s="59"/>
      <c r="P455" s="59"/>
    </row>
    <row r="456" spans="1:16">
      <c r="A456" s="71">
        <f ca="1">IFERROR(__xludf.DUMMYFUNCTION("""COMPUTED_VALUE"""),45128.5095846875)</f>
        <v>45128.509584687497</v>
      </c>
      <c r="B456" s="59" t="str">
        <f ca="1">IFERROR(__xludf.DUMMYFUNCTION("""COMPUTED_VALUE"""),"Bhalani tisha Rameshbhai")</f>
        <v>Bhalani tisha Rameshbhai</v>
      </c>
      <c r="C456" s="72" t="str">
        <f ca="1">IFERROR(__xludf.DUMMYFUNCTION("""COMPUTED_VALUE"""),"22SDSCE01016")</f>
        <v>22SDSCE01016</v>
      </c>
      <c r="D456" s="73">
        <f ca="1">IFERROR(__xludf.DUMMYFUNCTION("""COMPUTED_VALUE"""),45127)</f>
        <v>45127</v>
      </c>
      <c r="E456" s="74">
        <f ca="1">IFERROR(__xludf.DUMMYFUNCTION("""COMPUTED_VALUE"""),25000)</f>
        <v>25000</v>
      </c>
      <c r="F456" s="72">
        <f ca="1">IFERROR(__xludf.DUMMYFUNCTION("""COMPUTED_VALUE"""),3000)</f>
        <v>3000</v>
      </c>
      <c r="G456" s="75"/>
      <c r="H456" s="59" t="str">
        <f ca="1">IFERROR(__xludf.DUMMYFUNCTION("""COMPUTED_VALUE"""),"UPDATE")</f>
        <v>UPDATE</v>
      </c>
      <c r="I456" s="76" t="str">
        <f ca="1">IFERROR(__xludf.DUMMYFUNCTION("""COMPUTED_VALUE"""),"https://drive.google.com/open?id=14vWnitS4Tu9MRYsTZR2luXyvkunbub9k")</f>
        <v>https://drive.google.com/open?id=14vWnitS4Tu9MRYsTZR2luXyvkunbub9k</v>
      </c>
      <c r="J456" s="59"/>
      <c r="K456" s="59"/>
      <c r="L456" s="59"/>
      <c r="M456" s="59"/>
      <c r="N456" s="59"/>
      <c r="O456" s="59"/>
      <c r="P456" s="59"/>
    </row>
    <row r="457" spans="1:16">
      <c r="A457" s="71">
        <f ca="1">IFERROR(__xludf.DUMMYFUNCTION("""COMPUTED_VALUE"""),45128.5080239004)</f>
        <v>45128.508023900402</v>
      </c>
      <c r="B457" s="59" t="str">
        <f ca="1">IFERROR(__xludf.DUMMYFUNCTION("""COMPUTED_VALUE"""),"Bhalani tisha Rameshbhai")</f>
        <v>Bhalani tisha Rameshbhai</v>
      </c>
      <c r="C457" s="72" t="str">
        <f ca="1">IFERROR(__xludf.DUMMYFUNCTION("""COMPUTED_VALUE"""),"22SDSCE01016")</f>
        <v>22SDSCE01016</v>
      </c>
      <c r="D457" s="73">
        <f ca="1">IFERROR(__xludf.DUMMYFUNCTION("""COMPUTED_VALUE"""),45127)</f>
        <v>45127</v>
      </c>
      <c r="E457" s="74">
        <f ca="1">IFERROR(__xludf.DUMMYFUNCTION("""COMPUTED_VALUE"""),25000)</f>
        <v>25000</v>
      </c>
      <c r="F457" s="72">
        <f ca="1">IFERROR(__xludf.DUMMYFUNCTION("""COMPUTED_VALUE"""),3000)</f>
        <v>3000</v>
      </c>
      <c r="G457" s="75"/>
      <c r="H457" s="59" t="str">
        <f ca="1">IFERROR(__xludf.DUMMYFUNCTION("""COMPUTED_VALUE"""),"UPDATE")</f>
        <v>UPDATE</v>
      </c>
      <c r="I457" s="76" t="str">
        <f ca="1">IFERROR(__xludf.DUMMYFUNCTION("""COMPUTED_VALUE"""),"https://drive.google.com/open?id=1dWWCKacMiaj8nPHLguZ2WjxwXgD1aSZv")</f>
        <v>https://drive.google.com/open?id=1dWWCKacMiaj8nPHLguZ2WjxwXgD1aSZv</v>
      </c>
      <c r="J457" s="59"/>
      <c r="K457" s="59"/>
      <c r="L457" s="59"/>
      <c r="M457" s="59"/>
      <c r="N457" s="59"/>
      <c r="O457" s="59"/>
      <c r="P457" s="59"/>
    </row>
    <row r="458" spans="1:16">
      <c r="A458" s="71">
        <f ca="1">IFERROR(__xludf.DUMMYFUNCTION("""COMPUTED_VALUE"""),45128.4062853703)</f>
        <v>45128.4062853703</v>
      </c>
      <c r="B458" s="59" t="str">
        <f ca="1">IFERROR(__xludf.DUMMYFUNCTION("""COMPUTED_VALUE"""),"Rajiv Kumar Mahato ")</f>
        <v xml:space="preserve">Rajiv Kumar Mahato </v>
      </c>
      <c r="C458" s="72" t="str">
        <f ca="1">IFERROR(__xludf.DUMMYFUNCTION("""COMPUTED_VALUE"""),"21SDSCE01606")</f>
        <v>21SDSCE01606</v>
      </c>
      <c r="D458" s="73">
        <f ca="1">IFERROR(__xludf.DUMMYFUNCTION("""COMPUTED_VALUE"""),45128)</f>
        <v>45128</v>
      </c>
      <c r="E458" s="74">
        <f ca="1">IFERROR(__xludf.DUMMYFUNCTION("""COMPUTED_VALUE"""),36000)</f>
        <v>36000</v>
      </c>
      <c r="F458" s="72"/>
      <c r="G458" s="75"/>
      <c r="H458" s="59" t="str">
        <f ca="1">IFERROR(__xludf.DUMMYFUNCTION("""COMPUTED_VALUE"""),"UPDATE")</f>
        <v>UPDATE</v>
      </c>
      <c r="I458" s="76" t="str">
        <f ca="1">IFERROR(__xludf.DUMMYFUNCTION("""COMPUTED_VALUE"""),"https://drive.google.com/open?id=1zx-OnysEvYHG-MnHHIDVL0ZEfLo0JlYY")</f>
        <v>https://drive.google.com/open?id=1zx-OnysEvYHG-MnHHIDVL0ZEfLo0JlYY</v>
      </c>
      <c r="J458" s="59"/>
      <c r="K458" s="59"/>
      <c r="L458" s="59"/>
      <c r="M458" s="59"/>
      <c r="N458" s="59"/>
      <c r="O458" s="59"/>
      <c r="P458" s="59"/>
    </row>
    <row r="459" spans="1:16">
      <c r="A459" s="71">
        <f ca="1">IFERROR(__xludf.DUMMYFUNCTION("""COMPUTED_VALUE"""),45127.6239898263)</f>
        <v>45127.623989826301</v>
      </c>
      <c r="B459" s="59" t="str">
        <f ca="1">IFERROR(__xludf.DUMMYFUNCTION("""COMPUTED_VALUE"""),"Dhaduk jeet karshanbhai ")</f>
        <v xml:space="preserve">Dhaduk jeet karshanbhai </v>
      </c>
      <c r="C459" s="72" t="str">
        <f ca="1">IFERROR(__xludf.DUMMYFUNCTION("""COMPUTED_VALUE"""),"22SDSCE01139")</f>
        <v>22SDSCE01139</v>
      </c>
      <c r="D459" s="73">
        <f ca="1">IFERROR(__xludf.DUMMYFUNCTION("""COMPUTED_VALUE"""),45127)</f>
        <v>45127</v>
      </c>
      <c r="E459" s="74">
        <f ca="1">IFERROR(__xludf.DUMMYFUNCTION("""COMPUTED_VALUE"""),25000)</f>
        <v>25000</v>
      </c>
      <c r="F459" s="72">
        <f ca="1">IFERROR(__xludf.DUMMYFUNCTION("""COMPUTED_VALUE"""),3000)</f>
        <v>3000</v>
      </c>
      <c r="G459" s="75"/>
      <c r="H459" s="59" t="str">
        <f ca="1">IFERROR(__xludf.DUMMYFUNCTION("""COMPUTED_VALUE"""),"UPDATE")</f>
        <v>UPDATE</v>
      </c>
      <c r="I459" s="76" t="str">
        <f ca="1">IFERROR(__xludf.DUMMYFUNCTION("""COMPUTED_VALUE"""),"https://drive.google.com/open?id=1sAoWyBoslzexH3t1m2f34eD0wGKroXW5")</f>
        <v>https://drive.google.com/open?id=1sAoWyBoslzexH3t1m2f34eD0wGKroXW5</v>
      </c>
      <c r="J459" s="59"/>
      <c r="K459" s="59"/>
      <c r="L459" s="59"/>
      <c r="M459" s="59"/>
      <c r="N459" s="59"/>
      <c r="O459" s="59"/>
      <c r="P459" s="59"/>
    </row>
    <row r="460" spans="1:16">
      <c r="A460" s="71">
        <f ca="1">IFERROR(__xludf.DUMMYFUNCTION("""COMPUTED_VALUE"""),45127.5278245601)</f>
        <v>45127.5278245601</v>
      </c>
      <c r="B460" s="59" t="str">
        <f ca="1">IFERROR(__xludf.DUMMYFUNCTION("""COMPUTED_VALUE"""),"Shruti lakhani")</f>
        <v>Shruti lakhani</v>
      </c>
      <c r="C460" s="72" t="str">
        <f ca="1">IFERROR(__xludf.DUMMYFUNCTION("""COMPUTED_VALUE"""),"22SDSCE01166")</f>
        <v>22SDSCE01166</v>
      </c>
      <c r="D460" s="73">
        <f ca="1">IFERROR(__xludf.DUMMYFUNCTION("""COMPUTED_VALUE"""),45126)</f>
        <v>45126</v>
      </c>
      <c r="E460" s="72"/>
      <c r="F460" s="72">
        <f ca="1">IFERROR(__xludf.DUMMYFUNCTION("""COMPUTED_VALUE"""),3000)</f>
        <v>3000</v>
      </c>
      <c r="G460" s="75"/>
      <c r="H460" s="59" t="str">
        <f ca="1">IFERROR(__xludf.DUMMYFUNCTION("""COMPUTED_VALUE"""),"UPDATE")</f>
        <v>UPDATE</v>
      </c>
      <c r="I460" s="76" t="str">
        <f ca="1">IFERROR(__xludf.DUMMYFUNCTION("""COMPUTED_VALUE"""),"https://drive.google.com/open?id=1dKl_WTzNl6wTQ1904J4Vn-AGP7FoWk6_")</f>
        <v>https://drive.google.com/open?id=1dKl_WTzNl6wTQ1904J4Vn-AGP7FoWk6_</v>
      </c>
      <c r="J460" s="59"/>
      <c r="K460" s="59"/>
      <c r="L460" s="59"/>
      <c r="M460" s="59"/>
      <c r="N460" s="59"/>
      <c r="O460" s="59"/>
      <c r="P460" s="59"/>
    </row>
    <row r="461" spans="1:16">
      <c r="A461" s="71">
        <f ca="1">IFERROR(__xludf.DUMMYFUNCTION("""COMPUTED_VALUE"""),45127.5265311921)</f>
        <v>45127.526531192103</v>
      </c>
      <c r="B461" s="59" t="str">
        <f ca="1">IFERROR(__xludf.DUMMYFUNCTION("""COMPUTED_VALUE"""),"Shruti lakhani")</f>
        <v>Shruti lakhani</v>
      </c>
      <c r="C461" s="72" t="str">
        <f ca="1">IFERROR(__xludf.DUMMYFUNCTION("""COMPUTED_VALUE"""),"22SDSCE01166")</f>
        <v>22SDSCE01166</v>
      </c>
      <c r="D461" s="73">
        <f ca="1">IFERROR(__xludf.DUMMYFUNCTION("""COMPUTED_VALUE"""),45126)</f>
        <v>45126</v>
      </c>
      <c r="E461" s="74">
        <f ca="1">IFERROR(__xludf.DUMMYFUNCTION("""COMPUTED_VALUE"""),25000)</f>
        <v>25000</v>
      </c>
      <c r="F461" s="72"/>
      <c r="G461" s="75"/>
      <c r="H461" s="59" t="str">
        <f ca="1">IFERROR(__xludf.DUMMYFUNCTION("""COMPUTED_VALUE"""),"UPDATE")</f>
        <v>UPDATE</v>
      </c>
      <c r="I461" s="76" t="str">
        <f ca="1">IFERROR(__xludf.DUMMYFUNCTION("""COMPUTED_VALUE"""),"https://drive.google.com/open?id=1zDFvIFcQhw-nrubGlNdetU3pVzhufg41")</f>
        <v>https://drive.google.com/open?id=1zDFvIFcQhw-nrubGlNdetU3pVzhufg41</v>
      </c>
      <c r="J461" s="59"/>
      <c r="K461" s="59"/>
      <c r="L461" s="59"/>
      <c r="M461" s="59"/>
      <c r="N461" s="59"/>
      <c r="O461" s="59"/>
      <c r="P461" s="59"/>
    </row>
    <row r="462" spans="1:16">
      <c r="A462" s="71">
        <f ca="1">IFERROR(__xludf.DUMMYFUNCTION("""COMPUTED_VALUE"""),45127.5109370601)</f>
        <v>45127.510937060099</v>
      </c>
      <c r="B462" s="59" t="str">
        <f ca="1">IFERROR(__xludf.DUMMYFUNCTION("""COMPUTED_VALUE"""),"Shruti Lakhani")</f>
        <v>Shruti Lakhani</v>
      </c>
      <c r="C462" s="72" t="str">
        <f ca="1">IFERROR(__xludf.DUMMYFUNCTION("""COMPUTED_VALUE"""),"22SDSCE01166")</f>
        <v>22SDSCE01166</v>
      </c>
      <c r="D462" s="73">
        <f ca="1">IFERROR(__xludf.DUMMYFUNCTION("""COMPUTED_VALUE"""),45126)</f>
        <v>45126</v>
      </c>
      <c r="E462" s="72"/>
      <c r="F462" s="72"/>
      <c r="G462" s="75"/>
      <c r="H462" s="59" t="str">
        <f ca="1">IFERROR(__xludf.DUMMYFUNCTION("""COMPUTED_VALUE"""),"UPDATE")</f>
        <v>UPDATE</v>
      </c>
      <c r="I462" s="76" t="str">
        <f ca="1">IFERROR(__xludf.DUMMYFUNCTION("""COMPUTED_VALUE"""),"https://drive.google.com/open?id=1M_6DzguZEYPrk16pi62u_Iw8TFxOzZwE")</f>
        <v>https://drive.google.com/open?id=1M_6DzguZEYPrk16pi62u_Iw8TFxOzZwE</v>
      </c>
      <c r="J462" s="59"/>
      <c r="K462" s="59"/>
      <c r="L462" s="59"/>
      <c r="M462" s="59"/>
      <c r="N462" s="59"/>
      <c r="O462" s="59"/>
      <c r="P462" s="59"/>
    </row>
    <row r="463" spans="1:16">
      <c r="A463" s="71">
        <f ca="1">IFERROR(__xludf.DUMMYFUNCTION("""COMPUTED_VALUE"""),45126.7560939583)</f>
        <v>45126.756093958298</v>
      </c>
      <c r="B463" s="59" t="str">
        <f ca="1">IFERROR(__xludf.DUMMYFUNCTION("""COMPUTED_VALUE"""),"Param.N.vyas")</f>
        <v>Param.N.vyas</v>
      </c>
      <c r="C463" s="72" t="str">
        <f ca="1">IFERROR(__xludf.DUMMYFUNCTION("""COMPUTED_VALUE"""),"22SDSCE01127")</f>
        <v>22SDSCE01127</v>
      </c>
      <c r="D463" s="73">
        <f ca="1">IFERROR(__xludf.DUMMYFUNCTION("""COMPUTED_VALUE"""),45125)</f>
        <v>45125</v>
      </c>
      <c r="E463" s="74">
        <f ca="1">IFERROR(__xludf.DUMMYFUNCTION("""COMPUTED_VALUE"""),15500)</f>
        <v>15500</v>
      </c>
      <c r="F463" s="72">
        <f ca="1">IFERROR(__xludf.DUMMYFUNCTION("""COMPUTED_VALUE"""),0)</f>
        <v>0</v>
      </c>
      <c r="G463" s="75"/>
      <c r="H463" s="59" t="str">
        <f ca="1">IFERROR(__xludf.DUMMYFUNCTION("""COMPUTED_VALUE"""),"UPDATE")</f>
        <v>UPDATE</v>
      </c>
      <c r="I463" s="76" t="str">
        <f ca="1">IFERROR(__xludf.DUMMYFUNCTION("""COMPUTED_VALUE"""),"https://drive.google.com/open?id=1Qz3amq7lggMmrryybe5Il6Zdup4jmnnz")</f>
        <v>https://drive.google.com/open?id=1Qz3amq7lggMmrryybe5Il6Zdup4jmnnz</v>
      </c>
      <c r="J463" s="59"/>
      <c r="K463" s="59"/>
      <c r="L463" s="59"/>
      <c r="M463" s="59"/>
      <c r="N463" s="59"/>
      <c r="O463" s="59"/>
      <c r="P463" s="59"/>
    </row>
    <row r="464" spans="1:16">
      <c r="A464" s="71">
        <f ca="1">IFERROR(__xludf.DUMMYFUNCTION("""COMPUTED_VALUE"""),45126.6021413888)</f>
        <v>45126.602141388801</v>
      </c>
      <c r="B464" s="59" t="str">
        <f ca="1">IFERROR(__xludf.DUMMYFUNCTION("""COMPUTED_VALUE"""),"Chavda Nikunj Jagdishbhai ")</f>
        <v xml:space="preserve">Chavda Nikunj Jagdishbhai </v>
      </c>
      <c r="C464" s="72" t="str">
        <f ca="1">IFERROR(__xludf.DUMMYFUNCTION("""COMPUTED_VALUE"""),"22SDSCE01138")</f>
        <v>22SDSCE01138</v>
      </c>
      <c r="D464" s="73">
        <f ca="1">IFERROR(__xludf.DUMMYFUNCTION("""COMPUTED_VALUE"""),45126)</f>
        <v>45126</v>
      </c>
      <c r="E464" s="74">
        <f ca="1">IFERROR(__xludf.DUMMYFUNCTION("""COMPUTED_VALUE"""),0)</f>
        <v>0</v>
      </c>
      <c r="F464" s="72">
        <f ca="1">IFERROR(__xludf.DUMMYFUNCTION("""COMPUTED_VALUE"""),0)</f>
        <v>0</v>
      </c>
      <c r="G464" s="75"/>
      <c r="H464" s="59" t="str">
        <f ca="1">IFERROR(__xludf.DUMMYFUNCTION("""COMPUTED_VALUE"""),"UPDATE")</f>
        <v>UPDATE</v>
      </c>
      <c r="I464" s="76" t="str">
        <f ca="1">IFERROR(__xludf.DUMMYFUNCTION("""COMPUTED_VALUE"""),"https://drive.google.com/open?id=1fG6iqUcQvUgyHzHLj-h9XPNSYHsMh8wP")</f>
        <v>https://drive.google.com/open?id=1fG6iqUcQvUgyHzHLj-h9XPNSYHsMh8wP</v>
      </c>
      <c r="J464" s="59"/>
      <c r="K464" s="59"/>
      <c r="L464" s="59"/>
      <c r="M464" s="59"/>
      <c r="N464" s="59"/>
      <c r="O464" s="59"/>
      <c r="P464" s="59"/>
    </row>
    <row r="465" spans="1:16">
      <c r="A465" s="71">
        <f ca="1">IFERROR(__xludf.DUMMYFUNCTION("""COMPUTED_VALUE"""),45126.5163681712)</f>
        <v>45126.5163681712</v>
      </c>
      <c r="B465" s="59" t="str">
        <f ca="1">IFERROR(__xludf.DUMMYFUNCTION("""COMPUTED_VALUE"""),"Garchar Karan Dilipbhai ")</f>
        <v xml:space="preserve">Garchar Karan Dilipbhai </v>
      </c>
      <c r="C465" s="72" t="str">
        <f ca="1">IFERROR(__xludf.DUMMYFUNCTION("""COMPUTED_VALUE"""),"22SDSCE01150")</f>
        <v>22SDSCE01150</v>
      </c>
      <c r="D465" s="73">
        <f ca="1">IFERROR(__xludf.DUMMYFUNCTION("""COMPUTED_VALUE"""),45126)</f>
        <v>45126</v>
      </c>
      <c r="E465" s="72"/>
      <c r="F465" s="72"/>
      <c r="G465" s="75"/>
      <c r="H465" s="59" t="str">
        <f ca="1">IFERROR(__xludf.DUMMYFUNCTION("""COMPUTED_VALUE"""),"UPDATE")</f>
        <v>UPDATE</v>
      </c>
      <c r="I465" s="76" t="str">
        <f ca="1">IFERROR(__xludf.DUMMYFUNCTION("""COMPUTED_VALUE"""),"https://drive.google.com/open?id=1YMWg8IhtBJQ97r3wtR98__fMr3xbv-76")</f>
        <v>https://drive.google.com/open?id=1YMWg8IhtBJQ97r3wtR98__fMr3xbv-76</v>
      </c>
      <c r="J465" s="59"/>
      <c r="K465" s="59"/>
      <c r="L465" s="59"/>
      <c r="M465" s="59"/>
      <c r="N465" s="59"/>
      <c r="O465" s="59"/>
      <c r="P465" s="59"/>
    </row>
    <row r="466" spans="1:16">
      <c r="A466" s="71">
        <f ca="1">IFERROR(__xludf.DUMMYFUNCTION("""COMPUTED_VALUE"""),45126.5144636805)</f>
        <v>45126.514463680498</v>
      </c>
      <c r="B466" s="59" t="str">
        <f ca="1">IFERROR(__xludf.DUMMYFUNCTION("""COMPUTED_VALUE"""),"Dobariya Het Navneetbhai ")</f>
        <v xml:space="preserve">Dobariya Het Navneetbhai </v>
      </c>
      <c r="C466" s="72" t="str">
        <f ca="1">IFERROR(__xludf.DUMMYFUNCTION("""COMPUTED_VALUE"""),"22SDSCE01142")</f>
        <v>22SDSCE01142</v>
      </c>
      <c r="D466" s="73">
        <f ca="1">IFERROR(__xludf.DUMMYFUNCTION("""COMPUTED_VALUE"""),45126)</f>
        <v>45126</v>
      </c>
      <c r="E466" s="72"/>
      <c r="F466" s="72"/>
      <c r="G466" s="75"/>
      <c r="H466" s="59" t="str">
        <f ca="1">IFERROR(__xludf.DUMMYFUNCTION("""COMPUTED_VALUE"""),"UPDATE")</f>
        <v>UPDATE</v>
      </c>
      <c r="I466" s="76" t="str">
        <f ca="1">IFERROR(__xludf.DUMMYFUNCTION("""COMPUTED_VALUE"""),"https://drive.google.com/open?id=1HqH97wp-QqYyRUpgSP26Drkf-ZC-LgVY")</f>
        <v>https://drive.google.com/open?id=1HqH97wp-QqYyRUpgSP26Drkf-ZC-LgVY</v>
      </c>
      <c r="J466" s="59"/>
      <c r="K466" s="59"/>
      <c r="L466" s="59"/>
      <c r="M466" s="59"/>
      <c r="N466" s="59"/>
      <c r="O466" s="59"/>
      <c r="P466" s="59"/>
    </row>
    <row r="467" spans="1:16">
      <c r="A467" s="71">
        <f ca="1">IFERROR(__xludf.DUMMYFUNCTION("""COMPUTED_VALUE"""),45126.5053039004)</f>
        <v>45126.505303900398</v>
      </c>
      <c r="B467" s="59" t="str">
        <f ca="1">IFERROR(__xludf.DUMMYFUNCTION("""COMPUTED_VALUE"""),"MAYARIYA SAHIL LAKHDEERBHAI ")</f>
        <v xml:space="preserve">MAYARIYA SAHIL LAKHDEERBHAI </v>
      </c>
      <c r="C467" s="72" t="str">
        <f ca="1">IFERROR(__xludf.DUMMYFUNCTION("""COMPUTED_VALUE"""),"22SDSCE01173")</f>
        <v>22SDSCE01173</v>
      </c>
      <c r="D467" s="73">
        <f ca="1">IFERROR(__xludf.DUMMYFUNCTION("""COMPUTED_VALUE"""),45125)</f>
        <v>45125</v>
      </c>
      <c r="E467" s="72"/>
      <c r="F467" s="72"/>
      <c r="G467" s="75"/>
      <c r="H467" s="59"/>
      <c r="I467" s="76" t="str">
        <f ca="1">IFERROR(__xludf.DUMMYFUNCTION("""COMPUTED_VALUE"""),"https://drive.google.com/open?id=1sd2uxKuvD0RN46U2AWtEXGPqG24NSUSt")</f>
        <v>https://drive.google.com/open?id=1sd2uxKuvD0RN46U2AWtEXGPqG24NSUSt</v>
      </c>
      <c r="J467" s="59"/>
      <c r="K467" s="59"/>
      <c r="L467" s="59"/>
      <c r="M467" s="59"/>
      <c r="N467" s="59"/>
      <c r="O467" s="59"/>
      <c r="P467" s="59"/>
    </row>
    <row r="468" spans="1:16">
      <c r="A468" s="71">
        <f ca="1">IFERROR(__xludf.DUMMYFUNCTION("""COMPUTED_VALUE"""),45126.5011555555)</f>
        <v>45126.501155555503</v>
      </c>
      <c r="B468" s="59" t="str">
        <f ca="1">IFERROR(__xludf.DUMMYFUNCTION("""COMPUTED_VALUE"""),"Bagda Shreyas Nirenbhai")</f>
        <v>Bagda Shreyas Nirenbhai</v>
      </c>
      <c r="C468" s="72" t="str">
        <f ca="1">IFERROR(__xludf.DUMMYFUNCTION("""COMPUTED_VALUE"""),"22SDSCE01130")</f>
        <v>22SDSCE01130</v>
      </c>
      <c r="D468" s="73">
        <f ca="1">IFERROR(__xludf.DUMMYFUNCTION("""COMPUTED_VALUE"""),45126)</f>
        <v>45126</v>
      </c>
      <c r="E468" s="74">
        <f ca="1">IFERROR(__xludf.DUMMYFUNCTION("""COMPUTED_VALUE"""),25000)</f>
        <v>25000</v>
      </c>
      <c r="F468" s="72">
        <f ca="1">IFERROR(__xludf.DUMMYFUNCTION("""COMPUTED_VALUE"""),3000)</f>
        <v>3000</v>
      </c>
      <c r="G468" s="75"/>
      <c r="H468" s="59" t="str">
        <f ca="1">IFERROR(__xludf.DUMMYFUNCTION("""COMPUTED_VALUE"""),"UPDATE")</f>
        <v>UPDATE</v>
      </c>
      <c r="I468" s="76" t="str">
        <f ca="1">IFERROR(__xludf.DUMMYFUNCTION("""COMPUTED_VALUE"""),"https://drive.google.com/open?id=1EL5RMDJxYjdXGboEFST5q8qOY0uab470")</f>
        <v>https://drive.google.com/open?id=1EL5RMDJxYjdXGboEFST5q8qOY0uab470</v>
      </c>
      <c r="J468" s="59"/>
      <c r="K468" s="59"/>
      <c r="L468" s="59"/>
      <c r="M468" s="59"/>
      <c r="N468" s="59"/>
      <c r="O468" s="59"/>
      <c r="P468" s="59"/>
    </row>
    <row r="469" spans="1:16">
      <c r="A469" s="71">
        <f ca="1">IFERROR(__xludf.DUMMYFUNCTION("""COMPUTED_VALUE"""),45126.42784728)</f>
        <v>45126.42784728</v>
      </c>
      <c r="B469" s="59" t="str">
        <f ca="1">IFERROR(__xludf.DUMMYFUNCTION("""COMPUTED_VALUE""")," KOTADIYA SHUBHAM JAYANTIBHAI")</f>
        <v xml:space="preserve"> KOTADIYA SHUBHAM JAYANTIBHAI</v>
      </c>
      <c r="C469" s="72" t="str">
        <f ca="1">IFERROR(__xludf.DUMMYFUNCTION("""COMPUTED_VALUE"""),"22SDSCE01054")</f>
        <v>22SDSCE01054</v>
      </c>
      <c r="D469" s="73">
        <f ca="1">IFERROR(__xludf.DUMMYFUNCTION("""COMPUTED_VALUE"""),45126)</f>
        <v>45126</v>
      </c>
      <c r="E469" s="74">
        <f ca="1">IFERROR(__xludf.DUMMYFUNCTION("""COMPUTED_VALUE"""),25000)</f>
        <v>25000</v>
      </c>
      <c r="F469" s="72">
        <f ca="1">IFERROR(__xludf.DUMMYFUNCTION("""COMPUTED_VALUE"""),3000)</f>
        <v>3000</v>
      </c>
      <c r="G469" s="75"/>
      <c r="H469" s="59" t="str">
        <f ca="1">IFERROR(__xludf.DUMMYFUNCTION("""COMPUTED_VALUE"""),"UPDATE")</f>
        <v>UPDATE</v>
      </c>
      <c r="I469" s="76" t="str">
        <f ca="1">IFERROR(__xludf.DUMMYFUNCTION("""COMPUTED_VALUE"""),"https://drive.google.com/open?id=1IyK1mGpbNwaiQPbzytKxybQp-oHObVFj")</f>
        <v>https://drive.google.com/open?id=1IyK1mGpbNwaiQPbzytKxybQp-oHObVFj</v>
      </c>
      <c r="J469" s="59"/>
      <c r="K469" s="59"/>
      <c r="L469" s="59"/>
      <c r="M469" s="59"/>
      <c r="N469" s="59"/>
      <c r="O469" s="59"/>
      <c r="P469" s="59"/>
    </row>
    <row r="470" spans="1:16">
      <c r="A470" s="71">
        <f ca="1">IFERROR(__xludf.DUMMYFUNCTION("""COMPUTED_VALUE"""),45126.3723739583)</f>
        <v>45126.3723739583</v>
      </c>
      <c r="B470" s="59" t="str">
        <f ca="1">IFERROR(__xludf.DUMMYFUNCTION("""COMPUTED_VALUE"""),"Solanki tushar natubhai ")</f>
        <v xml:space="preserve">Solanki tushar natubhai </v>
      </c>
      <c r="C470" s="72" t="str">
        <f ca="1">IFERROR(__xludf.DUMMYFUNCTION("""COMPUTED_VALUE"""),"22SDSCE01190")</f>
        <v>22SDSCE01190</v>
      </c>
      <c r="D470" s="73">
        <f ca="1">IFERROR(__xludf.DUMMYFUNCTION("""COMPUTED_VALUE"""),45126)</f>
        <v>45126</v>
      </c>
      <c r="E470" s="74">
        <f ca="1">IFERROR(__xludf.DUMMYFUNCTION("""COMPUTED_VALUE"""),25000)</f>
        <v>25000</v>
      </c>
      <c r="F470" s="72">
        <f ca="1">IFERROR(__xludf.DUMMYFUNCTION("""COMPUTED_VALUE"""),3000)</f>
        <v>3000</v>
      </c>
      <c r="G470" s="75"/>
      <c r="H470" s="59" t="str">
        <f ca="1">IFERROR(__xludf.DUMMYFUNCTION("""COMPUTED_VALUE"""),"UPDATE")</f>
        <v>UPDATE</v>
      </c>
      <c r="I470" s="76" t="str">
        <f ca="1">IFERROR(__xludf.DUMMYFUNCTION("""COMPUTED_VALUE"""),"https://drive.google.com/open?id=1ebDarpLS6OLJhrUcAvikLrYV3jzL6cXC")</f>
        <v>https://drive.google.com/open?id=1ebDarpLS6OLJhrUcAvikLrYV3jzL6cXC</v>
      </c>
      <c r="J470" s="59"/>
      <c r="K470" s="59"/>
      <c r="L470" s="59"/>
      <c r="M470" s="59"/>
      <c r="N470" s="59"/>
      <c r="O470" s="59"/>
      <c r="P470" s="59"/>
    </row>
    <row r="471" spans="1:16">
      <c r="A471" s="71">
        <f ca="1">IFERROR(__xludf.DUMMYFUNCTION("""COMPUTED_VALUE"""),45125.66192103)</f>
        <v>45125.661921029998</v>
      </c>
      <c r="B471" s="59" t="str">
        <f ca="1">IFERROR(__xludf.DUMMYFUNCTION("""COMPUTED_VALUE"""),"Khant prince Manish Bhai ")</f>
        <v xml:space="preserve">Khant prince Manish Bhai </v>
      </c>
      <c r="C471" s="72" t="str">
        <f ca="1">IFERROR(__xludf.DUMMYFUNCTION("""COMPUTED_VALUE"""),"22SDSCE01160")</f>
        <v>22SDSCE01160</v>
      </c>
      <c r="D471" s="73">
        <f ca="1">IFERROR(__xludf.DUMMYFUNCTION("""COMPUTED_VALUE"""),45125)</f>
        <v>45125</v>
      </c>
      <c r="E471" s="72"/>
      <c r="F471" s="72"/>
      <c r="G471" s="75"/>
      <c r="H471" s="59" t="str">
        <f ca="1">IFERROR(__xludf.DUMMYFUNCTION("""COMPUTED_VALUE"""),"UPDATE")</f>
        <v>UPDATE</v>
      </c>
      <c r="I471" s="76" t="str">
        <f ca="1">IFERROR(__xludf.DUMMYFUNCTION("""COMPUTED_VALUE"""),"https://drive.google.com/open?id=1nPEsSUgiOBT5MDkm3kH7dcDl_v7yCq3g")</f>
        <v>https://drive.google.com/open?id=1nPEsSUgiOBT5MDkm3kH7dcDl_v7yCq3g</v>
      </c>
      <c r="J471" s="59"/>
      <c r="K471" s="59"/>
      <c r="L471" s="59"/>
      <c r="M471" s="59"/>
      <c r="N471" s="59"/>
      <c r="O471" s="59"/>
      <c r="P471" s="59"/>
    </row>
    <row r="472" spans="1:16">
      <c r="A472" s="71">
        <f ca="1">IFERROR(__xludf.DUMMYFUNCTION("""COMPUTED_VALUE"""),45125.579260405)</f>
        <v>45125.579260405</v>
      </c>
      <c r="B472" s="59" t="str">
        <f ca="1">IFERROR(__xludf.DUMMYFUNCTION("""COMPUTED_VALUE"""),"Dobariya nandani")</f>
        <v>Dobariya nandani</v>
      </c>
      <c r="C472" s="72" t="str">
        <f ca="1">IFERROR(__xludf.DUMMYFUNCTION("""COMPUTED_VALUE"""),"21SDSCE01068")</f>
        <v>21SDSCE01068</v>
      </c>
      <c r="D472" s="73">
        <f ca="1">IFERROR(__xludf.DUMMYFUNCTION("""COMPUTED_VALUE"""),45105)</f>
        <v>45105</v>
      </c>
      <c r="E472" s="72"/>
      <c r="F472" s="72"/>
      <c r="G472" s="75"/>
      <c r="H472" s="59" t="str">
        <f ca="1">IFERROR(__xludf.DUMMYFUNCTION("""COMPUTED_VALUE"""),"UPDATE")</f>
        <v>UPDATE</v>
      </c>
      <c r="I472" s="76" t="str">
        <f ca="1">IFERROR(__xludf.DUMMYFUNCTION("""COMPUTED_VALUE"""),"https://drive.google.com/open?id=1UmKZ_snHeqhvSTm6FQo-F4CFIB6h3MjN")</f>
        <v>https://drive.google.com/open?id=1UmKZ_snHeqhvSTm6FQo-F4CFIB6h3MjN</v>
      </c>
      <c r="J472" s="59"/>
      <c r="K472" s="59"/>
      <c r="L472" s="59"/>
      <c r="M472" s="59"/>
      <c r="N472" s="59"/>
      <c r="O472" s="59"/>
      <c r="P472" s="59"/>
    </row>
    <row r="473" spans="1:16">
      <c r="A473" s="71">
        <f ca="1">IFERROR(__xludf.DUMMYFUNCTION("""COMPUTED_VALUE"""),45125.5260146412)</f>
        <v>45125.526014641197</v>
      </c>
      <c r="B473" s="59" t="str">
        <f ca="1">IFERROR(__xludf.DUMMYFUNCTION("""COMPUTED_VALUE"""),"Odedara Jaykumar Lilabhai")</f>
        <v>Odedara Jaykumar Lilabhai</v>
      </c>
      <c r="C473" s="72" t="str">
        <f ca="1">IFERROR(__xludf.DUMMYFUNCTION("""COMPUTED_VALUE"""),"22SDSCE01178")</f>
        <v>22SDSCE01178</v>
      </c>
      <c r="D473" s="73">
        <f ca="1">IFERROR(__xludf.DUMMYFUNCTION("""COMPUTED_VALUE"""),45125)</f>
        <v>45125</v>
      </c>
      <c r="E473" s="72"/>
      <c r="F473" s="72"/>
      <c r="G473" s="75"/>
      <c r="H473" s="59" t="str">
        <f ca="1">IFERROR(__xludf.DUMMYFUNCTION("""COMPUTED_VALUE"""),"UPDATE")</f>
        <v>UPDATE</v>
      </c>
      <c r="I473" s="76" t="str">
        <f ca="1">IFERROR(__xludf.DUMMYFUNCTION("""COMPUTED_VALUE"""),"https://drive.google.com/open?id=19a9M4NYV4DfpzgqZSs_x-honzXQmfvSO")</f>
        <v>https://drive.google.com/open?id=19a9M4NYV4DfpzgqZSs_x-honzXQmfvSO</v>
      </c>
      <c r="J473" s="59"/>
      <c r="K473" s="59"/>
      <c r="L473" s="59"/>
      <c r="M473" s="59"/>
      <c r="N473" s="59"/>
      <c r="O473" s="59"/>
      <c r="P473" s="59"/>
    </row>
    <row r="474" spans="1:16">
      <c r="A474" s="71">
        <f ca="1">IFERROR(__xludf.DUMMYFUNCTION("""COMPUTED_VALUE"""),45125.4042856597)</f>
        <v>45125.404285659701</v>
      </c>
      <c r="B474" s="59" t="str">
        <f ca="1">IFERROR(__xludf.DUMMYFUNCTION("""COMPUTED_VALUE"""),"ASODARIYA DHRUVIL JAGDISBHAI ")</f>
        <v xml:space="preserve">ASODARIYA DHRUVIL JAGDISBHAI </v>
      </c>
      <c r="C474" s="72" t="str">
        <f ca="1">IFERROR(__xludf.DUMMYFUNCTION("""COMPUTED_VALUE"""),"22SDSCE01128")</f>
        <v>22SDSCE01128</v>
      </c>
      <c r="D474" s="73">
        <f ca="1">IFERROR(__xludf.DUMMYFUNCTION("""COMPUTED_VALUE"""),45125)</f>
        <v>45125</v>
      </c>
      <c r="E474" s="74">
        <f ca="1">IFERROR(__xludf.DUMMYFUNCTION("""COMPUTED_VALUE"""),0)</f>
        <v>0</v>
      </c>
      <c r="F474" s="72">
        <f ca="1">IFERROR(__xludf.DUMMYFUNCTION("""COMPUTED_VALUE"""),0)</f>
        <v>0</v>
      </c>
      <c r="G474" s="75"/>
      <c r="H474" s="59" t="str">
        <f ca="1">IFERROR(__xludf.DUMMYFUNCTION("""COMPUTED_VALUE"""),"UPDATE")</f>
        <v>UPDATE</v>
      </c>
      <c r="I474" s="76" t="str">
        <f ca="1">IFERROR(__xludf.DUMMYFUNCTION("""COMPUTED_VALUE"""),"https://drive.google.com/open?id=1bT_UGzNA44h8301YeAxCK9qvQVsAP2Qa")</f>
        <v>https://drive.google.com/open?id=1bT_UGzNA44h8301YeAxCK9qvQVsAP2Qa</v>
      </c>
      <c r="J474" s="59"/>
      <c r="K474" s="59"/>
      <c r="L474" s="59"/>
      <c r="M474" s="59"/>
      <c r="N474" s="59"/>
      <c r="O474" s="59"/>
      <c r="P474" s="59"/>
    </row>
    <row r="475" spans="1:16">
      <c r="A475" s="71">
        <f ca="1">IFERROR(__xludf.DUMMYFUNCTION("""COMPUTED_VALUE"""),45124.6566606481)</f>
        <v>45124.656660648099</v>
      </c>
      <c r="B475" s="59" t="str">
        <f ca="1">IFERROR(__xludf.DUMMYFUNCTION("""COMPUTED_VALUE"""),"Khant prince Manish Bhai ")</f>
        <v xml:space="preserve">Khant prince Manish Bhai </v>
      </c>
      <c r="C475" s="72" t="str">
        <f ca="1">IFERROR(__xludf.DUMMYFUNCTION("""COMPUTED_VALUE"""),"22SDSCE01160")</f>
        <v>22SDSCE01160</v>
      </c>
      <c r="D475" s="73">
        <f ca="1">IFERROR(__xludf.DUMMYFUNCTION("""COMPUTED_VALUE"""),45124)</f>
        <v>45124</v>
      </c>
      <c r="E475" s="74">
        <f ca="1">IFERROR(__xludf.DUMMYFUNCTION("""COMPUTED_VALUE"""),25000)</f>
        <v>25000</v>
      </c>
      <c r="F475" s="72"/>
      <c r="G475" s="75"/>
      <c r="H475" s="59" t="str">
        <f ca="1">IFERROR(__xludf.DUMMYFUNCTION("""COMPUTED_VALUE"""),"UPDATE")</f>
        <v>UPDATE</v>
      </c>
      <c r="I475" s="76" t="str">
        <f ca="1">IFERROR(__xludf.DUMMYFUNCTION("""COMPUTED_VALUE"""),"https://drive.google.com/open?id=17Wy79j4vgt79REVovv8bM9Ay__txkeYR")</f>
        <v>https://drive.google.com/open?id=17Wy79j4vgt79REVovv8bM9Ay__txkeYR</v>
      </c>
      <c r="J475" s="59"/>
      <c r="K475" s="59"/>
      <c r="L475" s="59"/>
      <c r="M475" s="59"/>
      <c r="N475" s="59"/>
      <c r="O475" s="59"/>
      <c r="P475" s="59"/>
    </row>
    <row r="476" spans="1:16">
      <c r="A476" s="71">
        <f ca="1">IFERROR(__xludf.DUMMYFUNCTION("""COMPUTED_VALUE"""),45124.5402960532)</f>
        <v>45124.540296053201</v>
      </c>
      <c r="B476" s="59" t="str">
        <f ca="1">IFERROR(__xludf.DUMMYFUNCTION("""COMPUTED_VALUE"""),"Makwana vivek madhubhai ")</f>
        <v xml:space="preserve">Makwana vivek madhubhai </v>
      </c>
      <c r="C476" s="72" t="str">
        <f ca="1">IFERROR(__xludf.DUMMYFUNCTION("""COMPUTED_VALUE"""),"22SDSCE01170")</f>
        <v>22SDSCE01170</v>
      </c>
      <c r="D476" s="73">
        <f ca="1">IFERROR(__xludf.DUMMYFUNCTION("""COMPUTED_VALUE"""),45124)</f>
        <v>45124</v>
      </c>
      <c r="E476" s="72"/>
      <c r="F476" s="72"/>
      <c r="G476" s="75"/>
      <c r="H476" s="59" t="str">
        <f ca="1">IFERROR(__xludf.DUMMYFUNCTION("""COMPUTED_VALUE"""),"UPDATE")</f>
        <v>UPDATE</v>
      </c>
      <c r="I476" s="76" t="str">
        <f ca="1">IFERROR(__xludf.DUMMYFUNCTION("""COMPUTED_VALUE"""),"https://drive.google.com/open?id=1-rMSaD5gh1qh5Y-yS04chKDCDIg1THpx")</f>
        <v>https://drive.google.com/open?id=1-rMSaD5gh1qh5Y-yS04chKDCDIg1THpx</v>
      </c>
      <c r="J476" s="59"/>
      <c r="K476" s="59"/>
      <c r="L476" s="59"/>
      <c r="M476" s="59"/>
      <c r="N476" s="59"/>
      <c r="O476" s="59"/>
      <c r="P476" s="59"/>
    </row>
    <row r="477" spans="1:16">
      <c r="A477" s="71">
        <f ca="1">IFERROR(__xludf.DUMMYFUNCTION("""COMPUTED_VALUE"""),45123.6379401851)</f>
        <v>45123.637940185101</v>
      </c>
      <c r="B477" s="59" t="str">
        <f ca="1">IFERROR(__xludf.DUMMYFUNCTION("""COMPUTED_VALUE"""),"Asodariya keyur hareshbhai ")</f>
        <v xml:space="preserve">Asodariya keyur hareshbhai </v>
      </c>
      <c r="C477" s="72" t="str">
        <f ca="1">IFERROR(__xludf.DUMMYFUNCTION("""COMPUTED_VALUE"""),"20SDSEE01003 ")</f>
        <v xml:space="preserve">20SDSEE01003 </v>
      </c>
      <c r="D477" s="73">
        <f ca="1">IFERROR(__xludf.DUMMYFUNCTION("""COMPUTED_VALUE"""),45075)</f>
        <v>45075</v>
      </c>
      <c r="E477" s="72"/>
      <c r="F477" s="72">
        <f ca="1">IFERROR(__xludf.DUMMYFUNCTION("""COMPUTED_VALUE"""),9500)</f>
        <v>9500</v>
      </c>
      <c r="G477" s="75"/>
      <c r="H477" s="59"/>
      <c r="I477" s="76" t="str">
        <f ca="1">IFERROR(__xludf.DUMMYFUNCTION("""COMPUTED_VALUE"""),"https://drive.google.com/open?id=1BMVuDyFqKq_sXxa0k3rEedxyUjeBd8Vv")</f>
        <v>https://drive.google.com/open?id=1BMVuDyFqKq_sXxa0k3rEedxyUjeBd8Vv</v>
      </c>
      <c r="J477" s="59"/>
      <c r="K477" s="59"/>
      <c r="L477" s="59"/>
      <c r="M477" s="59"/>
      <c r="N477" s="59"/>
      <c r="O477" s="59"/>
      <c r="P477" s="59"/>
    </row>
    <row r="478" spans="1:16">
      <c r="A478" s="71">
        <f ca="1">IFERROR(__xludf.DUMMYFUNCTION("""COMPUTED_VALUE"""),45122.9429139351)</f>
        <v>45122.942913935098</v>
      </c>
      <c r="B478" s="59" t="str">
        <f ca="1">IFERROR(__xludf.DUMMYFUNCTION("""COMPUTED_VALUE"""),"Bishal Yadav ")</f>
        <v xml:space="preserve">Bishal Yadav </v>
      </c>
      <c r="C478" s="72" t="str">
        <f ca="1">IFERROR(__xludf.DUMMYFUNCTION("""COMPUTED_VALUE"""),"20SDSCE01159")</f>
        <v>20SDSCE01159</v>
      </c>
      <c r="D478" s="73">
        <f ca="1">IFERROR(__xludf.DUMMYFUNCTION("""COMPUTED_VALUE"""),45117)</f>
        <v>45117</v>
      </c>
      <c r="E478" s="72"/>
      <c r="F478" s="72"/>
      <c r="G478" s="75"/>
      <c r="H478" s="59" t="str">
        <f ca="1">IFERROR(__xludf.DUMMYFUNCTION("""COMPUTED_VALUE"""),"MAY BE FORM FEES ")</f>
        <v xml:space="preserve">MAY BE FORM FEES </v>
      </c>
      <c r="I478" s="76" t="str">
        <f ca="1">IFERROR(__xludf.DUMMYFUNCTION("""COMPUTED_VALUE"""),"https://drive.google.com/open?id=1G2XAvIu2pfhvVsnZSwx0OwTVxi0QRyw-")</f>
        <v>https://drive.google.com/open?id=1G2XAvIu2pfhvVsnZSwx0OwTVxi0QRyw-</v>
      </c>
      <c r="J478" s="59"/>
      <c r="K478" s="59"/>
      <c r="L478" s="59"/>
      <c r="M478" s="59"/>
      <c r="N478" s="59"/>
      <c r="O478" s="59"/>
      <c r="P478" s="59"/>
    </row>
    <row r="479" spans="1:16">
      <c r="A479" s="71">
        <f ca="1">IFERROR(__xludf.DUMMYFUNCTION("""COMPUTED_VALUE"""),45121.9482269328)</f>
        <v>45121.9482269328</v>
      </c>
      <c r="B479" s="59" t="str">
        <f ca="1">IFERROR(__xludf.DUMMYFUNCTION("""COMPUTED_VALUE"""),"Bhudiya Harshil Dineshbhai")</f>
        <v>Bhudiya Harshil Dineshbhai</v>
      </c>
      <c r="C479" s="72" t="str">
        <f ca="1">IFERROR(__xludf.DUMMYFUNCTION("""COMPUTED_VALUE"""),"22SDSCE01021")</f>
        <v>22SDSCE01021</v>
      </c>
      <c r="D479" s="73">
        <f ca="1">IFERROR(__xludf.DUMMYFUNCTION("""COMPUTED_VALUE"""),45121)</f>
        <v>45121</v>
      </c>
      <c r="E479" s="74">
        <f ca="1">IFERROR(__xludf.DUMMYFUNCTION("""COMPUTED_VALUE"""),25000)</f>
        <v>25000</v>
      </c>
      <c r="F479" s="72">
        <f ca="1">IFERROR(__xludf.DUMMYFUNCTION("""COMPUTED_VALUE"""),3000)</f>
        <v>3000</v>
      </c>
      <c r="G479" s="75"/>
      <c r="H479" s="59" t="str">
        <f ca="1">IFERROR(__xludf.DUMMYFUNCTION("""COMPUTED_VALUE"""),"UPDATE")</f>
        <v>UPDATE</v>
      </c>
      <c r="I479" s="76" t="str">
        <f ca="1">IFERROR(__xludf.DUMMYFUNCTION("""COMPUTED_VALUE"""),"https://drive.google.com/open?id=1st_sw5Q59BnQwusKjE3eKpYn2u5SkRmr")</f>
        <v>https://drive.google.com/open?id=1st_sw5Q59BnQwusKjE3eKpYn2u5SkRmr</v>
      </c>
      <c r="J479" s="59"/>
      <c r="K479" s="59"/>
      <c r="L479" s="59"/>
      <c r="M479" s="59"/>
      <c r="N479" s="59"/>
      <c r="O479" s="59"/>
      <c r="P479" s="59"/>
    </row>
    <row r="480" spans="1:16">
      <c r="A480" s="71">
        <f ca="1">IFERROR(__xludf.DUMMYFUNCTION("""COMPUTED_VALUE"""),45121.9468647685)</f>
        <v>45121.946864768499</v>
      </c>
      <c r="B480" s="59" t="str">
        <f ca="1">IFERROR(__xludf.DUMMYFUNCTION("""COMPUTED_VALUE"""),"Bhudiya Harshil Dineshbhai")</f>
        <v>Bhudiya Harshil Dineshbhai</v>
      </c>
      <c r="C480" s="72" t="str">
        <f ca="1">IFERROR(__xludf.DUMMYFUNCTION("""COMPUTED_VALUE"""),"22SDSCE01021")</f>
        <v>22SDSCE01021</v>
      </c>
      <c r="D480" s="73">
        <f ca="1">IFERROR(__xludf.DUMMYFUNCTION("""COMPUTED_VALUE"""),45121)</f>
        <v>45121</v>
      </c>
      <c r="E480" s="74">
        <f ca="1">IFERROR(__xludf.DUMMYFUNCTION("""COMPUTED_VALUE"""),25000)</f>
        <v>25000</v>
      </c>
      <c r="F480" s="72">
        <f ca="1">IFERROR(__xludf.DUMMYFUNCTION("""COMPUTED_VALUE"""),3000)</f>
        <v>3000</v>
      </c>
      <c r="G480" s="75"/>
      <c r="H480" s="59" t="str">
        <f ca="1">IFERROR(__xludf.DUMMYFUNCTION("""COMPUTED_VALUE"""),"UPDATE")</f>
        <v>UPDATE</v>
      </c>
      <c r="I480" s="76" t="str">
        <f ca="1">IFERROR(__xludf.DUMMYFUNCTION("""COMPUTED_VALUE"""),"https://drive.google.com/open?id=1xFeWYZWZfWaTJWzFctx_QsBsu-n-upCH")</f>
        <v>https://drive.google.com/open?id=1xFeWYZWZfWaTJWzFctx_QsBsu-n-upCH</v>
      </c>
      <c r="J480" s="59"/>
      <c r="K480" s="59"/>
      <c r="L480" s="59"/>
      <c r="M480" s="59"/>
      <c r="N480" s="59"/>
      <c r="O480" s="59"/>
      <c r="P480" s="59"/>
    </row>
    <row r="481" spans="1:16">
      <c r="A481" s="71">
        <f ca="1">IFERROR(__xludf.DUMMYFUNCTION("""COMPUTED_VALUE"""),45121.4959277662)</f>
        <v>45121.495927766198</v>
      </c>
      <c r="B481" s="59" t="str">
        <f ca="1">IFERROR(__xludf.DUMMYFUNCTION("""COMPUTED_VALUE"""),"KRISHRAJSINH VALA")</f>
        <v>KRISHRAJSINH VALA</v>
      </c>
      <c r="C481" s="72" t="str">
        <f ca="1">IFERROR(__xludf.DUMMYFUNCTION("""COMPUTED_VALUE"""),"22SDSCV01015")</f>
        <v>22SDSCV01015</v>
      </c>
      <c r="D481" s="73">
        <f ca="1">IFERROR(__xludf.DUMMYFUNCTION("""COMPUTED_VALUE"""),45121)</f>
        <v>45121</v>
      </c>
      <c r="E481" s="74">
        <f ca="1">IFERROR(__xludf.DUMMYFUNCTION("""COMPUTED_VALUE"""),0)</f>
        <v>0</v>
      </c>
      <c r="F481" s="72">
        <f ca="1">IFERROR(__xludf.DUMMYFUNCTION("""COMPUTED_VALUE"""),0)</f>
        <v>0</v>
      </c>
      <c r="G481" s="75"/>
      <c r="H481" s="59" t="str">
        <f ca="1">IFERROR(__xludf.DUMMYFUNCTION("""COMPUTED_VALUE"""),"UPDATE")</f>
        <v>UPDATE</v>
      </c>
      <c r="I481" s="76" t="str">
        <f ca="1">IFERROR(__xludf.DUMMYFUNCTION("""COMPUTED_VALUE"""),"https://drive.google.com/open?id=1qebqrFMIfhbJcRC6Y-AfaxzzQj2NBjY4")</f>
        <v>https://drive.google.com/open?id=1qebqrFMIfhbJcRC6Y-AfaxzzQj2NBjY4</v>
      </c>
      <c r="J481" s="59"/>
      <c r="K481" s="59"/>
      <c r="L481" s="59"/>
      <c r="M481" s="59"/>
      <c r="N481" s="59"/>
      <c r="O481" s="59"/>
      <c r="P481" s="59"/>
    </row>
    <row r="482" spans="1:16">
      <c r="A482" s="71">
        <f ca="1">IFERROR(__xludf.DUMMYFUNCTION("""COMPUTED_VALUE"""),45120.8352833564)</f>
        <v>45120.835283356399</v>
      </c>
      <c r="B482" s="59" t="str">
        <f ca="1">IFERROR(__xludf.DUMMYFUNCTION("""COMPUTED_VALUE"""),"Parakhiya bhaktiben bipinkumar")</f>
        <v>Parakhiya bhaktiben bipinkumar</v>
      </c>
      <c r="C482" s="72" t="str">
        <f ca="1">IFERROR(__xludf.DUMMYFUNCTION("""COMPUTED_VALUE"""),"22SDSCE01179")</f>
        <v>22SDSCE01179</v>
      </c>
      <c r="D482" s="73">
        <f ca="1">IFERROR(__xludf.DUMMYFUNCTION("""COMPUTED_VALUE"""),45120)</f>
        <v>45120</v>
      </c>
      <c r="E482" s="74">
        <f ca="1">IFERROR(__xludf.DUMMYFUNCTION("""COMPUTED_VALUE"""),25000)</f>
        <v>25000</v>
      </c>
      <c r="F482" s="72">
        <f ca="1">IFERROR(__xludf.DUMMYFUNCTION("""COMPUTED_VALUE"""),3000)</f>
        <v>3000</v>
      </c>
      <c r="G482" s="75"/>
      <c r="H482" s="59" t="str">
        <f ca="1">IFERROR(__xludf.DUMMYFUNCTION("""COMPUTED_VALUE"""),"UPDATE")</f>
        <v>UPDATE</v>
      </c>
      <c r="I482" s="76" t="str">
        <f ca="1">IFERROR(__xludf.DUMMYFUNCTION("""COMPUTED_VALUE"""),"https://drive.google.com/open?id=1cSB4IPkaagx-hCI_ygrPCxWl5lFhFVo3")</f>
        <v>https://drive.google.com/open?id=1cSB4IPkaagx-hCI_ygrPCxWl5lFhFVo3</v>
      </c>
      <c r="J482" s="59"/>
      <c r="K482" s="59"/>
      <c r="L482" s="59"/>
      <c r="M482" s="59"/>
      <c r="N482" s="59"/>
      <c r="O482" s="59"/>
      <c r="P482" s="59"/>
    </row>
    <row r="483" spans="1:16">
      <c r="A483" s="71">
        <f ca="1">IFERROR(__xludf.DUMMYFUNCTION("""COMPUTED_VALUE"""),45120.772750405)</f>
        <v>45120.772750404998</v>
      </c>
      <c r="B483" s="59" t="str">
        <f ca="1">IFERROR(__xludf.DUMMYFUNCTION("""COMPUTED_VALUE"""),"Tilakram Lodh")</f>
        <v>Tilakram Lodh</v>
      </c>
      <c r="C483" s="72" t="str">
        <f ca="1">IFERROR(__xludf.DUMMYFUNCTION("""COMPUTED_VALUE"""),"22SDSCE01618")</f>
        <v>22SDSCE01618</v>
      </c>
      <c r="D483" s="73">
        <f ca="1">IFERROR(__xludf.DUMMYFUNCTION("""COMPUTED_VALUE"""),45120)</f>
        <v>45120</v>
      </c>
      <c r="E483" s="72"/>
      <c r="F483" s="72">
        <f ca="1">IFERROR(__xludf.DUMMYFUNCTION("""COMPUTED_VALUE"""),20000)</f>
        <v>20000</v>
      </c>
      <c r="G483" s="75"/>
      <c r="H483" s="59" t="str">
        <f ca="1">IFERROR(__xludf.DUMMYFUNCTION("""COMPUTED_VALUE"""),"UPDATE")</f>
        <v>UPDATE</v>
      </c>
      <c r="I483" s="76" t="str">
        <f ca="1">IFERROR(__xludf.DUMMYFUNCTION("""COMPUTED_VALUE"""),"https://drive.google.com/open?id=1G6myps7YnI3WsUeaedux3KmJzZUiINZA")</f>
        <v>https://drive.google.com/open?id=1G6myps7YnI3WsUeaedux3KmJzZUiINZA</v>
      </c>
      <c r="J483" s="59"/>
      <c r="K483" s="59"/>
      <c r="L483" s="59"/>
      <c r="M483" s="59"/>
      <c r="N483" s="59"/>
      <c r="O483" s="59"/>
      <c r="P483" s="59"/>
    </row>
    <row r="484" spans="1:16">
      <c r="A484" s="71">
        <f ca="1">IFERROR(__xludf.DUMMYFUNCTION("""COMPUTED_VALUE"""),45120.7704065625)</f>
        <v>45120.7704065625</v>
      </c>
      <c r="B484" s="59" t="str">
        <f ca="1">IFERROR(__xludf.DUMMYFUNCTION("""COMPUTED_VALUE"""),"Tilakram Lodh")</f>
        <v>Tilakram Lodh</v>
      </c>
      <c r="C484" s="72" t="str">
        <f ca="1">IFERROR(__xludf.DUMMYFUNCTION("""COMPUTED_VALUE"""),"22SDSCE01618")</f>
        <v>22SDSCE01618</v>
      </c>
      <c r="D484" s="73">
        <f ca="1">IFERROR(__xludf.DUMMYFUNCTION("""COMPUTED_VALUE"""),45120)</f>
        <v>45120</v>
      </c>
      <c r="E484" s="72"/>
      <c r="F484" s="72">
        <f ca="1">IFERROR(__xludf.DUMMYFUNCTION("""COMPUTED_VALUE"""),20000)</f>
        <v>20000</v>
      </c>
      <c r="G484" s="75"/>
      <c r="H484" s="59" t="str">
        <f ca="1">IFERROR(__xludf.DUMMYFUNCTION("""COMPUTED_VALUE"""),"UPDATE")</f>
        <v>UPDATE</v>
      </c>
      <c r="I484" s="76" t="str">
        <f ca="1">IFERROR(__xludf.DUMMYFUNCTION("""COMPUTED_VALUE"""),"https://drive.google.com/open?id=18Lsbd1SnRRYTPIwmmnPQTci7jWovUwrF")</f>
        <v>https://drive.google.com/open?id=18Lsbd1SnRRYTPIwmmnPQTci7jWovUwrF</v>
      </c>
      <c r="J484" s="59"/>
      <c r="K484" s="59"/>
      <c r="L484" s="59"/>
      <c r="M484" s="59"/>
      <c r="N484" s="59"/>
      <c r="O484" s="59"/>
      <c r="P484" s="59"/>
    </row>
    <row r="485" spans="1:16">
      <c r="A485" s="71">
        <f ca="1">IFERROR(__xludf.DUMMYFUNCTION("""COMPUTED_VALUE"""),45120.6546219907)</f>
        <v>45120.654621990703</v>
      </c>
      <c r="B485" s="59" t="str">
        <f ca="1">IFERROR(__xludf.DUMMYFUNCTION("""COMPUTED_VALUE"""),"Tilakram Lodh")</f>
        <v>Tilakram Lodh</v>
      </c>
      <c r="C485" s="72" t="str">
        <f ca="1">IFERROR(__xludf.DUMMYFUNCTION("""COMPUTED_VALUE"""),"22SDSCE01618")</f>
        <v>22SDSCE01618</v>
      </c>
      <c r="D485" s="73">
        <f ca="1">IFERROR(__xludf.DUMMYFUNCTION("""COMPUTED_VALUE"""),45120)</f>
        <v>45120</v>
      </c>
      <c r="E485" s="72"/>
      <c r="F485" s="72">
        <f ca="1">IFERROR(__xludf.DUMMYFUNCTION("""COMPUTED_VALUE"""),1000)</f>
        <v>1000</v>
      </c>
      <c r="G485" s="75"/>
      <c r="H485" s="59" t="str">
        <f ca="1">IFERROR(__xludf.DUMMYFUNCTION("""COMPUTED_VALUE"""),"UPDATE")</f>
        <v>UPDATE</v>
      </c>
      <c r="I485" s="76" t="str">
        <f ca="1">IFERROR(__xludf.DUMMYFUNCTION("""COMPUTED_VALUE"""),"https://drive.google.com/open?id=1XWIiM0L4YpilOrUjM05l_CeP2X2VOejV")</f>
        <v>https://drive.google.com/open?id=1XWIiM0L4YpilOrUjM05l_CeP2X2VOejV</v>
      </c>
      <c r="J485" s="59"/>
      <c r="K485" s="59"/>
      <c r="L485" s="59"/>
      <c r="M485" s="59"/>
      <c r="N485" s="59"/>
      <c r="O485" s="59"/>
      <c r="P485" s="59"/>
    </row>
    <row r="486" spans="1:16">
      <c r="A486" s="71">
        <f ca="1">IFERROR(__xludf.DUMMYFUNCTION("""COMPUTED_VALUE"""),45120.51581603)</f>
        <v>45120.515816029998</v>
      </c>
      <c r="B486" s="59" t="str">
        <f ca="1">IFERROR(__xludf.DUMMYFUNCTION("""COMPUTED_VALUE"""),"Gohel Amit Kishorbhai ")</f>
        <v xml:space="preserve">Gohel Amit Kishorbhai </v>
      </c>
      <c r="C486" s="72" t="str">
        <f ca="1">IFERROR(__xludf.DUMMYFUNCTION("""COMPUTED_VALUE"""),"22SDSEE01007")</f>
        <v>22SDSEE01007</v>
      </c>
      <c r="D486" s="73">
        <f ca="1">IFERROR(__xludf.DUMMYFUNCTION("""COMPUTED_VALUE"""),45120)</f>
        <v>45120</v>
      </c>
      <c r="E486" s="72"/>
      <c r="F486" s="72"/>
      <c r="G486" s="75"/>
      <c r="H486" s="59" t="str">
        <f ca="1">IFERROR(__xludf.DUMMYFUNCTION("""COMPUTED_VALUE"""),"UPDATE")</f>
        <v>UPDATE</v>
      </c>
      <c r="I486" s="76" t="str">
        <f ca="1">IFERROR(__xludf.DUMMYFUNCTION("""COMPUTED_VALUE"""),"https://drive.google.com/open?id=1YB9lbM1kXiS5ght9mrVrl3fZYepHQah-")</f>
        <v>https://drive.google.com/open?id=1YB9lbM1kXiS5ght9mrVrl3fZYepHQah-</v>
      </c>
      <c r="J486" s="59"/>
      <c r="K486" s="59"/>
      <c r="L486" s="59"/>
      <c r="M486" s="59"/>
      <c r="N486" s="59"/>
      <c r="O486" s="59"/>
      <c r="P486" s="59"/>
    </row>
    <row r="487" spans="1:16">
      <c r="A487" s="71">
        <f ca="1">IFERROR(__xludf.DUMMYFUNCTION("""COMPUTED_VALUE"""),45119.9053119212)</f>
        <v>45119.905311921197</v>
      </c>
      <c r="B487" s="59" t="str">
        <f ca="1">IFERROR(__xludf.DUMMYFUNCTION("""COMPUTED_VALUE"""),"Tilakram Lodh")</f>
        <v>Tilakram Lodh</v>
      </c>
      <c r="C487" s="72" t="str">
        <f ca="1">IFERROR(__xludf.DUMMYFUNCTION("""COMPUTED_VALUE"""),"22SDSCE01618")</f>
        <v>22SDSCE01618</v>
      </c>
      <c r="D487" s="73">
        <f ca="1">IFERROR(__xludf.DUMMYFUNCTION("""COMPUTED_VALUE"""),45267)</f>
        <v>45267</v>
      </c>
      <c r="E487" s="72"/>
      <c r="F487" s="72">
        <f ca="1">IFERROR(__xludf.DUMMYFUNCTION("""COMPUTED_VALUE"""),9000)</f>
        <v>9000</v>
      </c>
      <c r="G487" s="75"/>
      <c r="H487" s="59" t="str">
        <f ca="1">IFERROR(__xludf.DUMMYFUNCTION("""COMPUTED_VALUE"""),"UPDATE")</f>
        <v>UPDATE</v>
      </c>
      <c r="I487" s="76" t="str">
        <f ca="1">IFERROR(__xludf.DUMMYFUNCTION("""COMPUTED_VALUE"""),"https://drive.google.com/open?id=1ZdSGBN7iQ-I6UTWInEw1ORviaGFFkLWo")</f>
        <v>https://drive.google.com/open?id=1ZdSGBN7iQ-I6UTWInEw1ORviaGFFkLWo</v>
      </c>
      <c r="J487" s="59"/>
      <c r="K487" s="59"/>
      <c r="L487" s="59"/>
      <c r="M487" s="59"/>
      <c r="N487" s="59"/>
      <c r="O487" s="59"/>
      <c r="P487" s="59"/>
    </row>
    <row r="488" spans="1:16">
      <c r="A488" s="71">
        <f ca="1">IFERROR(__xludf.DUMMYFUNCTION("""COMPUTED_VALUE"""),45119.6992646527)</f>
        <v>45119.6992646527</v>
      </c>
      <c r="B488" s="59" t="str">
        <f ca="1">IFERROR(__xludf.DUMMYFUNCTION("""COMPUTED_VALUE"""),"Tilakram Lodh")</f>
        <v>Tilakram Lodh</v>
      </c>
      <c r="C488" s="72" t="str">
        <f ca="1">IFERROR(__xludf.DUMMYFUNCTION("""COMPUTED_VALUE"""),"22SDSCE01618")</f>
        <v>22SDSCE01618</v>
      </c>
      <c r="D488" s="73">
        <f ca="1">IFERROR(__xludf.DUMMYFUNCTION("""COMPUTED_VALUE"""),45267)</f>
        <v>45267</v>
      </c>
      <c r="E488" s="72"/>
      <c r="F488" s="72"/>
      <c r="G488" s="75"/>
      <c r="H488" s="59" t="str">
        <f ca="1">IFERROR(__xludf.DUMMYFUNCTION("""COMPUTED_VALUE"""),"UPDATE")</f>
        <v>UPDATE</v>
      </c>
      <c r="I488" s="76" t="str">
        <f ca="1">IFERROR(__xludf.DUMMYFUNCTION("""COMPUTED_VALUE"""),"https://drive.google.com/open?id=177fR-NxwFdMux8dgqoubS7jCZ130jN8x")</f>
        <v>https://drive.google.com/open?id=177fR-NxwFdMux8dgqoubS7jCZ130jN8x</v>
      </c>
      <c r="J488" s="59"/>
      <c r="K488" s="59"/>
      <c r="L488" s="59"/>
      <c r="M488" s="59"/>
      <c r="N488" s="59"/>
      <c r="O488" s="59"/>
      <c r="P488" s="59"/>
    </row>
    <row r="489" spans="1:16">
      <c r="A489" s="71">
        <f ca="1">IFERROR(__xludf.DUMMYFUNCTION("""COMPUTED_VALUE"""),45119.6980143981)</f>
        <v>45119.698014398098</v>
      </c>
      <c r="B489" s="59" t="str">
        <f ca="1">IFERROR(__xludf.DUMMYFUNCTION("""COMPUTED_VALUE"""),"Tilakram Lodh")</f>
        <v>Tilakram Lodh</v>
      </c>
      <c r="C489" s="72" t="str">
        <f ca="1">IFERROR(__xludf.DUMMYFUNCTION("""COMPUTED_VALUE"""),"22SDSCE01618")</f>
        <v>22SDSCE01618</v>
      </c>
      <c r="D489" s="73">
        <f ca="1">IFERROR(__xludf.DUMMYFUNCTION("""COMPUTED_VALUE"""),45267)</f>
        <v>45267</v>
      </c>
      <c r="E489" s="72"/>
      <c r="F489" s="72"/>
      <c r="G489" s="75"/>
      <c r="H489" s="59" t="str">
        <f ca="1">IFERROR(__xludf.DUMMYFUNCTION("""COMPUTED_VALUE"""),"UPDATE")</f>
        <v>UPDATE</v>
      </c>
      <c r="I489" s="76" t="str">
        <f ca="1">IFERROR(__xludf.DUMMYFUNCTION("""COMPUTED_VALUE"""),"https://drive.google.com/open?id=1KzrVRztl0ERVYUUJv1isgqzEkVlowp1j")</f>
        <v>https://drive.google.com/open?id=1KzrVRztl0ERVYUUJv1isgqzEkVlowp1j</v>
      </c>
      <c r="J489" s="59"/>
      <c r="K489" s="59"/>
      <c r="L489" s="59"/>
      <c r="M489" s="59"/>
      <c r="N489" s="59"/>
      <c r="O489" s="59"/>
      <c r="P489" s="59"/>
    </row>
    <row r="490" spans="1:16">
      <c r="A490" s="71">
        <f ca="1">IFERROR(__xludf.DUMMYFUNCTION("""COMPUTED_VALUE"""),45119.5844619907)</f>
        <v>45119.5844619907</v>
      </c>
      <c r="B490" s="59" t="str">
        <f ca="1">IFERROR(__xludf.DUMMYFUNCTION("""COMPUTED_VALUE"""),"Gohel Amit Kishorbhai ")</f>
        <v xml:space="preserve">Gohel Amit Kishorbhai </v>
      </c>
      <c r="C490" s="72" t="str">
        <f ca="1">IFERROR(__xludf.DUMMYFUNCTION("""COMPUTED_VALUE"""),"22SDSEE01007")</f>
        <v>22SDSEE01007</v>
      </c>
      <c r="D490" s="73">
        <f ca="1">IFERROR(__xludf.DUMMYFUNCTION("""COMPUTED_VALUE"""),45119)</f>
        <v>45119</v>
      </c>
      <c r="E490" s="72"/>
      <c r="F490" s="72"/>
      <c r="G490" s="75"/>
      <c r="H490" s="59" t="str">
        <f ca="1">IFERROR(__xludf.DUMMYFUNCTION("""COMPUTED_VALUE"""),"UPDATE")</f>
        <v>UPDATE</v>
      </c>
      <c r="I490" s="76" t="str">
        <f ca="1">IFERROR(__xludf.DUMMYFUNCTION("""COMPUTED_VALUE"""),"https://drive.google.com/open?id=17gt6iqY9Uw5o2wq_odka3YXjMHEtml0I")</f>
        <v>https://drive.google.com/open?id=17gt6iqY9Uw5o2wq_odka3YXjMHEtml0I</v>
      </c>
      <c r="J490" s="59"/>
      <c r="K490" s="59"/>
      <c r="L490" s="59"/>
      <c r="M490" s="59"/>
      <c r="N490" s="59"/>
      <c r="O490" s="59"/>
      <c r="P490" s="59"/>
    </row>
    <row r="491" spans="1:16">
      <c r="A491" s="71">
        <f ca="1">IFERROR(__xludf.DUMMYFUNCTION("""COMPUTED_VALUE"""),45118.7185163657)</f>
        <v>45118.718516365698</v>
      </c>
      <c r="B491" s="59" t="str">
        <f ca="1">IFERROR(__xludf.DUMMYFUNCTION("""COMPUTED_VALUE"""),"Hiren vaghela ")</f>
        <v xml:space="preserve">Hiren vaghela </v>
      </c>
      <c r="C491" s="72" t="str">
        <f ca="1">IFERROR(__xludf.DUMMYFUNCTION("""COMPUTED_VALUE"""),"22SDSCV01014")</f>
        <v>22SDSCV01014</v>
      </c>
      <c r="D491" s="73">
        <f ca="1">IFERROR(__xludf.DUMMYFUNCTION("""COMPUTED_VALUE"""),45118)</f>
        <v>45118</v>
      </c>
      <c r="E491" s="74">
        <f ca="1">IFERROR(__xludf.DUMMYFUNCTION("""COMPUTED_VALUE"""),0)</f>
        <v>0</v>
      </c>
      <c r="F491" s="72">
        <f ca="1">IFERROR(__xludf.DUMMYFUNCTION("""COMPUTED_VALUE"""),0)</f>
        <v>0</v>
      </c>
      <c r="G491" s="75"/>
      <c r="H491" s="59" t="str">
        <f ca="1">IFERROR(__xludf.DUMMYFUNCTION("""COMPUTED_VALUE"""),"UPDATE")</f>
        <v>UPDATE</v>
      </c>
      <c r="I491" s="76" t="str">
        <f ca="1">IFERROR(__xludf.DUMMYFUNCTION("""COMPUTED_VALUE"""),"https://drive.google.com/open?id=1FTpeDlPYel33N4dTyVs_eHbVCQgdQ2kW")</f>
        <v>https://drive.google.com/open?id=1FTpeDlPYel33N4dTyVs_eHbVCQgdQ2kW</v>
      </c>
      <c r="J491" s="59"/>
      <c r="K491" s="59"/>
      <c r="L491" s="59"/>
      <c r="M491" s="59"/>
      <c r="N491" s="59"/>
      <c r="O491" s="59"/>
      <c r="P491" s="59"/>
    </row>
    <row r="492" spans="1:16">
      <c r="A492" s="71">
        <f ca="1">IFERROR(__xludf.DUMMYFUNCTION("""COMPUTED_VALUE"""),45118.5608479166)</f>
        <v>45118.560847916597</v>
      </c>
      <c r="B492" s="59" t="str">
        <f ca="1">IFERROR(__xludf.DUMMYFUNCTION("""COMPUTED_VALUE"""),"Chavda Karan Babubhai")</f>
        <v>Chavda Karan Babubhai</v>
      </c>
      <c r="C492" s="72" t="str">
        <f ca="1">IFERROR(__xludf.DUMMYFUNCTION("""COMPUTED_VALUE"""),"22SDSCE01199")</f>
        <v>22SDSCE01199</v>
      </c>
      <c r="D492" s="73">
        <f ca="1">IFERROR(__xludf.DUMMYFUNCTION("""COMPUTED_VALUE"""),45118)</f>
        <v>45118</v>
      </c>
      <c r="E492" s="72"/>
      <c r="F492" s="72"/>
      <c r="G492" s="75"/>
      <c r="H492" s="59" t="str">
        <f ca="1">IFERROR(__xludf.DUMMYFUNCTION("""COMPUTED_VALUE"""),"UPDATE")</f>
        <v>UPDATE</v>
      </c>
      <c r="I492" s="76" t="str">
        <f ca="1">IFERROR(__xludf.DUMMYFUNCTION("""COMPUTED_VALUE"""),"https://drive.google.com/open?id=12m8cZFrptAobX7QFrHtNILmHHeZJ3qos")</f>
        <v>https://drive.google.com/open?id=12m8cZFrptAobX7QFrHtNILmHHeZJ3qos</v>
      </c>
      <c r="J492" s="59"/>
      <c r="K492" s="59"/>
      <c r="L492" s="59"/>
      <c r="M492" s="59"/>
      <c r="N492" s="59"/>
      <c r="O492" s="59"/>
      <c r="P492" s="59"/>
    </row>
    <row r="493" spans="1:16">
      <c r="A493" s="71">
        <f ca="1">IFERROR(__xludf.DUMMYFUNCTION("""COMPUTED_VALUE"""),45114.713369155)</f>
        <v>45114.713369154997</v>
      </c>
      <c r="B493" s="59" t="str">
        <f ca="1">IFERROR(__xludf.DUMMYFUNCTION("""COMPUTED_VALUE"""),"kotadiya vatsal kishorbhai")</f>
        <v>kotadiya vatsal kishorbhai</v>
      </c>
      <c r="C493" s="72" t="str">
        <f ca="1">IFERROR(__xludf.DUMMYFUNCTION("""COMPUTED_VALUE"""),"22SDSCE01055")</f>
        <v>22SDSCE01055</v>
      </c>
      <c r="D493" s="73">
        <f ca="1">IFERROR(__xludf.DUMMYFUNCTION("""COMPUTED_VALUE"""),45114)</f>
        <v>45114</v>
      </c>
      <c r="E493" s="72"/>
      <c r="F493" s="72"/>
      <c r="G493" s="75"/>
      <c r="H493" s="59"/>
      <c r="I493" s="76" t="str">
        <f ca="1">IFERROR(__xludf.DUMMYFUNCTION("""COMPUTED_VALUE"""),"https://drive.google.com/open?id=1-TT7i5JEz6VX0CPdlk2eYK83uJNCIHXr")</f>
        <v>https://drive.google.com/open?id=1-TT7i5JEz6VX0CPdlk2eYK83uJNCIHXr</v>
      </c>
      <c r="J493" s="59"/>
      <c r="K493" s="59"/>
      <c r="L493" s="59"/>
      <c r="M493" s="59"/>
      <c r="N493" s="59"/>
      <c r="O493" s="59"/>
      <c r="P493" s="59"/>
    </row>
    <row r="494" spans="1:16">
      <c r="A494" s="71">
        <f ca="1">IFERROR(__xludf.DUMMYFUNCTION("""COMPUTED_VALUE"""),45114.4938424305)</f>
        <v>45114.4938424305</v>
      </c>
      <c r="B494" s="59" t="str">
        <f ca="1">IFERROR(__xludf.DUMMYFUNCTION("""COMPUTED_VALUE"""),"Aghera Deep Maganbhai")</f>
        <v>Aghera Deep Maganbhai</v>
      </c>
      <c r="C494" s="72" t="str">
        <f ca="1">IFERROR(__xludf.DUMMYFUNCTION("""COMPUTED_VALUE"""),"21SDSCE01055")</f>
        <v>21SDSCE01055</v>
      </c>
      <c r="D494" s="73">
        <f ca="1">IFERROR(__xludf.DUMMYFUNCTION("""COMPUTED_VALUE"""),45100)</f>
        <v>45100</v>
      </c>
      <c r="E494" s="74">
        <f ca="1">IFERROR(__xludf.DUMMYFUNCTION("""COMPUTED_VALUE"""),25000)</f>
        <v>25000</v>
      </c>
      <c r="F494" s="72">
        <f ca="1">IFERROR(__xludf.DUMMYFUNCTION("""COMPUTED_VALUE"""),2500)</f>
        <v>2500</v>
      </c>
      <c r="G494" s="75"/>
      <c r="H494" s="59"/>
      <c r="I494" s="76" t="str">
        <f ca="1">IFERROR(__xludf.DUMMYFUNCTION("""COMPUTED_VALUE"""),"https://drive.google.com/open?id=1ORkRdI7OgGkRwrfrJCrxnf0ZLwW-WcYX")</f>
        <v>https://drive.google.com/open?id=1ORkRdI7OgGkRwrfrJCrxnf0ZLwW-WcYX</v>
      </c>
      <c r="J494" s="59"/>
      <c r="K494" s="59"/>
      <c r="L494" s="59"/>
      <c r="M494" s="59"/>
      <c r="N494" s="59"/>
      <c r="O494" s="59"/>
      <c r="P494" s="59"/>
    </row>
    <row r="495" spans="1:16">
      <c r="A495" s="71">
        <f ca="1">IFERROR(__xludf.DUMMYFUNCTION("""COMPUTED_VALUE"""),45114.4843186574)</f>
        <v>45114.4843186574</v>
      </c>
      <c r="B495" s="59" t="str">
        <f ca="1">IFERROR(__xludf.DUMMYFUNCTION("""COMPUTED_VALUE"""),"Hetal modhvadiya ")</f>
        <v xml:space="preserve">Hetal modhvadiya </v>
      </c>
      <c r="C495" s="72" t="str">
        <f ca="1">IFERROR(__xludf.DUMMYFUNCTION("""COMPUTED_VALUE"""),"22sdsce01071")</f>
        <v>22sdsce01071</v>
      </c>
      <c r="D495" s="73">
        <f ca="1">IFERROR(__xludf.DUMMYFUNCTION("""COMPUTED_VALUE"""),45113)</f>
        <v>45113</v>
      </c>
      <c r="E495" s="72"/>
      <c r="F495" s="72"/>
      <c r="G495" s="75"/>
      <c r="H495" s="59"/>
      <c r="I495" s="76" t="str">
        <f ca="1">IFERROR(__xludf.DUMMYFUNCTION("""COMPUTED_VALUE"""),"https://drive.google.com/open?id=1-x9oDcbyx47uhyMmE-tXCmrvOxIGaBry")</f>
        <v>https://drive.google.com/open?id=1-x9oDcbyx47uhyMmE-tXCmrvOxIGaBry</v>
      </c>
      <c r="J495" s="59"/>
      <c r="K495" s="59"/>
      <c r="L495" s="59"/>
      <c r="M495" s="59"/>
      <c r="N495" s="59"/>
      <c r="O495" s="59"/>
      <c r="P495" s="59"/>
    </row>
    <row r="496" spans="1:16">
      <c r="A496" s="71">
        <f ca="1">IFERROR(__xludf.DUMMYFUNCTION("""COMPUTED_VALUE"""),45114.4775636574)</f>
        <v>45114.477563657398</v>
      </c>
      <c r="B496" s="59" t="str">
        <f ca="1">IFERROR(__xludf.DUMMYFUNCTION("""COMPUTED_VALUE"""),"Keshvala vipul jethabhai")</f>
        <v>Keshvala vipul jethabhai</v>
      </c>
      <c r="C496" s="72" t="str">
        <f ca="1">IFERROR(__xludf.DUMMYFUNCTION("""COMPUTED_VALUE"""),"22SDSCE01159")</f>
        <v>22SDSCE01159</v>
      </c>
      <c r="D496" s="73">
        <f ca="1">IFERROR(__xludf.DUMMYFUNCTION("""COMPUTED_VALUE"""),45108)</f>
        <v>45108</v>
      </c>
      <c r="E496" s="72"/>
      <c r="F496" s="72"/>
      <c r="G496" s="75"/>
      <c r="H496" s="59"/>
      <c r="I496" s="76" t="str">
        <f ca="1">IFERROR(__xludf.DUMMYFUNCTION("""COMPUTED_VALUE"""),"https://drive.google.com/open?id=1WM14vFDH15BDQplFtlpLr9iKGRbonWhS")</f>
        <v>https://drive.google.com/open?id=1WM14vFDH15BDQplFtlpLr9iKGRbonWhS</v>
      </c>
      <c r="J496" s="59"/>
      <c r="K496" s="59"/>
      <c r="L496" s="59"/>
      <c r="M496" s="59"/>
      <c r="N496" s="59"/>
      <c r="O496" s="59"/>
      <c r="P496" s="59"/>
    </row>
    <row r="497" spans="1:16">
      <c r="A497" s="71">
        <f ca="1">IFERROR(__xludf.DUMMYFUNCTION("""COMPUTED_VALUE"""),45114.477045405)</f>
        <v>45114.477045405001</v>
      </c>
      <c r="B497" s="59" t="str">
        <f ca="1">IFERROR(__xludf.DUMMYFUNCTION("""COMPUTED_VALUE"""),"Odedara Jaykumar ")</f>
        <v xml:space="preserve">Odedara Jaykumar </v>
      </c>
      <c r="C497" s="72" t="str">
        <f ca="1">IFERROR(__xludf.DUMMYFUNCTION("""COMPUTED_VALUE"""),"22SDSCE01178")</f>
        <v>22SDSCE01178</v>
      </c>
      <c r="D497" s="73">
        <f ca="1">IFERROR(__xludf.DUMMYFUNCTION("""COMPUTED_VALUE"""),45114)</f>
        <v>45114</v>
      </c>
      <c r="E497" s="72"/>
      <c r="F497" s="72"/>
      <c r="G497" s="75"/>
      <c r="H497" s="59"/>
      <c r="I497" s="76" t="str">
        <f ca="1">IFERROR(__xludf.DUMMYFUNCTION("""COMPUTED_VALUE"""),"https://drive.google.com/open?id=1_9ppBh-sOaMuLsf08y0SR09qMZTOOq1D")</f>
        <v>https://drive.google.com/open?id=1_9ppBh-sOaMuLsf08y0SR09qMZTOOq1D</v>
      </c>
      <c r="J497" s="59"/>
      <c r="K497" s="59"/>
      <c r="L497" s="59"/>
      <c r="M497" s="59"/>
      <c r="N497" s="59"/>
      <c r="O497" s="59"/>
      <c r="P497" s="59"/>
    </row>
    <row r="498" spans="1:16">
      <c r="A498" s="71">
        <f ca="1">IFERROR(__xludf.DUMMYFUNCTION("""COMPUTED_VALUE"""),45114.4331162037)</f>
        <v>45114.433116203698</v>
      </c>
      <c r="B498" s="59" t="str">
        <f ca="1">IFERROR(__xludf.DUMMYFUNCTION("""COMPUTED_VALUE"""),"Mavani jit Arvindbhai ")</f>
        <v xml:space="preserve">Mavani jit Arvindbhai </v>
      </c>
      <c r="C498" s="72" t="str">
        <f ca="1">IFERROR(__xludf.DUMMYFUNCTION("""COMPUTED_VALUE"""),"22SDSCE01172")</f>
        <v>22SDSCE01172</v>
      </c>
      <c r="D498" s="73">
        <f ca="1">IFERROR(__xludf.DUMMYFUNCTION("""COMPUTED_VALUE"""),45114)</f>
        <v>45114</v>
      </c>
      <c r="E498" s="74">
        <f ca="1">IFERROR(__xludf.DUMMYFUNCTION("""COMPUTED_VALUE"""),25000)</f>
        <v>25000</v>
      </c>
      <c r="F498" s="72">
        <f ca="1">IFERROR(__xludf.DUMMYFUNCTION("""COMPUTED_VALUE"""),3000)</f>
        <v>3000</v>
      </c>
      <c r="G498" s="75"/>
      <c r="H498" s="59"/>
      <c r="I498" s="76" t="str">
        <f ca="1">IFERROR(__xludf.DUMMYFUNCTION("""COMPUTED_VALUE"""),"https://drive.google.com/open?id=1azOxZDcQW2eEadoB42l63I_trrp92irb")</f>
        <v>https://drive.google.com/open?id=1azOxZDcQW2eEadoB42l63I_trrp92irb</v>
      </c>
      <c r="J498" s="59"/>
      <c r="K498" s="59"/>
      <c r="L498" s="59"/>
      <c r="M498" s="59"/>
      <c r="N498" s="59"/>
      <c r="O498" s="59"/>
      <c r="P498" s="59"/>
    </row>
    <row r="499" spans="1:16">
      <c r="A499" s="71">
        <f ca="1">IFERROR(__xludf.DUMMYFUNCTION("""COMPUTED_VALUE"""),45113.8944914699)</f>
        <v>45113.894491469902</v>
      </c>
      <c r="B499" s="59" t="str">
        <f ca="1">IFERROR(__xludf.DUMMYFUNCTION("""COMPUTED_VALUE"""),"Roshan Patel ")</f>
        <v xml:space="preserve">Roshan Patel </v>
      </c>
      <c r="C499" s="72" t="str">
        <f ca="1">IFERROR(__xludf.DUMMYFUNCTION("""COMPUTED_VALUE"""),"21SDSCV01602")</f>
        <v>21SDSCV01602</v>
      </c>
      <c r="D499" s="73">
        <f ca="1">IFERROR(__xludf.DUMMYFUNCTION("""COMPUTED_VALUE"""),45113)</f>
        <v>45113</v>
      </c>
      <c r="E499" s="74">
        <f ca="1">IFERROR(__xludf.DUMMYFUNCTION("""COMPUTED_VALUE"""),35000)</f>
        <v>35000</v>
      </c>
      <c r="F499" s="72">
        <f ca="1">IFERROR(__xludf.DUMMYFUNCTION("""COMPUTED_VALUE"""),0)</f>
        <v>0</v>
      </c>
      <c r="G499" s="75"/>
      <c r="H499" s="59"/>
      <c r="I499" s="76" t="str">
        <f ca="1">IFERROR(__xludf.DUMMYFUNCTION("""COMPUTED_VALUE"""),"https://drive.google.com/open?id=1mJvsZpOGsMMB0bhn78hqqyJNQM5PLvBH")</f>
        <v>https://drive.google.com/open?id=1mJvsZpOGsMMB0bhn78hqqyJNQM5PLvBH</v>
      </c>
      <c r="J499" s="59"/>
      <c r="K499" s="59"/>
      <c r="L499" s="59"/>
      <c r="M499" s="59"/>
      <c r="N499" s="59"/>
      <c r="O499" s="59"/>
      <c r="P499" s="59"/>
    </row>
    <row r="500" spans="1:16">
      <c r="A500" s="71">
        <f ca="1">IFERROR(__xludf.DUMMYFUNCTION("""COMPUTED_VALUE"""),45113.892411956)</f>
        <v>45113.892411956003</v>
      </c>
      <c r="B500" s="59" t="str">
        <f ca="1">IFERROR(__xludf.DUMMYFUNCTION("""COMPUTED_VALUE"""),"Dev Ramjiyani ")</f>
        <v xml:space="preserve">Dev Ramjiyani </v>
      </c>
      <c r="C500" s="72" t="str">
        <f ca="1">IFERROR(__xludf.DUMMYFUNCTION("""COMPUTED_VALUE"""),"22SDSCE01183")</f>
        <v>22SDSCE01183</v>
      </c>
      <c r="D500" s="73">
        <f ca="1">IFERROR(__xludf.DUMMYFUNCTION("""COMPUTED_VALUE"""),38996)</f>
        <v>38996</v>
      </c>
      <c r="E500" s="72"/>
      <c r="F500" s="72"/>
      <c r="G500" s="75"/>
      <c r="H500" s="59"/>
      <c r="I500" s="76" t="str">
        <f ca="1">IFERROR(__xludf.DUMMYFUNCTION("""COMPUTED_VALUE"""),"https://drive.google.com/open?id=1fXAHVNaFA-XufAdvGknu5FJ_MB_zBT4f")</f>
        <v>https://drive.google.com/open?id=1fXAHVNaFA-XufAdvGknu5FJ_MB_zBT4f</v>
      </c>
      <c r="J500" s="59"/>
      <c r="K500" s="59"/>
      <c r="L500" s="59"/>
      <c r="M500" s="59"/>
      <c r="N500" s="59"/>
      <c r="O500" s="59"/>
      <c r="P500" s="59"/>
    </row>
    <row r="501" spans="1:16">
      <c r="A501" s="71">
        <f ca="1">IFERROR(__xludf.DUMMYFUNCTION("""COMPUTED_VALUE"""),45113.7180918634)</f>
        <v>45113.718091863397</v>
      </c>
      <c r="B501" s="59" t="str">
        <f ca="1">IFERROR(__xludf.DUMMYFUNCTION("""COMPUTED_VALUE"""),"Bharadwa pritesh pravinbhai ")</f>
        <v xml:space="preserve">Bharadwa pritesh pravinbhai </v>
      </c>
      <c r="C501" s="72" t="str">
        <f ca="1">IFERROR(__xludf.DUMMYFUNCTION("""COMPUTED_VALUE"""),"22SDSCE01133")</f>
        <v>22SDSCE01133</v>
      </c>
      <c r="D501" s="73">
        <f ca="1">IFERROR(__xludf.DUMMYFUNCTION("""COMPUTED_VALUE"""),45113)</f>
        <v>45113</v>
      </c>
      <c r="E501" s="72"/>
      <c r="F501" s="72"/>
      <c r="G501" s="75"/>
      <c r="H501" s="59" t="str">
        <f ca="1">IFERROR(__xludf.DUMMYFUNCTION("""COMPUTED_VALUE"""),"UPDATE")</f>
        <v>UPDATE</v>
      </c>
      <c r="I501" s="76" t="str">
        <f ca="1">IFERROR(__xludf.DUMMYFUNCTION("""COMPUTED_VALUE"""),"https://drive.google.com/open?id=1AOdGMRjEZ5YCMycW33QA0x-H7gF8iq8w")</f>
        <v>https://drive.google.com/open?id=1AOdGMRjEZ5YCMycW33QA0x-H7gF8iq8w</v>
      </c>
      <c r="J501" s="59"/>
      <c r="K501" s="59"/>
      <c r="L501" s="59"/>
      <c r="M501" s="59"/>
      <c r="N501" s="59"/>
      <c r="O501" s="59"/>
      <c r="P501" s="59"/>
    </row>
    <row r="502" spans="1:16">
      <c r="A502" s="71">
        <f ca="1">IFERROR(__xludf.DUMMYFUNCTION("""COMPUTED_VALUE"""),45113.4372686574)</f>
        <v>45113.437268657399</v>
      </c>
      <c r="B502" s="59" t="str">
        <f ca="1">IFERROR(__xludf.DUMMYFUNCTION("""COMPUTED_VALUE"""),"Prabhat Kumar ")</f>
        <v xml:space="preserve">Prabhat Kumar </v>
      </c>
      <c r="C502" s="72" t="str">
        <f ca="1">IFERROR(__xludf.DUMMYFUNCTION("""COMPUTED_VALUE"""),"22SDSCV01031")</f>
        <v>22SDSCV01031</v>
      </c>
      <c r="D502" s="73">
        <f ca="1">IFERROR(__xludf.DUMMYFUNCTION("""COMPUTED_VALUE"""),45113)</f>
        <v>45113</v>
      </c>
      <c r="E502" s="72"/>
      <c r="F502" s="72"/>
      <c r="G502" s="75"/>
      <c r="H502" s="59" t="str">
        <f ca="1">IFERROR(__xludf.DUMMYFUNCTION("""COMPUTED_VALUE"""),"UPDATE")</f>
        <v>UPDATE</v>
      </c>
      <c r="I502" s="76" t="str">
        <f ca="1">IFERROR(__xludf.DUMMYFUNCTION("""COMPUTED_VALUE"""),"https://drive.google.com/open?id=12HPwjiPxQ3t2BwBEQovqCt6GZb16rQOU")</f>
        <v>https://drive.google.com/open?id=12HPwjiPxQ3t2BwBEQovqCt6GZb16rQOU</v>
      </c>
      <c r="J502" s="59"/>
      <c r="K502" s="59"/>
      <c r="L502" s="59"/>
      <c r="M502" s="59"/>
      <c r="N502" s="59"/>
      <c r="O502" s="59"/>
      <c r="P502" s="59"/>
    </row>
    <row r="503" spans="1:16">
      <c r="A503" s="71">
        <f ca="1">IFERROR(__xludf.DUMMYFUNCTION("""COMPUTED_VALUE"""),45112.6875934375)</f>
        <v>45112.687593437498</v>
      </c>
      <c r="B503" s="59" t="str">
        <f ca="1">IFERROR(__xludf.DUMMYFUNCTION("""COMPUTED_VALUE"""),"Vansh Vaja")</f>
        <v>Vansh Vaja</v>
      </c>
      <c r="C503" s="72" t="str">
        <f ca="1">IFERROR(__xludf.DUMMYFUNCTION("""COMPUTED_VALUE"""),"22SDSCE01195")</f>
        <v>22SDSCE01195</v>
      </c>
      <c r="D503" s="73">
        <f ca="1">IFERROR(__xludf.DUMMYFUNCTION("""COMPUTED_VALUE"""),45053)</f>
        <v>45053</v>
      </c>
      <c r="E503" s="72"/>
      <c r="F503" s="72"/>
      <c r="G503" s="75"/>
      <c r="H503" s="59" t="str">
        <f ca="1">IFERROR(__xludf.DUMMYFUNCTION("""COMPUTED_VALUE"""),"UPDATE")</f>
        <v>UPDATE</v>
      </c>
      <c r="I503" s="76" t="str">
        <f ca="1">IFERROR(__xludf.DUMMYFUNCTION("""COMPUTED_VALUE"""),"https://drive.google.com/open?id=1n4OW2EdfHqbQ6qRGoAwirFWgnmOFGTSx")</f>
        <v>https://drive.google.com/open?id=1n4OW2EdfHqbQ6qRGoAwirFWgnmOFGTSx</v>
      </c>
      <c r="J503" s="59"/>
      <c r="K503" s="59"/>
      <c r="L503" s="59"/>
      <c r="M503" s="59"/>
      <c r="N503" s="59"/>
      <c r="O503" s="59"/>
      <c r="P503" s="59"/>
    </row>
    <row r="504" spans="1:16">
      <c r="A504" s="71">
        <f ca="1">IFERROR(__xludf.DUMMYFUNCTION("""COMPUTED_VALUE"""),45112.6111377893)</f>
        <v>45112.611137789303</v>
      </c>
      <c r="B504" s="59" t="str">
        <f ca="1">IFERROR(__xludf.DUMMYFUNCTION("""COMPUTED_VALUE"""),"Bhambhi Rudra Pratapbhai ")</f>
        <v xml:space="preserve">Bhambhi Rudra Pratapbhai </v>
      </c>
      <c r="C504" s="72" t="str">
        <f ca="1">IFERROR(__xludf.DUMMYFUNCTION("""COMPUTED_VALUE"""),"21SDSME01004")</f>
        <v>21SDSME01004</v>
      </c>
      <c r="D504" s="73">
        <f ca="1">IFERROR(__xludf.DUMMYFUNCTION("""COMPUTED_VALUE"""),45112)</f>
        <v>45112</v>
      </c>
      <c r="E504" s="74">
        <f ca="1">IFERROR(__xludf.DUMMYFUNCTION("""COMPUTED_VALUE"""),25000)</f>
        <v>25000</v>
      </c>
      <c r="F504" s="72">
        <f ca="1">IFERROR(__xludf.DUMMYFUNCTION("""COMPUTED_VALUE"""),2500)</f>
        <v>2500</v>
      </c>
      <c r="G504" s="75"/>
      <c r="H504" s="59" t="str">
        <f ca="1">IFERROR(__xludf.DUMMYFUNCTION("""COMPUTED_VALUE"""),"UPDATE")</f>
        <v>UPDATE</v>
      </c>
      <c r="I504" s="76" t="str">
        <f ca="1">IFERROR(__xludf.DUMMYFUNCTION("""COMPUTED_VALUE"""),"https://drive.google.com/open?id=12yzvCM759B8GoKNvH7Yq2jGtUgBVxALa")</f>
        <v>https://drive.google.com/open?id=12yzvCM759B8GoKNvH7Yq2jGtUgBVxALa</v>
      </c>
      <c r="J504" s="59"/>
      <c r="K504" s="59"/>
      <c r="L504" s="59"/>
      <c r="M504" s="59"/>
      <c r="N504" s="59"/>
      <c r="O504" s="59"/>
      <c r="P504" s="59"/>
    </row>
    <row r="505" spans="1:16">
      <c r="A505" s="71">
        <f ca="1">IFERROR(__xludf.DUMMYFUNCTION("""COMPUTED_VALUE"""),45112.5091497106)</f>
        <v>45112.509149710597</v>
      </c>
      <c r="B505" s="59" t="str">
        <f ca="1">IFERROR(__xludf.DUMMYFUNCTION("""COMPUTED_VALUE"""),"Karan Dilipbhai Garchar")</f>
        <v>Karan Dilipbhai Garchar</v>
      </c>
      <c r="C505" s="72" t="str">
        <f ca="1">IFERROR(__xludf.DUMMYFUNCTION("""COMPUTED_VALUE"""),"22SDSCO01150")</f>
        <v>22SDSCO01150</v>
      </c>
      <c r="D505" s="73">
        <f ca="1">IFERROR(__xludf.DUMMYFUNCTION("""COMPUTED_VALUE"""),45112)</f>
        <v>45112</v>
      </c>
      <c r="E505" s="72"/>
      <c r="F505" s="72"/>
      <c r="G505" s="75"/>
      <c r="H505" s="59" t="str">
        <f ca="1">IFERROR(__xludf.DUMMYFUNCTION("""COMPUTED_VALUE"""),"UPDATE")</f>
        <v>UPDATE</v>
      </c>
      <c r="I505" s="76" t="str">
        <f ca="1">IFERROR(__xludf.DUMMYFUNCTION("""COMPUTED_VALUE"""),"https://drive.google.com/open?id=1W9ChYC8Ozd5PPIF3Od2MfnH4_lqoZvHf")</f>
        <v>https://drive.google.com/open?id=1W9ChYC8Ozd5PPIF3Od2MfnH4_lqoZvHf</v>
      </c>
      <c r="J505" s="59"/>
      <c r="K505" s="59"/>
      <c r="L505" s="59"/>
      <c r="M505" s="59"/>
      <c r="N505" s="59"/>
      <c r="O505" s="59"/>
      <c r="P505" s="59"/>
    </row>
    <row r="506" spans="1:16">
      <c r="A506" s="71">
        <f ca="1">IFERROR(__xludf.DUMMYFUNCTION("""COMPUTED_VALUE"""),45112.4892872337)</f>
        <v>45112.4892872337</v>
      </c>
      <c r="B506" s="59" t="str">
        <f ca="1">IFERROR(__xludf.DUMMYFUNCTION("""COMPUTED_VALUE"""),"Solanki tushar natubhai")</f>
        <v>Solanki tushar natubhai</v>
      </c>
      <c r="C506" s="72" t="str">
        <f ca="1">IFERROR(__xludf.DUMMYFUNCTION("""COMPUTED_VALUE"""),"22SDSCE01190")</f>
        <v>22SDSCE01190</v>
      </c>
      <c r="D506" s="73">
        <f ca="1">IFERROR(__xludf.DUMMYFUNCTION("""COMPUTED_VALUE"""),45112)</f>
        <v>45112</v>
      </c>
      <c r="E506" s="72"/>
      <c r="F506" s="72"/>
      <c r="G506" s="75"/>
      <c r="H506" s="59" t="str">
        <f ca="1">IFERROR(__xludf.DUMMYFUNCTION("""COMPUTED_VALUE"""),"UPDATE")</f>
        <v>UPDATE</v>
      </c>
      <c r="I506" s="76" t="str">
        <f ca="1">IFERROR(__xludf.DUMMYFUNCTION("""COMPUTED_VALUE"""),"https://drive.google.com/open?id=1oQLpNeTJe7frZ9fF7j3D4iFz4GnwRnEJ")</f>
        <v>https://drive.google.com/open?id=1oQLpNeTJe7frZ9fF7j3D4iFz4GnwRnEJ</v>
      </c>
      <c r="J506" s="59"/>
      <c r="K506" s="59"/>
      <c r="L506" s="59"/>
      <c r="M506" s="59"/>
      <c r="N506" s="59"/>
      <c r="O506" s="59"/>
      <c r="P506" s="59"/>
    </row>
    <row r="507" spans="1:16">
      <c r="A507" s="71">
        <f ca="1">IFERROR(__xludf.DUMMYFUNCTION("""COMPUTED_VALUE"""),45112.4889746527)</f>
        <v>45112.488974652697</v>
      </c>
      <c r="B507" s="59" t="str">
        <f ca="1">IFERROR(__xludf.DUMMYFUNCTION("""COMPUTED_VALUE"""),"Het Navneetbhai Dobariya ")</f>
        <v xml:space="preserve">Het Navneetbhai Dobariya </v>
      </c>
      <c r="C507" s="72" t="str">
        <f ca="1">IFERROR(__xludf.DUMMYFUNCTION("""COMPUTED_VALUE"""),"22SDSCE01142")</f>
        <v>22SDSCE01142</v>
      </c>
      <c r="D507" s="73">
        <f ca="1">IFERROR(__xludf.DUMMYFUNCTION("""COMPUTED_VALUE"""),45112)</f>
        <v>45112</v>
      </c>
      <c r="E507" s="72"/>
      <c r="F507" s="72"/>
      <c r="G507" s="75"/>
      <c r="H507" s="59" t="str">
        <f ca="1">IFERROR(__xludf.DUMMYFUNCTION("""COMPUTED_VALUE"""),"UPDATE")</f>
        <v>UPDATE</v>
      </c>
      <c r="I507" s="76" t="str">
        <f ca="1">IFERROR(__xludf.DUMMYFUNCTION("""COMPUTED_VALUE"""),"https://drive.google.com/open?id=1pUH0GZ24fKl-WqyXxJ1CgJrAYqUw722v")</f>
        <v>https://drive.google.com/open?id=1pUH0GZ24fKl-WqyXxJ1CgJrAYqUw722v</v>
      </c>
      <c r="J507" s="59"/>
      <c r="K507" s="59"/>
      <c r="L507" s="59"/>
      <c r="M507" s="59"/>
      <c r="N507" s="59"/>
      <c r="O507" s="59"/>
      <c r="P507" s="59"/>
    </row>
    <row r="508" spans="1:16">
      <c r="A508" s="71">
        <f ca="1">IFERROR(__xludf.DUMMYFUNCTION("""COMPUTED_VALUE"""),45112.4823859838)</f>
        <v>45112.4823859838</v>
      </c>
      <c r="B508" s="59" t="str">
        <f ca="1">IFERROR(__xludf.DUMMYFUNCTION("""COMPUTED_VALUE"""),"Solanki tushar natubhai")</f>
        <v>Solanki tushar natubhai</v>
      </c>
      <c r="C508" s="72" t="str">
        <f ca="1">IFERROR(__xludf.DUMMYFUNCTION("""COMPUTED_VALUE"""),"22SDSCE01190")</f>
        <v>22SDSCE01190</v>
      </c>
      <c r="D508" s="73">
        <f ca="1">IFERROR(__xludf.DUMMYFUNCTION("""COMPUTED_VALUE"""),45112)</f>
        <v>45112</v>
      </c>
      <c r="E508" s="72"/>
      <c r="F508" s="72"/>
      <c r="G508" s="75"/>
      <c r="H508" s="59" t="str">
        <f ca="1">IFERROR(__xludf.DUMMYFUNCTION("""COMPUTED_VALUE"""),"UPDATE")</f>
        <v>UPDATE</v>
      </c>
      <c r="I508" s="76" t="str">
        <f ca="1">IFERROR(__xludf.DUMMYFUNCTION("""COMPUTED_VALUE"""),"https://drive.google.com/open?id=1vyPIRGR7ezz0ehdX8FYukbDR3FOYZ12i")</f>
        <v>https://drive.google.com/open?id=1vyPIRGR7ezz0ehdX8FYukbDR3FOYZ12i</v>
      </c>
      <c r="J508" s="59"/>
      <c r="K508" s="59"/>
      <c r="L508" s="59"/>
      <c r="M508" s="59"/>
      <c r="N508" s="59"/>
      <c r="O508" s="59"/>
      <c r="P508" s="59"/>
    </row>
    <row r="509" spans="1:16">
      <c r="A509" s="71">
        <f ca="1">IFERROR(__xludf.DUMMYFUNCTION("""COMPUTED_VALUE"""),45112.4823436574)</f>
        <v>45112.482343657401</v>
      </c>
      <c r="B509" s="59" t="str">
        <f ca="1">IFERROR(__xludf.DUMMYFUNCTION("""COMPUTED_VALUE"""),"Het Navneetbhai Dobariya ")</f>
        <v xml:space="preserve">Het Navneetbhai Dobariya </v>
      </c>
      <c r="C509" s="72" t="str">
        <f ca="1">IFERROR(__xludf.DUMMYFUNCTION("""COMPUTED_VALUE"""),"22SDSCE01142")</f>
        <v>22SDSCE01142</v>
      </c>
      <c r="D509" s="73">
        <f ca="1">IFERROR(__xludf.DUMMYFUNCTION("""COMPUTED_VALUE"""),45112)</f>
        <v>45112</v>
      </c>
      <c r="E509" s="72"/>
      <c r="F509" s="72"/>
      <c r="G509" s="75"/>
      <c r="H509" s="59" t="str">
        <f ca="1">IFERROR(__xludf.DUMMYFUNCTION("""COMPUTED_VALUE"""),"UPDATE")</f>
        <v>UPDATE</v>
      </c>
      <c r="I509" s="76" t="str">
        <f ca="1">IFERROR(__xludf.DUMMYFUNCTION("""COMPUTED_VALUE"""),"https://drive.google.com/open?id=1b1-y1WcAZsby7rcTGC83ELi8EGc-HKf7")</f>
        <v>https://drive.google.com/open?id=1b1-y1WcAZsby7rcTGC83ELi8EGc-HKf7</v>
      </c>
      <c r="J509" s="59"/>
      <c r="K509" s="59"/>
      <c r="L509" s="59"/>
      <c r="M509" s="59"/>
      <c r="N509" s="59"/>
      <c r="O509" s="59"/>
      <c r="P509" s="59"/>
    </row>
    <row r="510" spans="1:16">
      <c r="A510" s="71">
        <f ca="1">IFERROR(__xludf.DUMMYFUNCTION("""COMPUTED_VALUE"""),45111.4342136111)</f>
        <v>45111.434213611101</v>
      </c>
      <c r="B510" s="59" t="str">
        <f ca="1">IFERROR(__xludf.DUMMYFUNCTION("""COMPUTED_VALUE"""),"Shah dhruv mehul")</f>
        <v>Shah dhruv mehul</v>
      </c>
      <c r="C510" s="72" t="str">
        <f ca="1">IFERROR(__xludf.DUMMYFUNCTION("""COMPUTED_VALUE"""),"22SDSCE01188")</f>
        <v>22SDSCE01188</v>
      </c>
      <c r="D510" s="73">
        <f ca="1">IFERROR(__xludf.DUMMYFUNCTION("""COMPUTED_VALUE"""),45110)</f>
        <v>45110</v>
      </c>
      <c r="E510" s="72"/>
      <c r="F510" s="72"/>
      <c r="G510" s="75"/>
      <c r="H510" s="59" t="str">
        <f ca="1">IFERROR(__xludf.DUMMYFUNCTION("""COMPUTED_VALUE"""),"UPDATE")</f>
        <v>UPDATE</v>
      </c>
      <c r="I510" s="76" t="str">
        <f ca="1">IFERROR(__xludf.DUMMYFUNCTION("""COMPUTED_VALUE"""),"https://drive.google.com/open?id=1MINBOzF05UlV83aDFiUj0YOsPLlLvbpA")</f>
        <v>https://drive.google.com/open?id=1MINBOzF05UlV83aDFiUj0YOsPLlLvbpA</v>
      </c>
      <c r="J510" s="59"/>
      <c r="K510" s="59"/>
      <c r="L510" s="59"/>
      <c r="M510" s="59"/>
      <c r="N510" s="59"/>
      <c r="O510" s="59"/>
      <c r="P510" s="59"/>
    </row>
    <row r="511" spans="1:16">
      <c r="A511" s="71">
        <f ca="1">IFERROR(__xludf.DUMMYFUNCTION("""COMPUTED_VALUE"""),45110.6119772569)</f>
        <v>45110.6119772569</v>
      </c>
      <c r="B511" s="59" t="str">
        <f ca="1">IFERROR(__xludf.DUMMYFUNCTION("""COMPUTED_VALUE"""),"Ronak senghani ")</f>
        <v xml:space="preserve">Ronak senghani </v>
      </c>
      <c r="C511" s="72" t="str">
        <f ca="1">IFERROR(__xludf.DUMMYFUNCTION("""COMPUTED_VALUE"""),"22SDSCV01011")</f>
        <v>22SDSCV01011</v>
      </c>
      <c r="D511" s="73">
        <f ca="1">IFERROR(__xludf.DUMMYFUNCTION("""COMPUTED_VALUE"""),45110)</f>
        <v>45110</v>
      </c>
      <c r="E511" s="72"/>
      <c r="F511" s="72"/>
      <c r="G511" s="75"/>
      <c r="H511" s="59" t="str">
        <f ca="1">IFERROR(__xludf.DUMMYFUNCTION("""COMPUTED_VALUE"""),"UPDATE")</f>
        <v>UPDATE</v>
      </c>
      <c r="I511" s="76" t="str">
        <f ca="1">IFERROR(__xludf.DUMMYFUNCTION("""COMPUTED_VALUE"""),"https://drive.google.com/open?id=1qMGDWaZm24RAR2HhDbx1bJrk_tYmaJxH")</f>
        <v>https://drive.google.com/open?id=1qMGDWaZm24RAR2HhDbx1bJrk_tYmaJxH</v>
      </c>
      <c r="J511" s="59"/>
      <c r="K511" s="59"/>
      <c r="L511" s="59"/>
      <c r="M511" s="59"/>
      <c r="N511" s="59"/>
      <c r="O511" s="59"/>
      <c r="P511" s="59"/>
    </row>
    <row r="512" spans="1:16">
      <c r="A512" s="71">
        <f ca="1">IFERROR(__xludf.DUMMYFUNCTION("""COMPUTED_VALUE"""),45110.3425582754)</f>
        <v>45110.342558275399</v>
      </c>
      <c r="B512" s="59" t="str">
        <f ca="1">IFERROR(__xludf.DUMMYFUNCTION("""COMPUTED_VALUE"""),"Parth Amipara ")</f>
        <v xml:space="preserve">Parth Amipara </v>
      </c>
      <c r="C512" s="72" t="str">
        <f ca="1">IFERROR(__xludf.DUMMYFUNCTION("""COMPUTED_VALUE"""),"21SDSCE01114")</f>
        <v>21SDSCE01114</v>
      </c>
      <c r="D512" s="73">
        <f ca="1">IFERROR(__xludf.DUMMYFUNCTION("""COMPUTED_VALUE"""),45104)</f>
        <v>45104</v>
      </c>
      <c r="E512" s="74">
        <f ca="1">IFERROR(__xludf.DUMMYFUNCTION("""COMPUTED_VALUE"""),12500)</f>
        <v>12500</v>
      </c>
      <c r="F512" s="72">
        <f ca="1">IFERROR(__xludf.DUMMYFUNCTION("""COMPUTED_VALUE"""),2500)</f>
        <v>2500</v>
      </c>
      <c r="G512" s="75"/>
      <c r="H512" s="59" t="str">
        <f ca="1">IFERROR(__xludf.DUMMYFUNCTION("""COMPUTED_VALUE"""),"UPDATE")</f>
        <v>UPDATE</v>
      </c>
      <c r="I512" s="76" t="str">
        <f ca="1">IFERROR(__xludf.DUMMYFUNCTION("""COMPUTED_VALUE"""),"https://drive.google.com/open?id=1WKLyi9Ov29ES1kAbL-RM5eGtdZRyZALC")</f>
        <v>https://drive.google.com/open?id=1WKLyi9Ov29ES1kAbL-RM5eGtdZRyZALC</v>
      </c>
      <c r="J512" s="59"/>
      <c r="K512" s="59"/>
      <c r="L512" s="59"/>
      <c r="M512" s="59"/>
      <c r="N512" s="59"/>
      <c r="O512" s="59"/>
      <c r="P512" s="59"/>
    </row>
    <row r="513" spans="1:16">
      <c r="A513" s="71">
        <f ca="1">IFERROR(__xludf.DUMMYFUNCTION("""COMPUTED_VALUE"""),45108.5607966203)</f>
        <v>45108.560796620302</v>
      </c>
      <c r="B513" s="59" t="str">
        <f ca="1">IFERROR(__xludf.DUMMYFUNCTION("""COMPUTED_VALUE"""),"ADITYA KUMAR ")</f>
        <v xml:space="preserve">ADITYA KUMAR </v>
      </c>
      <c r="C513" s="72" t="str">
        <f ca="1">IFERROR(__xludf.DUMMYFUNCTION("""COMPUTED_VALUE"""),"22SDSME01035")</f>
        <v>22SDSME01035</v>
      </c>
      <c r="D513" s="73">
        <f ca="1">IFERROR(__xludf.DUMMYFUNCTION("""COMPUTED_VALUE"""),45108)</f>
        <v>45108</v>
      </c>
      <c r="E513" s="74">
        <f ca="1">IFERROR(__xludf.DUMMYFUNCTION("""COMPUTED_VALUE"""),5000)</f>
        <v>5000</v>
      </c>
      <c r="F513" s="72">
        <f ca="1">IFERROR(__xludf.DUMMYFUNCTION("""COMPUTED_VALUE"""),0)</f>
        <v>0</v>
      </c>
      <c r="G513" s="75"/>
      <c r="H513" s="59" t="str">
        <f ca="1">IFERROR(__xludf.DUMMYFUNCTION("""COMPUTED_VALUE"""),"UPDATE")</f>
        <v>UPDATE</v>
      </c>
      <c r="I513" s="76" t="str">
        <f ca="1">IFERROR(__xludf.DUMMYFUNCTION("""COMPUTED_VALUE"""),"https://drive.google.com/open?id=1I84_O89J05vE7S_ykjIRm6ZEayeacUR7")</f>
        <v>https://drive.google.com/open?id=1I84_O89J05vE7S_ykjIRm6ZEayeacUR7</v>
      </c>
      <c r="J513" s="59"/>
      <c r="K513" s="59"/>
      <c r="L513" s="59"/>
      <c r="M513" s="59"/>
      <c r="N513" s="59"/>
      <c r="O513" s="59"/>
      <c r="P513" s="59"/>
    </row>
    <row r="514" spans="1:16">
      <c r="A514" s="71">
        <f ca="1">IFERROR(__xludf.DUMMYFUNCTION("""COMPUTED_VALUE"""),45108.5378323263)</f>
        <v>45108.537832326299</v>
      </c>
      <c r="B514" s="59" t="str">
        <f ca="1">IFERROR(__xludf.DUMMYFUNCTION("""COMPUTED_VALUE"""),"SUSHANT KUMAR")</f>
        <v>SUSHANT KUMAR</v>
      </c>
      <c r="C514" s="72" t="str">
        <f ca="1">IFERROR(__xludf.DUMMYFUNCTION("""COMPUTED_VALUE"""),"22SDSME01055 ")</f>
        <v xml:space="preserve">22SDSME01055 </v>
      </c>
      <c r="D514" s="73">
        <f ca="1">IFERROR(__xludf.DUMMYFUNCTION("""COMPUTED_VALUE"""),45108)</f>
        <v>45108</v>
      </c>
      <c r="E514" s="74">
        <f ca="1">IFERROR(__xludf.DUMMYFUNCTION("""COMPUTED_VALUE"""),4000)</f>
        <v>4000</v>
      </c>
      <c r="F514" s="72">
        <f ca="1">IFERROR(__xludf.DUMMYFUNCTION("""COMPUTED_VALUE"""),0)</f>
        <v>0</v>
      </c>
      <c r="G514" s="75"/>
      <c r="H514" s="59" t="str">
        <f ca="1">IFERROR(__xludf.DUMMYFUNCTION("""COMPUTED_VALUE"""),"UPDATE")</f>
        <v>UPDATE</v>
      </c>
      <c r="I514" s="76" t="str">
        <f ca="1">IFERROR(__xludf.DUMMYFUNCTION("""COMPUTED_VALUE"""),"https://drive.google.com/open?id=1Gnv6Ceq4fiRKGGRmeP1t2eug2dQEUnjv")</f>
        <v>https://drive.google.com/open?id=1Gnv6Ceq4fiRKGGRmeP1t2eug2dQEUnjv</v>
      </c>
      <c r="J514" s="59"/>
      <c r="K514" s="59"/>
      <c r="L514" s="59"/>
      <c r="M514" s="59"/>
      <c r="N514" s="59"/>
      <c r="O514" s="59"/>
      <c r="P514" s="59"/>
    </row>
    <row r="515" spans="1:16">
      <c r="A515" s="71">
        <f ca="1">IFERROR(__xludf.DUMMYFUNCTION("""COMPUTED_VALUE"""),45107.8779472916)</f>
        <v>45107.877947291599</v>
      </c>
      <c r="B515" s="59" t="str">
        <f ca="1">IFERROR(__xludf.DUMMYFUNCTION("""COMPUTED_VALUE"""),"MAYARIYA SAHIL LAKHDEERBHAI ")</f>
        <v xml:space="preserve">MAYARIYA SAHIL LAKHDEERBHAI </v>
      </c>
      <c r="C515" s="72" t="str">
        <f ca="1">IFERROR(__xludf.DUMMYFUNCTION("""COMPUTED_VALUE"""),"22SDSCE01173")</f>
        <v>22SDSCE01173</v>
      </c>
      <c r="D515" s="73">
        <f ca="1">IFERROR(__xludf.DUMMYFUNCTION("""COMPUTED_VALUE"""),45107)</f>
        <v>45107</v>
      </c>
      <c r="E515" s="72"/>
      <c r="F515" s="72"/>
      <c r="G515" s="75"/>
      <c r="H515" s="59" t="str">
        <f ca="1">IFERROR(__xludf.DUMMYFUNCTION("""COMPUTED_VALUE"""),"UPDATE")</f>
        <v>UPDATE</v>
      </c>
      <c r="I515" s="76" t="str">
        <f ca="1">IFERROR(__xludf.DUMMYFUNCTION("""COMPUTED_VALUE"""),"https://drive.google.com/open?id=1gG5X9szvTHW7ojOXsUkV7eC3lY2h_Z8Y")</f>
        <v>https://drive.google.com/open?id=1gG5X9szvTHW7ojOXsUkV7eC3lY2h_Z8Y</v>
      </c>
      <c r="J515" s="59"/>
      <c r="K515" s="59"/>
      <c r="L515" s="59"/>
      <c r="M515" s="59"/>
      <c r="N515" s="59"/>
      <c r="O515" s="59"/>
      <c r="P515" s="59"/>
    </row>
    <row r="516" spans="1:16">
      <c r="A516" s="71">
        <f ca="1">IFERROR(__xludf.DUMMYFUNCTION("""COMPUTED_VALUE"""),45107.4340380787)</f>
        <v>45107.434038078703</v>
      </c>
      <c r="B516" s="59" t="str">
        <f ca="1">IFERROR(__xludf.DUMMYFUNCTION("""COMPUTED_VALUE"""),"Kapuriya kevin")</f>
        <v>Kapuriya kevin</v>
      </c>
      <c r="C516" s="72" t="str">
        <f ca="1">IFERROR(__xludf.DUMMYFUNCTION("""COMPUTED_VALUE"""),"21sdsme01019")</f>
        <v>21sdsme01019</v>
      </c>
      <c r="D516" s="73">
        <f ca="1">IFERROR(__xludf.DUMMYFUNCTION("""COMPUTED_VALUE"""),45103)</f>
        <v>45103</v>
      </c>
      <c r="E516" s="72"/>
      <c r="F516" s="72">
        <f ca="1">IFERROR(__xludf.DUMMYFUNCTION("""COMPUTED_VALUE"""),2500)</f>
        <v>2500</v>
      </c>
      <c r="G516" s="75"/>
      <c r="H516" s="59" t="str">
        <f ca="1">IFERROR(__xludf.DUMMYFUNCTION("""COMPUTED_VALUE"""),"UPDATE")</f>
        <v>UPDATE</v>
      </c>
      <c r="I516" s="76" t="str">
        <f ca="1">IFERROR(__xludf.DUMMYFUNCTION("""COMPUTED_VALUE"""),"https://drive.google.com/open?id=1pp5BTm0od299SYP_4k_YbaeV0gZ7j_EF")</f>
        <v>https://drive.google.com/open?id=1pp5BTm0od299SYP_4k_YbaeV0gZ7j_EF</v>
      </c>
      <c r="J516" s="59"/>
      <c r="K516" s="59"/>
      <c r="L516" s="59"/>
      <c r="M516" s="59"/>
      <c r="N516" s="59"/>
      <c r="O516" s="59"/>
      <c r="P516" s="59"/>
    </row>
    <row r="517" spans="1:16">
      <c r="A517" s="71">
        <f ca="1">IFERROR(__xludf.DUMMYFUNCTION("""COMPUTED_VALUE"""),45107.4307378703)</f>
        <v>45107.430737870302</v>
      </c>
      <c r="B517" s="59" t="str">
        <f ca="1">IFERROR(__xludf.DUMMYFUNCTION("""COMPUTED_VALUE"""),"Kapuriya kevin")</f>
        <v>Kapuriya kevin</v>
      </c>
      <c r="C517" s="72" t="str">
        <f ca="1">IFERROR(__xludf.DUMMYFUNCTION("""COMPUTED_VALUE"""),"21sdsme01019")</f>
        <v>21sdsme01019</v>
      </c>
      <c r="D517" s="73">
        <f ca="1">IFERROR(__xludf.DUMMYFUNCTION("""COMPUTED_VALUE"""),45103)</f>
        <v>45103</v>
      </c>
      <c r="E517" s="74">
        <f ca="1">IFERROR(__xludf.DUMMYFUNCTION("""COMPUTED_VALUE"""),25000)</f>
        <v>25000</v>
      </c>
      <c r="F517" s="72"/>
      <c r="G517" s="75"/>
      <c r="H517" s="59" t="str">
        <f ca="1">IFERROR(__xludf.DUMMYFUNCTION("""COMPUTED_VALUE"""),"UPDATE")</f>
        <v>UPDATE</v>
      </c>
      <c r="I517" s="76" t="str">
        <f ca="1">IFERROR(__xludf.DUMMYFUNCTION("""COMPUTED_VALUE"""),"https://drive.google.com/open?id=1e__oWL9bbzP6NZiT6FmPM37R7gNIGUYD")</f>
        <v>https://drive.google.com/open?id=1e__oWL9bbzP6NZiT6FmPM37R7gNIGUYD</v>
      </c>
      <c r="J517" s="59"/>
      <c r="K517" s="59"/>
      <c r="L517" s="59"/>
      <c r="M517" s="59"/>
      <c r="N517" s="59"/>
      <c r="O517" s="59"/>
      <c r="P517" s="59"/>
    </row>
    <row r="518" spans="1:16">
      <c r="A518" s="71">
        <f ca="1">IFERROR(__xludf.DUMMYFUNCTION("""COMPUTED_VALUE"""),45105.7795693055)</f>
        <v>45105.779569305501</v>
      </c>
      <c r="B518" s="59" t="str">
        <f ca="1">IFERROR(__xludf.DUMMYFUNCTION("""COMPUTED_VALUE"""),"Goraniya karan")</f>
        <v>Goraniya karan</v>
      </c>
      <c r="C518" s="72" t="str">
        <f ca="1">IFERROR(__xludf.DUMMYFUNCTION("""COMPUTED_VALUE"""),"22SDSCE01152")</f>
        <v>22SDSCE01152</v>
      </c>
      <c r="D518" s="73">
        <f ca="1">IFERROR(__xludf.DUMMYFUNCTION("""COMPUTED_VALUE"""),45105)</f>
        <v>45105</v>
      </c>
      <c r="E518" s="72"/>
      <c r="F518" s="72"/>
      <c r="G518" s="75"/>
      <c r="H518" s="59" t="str">
        <f ca="1">IFERROR(__xludf.DUMMYFUNCTION("""COMPUTED_VALUE"""),"UPDATE")</f>
        <v>UPDATE</v>
      </c>
      <c r="I518" s="76" t="str">
        <f ca="1">IFERROR(__xludf.DUMMYFUNCTION("""COMPUTED_VALUE"""),"https://drive.google.com/open?id=1t4aRahPPvKM_H5ymDHn-Fw6QaC2h4ZHQ")</f>
        <v>https://drive.google.com/open?id=1t4aRahPPvKM_H5ymDHn-Fw6QaC2h4ZHQ</v>
      </c>
      <c r="J518" s="59"/>
      <c r="K518" s="59"/>
      <c r="L518" s="59"/>
      <c r="M518" s="59"/>
      <c r="N518" s="59"/>
      <c r="O518" s="59"/>
      <c r="P518" s="59"/>
    </row>
    <row r="519" spans="1:16">
      <c r="A519" s="71">
        <f ca="1">IFERROR(__xludf.DUMMYFUNCTION("""COMPUTED_VALUE"""),45105.7137772916)</f>
        <v>45105.713777291603</v>
      </c>
      <c r="B519" s="59" t="str">
        <f ca="1">IFERROR(__xludf.DUMMYFUNCTION("""COMPUTED_VALUE"""),"Bhadaliya Krishil Shaileshbhai")</f>
        <v>Bhadaliya Krishil Shaileshbhai</v>
      </c>
      <c r="C519" s="72" t="str">
        <f ca="1">IFERROR(__xludf.DUMMYFUNCTION("""COMPUTED_VALUE"""),"21SDSCE01005")</f>
        <v>21SDSCE01005</v>
      </c>
      <c r="D519" s="73">
        <f ca="1">IFERROR(__xludf.DUMMYFUNCTION("""COMPUTED_VALUE"""),45100)</f>
        <v>45100</v>
      </c>
      <c r="E519" s="72"/>
      <c r="F519" s="72">
        <f ca="1">IFERROR(__xludf.DUMMYFUNCTION("""COMPUTED_VALUE"""),2500)</f>
        <v>2500</v>
      </c>
      <c r="G519" s="75"/>
      <c r="H519" s="59" t="str">
        <f ca="1">IFERROR(__xludf.DUMMYFUNCTION("""COMPUTED_VALUE"""),"UPDATE")</f>
        <v>UPDATE</v>
      </c>
      <c r="I519" s="76" t="str">
        <f ca="1">IFERROR(__xludf.DUMMYFUNCTION("""COMPUTED_VALUE"""),"https://drive.google.com/open?id=1vpB-N2aaG1d7VhvVMRCWIxAw9-127Vz4")</f>
        <v>https://drive.google.com/open?id=1vpB-N2aaG1d7VhvVMRCWIxAw9-127Vz4</v>
      </c>
      <c r="J519" s="59"/>
      <c r="K519" s="59"/>
      <c r="L519" s="59"/>
      <c r="M519" s="59"/>
      <c r="N519" s="59"/>
      <c r="O519" s="59"/>
      <c r="P519" s="59"/>
    </row>
    <row r="520" spans="1:16">
      <c r="A520" s="71">
        <f ca="1">IFERROR(__xludf.DUMMYFUNCTION("""COMPUTED_VALUE"""),45105.7121630671)</f>
        <v>45105.712163067103</v>
      </c>
      <c r="B520" s="59" t="str">
        <f ca="1">IFERROR(__xludf.DUMMYFUNCTION("""COMPUTED_VALUE"""),"Bhadaliya Krishil Shaileahbhai")</f>
        <v>Bhadaliya Krishil Shaileahbhai</v>
      </c>
      <c r="C520" s="72" t="str">
        <f ca="1">IFERROR(__xludf.DUMMYFUNCTION("""COMPUTED_VALUE"""),"21SDSCE01005")</f>
        <v>21SDSCE01005</v>
      </c>
      <c r="D520" s="73">
        <f ca="1">IFERROR(__xludf.DUMMYFUNCTION("""COMPUTED_VALUE"""),45100)</f>
        <v>45100</v>
      </c>
      <c r="E520" s="74">
        <f ca="1">IFERROR(__xludf.DUMMYFUNCTION("""COMPUTED_VALUE"""),12500)</f>
        <v>12500</v>
      </c>
      <c r="F520" s="72"/>
      <c r="G520" s="75"/>
      <c r="H520" s="59" t="str">
        <f ca="1">IFERROR(__xludf.DUMMYFUNCTION("""COMPUTED_VALUE"""),"UPDATE")</f>
        <v>UPDATE</v>
      </c>
      <c r="I520" s="76" t="str">
        <f ca="1">IFERROR(__xludf.DUMMYFUNCTION("""COMPUTED_VALUE"""),"https://drive.google.com/open?id=1iHKSCm2BoJFA6XbfNxBDksq1dRCXtX9y")</f>
        <v>https://drive.google.com/open?id=1iHKSCm2BoJFA6XbfNxBDksq1dRCXtX9y</v>
      </c>
      <c r="J520" s="59"/>
      <c r="K520" s="59"/>
      <c r="L520" s="59"/>
      <c r="M520" s="59"/>
      <c r="N520" s="59"/>
      <c r="O520" s="59"/>
      <c r="P520" s="59"/>
    </row>
    <row r="521" spans="1:16">
      <c r="A521" s="71">
        <f ca="1">IFERROR(__xludf.DUMMYFUNCTION("""COMPUTED_VALUE"""),45105.533723993)</f>
        <v>45105.533723993001</v>
      </c>
      <c r="B521" s="59" t="str">
        <f ca="1">IFERROR(__xludf.DUMMYFUNCTION("""COMPUTED_VALUE"""),"Prince khant ")</f>
        <v xml:space="preserve">Prince khant </v>
      </c>
      <c r="C521" s="72" t="str">
        <f ca="1">IFERROR(__xludf.DUMMYFUNCTION("""COMPUTED_VALUE"""),"22SDSCE01160")</f>
        <v>22SDSCE01160</v>
      </c>
      <c r="D521" s="73">
        <f ca="1">IFERROR(__xludf.DUMMYFUNCTION("""COMPUTED_VALUE"""),45105)</f>
        <v>45105</v>
      </c>
      <c r="E521" s="72"/>
      <c r="F521" s="72"/>
      <c r="G521" s="75"/>
      <c r="H521" s="59"/>
      <c r="I521" s="76" t="str">
        <f ca="1">IFERROR(__xludf.DUMMYFUNCTION("""COMPUTED_VALUE"""),"https://drive.google.com/open?id=1aqVpj2ONnlqDeToE9lwGDY_M4Sacp1Er")</f>
        <v>https://drive.google.com/open?id=1aqVpj2ONnlqDeToE9lwGDY_M4Sacp1Er</v>
      </c>
      <c r="J521" s="59"/>
      <c r="K521" s="59"/>
      <c r="L521" s="59"/>
      <c r="M521" s="59"/>
      <c r="N521" s="59"/>
      <c r="O521" s="59"/>
      <c r="P521" s="59"/>
    </row>
    <row r="522" spans="1:16">
      <c r="A522" s="71">
        <f ca="1">IFERROR(__xludf.DUMMYFUNCTION("""COMPUTED_VALUE"""),45105.5060171875)</f>
        <v>45105.506017187501</v>
      </c>
      <c r="B522" s="59" t="str">
        <f ca="1">IFERROR(__xludf.DUMMYFUNCTION("""COMPUTED_VALUE"""),"Dolar purvas laljibhai ")</f>
        <v xml:space="preserve">Dolar purvas laljibhai </v>
      </c>
      <c r="C522" s="72" t="str">
        <f ca="1">IFERROR(__xludf.DUMMYFUNCTION("""COMPUTED_VALUE"""),"22SDSCE01147")</f>
        <v>22SDSCE01147</v>
      </c>
      <c r="D522" s="73">
        <f ca="1">IFERROR(__xludf.DUMMYFUNCTION("""COMPUTED_VALUE"""),45104)</f>
        <v>45104</v>
      </c>
      <c r="E522" s="72"/>
      <c r="F522" s="72"/>
      <c r="G522" s="75"/>
      <c r="H522" s="59" t="str">
        <f ca="1">IFERROR(__xludf.DUMMYFUNCTION("""COMPUTED_VALUE"""),"UPDATE")</f>
        <v>UPDATE</v>
      </c>
      <c r="I522" s="76" t="str">
        <f ca="1">IFERROR(__xludf.DUMMYFUNCTION("""COMPUTED_VALUE"""),"https://drive.google.com/open?id=1uxyaKq6LAqo6-mqAZsavtRqI-f-6G6Rg")</f>
        <v>https://drive.google.com/open?id=1uxyaKq6LAqo6-mqAZsavtRqI-f-6G6Rg</v>
      </c>
      <c r="J522" s="59"/>
      <c r="K522" s="59"/>
      <c r="L522" s="59"/>
      <c r="M522" s="59"/>
      <c r="N522" s="59"/>
      <c r="O522" s="59"/>
      <c r="P522" s="59"/>
    </row>
    <row r="523" spans="1:16">
      <c r="A523" s="71">
        <f ca="1">IFERROR(__xludf.DUMMYFUNCTION("""COMPUTED_VALUE"""),45105.5021975231)</f>
        <v>45105.502197523099</v>
      </c>
      <c r="B523" s="59" t="str">
        <f ca="1">IFERROR(__xludf.DUMMYFUNCTION("""COMPUTED_VALUE"""),"Dolar priyesh Laljibhai ")</f>
        <v xml:space="preserve">Dolar priyesh Laljibhai </v>
      </c>
      <c r="C523" s="72" t="str">
        <f ca="1">IFERROR(__xludf.DUMMYFUNCTION("""COMPUTED_VALUE"""),"22SDSCE01146")</f>
        <v>22SDSCE01146</v>
      </c>
      <c r="D523" s="73">
        <f ca="1">IFERROR(__xludf.DUMMYFUNCTION("""COMPUTED_VALUE"""),45104)</f>
        <v>45104</v>
      </c>
      <c r="E523" s="72"/>
      <c r="F523" s="72"/>
      <c r="G523" s="75"/>
      <c r="H523" s="59" t="str">
        <f ca="1">IFERROR(__xludf.DUMMYFUNCTION("""COMPUTED_VALUE"""),"UPDATE")</f>
        <v>UPDATE</v>
      </c>
      <c r="I523" s="76" t="str">
        <f ca="1">IFERROR(__xludf.DUMMYFUNCTION("""COMPUTED_VALUE"""),"https://drive.google.com/open?id=1_g9MgMpnfvoin-SdCAcWQsbzWrS92rAD")</f>
        <v>https://drive.google.com/open?id=1_g9MgMpnfvoin-SdCAcWQsbzWrS92rAD</v>
      </c>
      <c r="J523" s="59"/>
      <c r="K523" s="59"/>
      <c r="L523" s="59"/>
      <c r="M523" s="59"/>
      <c r="N523" s="59"/>
      <c r="O523" s="59"/>
      <c r="P523" s="59"/>
    </row>
    <row r="524" spans="1:16">
      <c r="A524" s="71">
        <f ca="1">IFERROR(__xludf.DUMMYFUNCTION("""COMPUTED_VALUE"""),45105.4414514351)</f>
        <v>45105.441451435101</v>
      </c>
      <c r="B524" s="59" t="str">
        <f ca="1">IFERROR(__xludf.DUMMYFUNCTION("""COMPUTED_VALUE"""),"Mavani jit Arvindbhai ")</f>
        <v xml:space="preserve">Mavani jit Arvindbhai </v>
      </c>
      <c r="C524" s="72" t="str">
        <f ca="1">IFERROR(__xludf.DUMMYFUNCTION("""COMPUTED_VALUE"""),"22SDSCE01172")</f>
        <v>22SDSCE01172</v>
      </c>
      <c r="D524" s="73">
        <f ca="1">IFERROR(__xludf.DUMMYFUNCTION("""COMPUTED_VALUE"""),45104)</f>
        <v>45104</v>
      </c>
      <c r="E524" s="72"/>
      <c r="F524" s="72"/>
      <c r="G524" s="75"/>
      <c r="H524" s="59" t="str">
        <f ca="1">IFERROR(__xludf.DUMMYFUNCTION("""COMPUTED_VALUE"""),"UPDATE")</f>
        <v>UPDATE</v>
      </c>
      <c r="I524" s="76" t="str">
        <f ca="1">IFERROR(__xludf.DUMMYFUNCTION("""COMPUTED_VALUE"""),"https://drive.google.com/open?id=1Eo0PDgbXVT2w_7ayvoYOYQ0-1EkTAlKj")</f>
        <v>https://drive.google.com/open?id=1Eo0PDgbXVT2w_7ayvoYOYQ0-1EkTAlKj</v>
      </c>
      <c r="J524" s="59"/>
      <c r="K524" s="59"/>
      <c r="L524" s="59"/>
      <c r="M524" s="59"/>
      <c r="N524" s="59"/>
      <c r="O524" s="59"/>
      <c r="P524" s="59"/>
    </row>
    <row r="525" spans="1:16">
      <c r="A525" s="71">
        <f ca="1">IFERROR(__xludf.DUMMYFUNCTION("""COMPUTED_VALUE"""),45104.833783449)</f>
        <v>45104.833783449001</v>
      </c>
      <c r="B525" s="59" t="str">
        <f ca="1">IFERROR(__xludf.DUMMYFUNCTION("""COMPUTED_VALUE"""),"Dolar priyesh Laljibhai ")</f>
        <v xml:space="preserve">Dolar priyesh Laljibhai </v>
      </c>
      <c r="C525" s="72" t="str">
        <f ca="1">IFERROR(__xludf.DUMMYFUNCTION("""COMPUTED_VALUE"""),"22SDSCE01146")</f>
        <v>22SDSCE01146</v>
      </c>
      <c r="D525" s="73">
        <f ca="1">IFERROR(__xludf.DUMMYFUNCTION("""COMPUTED_VALUE"""),45104)</f>
        <v>45104</v>
      </c>
      <c r="E525" s="72"/>
      <c r="F525" s="72"/>
      <c r="G525" s="75"/>
      <c r="H525" s="59" t="str">
        <f ca="1">IFERROR(__xludf.DUMMYFUNCTION("""COMPUTED_VALUE"""),"UPDATED")</f>
        <v>UPDATED</v>
      </c>
      <c r="I525" s="76" t="str">
        <f ca="1">IFERROR(__xludf.DUMMYFUNCTION("""COMPUTED_VALUE"""),"https://drive.google.com/open?id=18jd23JZEleHQCBt4kyzKeNJEk5vjgsw9")</f>
        <v>https://drive.google.com/open?id=18jd23JZEleHQCBt4kyzKeNJEk5vjgsw9</v>
      </c>
      <c r="J525" s="59"/>
      <c r="K525" s="59"/>
      <c r="L525" s="59"/>
      <c r="M525" s="59"/>
      <c r="N525" s="59"/>
      <c r="O525" s="59"/>
      <c r="P525" s="59"/>
    </row>
    <row r="526" spans="1:16">
      <c r="A526" s="71">
        <f ca="1">IFERROR(__xludf.DUMMYFUNCTION("""COMPUTED_VALUE"""),45104.83185728)</f>
        <v>45104.831857279998</v>
      </c>
      <c r="B526" s="59" t="str">
        <f ca="1">IFERROR(__xludf.DUMMYFUNCTION("""COMPUTED_VALUE"""),"Dolar purvas laljibhai ")</f>
        <v xml:space="preserve">Dolar purvas laljibhai </v>
      </c>
      <c r="C526" s="72" t="str">
        <f ca="1">IFERROR(__xludf.DUMMYFUNCTION("""COMPUTED_VALUE"""),"22SDSCE01147")</f>
        <v>22SDSCE01147</v>
      </c>
      <c r="D526" s="73">
        <f ca="1">IFERROR(__xludf.DUMMYFUNCTION("""COMPUTED_VALUE"""),45104)</f>
        <v>45104</v>
      </c>
      <c r="E526" s="72"/>
      <c r="F526" s="72"/>
      <c r="G526" s="75"/>
      <c r="H526" s="59" t="str">
        <f ca="1">IFERROR(__xludf.DUMMYFUNCTION("""COMPUTED_VALUE"""),"UPDATED")</f>
        <v>UPDATED</v>
      </c>
      <c r="I526" s="76" t="str">
        <f ca="1">IFERROR(__xludf.DUMMYFUNCTION("""COMPUTED_VALUE"""),"https://drive.google.com/open?id=1kU1UxKIS8gEcjzk2PxTyYLUcr811PPES")</f>
        <v>https://drive.google.com/open?id=1kU1UxKIS8gEcjzk2PxTyYLUcr811PPES</v>
      </c>
      <c r="J526" s="59"/>
      <c r="K526" s="59"/>
      <c r="L526" s="59"/>
      <c r="M526" s="59"/>
      <c r="N526" s="59"/>
      <c r="O526" s="59"/>
      <c r="P526" s="59"/>
    </row>
    <row r="527" spans="1:16">
      <c r="A527" s="71">
        <f ca="1">IFERROR(__xludf.DUMMYFUNCTION("""COMPUTED_VALUE"""),45104.6811477199)</f>
        <v>45104.681147719901</v>
      </c>
      <c r="B527" s="59" t="str">
        <f ca="1">IFERROR(__xludf.DUMMYFUNCTION("""COMPUTED_VALUE"""),"Makwana Vivek MadhuBhai ")</f>
        <v xml:space="preserve">Makwana Vivek MadhuBhai </v>
      </c>
      <c r="C527" s="72" t="str">
        <f ca="1">IFERROR(__xludf.DUMMYFUNCTION("""COMPUTED_VALUE"""),"22SDSCE01170")</f>
        <v>22SDSCE01170</v>
      </c>
      <c r="D527" s="73">
        <f ca="1">IFERROR(__xludf.DUMMYFUNCTION("""COMPUTED_VALUE"""),45104)</f>
        <v>45104</v>
      </c>
      <c r="E527" s="72"/>
      <c r="F527" s="72"/>
      <c r="G527" s="75"/>
      <c r="H527" s="59" t="str">
        <f ca="1">IFERROR(__xludf.DUMMYFUNCTION("""COMPUTED_VALUE"""),"UPDATED")</f>
        <v>UPDATED</v>
      </c>
      <c r="I527" s="76" t="str">
        <f ca="1">IFERROR(__xludf.DUMMYFUNCTION("""COMPUTED_VALUE"""),"https://drive.google.com/open?id=12HamEjh3QiHlW-bM-O2pCrLGJlXZtWW4")</f>
        <v>https://drive.google.com/open?id=12HamEjh3QiHlW-bM-O2pCrLGJlXZtWW4</v>
      </c>
      <c r="J527" s="59"/>
      <c r="K527" s="59"/>
      <c r="L527" s="59"/>
      <c r="M527" s="59"/>
      <c r="N527" s="59"/>
      <c r="O527" s="59"/>
      <c r="P527" s="59"/>
    </row>
    <row r="528" spans="1:16">
      <c r="A528" s="71">
        <f ca="1">IFERROR(__xludf.DUMMYFUNCTION("""COMPUTED_VALUE"""),45104.6540891666)</f>
        <v>45104.654089166601</v>
      </c>
      <c r="B528" s="59" t="str">
        <f ca="1">IFERROR(__xludf.DUMMYFUNCTION("""COMPUTED_VALUE"""),"Parmar meet maheshbhai")</f>
        <v>Parmar meet maheshbhai</v>
      </c>
      <c r="C528" s="72" t="str">
        <f ca="1">IFERROR(__xludf.DUMMYFUNCTION("""COMPUTED_VALUE"""),"22SDSCE01180")</f>
        <v>22SDSCE01180</v>
      </c>
      <c r="D528" s="73">
        <f ca="1">IFERROR(__xludf.DUMMYFUNCTION("""COMPUTED_VALUE"""),45104)</f>
        <v>45104</v>
      </c>
      <c r="E528" s="72"/>
      <c r="F528" s="72"/>
      <c r="G528" s="75"/>
      <c r="H528" s="59" t="str">
        <f ca="1">IFERROR(__xludf.DUMMYFUNCTION("""COMPUTED_VALUE"""),"UPDATED")</f>
        <v>UPDATED</v>
      </c>
      <c r="I528" s="76" t="str">
        <f ca="1">IFERROR(__xludf.DUMMYFUNCTION("""COMPUTED_VALUE"""),"https://drive.google.com/open?id=1gh5KAcA0CCC2v4YBSK8dq8Hs5IH6mWw1")</f>
        <v>https://drive.google.com/open?id=1gh5KAcA0CCC2v4YBSK8dq8Hs5IH6mWw1</v>
      </c>
      <c r="J528" s="59"/>
      <c r="K528" s="59"/>
      <c r="L528" s="59"/>
      <c r="M528" s="59"/>
      <c r="N528" s="59"/>
      <c r="O528" s="59"/>
      <c r="P528" s="59"/>
    </row>
    <row r="529" spans="1:16">
      <c r="A529" s="71">
        <f ca="1">IFERROR(__xludf.DUMMYFUNCTION("""COMPUTED_VALUE"""),45104.5351604861)</f>
        <v>45104.535160486099</v>
      </c>
      <c r="B529" s="59" t="str">
        <f ca="1">IFERROR(__xludf.DUMMYFUNCTION("""COMPUTED_VALUE"""),"Deep kundaliya ")</f>
        <v xml:space="preserve">Deep kundaliya </v>
      </c>
      <c r="C529" s="72" t="str">
        <f ca="1">IFERROR(__xludf.DUMMYFUNCTION("""COMPUTED_VALUE"""),"22SDSCE01164")</f>
        <v>22SDSCE01164</v>
      </c>
      <c r="D529" s="73">
        <f ca="1">IFERROR(__xludf.DUMMYFUNCTION("""COMPUTED_VALUE"""),45104)</f>
        <v>45104</v>
      </c>
      <c r="E529" s="72"/>
      <c r="F529" s="72"/>
      <c r="G529" s="75"/>
      <c r="H529" s="59" t="str">
        <f ca="1">IFERROR(__xludf.DUMMYFUNCTION("""COMPUTED_VALUE"""),"UPDATED")</f>
        <v>UPDATED</v>
      </c>
      <c r="I529" s="76" t="str">
        <f ca="1">IFERROR(__xludf.DUMMYFUNCTION("""COMPUTED_VALUE"""),"https://drive.google.com/open?id=1UEDouzVfUvj7nLQ1gCNefZYEeMcFbCz3")</f>
        <v>https://drive.google.com/open?id=1UEDouzVfUvj7nLQ1gCNefZYEeMcFbCz3</v>
      </c>
      <c r="J529" s="59"/>
      <c r="K529" s="59"/>
      <c r="L529" s="59"/>
      <c r="M529" s="59"/>
      <c r="N529" s="59"/>
      <c r="O529" s="59"/>
      <c r="P529" s="59"/>
    </row>
    <row r="530" spans="1:16">
      <c r="A530" s="71">
        <f ca="1">IFERROR(__xludf.DUMMYFUNCTION("""COMPUTED_VALUE"""),45103.8774146411)</f>
        <v>45103.877414641101</v>
      </c>
      <c r="B530" s="59" t="str">
        <f ca="1">IFERROR(__xludf.DUMMYFUNCTION("""COMPUTED_VALUE"""),"Dobariya nandani")</f>
        <v>Dobariya nandani</v>
      </c>
      <c r="C530" s="72" t="str">
        <f ca="1">IFERROR(__xludf.DUMMYFUNCTION("""COMPUTED_VALUE"""),"21SDSCE01068")</f>
        <v>21SDSCE01068</v>
      </c>
      <c r="D530" s="73">
        <f ca="1">IFERROR(__xludf.DUMMYFUNCTION("""COMPUTED_VALUE"""),45103)</f>
        <v>45103</v>
      </c>
      <c r="E530" s="72"/>
      <c r="F530" s="72">
        <f ca="1">IFERROR(__xludf.DUMMYFUNCTION("""COMPUTED_VALUE"""),2500)</f>
        <v>2500</v>
      </c>
      <c r="G530" s="75"/>
      <c r="H530" s="59" t="str">
        <f ca="1">IFERROR(__xludf.DUMMYFUNCTION("""COMPUTED_VALUE"""),"UPDATED")</f>
        <v>UPDATED</v>
      </c>
      <c r="I530" s="76" t="str">
        <f ca="1">IFERROR(__xludf.DUMMYFUNCTION("""COMPUTED_VALUE"""),"https://drive.google.com/open?id=1j8aQbTR2Rmzny2rcN_E2gK4Xh9Nhh-YW")</f>
        <v>https://drive.google.com/open?id=1j8aQbTR2Rmzny2rcN_E2gK4Xh9Nhh-YW</v>
      </c>
      <c r="J530" s="59"/>
      <c r="K530" s="59"/>
      <c r="L530" s="59"/>
      <c r="M530" s="59"/>
      <c r="N530" s="59"/>
      <c r="O530" s="59"/>
      <c r="P530" s="59"/>
    </row>
    <row r="531" spans="1:16">
      <c r="A531" s="71">
        <f ca="1">IFERROR(__xludf.DUMMYFUNCTION("""COMPUTED_VALUE"""),45103.7057152083)</f>
        <v>45103.7057152083</v>
      </c>
      <c r="B531" s="59" t="str">
        <f ca="1">IFERROR(__xludf.DUMMYFUNCTION("""COMPUTED_VALUE"""),"Sanjay Teli ")</f>
        <v xml:space="preserve">Sanjay Teli </v>
      </c>
      <c r="C531" s="72" t="str">
        <f ca="1">IFERROR(__xludf.DUMMYFUNCTION("""COMPUTED_VALUE"""),"21SDSCE01615")</f>
        <v>21SDSCE01615</v>
      </c>
      <c r="D531" s="73">
        <f ca="1">IFERROR(__xludf.DUMMYFUNCTION("""COMPUTED_VALUE"""),45103)</f>
        <v>45103</v>
      </c>
      <c r="E531" s="72"/>
      <c r="F531" s="72"/>
      <c r="G531" s="75"/>
      <c r="H531" s="59" t="str">
        <f ca="1">IFERROR(__xludf.DUMMYFUNCTION("""COMPUTED_VALUE"""),"UPDATED")</f>
        <v>UPDATED</v>
      </c>
      <c r="I531" s="76" t="str">
        <f ca="1">IFERROR(__xludf.DUMMYFUNCTION("""COMPUTED_VALUE"""),"https://drive.google.com/open?id=1DjhqVWEuPy-iHQdz0Ro9NW4nHQxtJ6Lr")</f>
        <v>https://drive.google.com/open?id=1DjhqVWEuPy-iHQdz0Ro9NW4nHQxtJ6Lr</v>
      </c>
      <c r="J531" s="59"/>
      <c r="K531" s="59"/>
      <c r="L531" s="59"/>
      <c r="M531" s="59"/>
      <c r="N531" s="59"/>
      <c r="O531" s="59"/>
      <c r="P531" s="59"/>
    </row>
    <row r="532" spans="1:16">
      <c r="A532" s="71">
        <f ca="1">IFERROR(__xludf.DUMMYFUNCTION("""COMPUTED_VALUE"""),45103.6850472685)</f>
        <v>45103.685047268496</v>
      </c>
      <c r="B532" s="59" t="str">
        <f ca="1">IFERROR(__xludf.DUMMYFUNCTION("""COMPUTED_VALUE"""),"Chavda Nikunj Jagdishbhai ")</f>
        <v xml:space="preserve">Chavda Nikunj Jagdishbhai </v>
      </c>
      <c r="C532" s="72" t="str">
        <f ca="1">IFERROR(__xludf.DUMMYFUNCTION("""COMPUTED_VALUE"""),"22SDSCE01138")</f>
        <v>22SDSCE01138</v>
      </c>
      <c r="D532" s="73">
        <f ca="1">IFERROR(__xludf.DUMMYFUNCTION("""COMPUTED_VALUE"""),45103)</f>
        <v>45103</v>
      </c>
      <c r="E532" s="74">
        <f ca="1">IFERROR(__xludf.DUMMYFUNCTION("""COMPUTED_VALUE"""),0)</f>
        <v>0</v>
      </c>
      <c r="F532" s="72">
        <f ca="1">IFERROR(__xludf.DUMMYFUNCTION("""COMPUTED_VALUE"""),0)</f>
        <v>0</v>
      </c>
      <c r="G532" s="75"/>
      <c r="H532" s="59" t="str">
        <f ca="1">IFERROR(__xludf.DUMMYFUNCTION("""COMPUTED_VALUE"""),"UPDATED")</f>
        <v>UPDATED</v>
      </c>
      <c r="I532" s="76" t="str">
        <f ca="1">IFERROR(__xludf.DUMMYFUNCTION("""COMPUTED_VALUE"""),"https://drive.google.com/open?id=1adJ231sgCCqg79JwQffl-mexdlmh0TXd")</f>
        <v>https://drive.google.com/open?id=1adJ231sgCCqg79JwQffl-mexdlmh0TXd</v>
      </c>
      <c r="J532" s="59"/>
      <c r="K532" s="59"/>
      <c r="L532" s="59"/>
      <c r="M532" s="59"/>
      <c r="N532" s="59"/>
      <c r="O532" s="59"/>
      <c r="P532" s="59"/>
    </row>
    <row r="533" spans="1:16">
      <c r="A533" s="71">
        <f ca="1">IFERROR(__xludf.DUMMYFUNCTION("""COMPUTED_VALUE"""),45103.6623392245)</f>
        <v>45103.662339224502</v>
      </c>
      <c r="B533" s="59" t="str">
        <f ca="1">IFERROR(__xludf.DUMMYFUNCTION("""COMPUTED_VALUE"""),"DREAM PATEL ")</f>
        <v xml:space="preserve">DREAM PATEL </v>
      </c>
      <c r="C533" s="72" t="str">
        <f ca="1">IFERROR(__xludf.DUMMYFUNCTION("""COMPUTED_VALUE"""),"21SDSCE01094")</f>
        <v>21SDSCE01094</v>
      </c>
      <c r="D533" s="73">
        <f ca="1">IFERROR(__xludf.DUMMYFUNCTION("""COMPUTED_VALUE"""),45103)</f>
        <v>45103</v>
      </c>
      <c r="E533" s="72"/>
      <c r="F533" s="72">
        <f ca="1">IFERROR(__xludf.DUMMYFUNCTION("""COMPUTED_VALUE"""),2500)</f>
        <v>2500</v>
      </c>
      <c r="G533" s="75"/>
      <c r="H533" s="59" t="str">
        <f ca="1">IFERROR(__xludf.DUMMYFUNCTION("""COMPUTED_VALUE"""),"UPDATED")</f>
        <v>UPDATED</v>
      </c>
      <c r="I533" s="76" t="str">
        <f ca="1">IFERROR(__xludf.DUMMYFUNCTION("""COMPUTED_VALUE"""),"https://drive.google.com/open?id=1Kk6i4bkGJcQv_DjAlSy3oPOZmVkKhyqU")</f>
        <v>https://drive.google.com/open?id=1Kk6i4bkGJcQv_DjAlSy3oPOZmVkKhyqU</v>
      </c>
      <c r="J533" s="59"/>
      <c r="K533" s="59"/>
      <c r="L533" s="59"/>
      <c r="M533" s="59"/>
      <c r="N533" s="59"/>
      <c r="O533" s="59"/>
      <c r="P533" s="59"/>
    </row>
    <row r="534" spans="1:16">
      <c r="A534" s="71">
        <f ca="1">IFERROR(__xludf.DUMMYFUNCTION("""COMPUTED_VALUE"""),45103.6609969444)</f>
        <v>45103.660996944403</v>
      </c>
      <c r="B534" s="59" t="str">
        <f ca="1">IFERROR(__xludf.DUMMYFUNCTION("""COMPUTED_VALUE"""),"Dream patel ")</f>
        <v xml:space="preserve">Dream patel </v>
      </c>
      <c r="C534" s="72" t="str">
        <f ca="1">IFERROR(__xludf.DUMMYFUNCTION("""COMPUTED_VALUE"""),"21SDSCE01094")</f>
        <v>21SDSCE01094</v>
      </c>
      <c r="D534" s="73">
        <f ca="1">IFERROR(__xludf.DUMMYFUNCTION("""COMPUTED_VALUE"""),45103)</f>
        <v>45103</v>
      </c>
      <c r="E534" s="74">
        <f ca="1">IFERROR(__xludf.DUMMYFUNCTION("""COMPUTED_VALUE"""),2500)</f>
        <v>2500</v>
      </c>
      <c r="F534" s="72"/>
      <c r="G534" s="75"/>
      <c r="H534" s="59" t="str">
        <f ca="1">IFERROR(__xludf.DUMMYFUNCTION("""COMPUTED_VALUE"""),"UPDATED")</f>
        <v>UPDATED</v>
      </c>
      <c r="I534" s="76" t="str">
        <f ca="1">IFERROR(__xludf.DUMMYFUNCTION("""COMPUTED_VALUE"""),"https://drive.google.com/open?id=12RcMxRsWB2IeFlNJ0AgPFJMfpnkAPGWt")</f>
        <v>https://drive.google.com/open?id=12RcMxRsWB2IeFlNJ0AgPFJMfpnkAPGWt</v>
      </c>
      <c r="J534" s="59"/>
      <c r="K534" s="59"/>
      <c r="L534" s="59"/>
      <c r="M534" s="59"/>
      <c r="N534" s="59"/>
      <c r="O534" s="59"/>
      <c r="P534" s="59"/>
    </row>
    <row r="535" spans="1:16">
      <c r="A535" s="71">
        <f ca="1">IFERROR(__xludf.DUMMYFUNCTION("""COMPUTED_VALUE"""),45103.6605905324)</f>
        <v>45103.660590532403</v>
      </c>
      <c r="B535" s="59" t="str">
        <f ca="1">IFERROR(__xludf.DUMMYFUNCTION("""COMPUTED_VALUE"""),"Voar dhruvesh kanjibhai")</f>
        <v>Voar dhruvesh kanjibhai</v>
      </c>
      <c r="C535" s="72" t="str">
        <f ca="1">IFERROR(__xludf.DUMMYFUNCTION("""COMPUTED_VALUE"""),"21SDSCE01111")</f>
        <v>21SDSCE01111</v>
      </c>
      <c r="D535" s="73">
        <f ca="1">IFERROR(__xludf.DUMMYFUNCTION("""COMPUTED_VALUE"""),45103)</f>
        <v>45103</v>
      </c>
      <c r="E535" s="74">
        <f ca="1">IFERROR(__xludf.DUMMYFUNCTION("""COMPUTED_VALUE"""),2500)</f>
        <v>2500</v>
      </c>
      <c r="F535" s="72">
        <f ca="1">IFERROR(__xludf.DUMMYFUNCTION("""COMPUTED_VALUE"""),10000)</f>
        <v>10000</v>
      </c>
      <c r="G535" s="75"/>
      <c r="H535" s="59" t="str">
        <f ca="1">IFERROR(__xludf.DUMMYFUNCTION("""COMPUTED_VALUE"""),"UPDATED")</f>
        <v>UPDATED</v>
      </c>
      <c r="I535" s="76" t="str">
        <f ca="1">IFERROR(__xludf.DUMMYFUNCTION("""COMPUTED_VALUE"""),"https://drive.google.com/open?id=1wHlL2jTpWAn0TUPdx8vVRR6GLcmKz6Tb")</f>
        <v>https://drive.google.com/open?id=1wHlL2jTpWAn0TUPdx8vVRR6GLcmKz6Tb</v>
      </c>
      <c r="J535" s="59"/>
      <c r="K535" s="59"/>
      <c r="L535" s="59"/>
      <c r="M535" s="59"/>
      <c r="N535" s="59"/>
      <c r="O535" s="59"/>
      <c r="P535" s="59"/>
    </row>
    <row r="536" spans="1:16">
      <c r="A536" s="71">
        <f ca="1">IFERROR(__xludf.DUMMYFUNCTION("""COMPUTED_VALUE"""),45103.6518307986)</f>
        <v>45103.651830798597</v>
      </c>
      <c r="B536" s="59" t="str">
        <f ca="1">IFERROR(__xludf.DUMMYFUNCTION("""COMPUTED_VALUE"""),"Dhaduk jeet karshanbhai ")</f>
        <v xml:space="preserve">Dhaduk jeet karshanbhai </v>
      </c>
      <c r="C536" s="72" t="str">
        <f ca="1">IFERROR(__xludf.DUMMYFUNCTION("""COMPUTED_VALUE"""),"22SDSCEO1139")</f>
        <v>22SDSCEO1139</v>
      </c>
      <c r="D536" s="73">
        <f ca="1">IFERROR(__xludf.DUMMYFUNCTION("""COMPUTED_VALUE"""),45103)</f>
        <v>45103</v>
      </c>
      <c r="E536" s="72"/>
      <c r="F536" s="72"/>
      <c r="G536" s="75"/>
      <c r="H536" s="59"/>
      <c r="I536" s="76" t="str">
        <f ca="1">IFERROR(__xludf.DUMMYFUNCTION("""COMPUTED_VALUE"""),"https://drive.google.com/open?id=1qt2fPQB9LHEtB5AlgkKNEuEF9GXXmeG4")</f>
        <v>https://drive.google.com/open?id=1qt2fPQB9LHEtB5AlgkKNEuEF9GXXmeG4</v>
      </c>
      <c r="J536" s="59"/>
      <c r="K536" s="59"/>
      <c r="L536" s="59"/>
      <c r="M536" s="59"/>
      <c r="N536" s="59"/>
      <c r="O536" s="59"/>
      <c r="P536" s="59"/>
    </row>
    <row r="537" spans="1:16">
      <c r="A537" s="71">
        <f ca="1">IFERROR(__xludf.DUMMYFUNCTION("""COMPUTED_VALUE"""),45103.6295722106)</f>
        <v>45103.629572210601</v>
      </c>
      <c r="B537" s="59" t="str">
        <f ca="1">IFERROR(__xludf.DUMMYFUNCTION("""COMPUTED_VALUE"""),"Dobariya yash nileshbhai")</f>
        <v>Dobariya yash nileshbhai</v>
      </c>
      <c r="C537" s="72" t="str">
        <f ca="1">IFERROR(__xludf.DUMMYFUNCTION("""COMPUTED_VALUE"""),"22SDSCE01145")</f>
        <v>22SDSCE01145</v>
      </c>
      <c r="D537" s="73">
        <f ca="1">IFERROR(__xludf.DUMMYFUNCTION("""COMPUTED_VALUE"""),45103)</f>
        <v>45103</v>
      </c>
      <c r="E537" s="72"/>
      <c r="F537" s="72"/>
      <c r="G537" s="75"/>
      <c r="H537" s="59" t="str">
        <f ca="1">IFERROR(__xludf.DUMMYFUNCTION("""COMPUTED_VALUE"""),"UPDATE")</f>
        <v>UPDATE</v>
      </c>
      <c r="I537" s="76" t="str">
        <f ca="1">IFERROR(__xludf.DUMMYFUNCTION("""COMPUTED_VALUE"""),"https://drive.google.com/open?id=1tSJguhC_S8alzI8uKRcrvz2HlmIuuV9h")</f>
        <v>https://drive.google.com/open?id=1tSJguhC_S8alzI8uKRcrvz2HlmIuuV9h</v>
      </c>
      <c r="J537" s="59"/>
      <c r="K537" s="59"/>
      <c r="L537" s="59"/>
      <c r="M537" s="59"/>
      <c r="N537" s="59"/>
      <c r="O537" s="59"/>
      <c r="P537" s="59"/>
    </row>
    <row r="538" spans="1:16">
      <c r="A538" s="71">
        <f ca="1">IFERROR(__xludf.DUMMYFUNCTION("""COMPUTED_VALUE"""),45103.6257865856)</f>
        <v>45103.625786585602</v>
      </c>
      <c r="B538" s="59" t="str">
        <f ca="1">IFERROR(__xludf.DUMMYFUNCTION("""COMPUTED_VALUE"""),"Bhut milap bharatbhai")</f>
        <v>Bhut milap bharatbhai</v>
      </c>
      <c r="C538" s="72" t="str">
        <f ca="1">IFERROR(__xludf.DUMMYFUNCTION("""COMPUTED_VALUE"""),"22SDSCE01135")</f>
        <v>22SDSCE01135</v>
      </c>
      <c r="D538" s="73">
        <f ca="1">IFERROR(__xludf.DUMMYFUNCTION("""COMPUTED_VALUE"""),45103)</f>
        <v>45103</v>
      </c>
      <c r="E538" s="72"/>
      <c r="F538" s="72"/>
      <c r="G538" s="75"/>
      <c r="H538" s="59" t="str">
        <f ca="1">IFERROR(__xludf.DUMMYFUNCTION("""COMPUTED_VALUE"""),"UPDATE")</f>
        <v>UPDATE</v>
      </c>
      <c r="I538" s="76" t="str">
        <f ca="1">IFERROR(__xludf.DUMMYFUNCTION("""COMPUTED_VALUE"""),"https://drive.google.com/open?id=1Diab-cyEceryeG5iDFQdJuHZjZ9v3zrT")</f>
        <v>https://drive.google.com/open?id=1Diab-cyEceryeG5iDFQdJuHZjZ9v3zrT</v>
      </c>
      <c r="J538" s="59"/>
      <c r="K538" s="59"/>
      <c r="L538" s="59"/>
      <c r="M538" s="59"/>
      <c r="N538" s="59"/>
      <c r="O538" s="59"/>
      <c r="P538" s="59"/>
    </row>
    <row r="539" spans="1:16">
      <c r="A539" s="71">
        <f ca="1">IFERROR(__xludf.DUMMYFUNCTION("""COMPUTED_VALUE"""),45103.6249903588)</f>
        <v>45103.624990358803</v>
      </c>
      <c r="B539" s="59" t="str">
        <f ca="1">IFERROR(__xludf.DUMMYFUNCTION("""COMPUTED_VALUE"""),"Jasani krisha")</f>
        <v>Jasani krisha</v>
      </c>
      <c r="C539" s="72" t="str">
        <f ca="1">IFERROR(__xludf.DUMMYFUNCTION("""COMPUTED_VALUE"""),"22SDSCE11053")</f>
        <v>22SDSCE11053</v>
      </c>
      <c r="D539" s="73">
        <f ca="1">IFERROR(__xludf.DUMMYFUNCTION("""COMPUTED_VALUE"""),45103)</f>
        <v>45103</v>
      </c>
      <c r="E539" s="72"/>
      <c r="F539" s="72"/>
      <c r="G539" s="75"/>
      <c r="H539" s="59" t="str">
        <f ca="1">IFERROR(__xludf.DUMMYFUNCTION("""COMPUTED_VALUE"""),"UPDATE")</f>
        <v>UPDATE</v>
      </c>
      <c r="I539" s="76" t="str">
        <f ca="1">IFERROR(__xludf.DUMMYFUNCTION("""COMPUTED_VALUE"""),"https://drive.google.com/open?id=1tnYVaqZD3tlK8bkKcISU0hssUXM95oxb")</f>
        <v>https://drive.google.com/open?id=1tnYVaqZD3tlK8bkKcISU0hssUXM95oxb</v>
      </c>
      <c r="J539" s="59"/>
      <c r="K539" s="59"/>
      <c r="L539" s="59"/>
      <c r="M539" s="59"/>
      <c r="N539" s="59"/>
      <c r="O539" s="59"/>
      <c r="P539" s="59"/>
    </row>
    <row r="540" spans="1:16">
      <c r="A540" s="71">
        <f ca="1">IFERROR(__xludf.DUMMYFUNCTION("""COMPUTED_VALUE"""),45103.6088543518)</f>
        <v>45103.608854351798</v>
      </c>
      <c r="B540" s="59" t="str">
        <f ca="1">IFERROR(__xludf.DUMMYFUNCTION("""COMPUTED_VALUE"""),"CHAUHAN CHIRAG ASHOKBHAI")</f>
        <v>CHAUHAN CHIRAG ASHOKBHAI</v>
      </c>
      <c r="C540" s="72" t="str">
        <f ca="1">IFERROR(__xludf.DUMMYFUNCTION("""COMPUTED_VALUE"""),"21SDSME01007")</f>
        <v>21SDSME01007</v>
      </c>
      <c r="D540" s="73">
        <f ca="1">IFERROR(__xludf.DUMMYFUNCTION("""COMPUTED_VALUE"""),45103)</f>
        <v>45103</v>
      </c>
      <c r="E540" s="74">
        <f ca="1">IFERROR(__xludf.DUMMYFUNCTION("""COMPUTED_VALUE"""),12500)</f>
        <v>12500</v>
      </c>
      <c r="F540" s="72">
        <f ca="1">IFERROR(__xludf.DUMMYFUNCTION("""COMPUTED_VALUE"""),2500)</f>
        <v>2500</v>
      </c>
      <c r="G540" s="75"/>
      <c r="H540" s="59" t="str">
        <f ca="1">IFERROR(__xludf.DUMMYFUNCTION("""COMPUTED_VALUE"""),"UPDATE")</f>
        <v>UPDATE</v>
      </c>
      <c r="I540" s="76" t="str">
        <f ca="1">IFERROR(__xludf.DUMMYFUNCTION("""COMPUTED_VALUE"""),"https://drive.google.com/open?id=1lsntWpeXGte5DWKeO7uEcLyhqjNvMFSM")</f>
        <v>https://drive.google.com/open?id=1lsntWpeXGte5DWKeO7uEcLyhqjNvMFSM</v>
      </c>
      <c r="J540" s="59"/>
      <c r="K540" s="59"/>
      <c r="L540" s="59"/>
      <c r="M540" s="59"/>
      <c r="N540" s="59"/>
      <c r="O540" s="59"/>
      <c r="P540" s="59"/>
    </row>
    <row r="541" spans="1:16">
      <c r="A541" s="71">
        <f ca="1">IFERROR(__xludf.DUMMYFUNCTION("""COMPUTED_VALUE"""),45103.603004375)</f>
        <v>45103.603004375</v>
      </c>
      <c r="B541" s="59" t="str">
        <f ca="1">IFERROR(__xludf.DUMMYFUNCTION("""COMPUTED_VALUE"""),"Jenish Panakjbhai Zinzuvadiya ")</f>
        <v xml:space="preserve">Jenish Panakjbhai Zinzuvadiya </v>
      </c>
      <c r="C541" s="72" t="str">
        <f ca="1">IFERROR(__xludf.DUMMYFUNCTION("""COMPUTED_VALUE"""),"21SDSCE01022")</f>
        <v>21SDSCE01022</v>
      </c>
      <c r="D541" s="73">
        <f ca="1">IFERROR(__xludf.DUMMYFUNCTION("""COMPUTED_VALUE"""),45103)</f>
        <v>45103</v>
      </c>
      <c r="E541" s="74">
        <f ca="1">IFERROR(__xludf.DUMMYFUNCTION("""COMPUTED_VALUE"""),25000)</f>
        <v>25000</v>
      </c>
      <c r="F541" s="72">
        <f ca="1">IFERROR(__xludf.DUMMYFUNCTION("""COMPUTED_VALUE"""),2500)</f>
        <v>2500</v>
      </c>
      <c r="G541" s="75"/>
      <c r="H541" s="59" t="str">
        <f ca="1">IFERROR(__xludf.DUMMYFUNCTION("""COMPUTED_VALUE"""),"UPDATE")</f>
        <v>UPDATE</v>
      </c>
      <c r="I541" s="76" t="str">
        <f ca="1">IFERROR(__xludf.DUMMYFUNCTION("""COMPUTED_VALUE"""),"https://drive.google.com/open?id=1BGUpU53yOcuAHq-P-6zps64ZmyfY2dyO")</f>
        <v>https://drive.google.com/open?id=1BGUpU53yOcuAHq-P-6zps64ZmyfY2dyO</v>
      </c>
      <c r="J541" s="59"/>
      <c r="K541" s="59"/>
      <c r="L541" s="59"/>
      <c r="M541" s="59"/>
      <c r="N541" s="59"/>
      <c r="O541" s="59"/>
      <c r="P541" s="59"/>
    </row>
    <row r="542" spans="1:16">
      <c r="A542" s="71">
        <f ca="1">IFERROR(__xludf.DUMMYFUNCTION("""COMPUTED_VALUE"""),45103.5626180671)</f>
        <v>45103.562618067102</v>
      </c>
      <c r="B542" s="59" t="str">
        <f ca="1">IFERROR(__xludf.DUMMYFUNCTION("""COMPUTED_VALUE"""),"Kandarp vyas ")</f>
        <v xml:space="preserve">Kandarp vyas </v>
      </c>
      <c r="C542" s="72" t="str">
        <f ca="1">IFERROR(__xludf.DUMMYFUNCTION("""COMPUTED_VALUE"""),"21sdsce01054")</f>
        <v>21sdsce01054</v>
      </c>
      <c r="D542" s="73">
        <f ca="1">IFERROR(__xludf.DUMMYFUNCTION("""COMPUTED_VALUE"""),45099)</f>
        <v>45099</v>
      </c>
      <c r="E542" s="74">
        <f ca="1">IFERROR(__xludf.DUMMYFUNCTION("""COMPUTED_VALUE"""),25000)</f>
        <v>25000</v>
      </c>
      <c r="F542" s="72"/>
      <c r="G542" s="75"/>
      <c r="H542" s="59" t="str">
        <f ca="1">IFERROR(__xludf.DUMMYFUNCTION("""COMPUTED_VALUE"""),"UPDATE")</f>
        <v>UPDATE</v>
      </c>
      <c r="I542" s="76" t="str">
        <f ca="1">IFERROR(__xludf.DUMMYFUNCTION("""COMPUTED_VALUE"""),"https://drive.google.com/open?id=1f_P6B4yx5jmxPUiDP_lcjJUyRYih6L4_")</f>
        <v>https://drive.google.com/open?id=1f_P6B4yx5jmxPUiDP_lcjJUyRYih6L4_</v>
      </c>
      <c r="J542" s="59"/>
      <c r="K542" s="59"/>
      <c r="L542" s="59"/>
      <c r="M542" s="59"/>
      <c r="N542" s="59"/>
      <c r="O542" s="59"/>
      <c r="P542" s="59"/>
    </row>
    <row r="543" spans="1:16">
      <c r="A543" s="71">
        <f ca="1">IFERROR(__xludf.DUMMYFUNCTION("""COMPUTED_VALUE"""),45103.4987371759)</f>
        <v>45103.498737175898</v>
      </c>
      <c r="B543" s="59" t="str">
        <f ca="1">IFERROR(__xludf.DUMMYFUNCTION("""COMPUTED_VALUE"""),"Dhinoja Nevil Hitenbhai ")</f>
        <v xml:space="preserve">Dhinoja Nevil Hitenbhai </v>
      </c>
      <c r="C543" s="72" t="str">
        <f ca="1">IFERROR(__xludf.DUMMYFUNCTION("""COMPUTED_VALUE"""),"21SDSCE01015")</f>
        <v>21SDSCE01015</v>
      </c>
      <c r="D543" s="73">
        <f ca="1">IFERROR(__xludf.DUMMYFUNCTION("""COMPUTED_VALUE"""),45103)</f>
        <v>45103</v>
      </c>
      <c r="E543" s="74">
        <f ca="1">IFERROR(__xludf.DUMMYFUNCTION("""COMPUTED_VALUE"""),12500)</f>
        <v>12500</v>
      </c>
      <c r="F543" s="72">
        <f ca="1">IFERROR(__xludf.DUMMYFUNCTION("""COMPUTED_VALUE"""),2500)</f>
        <v>2500</v>
      </c>
      <c r="G543" s="75"/>
      <c r="H543" s="59" t="str">
        <f ca="1">IFERROR(__xludf.DUMMYFUNCTION("""COMPUTED_VALUE"""),"UPDATE")</f>
        <v>UPDATE</v>
      </c>
      <c r="I543" s="76" t="str">
        <f ca="1">IFERROR(__xludf.DUMMYFUNCTION("""COMPUTED_VALUE"""),"https://drive.google.com/open?id=1BCotA_aWCCXR6XCPgxRnDIsE3SmcOHT1")</f>
        <v>https://drive.google.com/open?id=1BCotA_aWCCXR6XCPgxRnDIsE3SmcOHT1</v>
      </c>
      <c r="J543" s="59"/>
      <c r="K543" s="59"/>
      <c r="L543" s="59"/>
      <c r="M543" s="59"/>
      <c r="N543" s="59"/>
      <c r="O543" s="59"/>
      <c r="P543" s="59"/>
    </row>
    <row r="544" spans="1:16">
      <c r="A544" s="71">
        <f ca="1">IFERROR(__xludf.DUMMYFUNCTION("""COMPUTED_VALUE"""),45102.8130229861)</f>
        <v>45102.813022986098</v>
      </c>
      <c r="B544" s="59" t="str">
        <f ca="1">IFERROR(__xludf.DUMMYFUNCTION("""COMPUTED_VALUE"""),"Ravaliya Tushar Maheshbhai")</f>
        <v>Ravaliya Tushar Maheshbhai</v>
      </c>
      <c r="C544" s="72" t="str">
        <f ca="1">IFERROR(__xludf.DUMMYFUNCTION("""COMPUTED_VALUE"""),"21SDSCE01101")</f>
        <v>21SDSCE01101</v>
      </c>
      <c r="D544" s="73">
        <f ca="1">IFERROR(__xludf.DUMMYFUNCTION("""COMPUTED_VALUE"""),45102)</f>
        <v>45102</v>
      </c>
      <c r="E544" s="74">
        <f ca="1">IFERROR(__xludf.DUMMYFUNCTION("""COMPUTED_VALUE"""),25000)</f>
        <v>25000</v>
      </c>
      <c r="F544" s="72">
        <f ca="1">IFERROR(__xludf.DUMMYFUNCTION("""COMPUTED_VALUE"""),2500)</f>
        <v>2500</v>
      </c>
      <c r="G544" s="75"/>
      <c r="H544" s="59" t="str">
        <f ca="1">IFERROR(__xludf.DUMMYFUNCTION("""COMPUTED_VALUE"""),"UPDATE")</f>
        <v>UPDATE</v>
      </c>
      <c r="I544" s="76" t="str">
        <f ca="1">IFERROR(__xludf.DUMMYFUNCTION("""COMPUTED_VALUE"""),"https://drive.google.com/open?id=1mZZBJJs2xDoLfluV9qLU6Tm2KxfzmSMt")</f>
        <v>https://drive.google.com/open?id=1mZZBJJs2xDoLfluV9qLU6Tm2KxfzmSMt</v>
      </c>
      <c r="J544" s="59"/>
      <c r="K544" s="59"/>
      <c r="L544" s="59"/>
      <c r="M544" s="59"/>
      <c r="N544" s="59"/>
      <c r="O544" s="59"/>
      <c r="P544" s="59"/>
    </row>
    <row r="545" spans="1:16">
      <c r="A545" s="71">
        <f ca="1">IFERROR(__xludf.DUMMYFUNCTION("""COMPUTED_VALUE"""),45101.6548807407)</f>
        <v>45101.654880740702</v>
      </c>
      <c r="B545" s="59" t="str">
        <f ca="1">IFERROR(__xludf.DUMMYFUNCTION("""COMPUTED_VALUE"""),"Sidapara yashvi Sanjay Bhai ")</f>
        <v xml:space="preserve">Sidapara yashvi Sanjay Bhai </v>
      </c>
      <c r="C545" s="72" t="str">
        <f ca="1">IFERROR(__xludf.DUMMYFUNCTION("""COMPUTED_VALUE"""),"21sdsce01149")</f>
        <v>21sdsce01149</v>
      </c>
      <c r="D545" s="73">
        <f ca="1">IFERROR(__xludf.DUMMYFUNCTION("""COMPUTED_VALUE"""),45101)</f>
        <v>45101</v>
      </c>
      <c r="E545" s="74">
        <f ca="1">IFERROR(__xludf.DUMMYFUNCTION("""COMPUTED_VALUE"""),25000)</f>
        <v>25000</v>
      </c>
      <c r="F545" s="72">
        <f ca="1">IFERROR(__xludf.DUMMYFUNCTION("""COMPUTED_VALUE"""),0)</f>
        <v>0</v>
      </c>
      <c r="G545" s="75"/>
      <c r="H545" s="59"/>
      <c r="I545" s="76" t="str">
        <f ca="1">IFERROR(__xludf.DUMMYFUNCTION("""COMPUTED_VALUE"""),"https://drive.google.com/open?id=1PMUcQ9pXHgj1ZVhJB5rfpfQzvUCVQszH")</f>
        <v>https://drive.google.com/open?id=1PMUcQ9pXHgj1ZVhJB5rfpfQzvUCVQszH</v>
      </c>
      <c r="J545" s="59"/>
      <c r="K545" s="59"/>
      <c r="L545" s="59"/>
      <c r="M545" s="59"/>
      <c r="N545" s="59"/>
      <c r="O545" s="59"/>
      <c r="P545" s="59"/>
    </row>
    <row r="546" spans="1:16">
      <c r="A546" s="71">
        <f ca="1">IFERROR(__xludf.DUMMYFUNCTION("""COMPUTED_VALUE"""),45101.6440959375)</f>
        <v>45101.644095937503</v>
      </c>
      <c r="B546" s="59" t="str">
        <f ca="1">IFERROR(__xludf.DUMMYFUNCTION("""COMPUTED_VALUE"""),"Sidapara yashvi Sanjay Bhai ")</f>
        <v xml:space="preserve">Sidapara yashvi Sanjay Bhai </v>
      </c>
      <c r="C546" s="72" t="str">
        <f ca="1">IFERROR(__xludf.DUMMYFUNCTION("""COMPUTED_VALUE"""),"21sdsce01149")</f>
        <v>21sdsce01149</v>
      </c>
      <c r="D546" s="73">
        <f ca="1">IFERROR(__xludf.DUMMYFUNCTION("""COMPUTED_VALUE"""),45101)</f>
        <v>45101</v>
      </c>
      <c r="E546" s="74">
        <f ca="1">IFERROR(__xludf.DUMMYFUNCTION("""COMPUTED_VALUE"""),12500)</f>
        <v>12500</v>
      </c>
      <c r="F546" s="72">
        <f ca="1">IFERROR(__xludf.DUMMYFUNCTION("""COMPUTED_VALUE"""),0)</f>
        <v>0</v>
      </c>
      <c r="G546" s="75"/>
      <c r="H546" s="59" t="str">
        <f ca="1">IFERROR(__xludf.DUMMYFUNCTION("""COMPUTED_VALUE"""),"UPDATE")</f>
        <v>UPDATE</v>
      </c>
      <c r="I546" s="76" t="str">
        <f ca="1">IFERROR(__xludf.DUMMYFUNCTION("""COMPUTED_VALUE"""),"https://drive.google.com/open?id=1gDOM8fZQkPsuAa-olgE8zJeFZBfuwVT3")</f>
        <v>https://drive.google.com/open?id=1gDOM8fZQkPsuAa-olgE8zJeFZBfuwVT3</v>
      </c>
      <c r="J546" s="59"/>
      <c r="K546" s="59"/>
      <c r="L546" s="59"/>
      <c r="M546" s="59"/>
      <c r="N546" s="59"/>
      <c r="O546" s="59"/>
      <c r="P546" s="59"/>
    </row>
    <row r="547" spans="1:16">
      <c r="A547" s="71">
        <f ca="1">IFERROR(__xludf.DUMMYFUNCTION("""COMPUTED_VALUE"""),45101.5594179166)</f>
        <v>45101.5594179166</v>
      </c>
      <c r="B547" s="59" t="str">
        <f ca="1">IFERROR(__xludf.DUMMYFUNCTION("""COMPUTED_VALUE"""),"Dip vadher ")</f>
        <v xml:space="preserve">Dip vadher </v>
      </c>
      <c r="C547" s="72" t="str">
        <f ca="1">IFERROR(__xludf.DUMMYFUNCTION("""COMPUTED_VALUE"""),"20sdsce01125")</f>
        <v>20sdsce01125</v>
      </c>
      <c r="D547" s="73">
        <f ca="1">IFERROR(__xludf.DUMMYFUNCTION("""COMPUTED_VALUE"""),45071)</f>
        <v>45071</v>
      </c>
      <c r="E547" s="74">
        <f ca="1">IFERROR(__xludf.DUMMYFUNCTION("""COMPUTED_VALUE"""),28000)</f>
        <v>28000</v>
      </c>
      <c r="F547" s="72"/>
      <c r="G547" s="75"/>
      <c r="H547" s="59" t="str">
        <f ca="1">IFERROR(__xludf.DUMMYFUNCTION("""COMPUTED_VALUE"""),"UPDATE")</f>
        <v>UPDATE</v>
      </c>
      <c r="I547" s="76" t="str">
        <f ca="1">IFERROR(__xludf.DUMMYFUNCTION("""COMPUTED_VALUE"""),"https://drive.google.com/open?id=1JWqtX00vqVjwfviULajMe5z-5jduFeUS")</f>
        <v>https://drive.google.com/open?id=1JWqtX00vqVjwfviULajMe5z-5jduFeUS</v>
      </c>
      <c r="J547" s="59"/>
      <c r="K547" s="59"/>
      <c r="L547" s="59"/>
      <c r="M547" s="59"/>
      <c r="N547" s="59"/>
      <c r="O547" s="59"/>
      <c r="P547" s="59"/>
    </row>
    <row r="548" spans="1:16">
      <c r="A548" s="71">
        <f ca="1">IFERROR(__xludf.DUMMYFUNCTION("""COMPUTED_VALUE"""),45101.5268876504)</f>
        <v>45101.526887650398</v>
      </c>
      <c r="B548" s="59" t="str">
        <f ca="1">IFERROR(__xludf.DUMMYFUNCTION("""COMPUTED_VALUE"""),"Shruti Lakhani")</f>
        <v>Shruti Lakhani</v>
      </c>
      <c r="C548" s="72" t="str">
        <f ca="1">IFERROR(__xludf.DUMMYFUNCTION("""COMPUTED_VALUE"""),"22SDSCE01166")</f>
        <v>22SDSCE01166</v>
      </c>
      <c r="D548" s="73">
        <f ca="1">IFERROR(__xludf.DUMMYFUNCTION("""COMPUTED_VALUE"""),45099)</f>
        <v>45099</v>
      </c>
      <c r="E548" s="72"/>
      <c r="F548" s="72"/>
      <c r="G548" s="75"/>
      <c r="H548" s="59" t="str">
        <f ca="1">IFERROR(__xludf.DUMMYFUNCTION("""COMPUTED_VALUE"""),"UPDATE")</f>
        <v>UPDATE</v>
      </c>
      <c r="I548" s="76" t="str">
        <f ca="1">IFERROR(__xludf.DUMMYFUNCTION("""COMPUTED_VALUE"""),"https://drive.google.com/open?id=1yzq7r3KYGgA7ofpuD1jP45ZbhsvwabAX")</f>
        <v>https://drive.google.com/open?id=1yzq7r3KYGgA7ofpuD1jP45ZbhsvwabAX</v>
      </c>
      <c r="J548" s="59"/>
      <c r="K548" s="59"/>
      <c r="L548" s="59"/>
      <c r="M548" s="59"/>
      <c r="N548" s="59"/>
      <c r="O548" s="59"/>
      <c r="P548" s="59"/>
    </row>
    <row r="549" spans="1:16">
      <c r="A549" s="71">
        <f ca="1">IFERROR(__xludf.DUMMYFUNCTION("""COMPUTED_VALUE"""),45101.5257693865)</f>
        <v>45101.525769386499</v>
      </c>
      <c r="B549" s="59" t="str">
        <f ca="1">IFERROR(__xludf.DUMMYFUNCTION("""COMPUTED_VALUE"""),"Alifiya Sadikot")</f>
        <v>Alifiya Sadikot</v>
      </c>
      <c r="C549" s="72" t="str">
        <f ca="1">IFERROR(__xludf.DUMMYFUNCTION("""COMPUTED_VALUE"""),"22SDSCE01186")</f>
        <v>22SDSCE01186</v>
      </c>
      <c r="D549" s="73">
        <f ca="1">IFERROR(__xludf.DUMMYFUNCTION("""COMPUTED_VALUE"""),45100)</f>
        <v>45100</v>
      </c>
      <c r="E549" s="72"/>
      <c r="F549" s="72"/>
      <c r="G549" s="75"/>
      <c r="H549" s="59" t="str">
        <f ca="1">IFERROR(__xludf.DUMMYFUNCTION("""COMPUTED_VALUE"""),"UPDATE")</f>
        <v>UPDATE</v>
      </c>
      <c r="I549" s="76" t="str">
        <f ca="1">IFERROR(__xludf.DUMMYFUNCTION("""COMPUTED_VALUE"""),"https://drive.google.com/open?id=1IIGzlHE_x-1pX9ZA6WVvTXwWzsPAHXl8")</f>
        <v>https://drive.google.com/open?id=1IIGzlHE_x-1pX9ZA6WVvTXwWzsPAHXl8</v>
      </c>
      <c r="J549" s="59"/>
      <c r="K549" s="59"/>
      <c r="L549" s="59"/>
      <c r="M549" s="59"/>
      <c r="N549" s="59"/>
      <c r="O549" s="59"/>
      <c r="P549" s="59"/>
    </row>
    <row r="550" spans="1:16">
      <c r="A550" s="71">
        <f ca="1">IFERROR(__xludf.DUMMYFUNCTION("""COMPUTED_VALUE"""),45101.524397824)</f>
        <v>45101.524397824003</v>
      </c>
      <c r="B550" s="59" t="str">
        <f ca="1">IFERROR(__xludf.DUMMYFUNCTION("""COMPUTED_VALUE"""),"Ranavaya Disha Murubhai ")</f>
        <v xml:space="preserve">Ranavaya Disha Murubhai </v>
      </c>
      <c r="C550" s="72" t="str">
        <f ca="1">IFERROR(__xludf.DUMMYFUNCTION("""COMPUTED_VALUE"""),"22SDSCE01184")</f>
        <v>22SDSCE01184</v>
      </c>
      <c r="D550" s="73">
        <f ca="1">IFERROR(__xludf.DUMMYFUNCTION("""COMPUTED_VALUE"""),45100)</f>
        <v>45100</v>
      </c>
      <c r="E550" s="72"/>
      <c r="F550" s="72"/>
      <c r="G550" s="75"/>
      <c r="H550" s="59" t="str">
        <f ca="1">IFERROR(__xludf.DUMMYFUNCTION("""COMPUTED_VALUE"""),"UPDATE")</f>
        <v>UPDATE</v>
      </c>
      <c r="I550" s="76" t="str">
        <f ca="1">IFERROR(__xludf.DUMMYFUNCTION("""COMPUTED_VALUE"""),"https://drive.google.com/open?id=1oHEcAebWMgYkCIyRGhP5ZLXSJRzELw01")</f>
        <v>https://drive.google.com/open?id=1oHEcAebWMgYkCIyRGhP5ZLXSJRzELw01</v>
      </c>
      <c r="J550" s="59"/>
      <c r="K550" s="59"/>
      <c r="L550" s="59"/>
      <c r="M550" s="59"/>
      <c r="N550" s="59"/>
      <c r="O550" s="59"/>
      <c r="P550" s="59"/>
    </row>
    <row r="551" spans="1:16">
      <c r="A551" s="71">
        <f ca="1">IFERROR(__xludf.DUMMYFUNCTION("""COMPUTED_VALUE"""),45101.5233317939)</f>
        <v>45101.523331793898</v>
      </c>
      <c r="B551" s="59" t="str">
        <f ca="1">IFERROR(__xludf.DUMMYFUNCTION("""COMPUTED_VALUE"""),"Nimavat Hemangi ")</f>
        <v xml:space="preserve">Nimavat Hemangi </v>
      </c>
      <c r="C551" s="72" t="str">
        <f ca="1">IFERROR(__xludf.DUMMYFUNCTION("""COMPUTED_VALUE"""),"22SDSCE01177")</f>
        <v>22SDSCE01177</v>
      </c>
      <c r="D551" s="73">
        <f ca="1">IFERROR(__xludf.DUMMYFUNCTION("""COMPUTED_VALUE"""),45096)</f>
        <v>45096</v>
      </c>
      <c r="E551" s="72"/>
      <c r="F551" s="72"/>
      <c r="G551" s="75"/>
      <c r="H551" s="59" t="str">
        <f ca="1">IFERROR(__xludf.DUMMYFUNCTION("""COMPUTED_VALUE"""),"UPDATE")</f>
        <v>UPDATE</v>
      </c>
      <c r="I551" s="76" t="str">
        <f ca="1">IFERROR(__xludf.DUMMYFUNCTION("""COMPUTED_VALUE"""),"https://drive.google.com/open?id=1bkTnLFrgDHgN2W7pLUPz_O3QeRmsZfeE")</f>
        <v>https://drive.google.com/open?id=1bkTnLFrgDHgN2W7pLUPz_O3QeRmsZfeE</v>
      </c>
      <c r="J551" s="59"/>
      <c r="K551" s="59"/>
      <c r="L551" s="59"/>
      <c r="M551" s="59"/>
      <c r="N551" s="59"/>
      <c r="O551" s="59"/>
      <c r="P551" s="59"/>
    </row>
    <row r="552" spans="1:16">
      <c r="A552" s="71">
        <f ca="1">IFERROR(__xludf.DUMMYFUNCTION("""COMPUTED_VALUE"""),45101.3790071643)</f>
        <v>45101.379007164302</v>
      </c>
      <c r="B552" s="59" t="str">
        <f ca="1">IFERROR(__xludf.DUMMYFUNCTION("""COMPUTED_VALUE"""),"MOHAMMAD HAMMAD")</f>
        <v>MOHAMMAD HAMMAD</v>
      </c>
      <c r="C552" s="72" t="str">
        <f ca="1">IFERROR(__xludf.DUMMYFUNCTION("""COMPUTED_VALUE"""),"22SDSME01020")</f>
        <v>22SDSME01020</v>
      </c>
      <c r="D552" s="73">
        <f ca="1">IFERROR(__xludf.DUMMYFUNCTION("""COMPUTED_VALUE"""),45101)</f>
        <v>45101</v>
      </c>
      <c r="E552" s="74">
        <f ca="1">IFERROR(__xludf.DUMMYFUNCTION("""COMPUTED_VALUE"""),20000)</f>
        <v>20000</v>
      </c>
      <c r="F552" s="72"/>
      <c r="G552" s="75"/>
      <c r="H552" s="59" t="str">
        <f ca="1">IFERROR(__xludf.DUMMYFUNCTION("""COMPUTED_VALUE"""),"UPDATE")</f>
        <v>UPDATE</v>
      </c>
      <c r="I552" s="76" t="str">
        <f ca="1">IFERROR(__xludf.DUMMYFUNCTION("""COMPUTED_VALUE"""),"https://drive.google.com/open?id=1e8njWdjxw4bnhicgQwBOV_c4pchuTxR_")</f>
        <v>https://drive.google.com/open?id=1e8njWdjxw4bnhicgQwBOV_c4pchuTxR_</v>
      </c>
      <c r="J552" s="59"/>
      <c r="K552" s="59"/>
      <c r="L552" s="59"/>
      <c r="M552" s="59"/>
      <c r="N552" s="59"/>
      <c r="O552" s="59"/>
      <c r="P552" s="59"/>
    </row>
    <row r="553" spans="1:16">
      <c r="A553" s="71">
        <f ca="1">IFERROR(__xludf.DUMMYFUNCTION("""COMPUTED_VALUE"""),45100.8183470138)</f>
        <v>45100.818347013803</v>
      </c>
      <c r="B553" s="59" t="str">
        <f ca="1">IFERROR(__xludf.DUMMYFUNCTION("""COMPUTED_VALUE"""),"jenish kotadiya ")</f>
        <v xml:space="preserve">jenish kotadiya </v>
      </c>
      <c r="C553" s="72" t="str">
        <f ca="1">IFERROR(__xludf.DUMMYFUNCTION("""COMPUTED_VALUE"""),"21SDSCE01081")</f>
        <v>21SDSCE01081</v>
      </c>
      <c r="D553" s="73">
        <f ca="1">IFERROR(__xludf.DUMMYFUNCTION("""COMPUTED_VALUE"""),45037)</f>
        <v>45037</v>
      </c>
      <c r="E553" s="72"/>
      <c r="F553" s="72"/>
      <c r="G553" s="75"/>
      <c r="H553" s="59" t="str">
        <f ca="1">IFERROR(__xludf.DUMMYFUNCTION("""COMPUTED_VALUE"""),"UPDATE")</f>
        <v>UPDATE</v>
      </c>
      <c r="I553" s="76" t="str">
        <f ca="1">IFERROR(__xludf.DUMMYFUNCTION("""COMPUTED_VALUE"""),"https://drive.google.com/open?id=14iXWeapBhEuHbyIyN1VQtY4QCvoBNhVX")</f>
        <v>https://drive.google.com/open?id=14iXWeapBhEuHbyIyN1VQtY4QCvoBNhVX</v>
      </c>
      <c r="J553" s="59"/>
      <c r="K553" s="59"/>
      <c r="L553" s="59"/>
      <c r="M553" s="59"/>
      <c r="N553" s="59"/>
      <c r="O553" s="59"/>
      <c r="P553" s="59"/>
    </row>
    <row r="554" spans="1:16">
      <c r="A554" s="71">
        <f ca="1">IFERROR(__xludf.DUMMYFUNCTION("""COMPUTED_VALUE"""),45100.5771728356)</f>
        <v>45100.577172835598</v>
      </c>
      <c r="B554" s="59" t="str">
        <f ca="1">IFERROR(__xludf.DUMMYFUNCTION("""COMPUTED_VALUE"""),"Gorasiya Bhoomin Ramjibhai ")</f>
        <v xml:space="preserve">Gorasiya Bhoomin Ramjibhai </v>
      </c>
      <c r="C554" s="72" t="str">
        <f ca="1">IFERROR(__xludf.DUMMYFUNCTION("""COMPUTED_VALUE"""),"21SDSCE01019")</f>
        <v>21SDSCE01019</v>
      </c>
      <c r="D554" s="73">
        <f ca="1">IFERROR(__xludf.DUMMYFUNCTION("""COMPUTED_VALUE"""),45100)</f>
        <v>45100</v>
      </c>
      <c r="E554" s="74">
        <f ca="1">IFERROR(__xludf.DUMMYFUNCTION("""COMPUTED_VALUE"""),25000)</f>
        <v>25000</v>
      </c>
      <c r="F554" s="72">
        <f ca="1">IFERROR(__xludf.DUMMYFUNCTION("""COMPUTED_VALUE"""),2500)</f>
        <v>2500</v>
      </c>
      <c r="G554" s="75"/>
      <c r="H554" s="59" t="str">
        <f ca="1">IFERROR(__xludf.DUMMYFUNCTION("""COMPUTED_VALUE"""),"UPDATE")</f>
        <v>UPDATE</v>
      </c>
      <c r="I554" s="76" t="str">
        <f ca="1">IFERROR(__xludf.DUMMYFUNCTION("""COMPUTED_VALUE"""),"https://drive.google.com/open?id=1hN1gm2JqiFuGXEMienfta2wRZwxQHX6m")</f>
        <v>https://drive.google.com/open?id=1hN1gm2JqiFuGXEMienfta2wRZwxQHX6m</v>
      </c>
      <c r="J554" s="59"/>
      <c r="K554" s="59"/>
      <c r="L554" s="59"/>
      <c r="M554" s="59"/>
      <c r="N554" s="59"/>
      <c r="O554" s="59"/>
      <c r="P554" s="59"/>
    </row>
    <row r="555" spans="1:16">
      <c r="A555" s="71">
        <f ca="1">IFERROR(__xludf.DUMMYFUNCTION("""COMPUTED_VALUE"""),45100.4835827199)</f>
        <v>45100.483582719899</v>
      </c>
      <c r="B555" s="59" t="str">
        <f ca="1">IFERROR(__xludf.DUMMYFUNCTION("""COMPUTED_VALUE"""),"Parakhiya bhakti bipinbhai ")</f>
        <v xml:space="preserve">Parakhiya bhakti bipinbhai </v>
      </c>
      <c r="C555" s="72" t="str">
        <f ca="1">IFERROR(__xludf.DUMMYFUNCTION("""COMPUTED_VALUE"""),"22SDSCE01179")</f>
        <v>22SDSCE01179</v>
      </c>
      <c r="D555" s="73">
        <f ca="1">IFERROR(__xludf.DUMMYFUNCTION("""COMPUTED_VALUE"""),45100)</f>
        <v>45100</v>
      </c>
      <c r="E555" s="72"/>
      <c r="F555" s="72"/>
      <c r="G555" s="75"/>
      <c r="H555" s="59" t="str">
        <f ca="1">IFERROR(__xludf.DUMMYFUNCTION("""COMPUTED_VALUE"""),"UPDATE")</f>
        <v>UPDATE</v>
      </c>
      <c r="I555" s="76" t="str">
        <f ca="1">IFERROR(__xludf.DUMMYFUNCTION("""COMPUTED_VALUE"""),"https://drive.google.com/open?id=1xchqTYPO54SzDMsQC8yGUyyGM0PXk1b4")</f>
        <v>https://drive.google.com/open?id=1xchqTYPO54SzDMsQC8yGUyyGM0PXk1b4</v>
      </c>
      <c r="J555" s="59"/>
      <c r="K555" s="59"/>
      <c r="L555" s="59"/>
      <c r="M555" s="59"/>
      <c r="N555" s="59"/>
      <c r="O555" s="59"/>
      <c r="P555" s="59"/>
    </row>
    <row r="556" spans="1:16">
      <c r="A556" s="71">
        <f ca="1">IFERROR(__xludf.DUMMYFUNCTION("""COMPUTED_VALUE"""),45100.455072824)</f>
        <v>45100.455072823999</v>
      </c>
      <c r="B556" s="59" t="str">
        <f ca="1">IFERROR(__xludf.DUMMYFUNCTION("""COMPUTED_VALUE"""),"Tank drashti ashokbhai ")</f>
        <v xml:space="preserve">Tank drashti ashokbhai </v>
      </c>
      <c r="C556" s="72" t="str">
        <f ca="1">IFERROR(__xludf.DUMMYFUNCTION("""COMPUTED_VALUE"""),"22SDSCE01063")</f>
        <v>22SDSCE01063</v>
      </c>
      <c r="D556" s="73">
        <f ca="1">IFERROR(__xludf.DUMMYFUNCTION("""COMPUTED_VALUE"""),45100)</f>
        <v>45100</v>
      </c>
      <c r="E556" s="74">
        <f ca="1">IFERROR(__xludf.DUMMYFUNCTION("""COMPUTED_VALUE"""),25000)</f>
        <v>25000</v>
      </c>
      <c r="F556" s="72">
        <f ca="1">IFERROR(__xludf.DUMMYFUNCTION("""COMPUTED_VALUE"""),3000)</f>
        <v>3000</v>
      </c>
      <c r="G556" s="75"/>
      <c r="H556" s="59" t="str">
        <f ca="1">IFERROR(__xludf.DUMMYFUNCTION("""COMPUTED_VALUE"""),"UPDATE")</f>
        <v>UPDATE</v>
      </c>
      <c r="I556" s="76" t="str">
        <f ca="1">IFERROR(__xludf.DUMMYFUNCTION("""COMPUTED_VALUE"""),"https://drive.google.com/open?id=1Gwi-ZKFaTry1pow91zkhIqsubj4PvBBe")</f>
        <v>https://drive.google.com/open?id=1Gwi-ZKFaTry1pow91zkhIqsubj4PvBBe</v>
      </c>
      <c r="J556" s="59"/>
      <c r="K556" s="59"/>
      <c r="L556" s="59"/>
      <c r="M556" s="59"/>
      <c r="N556" s="59"/>
      <c r="O556" s="59"/>
      <c r="P556" s="59"/>
    </row>
    <row r="557" spans="1:16">
      <c r="A557" s="71">
        <f ca="1">IFERROR(__xludf.DUMMYFUNCTION("""COMPUTED_VALUE"""),45100.4452204166)</f>
        <v>45100.445220416601</v>
      </c>
      <c r="B557" s="59" t="str">
        <f ca="1">IFERROR(__xludf.DUMMYFUNCTION("""COMPUTED_VALUE"""),"Khunt krina piyushbhai ")</f>
        <v xml:space="preserve">Khunt krina piyushbhai </v>
      </c>
      <c r="C557" s="72" t="str">
        <f ca="1">IFERROR(__xludf.DUMMYFUNCTION("""COMPUTED_VALUE"""),"22SDSCE01161")</f>
        <v>22SDSCE01161</v>
      </c>
      <c r="D557" s="73">
        <f ca="1">IFERROR(__xludf.DUMMYFUNCTION("""COMPUTED_VALUE"""),45099)</f>
        <v>45099</v>
      </c>
      <c r="E557" s="72"/>
      <c r="F557" s="72"/>
      <c r="G557" s="75"/>
      <c r="H557" s="59" t="str">
        <f ca="1">IFERROR(__xludf.DUMMYFUNCTION("""COMPUTED_VALUE"""),"UPDATE")</f>
        <v>UPDATE</v>
      </c>
      <c r="I557" s="76" t="str">
        <f ca="1">IFERROR(__xludf.DUMMYFUNCTION("""COMPUTED_VALUE"""),"https://drive.google.com/open?id=16-78hVfVG2uiOxUwr25wqFnYXd3EgOn-")</f>
        <v>https://drive.google.com/open?id=16-78hVfVG2uiOxUwr25wqFnYXd3EgOn-</v>
      </c>
      <c r="J557" s="59"/>
      <c r="K557" s="59"/>
      <c r="L557" s="59"/>
      <c r="M557" s="59"/>
      <c r="N557" s="59"/>
      <c r="O557" s="59"/>
      <c r="P557" s="59"/>
    </row>
    <row r="558" spans="1:16">
      <c r="A558" s="71">
        <f ca="1">IFERROR(__xludf.DUMMYFUNCTION("""COMPUTED_VALUE"""),45100.4361800115)</f>
        <v>45100.4361800115</v>
      </c>
      <c r="B558" s="59" t="str">
        <f ca="1">IFERROR(__xludf.DUMMYFUNCTION("""COMPUTED_VALUE"""),"Sidapara yashvi Sanjay Bhai ")</f>
        <v xml:space="preserve">Sidapara yashvi Sanjay Bhai </v>
      </c>
      <c r="C558" s="72" t="str">
        <f ca="1">IFERROR(__xludf.DUMMYFUNCTION("""COMPUTED_VALUE"""),"21sdsce01149")</f>
        <v>21sdsce01149</v>
      </c>
      <c r="D558" s="73">
        <f ca="1">IFERROR(__xludf.DUMMYFUNCTION("""COMPUTED_VALUE"""),45100)</f>
        <v>45100</v>
      </c>
      <c r="E558" s="74">
        <f ca="1">IFERROR(__xludf.DUMMYFUNCTION("""COMPUTED_VALUE"""),0)</f>
        <v>0</v>
      </c>
      <c r="F558" s="72">
        <f ca="1">IFERROR(__xludf.DUMMYFUNCTION("""COMPUTED_VALUE"""),0)</f>
        <v>0</v>
      </c>
      <c r="G558" s="75"/>
      <c r="H558" s="59" t="str">
        <f ca="1">IFERROR(__xludf.DUMMYFUNCTION("""COMPUTED_VALUE"""),"UPDATE")</f>
        <v>UPDATE</v>
      </c>
      <c r="I558" s="76" t="str">
        <f ca="1">IFERROR(__xludf.DUMMYFUNCTION("""COMPUTED_VALUE"""),"https://drive.google.com/open?id=1uqrtaY9aEmyh-b_xyfOPzc-3yJR7PJ4u")</f>
        <v>https://drive.google.com/open?id=1uqrtaY9aEmyh-b_xyfOPzc-3yJR7PJ4u</v>
      </c>
      <c r="J558" s="59"/>
      <c r="K558" s="59"/>
      <c r="L558" s="59"/>
      <c r="M558" s="59"/>
      <c r="N558" s="59"/>
      <c r="O558" s="59"/>
      <c r="P558" s="59"/>
    </row>
    <row r="559" spans="1:16">
      <c r="A559" s="71">
        <f ca="1">IFERROR(__xludf.DUMMYFUNCTION("""COMPUTED_VALUE"""),45099.9769712731)</f>
        <v>45099.976971273099</v>
      </c>
      <c r="B559" s="59" t="str">
        <f ca="1">IFERROR(__xludf.DUMMYFUNCTION("""COMPUTED_VALUE"""),"Bhalani Dhruvi dhrmendrabhai")</f>
        <v>Bhalani Dhruvi dhrmendrabhai</v>
      </c>
      <c r="C559" s="72" t="str">
        <f ca="1">IFERROR(__xludf.DUMMYFUNCTION("""COMPUTED_VALUE"""),"22sdsce01015")</f>
        <v>22sdsce01015</v>
      </c>
      <c r="D559" s="73">
        <f ca="1">IFERROR(__xludf.DUMMYFUNCTION("""COMPUTED_VALUE"""),45098)</f>
        <v>45098</v>
      </c>
      <c r="E559" s="74">
        <f ca="1">IFERROR(__xludf.DUMMYFUNCTION("""COMPUTED_VALUE"""),25000)</f>
        <v>25000</v>
      </c>
      <c r="F559" s="72">
        <f ca="1">IFERROR(__xludf.DUMMYFUNCTION("""COMPUTED_VALUE"""),3000)</f>
        <v>3000</v>
      </c>
      <c r="G559" s="75"/>
      <c r="H559" s="59" t="str">
        <f ca="1">IFERROR(__xludf.DUMMYFUNCTION("""COMPUTED_VALUE"""),"UPDATE")</f>
        <v>UPDATE</v>
      </c>
      <c r="I559" s="76" t="str">
        <f ca="1">IFERROR(__xludf.DUMMYFUNCTION("""COMPUTED_VALUE"""),"https://drive.google.com/open?id=1tSs1AsqMF6bL2cN0zWbJAkr_8ymw6awc")</f>
        <v>https://drive.google.com/open?id=1tSs1AsqMF6bL2cN0zWbJAkr_8ymw6awc</v>
      </c>
      <c r="J559" s="59"/>
      <c r="K559" s="59"/>
      <c r="L559" s="59"/>
      <c r="M559" s="59"/>
      <c r="N559" s="59"/>
      <c r="O559" s="59"/>
      <c r="P559" s="59"/>
    </row>
    <row r="560" spans="1:16">
      <c r="A560" s="71">
        <f ca="1">IFERROR(__xludf.DUMMYFUNCTION("""COMPUTED_VALUE"""),45099.742890243)</f>
        <v>45099.742890242997</v>
      </c>
      <c r="B560" s="59" t="str">
        <f ca="1">IFERROR(__xludf.DUMMYFUNCTION("""COMPUTED_VALUE"""),"Bhalani tisha Rameshbhai")</f>
        <v>Bhalani tisha Rameshbhai</v>
      </c>
      <c r="C560" s="72" t="str">
        <f ca="1">IFERROR(__xludf.DUMMYFUNCTION("""COMPUTED_VALUE"""),"22SDSCE01016")</f>
        <v>22SDSCE01016</v>
      </c>
      <c r="D560" s="73">
        <f ca="1">IFERROR(__xludf.DUMMYFUNCTION("""COMPUTED_VALUE"""),45098)</f>
        <v>45098</v>
      </c>
      <c r="E560" s="74">
        <f ca="1">IFERROR(__xludf.DUMMYFUNCTION("""COMPUTED_VALUE"""),25000)</f>
        <v>25000</v>
      </c>
      <c r="F560" s="72">
        <f ca="1">IFERROR(__xludf.DUMMYFUNCTION("""COMPUTED_VALUE"""),3000)</f>
        <v>3000</v>
      </c>
      <c r="G560" s="75"/>
      <c r="H560" s="59" t="str">
        <f ca="1">IFERROR(__xludf.DUMMYFUNCTION("""COMPUTED_VALUE"""),"UPDATE")</f>
        <v>UPDATE</v>
      </c>
      <c r="I560" s="76" t="str">
        <f ca="1">IFERROR(__xludf.DUMMYFUNCTION("""COMPUTED_VALUE"""),"https://drive.google.com/open?id=15Y7s0I-MVCcbvvlqhNUkYVGS6d3BWnHi")</f>
        <v>https://drive.google.com/open?id=15Y7s0I-MVCcbvvlqhNUkYVGS6d3BWnHi</v>
      </c>
      <c r="J560" s="59"/>
      <c r="K560" s="59"/>
      <c r="L560" s="59"/>
      <c r="M560" s="59"/>
      <c r="N560" s="59"/>
      <c r="O560" s="59"/>
      <c r="P560" s="59"/>
    </row>
    <row r="561" spans="1:16">
      <c r="A561" s="71">
        <f ca="1">IFERROR(__xludf.DUMMYFUNCTION("""COMPUTED_VALUE"""),45099.6084481944)</f>
        <v>45099.608448194398</v>
      </c>
      <c r="B561" s="59" t="str">
        <f ca="1">IFERROR(__xludf.DUMMYFUNCTION("""COMPUTED_VALUE"""),"Malvi padaliya ")</f>
        <v xml:space="preserve">Malvi padaliya </v>
      </c>
      <c r="C561" s="72" t="str">
        <f ca="1">IFERROR(__xludf.DUMMYFUNCTION("""COMPUTED_VALUE"""),"21SDSCE01037")</f>
        <v>21SDSCE01037</v>
      </c>
      <c r="D561" s="73">
        <f ca="1">IFERROR(__xludf.DUMMYFUNCTION("""COMPUTED_VALUE"""),45099)</f>
        <v>45099</v>
      </c>
      <c r="E561" s="74">
        <f ca="1">IFERROR(__xludf.DUMMYFUNCTION("""COMPUTED_VALUE"""),25000)</f>
        <v>25000</v>
      </c>
      <c r="F561" s="72"/>
      <c r="G561" s="75"/>
      <c r="H561" s="59"/>
      <c r="I561" s="76" t="str">
        <f ca="1">IFERROR(__xludf.DUMMYFUNCTION("""COMPUTED_VALUE"""),"https://drive.google.com/open?id=13sk7WehhEKCe5Yf63hRQdDFeT-IzqkJm")</f>
        <v>https://drive.google.com/open?id=13sk7WehhEKCe5Yf63hRQdDFeT-IzqkJm</v>
      </c>
      <c r="J561" s="59"/>
      <c r="K561" s="59"/>
      <c r="L561" s="59"/>
      <c r="M561" s="59"/>
      <c r="N561" s="59"/>
      <c r="O561" s="59"/>
      <c r="P561" s="59"/>
    </row>
    <row r="562" spans="1:16">
      <c r="A562" s="71">
        <f ca="1">IFERROR(__xludf.DUMMYFUNCTION("""COMPUTED_VALUE"""),45099.6074898263)</f>
        <v>45099.607489826303</v>
      </c>
      <c r="B562" s="59" t="str">
        <f ca="1">IFERROR(__xludf.DUMMYFUNCTION("""COMPUTED_VALUE"""),"Malvi padaliya ")</f>
        <v xml:space="preserve">Malvi padaliya </v>
      </c>
      <c r="C562" s="72" t="str">
        <f ca="1">IFERROR(__xludf.DUMMYFUNCTION("""COMPUTED_VALUE"""),"21SDSCE01037")</f>
        <v>21SDSCE01037</v>
      </c>
      <c r="D562" s="73">
        <f ca="1">IFERROR(__xludf.DUMMYFUNCTION("""COMPUTED_VALUE"""),45099)</f>
        <v>45099</v>
      </c>
      <c r="E562" s="72"/>
      <c r="F562" s="72"/>
      <c r="G562" s="75"/>
      <c r="H562" s="59"/>
      <c r="I562" s="76" t="str">
        <f ca="1">IFERROR(__xludf.DUMMYFUNCTION("""COMPUTED_VALUE"""),"https://drive.google.com/open?id=1dnxyxqkDpZTq9eJeF0UFkR4RpD7FpmWT")</f>
        <v>https://drive.google.com/open?id=1dnxyxqkDpZTq9eJeF0UFkR4RpD7FpmWT</v>
      </c>
      <c r="J562" s="59"/>
      <c r="K562" s="59"/>
      <c r="L562" s="59"/>
      <c r="M562" s="59"/>
      <c r="N562" s="59"/>
      <c r="O562" s="59"/>
      <c r="P562" s="59"/>
    </row>
    <row r="563" spans="1:16">
      <c r="A563" s="71">
        <f ca="1">IFERROR(__xludf.DUMMYFUNCTION("""COMPUTED_VALUE"""),45099.525323831)</f>
        <v>45099.525323831003</v>
      </c>
      <c r="B563" s="59" t="str">
        <f ca="1">IFERROR(__xludf.DUMMYFUNCTION("""COMPUTED_VALUE"""),"Khunt krina piyushbhai ")</f>
        <v xml:space="preserve">Khunt krina piyushbhai </v>
      </c>
      <c r="C563" s="72" t="str">
        <f ca="1">IFERROR(__xludf.DUMMYFUNCTION("""COMPUTED_VALUE"""),"22SDSCE01161")</f>
        <v>22SDSCE01161</v>
      </c>
      <c r="D563" s="73">
        <f ca="1">IFERROR(__xludf.DUMMYFUNCTION("""COMPUTED_VALUE"""),45099)</f>
        <v>45099</v>
      </c>
      <c r="E563" s="72"/>
      <c r="F563" s="72"/>
      <c r="G563" s="75"/>
      <c r="H563" s="59" t="str">
        <f ca="1">IFERROR(__xludf.DUMMYFUNCTION("""COMPUTED_VALUE"""),"UPDATE")</f>
        <v>UPDATE</v>
      </c>
      <c r="I563" s="76" t="str">
        <f ca="1">IFERROR(__xludf.DUMMYFUNCTION("""COMPUTED_VALUE"""),"https://drive.google.com/open?id=1MvgmM9gT1Kfkem8-FXkbYhF3PgW1zT4r")</f>
        <v>https://drive.google.com/open?id=1MvgmM9gT1Kfkem8-FXkbYhF3PgW1zT4r</v>
      </c>
      <c r="J563" s="59"/>
      <c r="K563" s="59"/>
      <c r="L563" s="59"/>
      <c r="M563" s="59"/>
      <c r="N563" s="59"/>
      <c r="O563" s="59"/>
      <c r="P563" s="59"/>
    </row>
    <row r="564" spans="1:16">
      <c r="A564" s="71">
        <f ca="1">IFERROR(__xludf.DUMMYFUNCTION("""COMPUTED_VALUE"""),45099.4499998495)</f>
        <v>45099.449999849501</v>
      </c>
      <c r="B564" s="59" t="str">
        <f ca="1">IFERROR(__xludf.DUMMYFUNCTION("""COMPUTED_VALUE"""),"Vaghasia Bhargish Hareshbhai ")</f>
        <v xml:space="preserve">Vaghasia Bhargish Hareshbhai </v>
      </c>
      <c r="C564" s="72" t="str">
        <f ca="1">IFERROR(__xludf.DUMMYFUNCTION("""COMPUTED_VALUE"""),"20SDSCV01013")</f>
        <v>20SDSCV01013</v>
      </c>
      <c r="D564" s="73">
        <f ca="1">IFERROR(__xludf.DUMMYFUNCTION("""COMPUTED_VALUE"""),45037)</f>
        <v>45037</v>
      </c>
      <c r="E564" s="72"/>
      <c r="F564" s="72">
        <f ca="1">IFERROR(__xludf.DUMMYFUNCTION("""COMPUTED_VALUE"""),3750)</f>
        <v>3750</v>
      </c>
      <c r="G564" s="75"/>
      <c r="H564" s="59" t="str">
        <f ca="1">IFERROR(__xludf.DUMMYFUNCTION("""COMPUTED_VALUE"""),"UPDATE")</f>
        <v>UPDATE</v>
      </c>
      <c r="I564" s="76" t="str">
        <f ca="1">IFERROR(__xludf.DUMMYFUNCTION("""COMPUTED_VALUE"""),"https://drive.google.com/open?id=1H0mV41ZQv9wURAq449nKzb8AzeFbf92c")</f>
        <v>https://drive.google.com/open?id=1H0mV41ZQv9wURAq449nKzb8AzeFbf92c</v>
      </c>
      <c r="J564" s="59"/>
      <c r="K564" s="59"/>
      <c r="L564" s="59"/>
      <c r="M564" s="59"/>
      <c r="N564" s="59"/>
      <c r="O564" s="59"/>
      <c r="P564" s="59"/>
    </row>
    <row r="565" spans="1:16">
      <c r="A565" s="71">
        <f ca="1">IFERROR(__xludf.DUMMYFUNCTION("""COMPUTED_VALUE"""),45099.4490152893)</f>
        <v>45099.449015289298</v>
      </c>
      <c r="B565" s="59" t="str">
        <f ca="1">IFERROR(__xludf.DUMMYFUNCTION("""COMPUTED_VALUE"""),"Vaghasia Bhargish Hareshbhai")</f>
        <v>Vaghasia Bhargish Hareshbhai</v>
      </c>
      <c r="C565" s="72" t="str">
        <f ca="1">IFERROR(__xludf.DUMMYFUNCTION("""COMPUTED_VALUE"""),"20SDSCV01013")</f>
        <v>20SDSCV01013</v>
      </c>
      <c r="D565" s="73">
        <f ca="1">IFERROR(__xludf.DUMMYFUNCTION("""COMPUTED_VALUE"""),45052)</f>
        <v>45052</v>
      </c>
      <c r="E565" s="74">
        <f ca="1">IFERROR(__xludf.DUMMYFUNCTION("""COMPUTED_VALUE"""),25000)</f>
        <v>25000</v>
      </c>
      <c r="F565" s="72"/>
      <c r="G565" s="75"/>
      <c r="H565" s="59" t="str">
        <f ca="1">IFERROR(__xludf.DUMMYFUNCTION("""COMPUTED_VALUE"""),"UPDATE")</f>
        <v>UPDATE</v>
      </c>
      <c r="I565" s="76" t="str">
        <f ca="1">IFERROR(__xludf.DUMMYFUNCTION("""COMPUTED_VALUE"""),"https://drive.google.com/open?id=18GiJHZeZa5AgJW413uR1PdjzvZebpNtc")</f>
        <v>https://drive.google.com/open?id=18GiJHZeZa5AgJW413uR1PdjzvZebpNtc</v>
      </c>
      <c r="J565" s="59"/>
      <c r="K565" s="59"/>
      <c r="L565" s="59"/>
      <c r="M565" s="59"/>
      <c r="N565" s="59"/>
      <c r="O565" s="59"/>
      <c r="P565" s="59"/>
    </row>
    <row r="566" spans="1:16">
      <c r="A566" s="71">
        <f ca="1">IFERROR(__xludf.DUMMYFUNCTION("""COMPUTED_VALUE"""),45099.4366603819)</f>
        <v>45099.4366603819</v>
      </c>
      <c r="B566" s="59" t="str">
        <f ca="1">IFERROR(__xludf.DUMMYFUNCTION("""COMPUTED_VALUE"""),"ASODARIYA MEET BHAVESHBHAI ")</f>
        <v xml:space="preserve">ASODARIYA MEET BHAVESHBHAI </v>
      </c>
      <c r="C566" s="72" t="str">
        <f ca="1">IFERROR(__xludf.DUMMYFUNCTION("""COMPUTED_VALUE"""),"22SDSCE01129")</f>
        <v>22SDSCE01129</v>
      </c>
      <c r="D566" s="73">
        <f ca="1">IFERROR(__xludf.DUMMYFUNCTION("""COMPUTED_VALUE"""),45098)</f>
        <v>45098</v>
      </c>
      <c r="E566" s="74">
        <f ca="1">IFERROR(__xludf.DUMMYFUNCTION("""COMPUTED_VALUE"""),25000)</f>
        <v>25000</v>
      </c>
      <c r="F566" s="72">
        <f ca="1">IFERROR(__xludf.DUMMYFUNCTION("""COMPUTED_VALUE"""),0)</f>
        <v>0</v>
      </c>
      <c r="G566" s="75"/>
      <c r="H566" s="59" t="str">
        <f ca="1">IFERROR(__xludf.DUMMYFUNCTION("""COMPUTED_VALUE"""),"UPDATE")</f>
        <v>UPDATE</v>
      </c>
      <c r="I566" s="76" t="str">
        <f ca="1">IFERROR(__xludf.DUMMYFUNCTION("""COMPUTED_VALUE"""),"https://drive.google.com/open?id=1ITiBmBheox6-4GtAkEpWMWqlzZhi8Yci")</f>
        <v>https://drive.google.com/open?id=1ITiBmBheox6-4GtAkEpWMWqlzZhi8Yci</v>
      </c>
      <c r="J566" s="59"/>
      <c r="K566" s="59"/>
      <c r="L566" s="59"/>
      <c r="M566" s="59"/>
      <c r="N566" s="59"/>
      <c r="O566" s="59"/>
      <c r="P566" s="59"/>
    </row>
    <row r="567" spans="1:16">
      <c r="A567" s="71">
        <f ca="1">IFERROR(__xludf.DUMMYFUNCTION("""COMPUTED_VALUE"""),45098.7867955092)</f>
        <v>45098.786795509201</v>
      </c>
      <c r="B567" s="59" t="str">
        <f ca="1">IFERROR(__xludf.DUMMYFUNCTION("""COMPUTED_VALUE"""),"Isha Koradiya")</f>
        <v>Isha Koradiya</v>
      </c>
      <c r="C567" s="72" t="str">
        <f ca="1">IFERROR(__xludf.DUMMYFUNCTION("""COMPUTED_VALUE"""),"21SDSCE01080")</f>
        <v>21SDSCE01080</v>
      </c>
      <c r="D567" s="73">
        <f ca="1">IFERROR(__xludf.DUMMYFUNCTION("""COMPUTED_VALUE"""),45098)</f>
        <v>45098</v>
      </c>
      <c r="E567" s="72"/>
      <c r="F567" s="72">
        <f ca="1">IFERROR(__xludf.DUMMYFUNCTION("""COMPUTED_VALUE"""),2500)</f>
        <v>2500</v>
      </c>
      <c r="G567" s="75"/>
      <c r="H567" s="59" t="str">
        <f ca="1">IFERROR(__xludf.DUMMYFUNCTION("""COMPUTED_VALUE"""),"UPDATE")</f>
        <v>UPDATE</v>
      </c>
      <c r="I567" s="76" t="str">
        <f ca="1">IFERROR(__xludf.DUMMYFUNCTION("""COMPUTED_VALUE"""),"https://drive.google.com/open?id=1MDICjJsJvxKkQc_LnCnZy7DO2odsEbiV")</f>
        <v>https://drive.google.com/open?id=1MDICjJsJvxKkQc_LnCnZy7DO2odsEbiV</v>
      </c>
      <c r="J567" s="59"/>
      <c r="K567" s="59"/>
      <c r="L567" s="59"/>
      <c r="M567" s="59"/>
      <c r="N567" s="59"/>
      <c r="O567" s="59"/>
      <c r="P567" s="59"/>
    </row>
    <row r="568" spans="1:16">
      <c r="A568" s="71">
        <f ca="1">IFERROR(__xludf.DUMMYFUNCTION("""COMPUTED_VALUE"""),45098.5657731018)</f>
        <v>45098.5657731018</v>
      </c>
      <c r="B568" s="59" t="str">
        <f ca="1">IFERROR(__xludf.DUMMYFUNCTION("""COMPUTED_VALUE"""),"Rathod Aman Ashwinbhai ")</f>
        <v xml:space="preserve">Rathod Aman Ashwinbhai </v>
      </c>
      <c r="C568" s="72" t="str">
        <f ca="1">IFERROR(__xludf.DUMMYFUNCTION("""COMPUTED_VALUE"""),"21SDSME01029 ")</f>
        <v xml:space="preserve">21SDSME01029 </v>
      </c>
      <c r="D568" s="73">
        <f ca="1">IFERROR(__xludf.DUMMYFUNCTION("""COMPUTED_VALUE"""),45098)</f>
        <v>45098</v>
      </c>
      <c r="E568" s="74">
        <f ca="1">IFERROR(__xludf.DUMMYFUNCTION("""COMPUTED_VALUE"""),12500)</f>
        <v>12500</v>
      </c>
      <c r="F568" s="72">
        <f ca="1">IFERROR(__xludf.DUMMYFUNCTION("""COMPUTED_VALUE"""),2500)</f>
        <v>2500</v>
      </c>
      <c r="G568" s="75"/>
      <c r="H568" s="59" t="str">
        <f ca="1">IFERROR(__xludf.DUMMYFUNCTION("""COMPUTED_VALUE"""),"UPDATE")</f>
        <v>UPDATE</v>
      </c>
      <c r="I568" s="76" t="str">
        <f ca="1">IFERROR(__xludf.DUMMYFUNCTION("""COMPUTED_VALUE"""),"https://drive.google.com/open?id=1NEEs0vRu3c52Dlv_H5BDD-CgZH01OLBM")</f>
        <v>https://drive.google.com/open?id=1NEEs0vRu3c52Dlv_H5BDD-CgZH01OLBM</v>
      </c>
      <c r="J568" s="59"/>
      <c r="K568" s="59"/>
      <c r="L568" s="59"/>
      <c r="M568" s="59"/>
      <c r="N568" s="59"/>
      <c r="O568" s="59"/>
      <c r="P568" s="59"/>
    </row>
    <row r="569" spans="1:16">
      <c r="A569" s="71">
        <f ca="1">IFERROR(__xludf.DUMMYFUNCTION("""COMPUTED_VALUE"""),45098.4010851504)</f>
        <v>45098.401085150399</v>
      </c>
      <c r="B569" s="59" t="str">
        <f ca="1">IFERROR(__xludf.DUMMYFUNCTION("""COMPUTED_VALUE"""),"Krupa moliya ")</f>
        <v xml:space="preserve">Krupa moliya </v>
      </c>
      <c r="C569" s="72" t="str">
        <f ca="1">IFERROR(__xludf.DUMMYFUNCTION("""COMPUTED_VALUE"""),"22SDSCE010172")</f>
        <v>22SDSCE010172</v>
      </c>
      <c r="D569" s="73">
        <f ca="1">IFERROR(__xludf.DUMMYFUNCTION("""COMPUTED_VALUE"""),45098)</f>
        <v>45098</v>
      </c>
      <c r="E569" s="72"/>
      <c r="F569" s="72"/>
      <c r="G569" s="75"/>
      <c r="H569" s="59"/>
      <c r="I569" s="76" t="str">
        <f ca="1">IFERROR(__xludf.DUMMYFUNCTION("""COMPUTED_VALUE"""),"https://drive.google.com/open?id=1yXUSf1Giukg_KTTwalWu1ZGNlyCrEAm5")</f>
        <v>https://drive.google.com/open?id=1yXUSf1Giukg_KTTwalWu1ZGNlyCrEAm5</v>
      </c>
      <c r="J569" s="59"/>
      <c r="K569" s="59"/>
      <c r="L569" s="59"/>
      <c r="M569" s="59"/>
      <c r="N569" s="59"/>
      <c r="O569" s="59"/>
      <c r="P569" s="59"/>
    </row>
    <row r="570" spans="1:16">
      <c r="A570" s="71">
        <f ca="1">IFERROR(__xludf.DUMMYFUNCTION("""COMPUTED_VALUE"""),45098.3941724768)</f>
        <v>45098.394172476801</v>
      </c>
      <c r="B570" s="59" t="str">
        <f ca="1">IFERROR(__xludf.DUMMYFUNCTION("""COMPUTED_VALUE"""),"Bhatt Bhargav Vipulbhai")</f>
        <v>Bhatt Bhargav Vipulbhai</v>
      </c>
      <c r="C570" s="72" t="str">
        <f ca="1">IFERROR(__xludf.DUMMYFUNCTION("""COMPUTED_VALUE"""),"22SDSCE01198")</f>
        <v>22SDSCE01198</v>
      </c>
      <c r="D570" s="73">
        <f ca="1">IFERROR(__xludf.DUMMYFUNCTION("""COMPUTED_VALUE"""),45025)</f>
        <v>45025</v>
      </c>
      <c r="E570" s="72"/>
      <c r="F570" s="72"/>
      <c r="G570" s="75"/>
      <c r="H570" s="59" t="str">
        <f ca="1">IFERROR(__xludf.DUMMYFUNCTION("""COMPUTED_VALUE"""),"UPDATE")</f>
        <v>UPDATE</v>
      </c>
      <c r="I570" s="76" t="str">
        <f ca="1">IFERROR(__xludf.DUMMYFUNCTION("""COMPUTED_VALUE"""),"https://drive.google.com/open?id=1ZUVGQCKiEieri5BjKtUCHt-52HkNgzFa")</f>
        <v>https://drive.google.com/open?id=1ZUVGQCKiEieri5BjKtUCHt-52HkNgzFa</v>
      </c>
      <c r="J570" s="59"/>
      <c r="K570" s="59"/>
      <c r="L570" s="59"/>
      <c r="M570" s="59"/>
      <c r="N570" s="59"/>
      <c r="O570" s="59"/>
      <c r="P570" s="59"/>
    </row>
    <row r="571" spans="1:16">
      <c r="A571" s="71">
        <f ca="1">IFERROR(__xludf.DUMMYFUNCTION("""COMPUTED_VALUE"""),45097.990850787)</f>
        <v>45097.990850786999</v>
      </c>
      <c r="B571" s="59" t="str">
        <f ca="1">IFERROR(__xludf.DUMMYFUNCTION("""COMPUTED_VALUE"""),"Bal Ram Barai")</f>
        <v>Bal Ram Barai</v>
      </c>
      <c r="C571" s="72" t="str">
        <f ca="1">IFERROR(__xludf.DUMMYFUNCTION("""COMPUTED_VALUE"""),"22SDSCE01601")</f>
        <v>22SDSCE01601</v>
      </c>
      <c r="D571" s="73">
        <f ca="1">IFERROR(__xludf.DUMMYFUNCTION("""COMPUTED_VALUE"""),45088)</f>
        <v>45088</v>
      </c>
      <c r="E571" s="72"/>
      <c r="F571" s="72">
        <f ca="1">IFERROR(__xludf.DUMMYFUNCTION("""COMPUTED_VALUE"""),20000)</f>
        <v>20000</v>
      </c>
      <c r="G571" s="75"/>
      <c r="H571" s="59" t="str">
        <f ca="1">IFERROR(__xludf.DUMMYFUNCTION("""COMPUTED_VALUE"""),"UPDATE")</f>
        <v>UPDATE</v>
      </c>
      <c r="I571" s="76" t="str">
        <f ca="1">IFERROR(__xludf.DUMMYFUNCTION("""COMPUTED_VALUE"""),"https://drive.google.com/open?id=1ulNKcvXDhNNw13GTDi5Hk5pyC1ZzyQQQ")</f>
        <v>https://drive.google.com/open?id=1ulNKcvXDhNNw13GTDi5Hk5pyC1ZzyQQQ</v>
      </c>
      <c r="J571" s="59"/>
      <c r="K571" s="59"/>
      <c r="L571" s="59"/>
      <c r="M571" s="59"/>
      <c r="N571" s="59"/>
      <c r="O571" s="59"/>
      <c r="P571" s="59"/>
    </row>
    <row r="572" spans="1:16">
      <c r="A572" s="71">
        <f ca="1">IFERROR(__xludf.DUMMYFUNCTION("""COMPUTED_VALUE"""),45097.9887202893)</f>
        <v>45097.988720289301</v>
      </c>
      <c r="B572" s="59" t="str">
        <f ca="1">IFERROR(__xludf.DUMMYFUNCTION("""COMPUTED_VALUE"""),"Bal Ram Barai")</f>
        <v>Bal Ram Barai</v>
      </c>
      <c r="C572" s="72" t="str">
        <f ca="1">IFERROR(__xludf.DUMMYFUNCTION("""COMPUTED_VALUE"""),"22SDSCE01601")</f>
        <v>22SDSCE01601</v>
      </c>
      <c r="D572" s="73">
        <f ca="1">IFERROR(__xludf.DUMMYFUNCTION("""COMPUTED_VALUE"""),45088)</f>
        <v>45088</v>
      </c>
      <c r="E572" s="72"/>
      <c r="F572" s="72">
        <f ca="1">IFERROR(__xludf.DUMMYFUNCTION("""COMPUTED_VALUE"""),20000)</f>
        <v>20000</v>
      </c>
      <c r="G572" s="75"/>
      <c r="H572" s="59" t="str">
        <f ca="1">IFERROR(__xludf.DUMMYFUNCTION("""COMPUTED_VALUE"""),"UPDATE")</f>
        <v>UPDATE</v>
      </c>
      <c r="I572" s="76" t="str">
        <f ca="1">IFERROR(__xludf.DUMMYFUNCTION("""COMPUTED_VALUE"""),"https://drive.google.com/open?id=1hIx5faVXQWBix-8yBCrjtuwk-52Ku_vB")</f>
        <v>https://drive.google.com/open?id=1hIx5faVXQWBix-8yBCrjtuwk-52Ku_vB</v>
      </c>
      <c r="J572" s="59"/>
      <c r="K572" s="59"/>
      <c r="L572" s="59"/>
      <c r="M572" s="59"/>
      <c r="N572" s="59"/>
      <c r="O572" s="59"/>
      <c r="P572" s="59"/>
    </row>
    <row r="573" spans="1:16">
      <c r="A573" s="71">
        <f ca="1">IFERROR(__xludf.DUMMYFUNCTION("""COMPUTED_VALUE"""),45097.6106583101)</f>
        <v>45097.610658310099</v>
      </c>
      <c r="B573" s="59" t="str">
        <f ca="1">IFERROR(__xludf.DUMMYFUNCTION("""COMPUTED_VALUE"""),"Sarvaiya mansi hareshbhai")</f>
        <v>Sarvaiya mansi hareshbhai</v>
      </c>
      <c r="C573" s="72" t="str">
        <f ca="1">IFERROR(__xludf.DUMMYFUNCTION("""COMPUTED_VALUE"""),"22sdscv01022")</f>
        <v>22sdscv01022</v>
      </c>
      <c r="D573" s="73">
        <f ca="1">IFERROR(__xludf.DUMMYFUNCTION("""COMPUTED_VALUE"""),45097)</f>
        <v>45097</v>
      </c>
      <c r="E573" s="74">
        <f ca="1">IFERROR(__xludf.DUMMYFUNCTION("""COMPUTED_VALUE"""),25000)</f>
        <v>25000</v>
      </c>
      <c r="F573" s="72">
        <f ca="1">IFERROR(__xludf.DUMMYFUNCTION("""COMPUTED_VALUE"""),3000)</f>
        <v>3000</v>
      </c>
      <c r="G573" s="75"/>
      <c r="H573" s="59" t="str">
        <f ca="1">IFERROR(__xludf.DUMMYFUNCTION("""COMPUTED_VALUE"""),"UPDATE")</f>
        <v>UPDATE</v>
      </c>
      <c r="I573" s="76" t="str">
        <f ca="1">IFERROR(__xludf.DUMMYFUNCTION("""COMPUTED_VALUE"""),"https://drive.google.com/open?id=1c4mmi2kiqaJMDlO8X28nggTSZVeoAATf")</f>
        <v>https://drive.google.com/open?id=1c4mmi2kiqaJMDlO8X28nggTSZVeoAATf</v>
      </c>
      <c r="J573" s="59"/>
      <c r="K573" s="59"/>
      <c r="L573" s="59"/>
      <c r="M573" s="59"/>
      <c r="N573" s="59"/>
      <c r="O573" s="59"/>
      <c r="P573" s="59"/>
    </row>
    <row r="574" spans="1:16">
      <c r="A574" s="71">
        <f ca="1">IFERROR(__xludf.DUMMYFUNCTION("""COMPUTED_VALUE"""),45097.548818125)</f>
        <v>45097.548818124997</v>
      </c>
      <c r="B574" s="59" t="str">
        <f ca="1">IFERROR(__xludf.DUMMYFUNCTION("""COMPUTED_VALUE"""),"Bhatt Bhargav Vipulbhai")</f>
        <v>Bhatt Bhargav Vipulbhai</v>
      </c>
      <c r="C574" s="72" t="str">
        <f ca="1">IFERROR(__xludf.DUMMYFUNCTION("""COMPUTED_VALUE"""),"22SDSCE01198")</f>
        <v>22SDSCE01198</v>
      </c>
      <c r="D574" s="73">
        <f ca="1">IFERROR(__xludf.DUMMYFUNCTION("""COMPUTED_VALUE"""),45025)</f>
        <v>45025</v>
      </c>
      <c r="E574" s="74">
        <f ca="1">IFERROR(__xludf.DUMMYFUNCTION("""COMPUTED_VALUE"""),25000)</f>
        <v>25000</v>
      </c>
      <c r="F574" s="72"/>
      <c r="G574" s="75"/>
      <c r="H574" s="59" t="str">
        <f ca="1">IFERROR(__xludf.DUMMYFUNCTION("""COMPUTED_VALUE"""),"UPDATE")</f>
        <v>UPDATE</v>
      </c>
      <c r="I574" s="76" t="str">
        <f ca="1">IFERROR(__xludf.DUMMYFUNCTION("""COMPUTED_VALUE"""),"https://drive.google.com/open?id=1xT8ljUa3qY0wki8PXPm6vvMJd0GncHGI")</f>
        <v>https://drive.google.com/open?id=1xT8ljUa3qY0wki8PXPm6vvMJd0GncHGI</v>
      </c>
      <c r="J574" s="59"/>
      <c r="K574" s="59"/>
      <c r="L574" s="59"/>
      <c r="M574" s="59"/>
      <c r="N574" s="59"/>
      <c r="O574" s="59"/>
      <c r="P574" s="59"/>
    </row>
    <row r="575" spans="1:16">
      <c r="A575" s="71">
        <f ca="1">IFERROR(__xludf.DUMMYFUNCTION("""COMPUTED_VALUE"""),45097.5166048842)</f>
        <v>45097.5166048842</v>
      </c>
      <c r="B575" s="59" t="str">
        <f ca="1">IFERROR(__xludf.DUMMYFUNCTION("""COMPUTED_VALUE"""),"Panchani tirtha ")</f>
        <v xml:space="preserve">Panchani tirtha </v>
      </c>
      <c r="C575" s="72" t="str">
        <f ca="1">IFERROR(__xludf.DUMMYFUNCTION("""COMPUTED_VALUE"""),"21SDSCE01086")</f>
        <v>21SDSCE01086</v>
      </c>
      <c r="D575" s="73">
        <f ca="1">IFERROR(__xludf.DUMMYFUNCTION("""COMPUTED_VALUE"""),45097)</f>
        <v>45097</v>
      </c>
      <c r="E575" s="74">
        <f ca="1">IFERROR(__xludf.DUMMYFUNCTION("""COMPUTED_VALUE"""),25000)</f>
        <v>25000</v>
      </c>
      <c r="F575" s="72"/>
      <c r="G575" s="75"/>
      <c r="H575" s="59" t="str">
        <f ca="1">IFERROR(__xludf.DUMMYFUNCTION("""COMPUTED_VALUE"""),"UPDATE")</f>
        <v>UPDATE</v>
      </c>
      <c r="I575" s="76" t="str">
        <f ca="1">IFERROR(__xludf.DUMMYFUNCTION("""COMPUTED_VALUE"""),"https://drive.google.com/open?id=1IdtKCazBTc0HTg8Q8WltQwv3Q_ZAmP96")</f>
        <v>https://drive.google.com/open?id=1IdtKCazBTc0HTg8Q8WltQwv3Q_ZAmP96</v>
      </c>
      <c r="J575" s="59"/>
      <c r="K575" s="59"/>
      <c r="L575" s="59"/>
      <c r="M575" s="59"/>
      <c r="N575" s="59"/>
      <c r="O575" s="59"/>
      <c r="P575" s="59"/>
    </row>
    <row r="576" spans="1:16">
      <c r="A576" s="71">
        <f ca="1">IFERROR(__xludf.DUMMYFUNCTION("""COMPUTED_VALUE"""),45097.5044346296)</f>
        <v>45097.504434629598</v>
      </c>
      <c r="B576" s="59" t="str">
        <f ca="1">IFERROR(__xludf.DUMMYFUNCTION("""COMPUTED_VALUE"""),"Panchani tirth")</f>
        <v>Panchani tirth</v>
      </c>
      <c r="C576" s="72" t="str">
        <f ca="1">IFERROR(__xludf.DUMMYFUNCTION("""COMPUTED_VALUE"""),"21SDSCE01087")</f>
        <v>21SDSCE01087</v>
      </c>
      <c r="D576" s="73">
        <f ca="1">IFERROR(__xludf.DUMMYFUNCTION("""COMPUTED_VALUE"""),45097)</f>
        <v>45097</v>
      </c>
      <c r="E576" s="72"/>
      <c r="F576" s="72">
        <f ca="1">IFERROR(__xludf.DUMMYFUNCTION("""COMPUTED_VALUE"""),2500)</f>
        <v>2500</v>
      </c>
      <c r="G576" s="75"/>
      <c r="H576" s="59" t="str">
        <f ca="1">IFERROR(__xludf.DUMMYFUNCTION("""COMPUTED_VALUE"""),"UPDATE")</f>
        <v>UPDATE</v>
      </c>
      <c r="I576" s="76" t="str">
        <f ca="1">IFERROR(__xludf.DUMMYFUNCTION("""COMPUTED_VALUE"""),"https://drive.google.com/open?id=1dwqgWbGSurWzruLRYfyTlYUIhSXZ0rQF")</f>
        <v>https://drive.google.com/open?id=1dwqgWbGSurWzruLRYfyTlYUIhSXZ0rQF</v>
      </c>
      <c r="J576" s="59"/>
      <c r="K576" s="59"/>
      <c r="L576" s="59"/>
      <c r="M576" s="59"/>
      <c r="N576" s="59"/>
      <c r="O576" s="59"/>
      <c r="P576" s="59"/>
    </row>
    <row r="577" spans="1:16">
      <c r="A577" s="71">
        <f ca="1">IFERROR(__xludf.DUMMYFUNCTION("""COMPUTED_VALUE"""),45097.4127454629)</f>
        <v>45097.412745462898</v>
      </c>
      <c r="B577" s="59" t="str">
        <f ca="1">IFERROR(__xludf.DUMMYFUNCTION("""COMPUTED_VALUE"""),"Agravat Deep Dineshbhai ")</f>
        <v xml:space="preserve">Agravat Deep Dineshbhai </v>
      </c>
      <c r="C577" s="72" t="str">
        <f ca="1">IFERROR(__xludf.DUMMYFUNCTION("""COMPUTED_VALUE"""),"21SDSME01002")</f>
        <v>21SDSME01002</v>
      </c>
      <c r="D577" s="73">
        <f ca="1">IFERROR(__xludf.DUMMYFUNCTION("""COMPUTED_VALUE"""),45097)</f>
        <v>45097</v>
      </c>
      <c r="E577" s="74">
        <f ca="1">IFERROR(__xludf.DUMMYFUNCTION("""COMPUTED_VALUE"""),0)</f>
        <v>0</v>
      </c>
      <c r="F577" s="72">
        <f ca="1">IFERROR(__xludf.DUMMYFUNCTION("""COMPUTED_VALUE"""),2500)</f>
        <v>2500</v>
      </c>
      <c r="G577" s="75"/>
      <c r="H577" s="59" t="str">
        <f ca="1">IFERROR(__xludf.DUMMYFUNCTION("""COMPUTED_VALUE"""),"UPDATE")</f>
        <v>UPDATE</v>
      </c>
      <c r="I577" s="76" t="str">
        <f ca="1">IFERROR(__xludf.DUMMYFUNCTION("""COMPUTED_VALUE"""),"https://drive.google.com/open?id=1VyMdbaAWsrybsx3oggrGdzsOIRwjyojz")</f>
        <v>https://drive.google.com/open?id=1VyMdbaAWsrybsx3oggrGdzsOIRwjyojz</v>
      </c>
      <c r="J577" s="59"/>
      <c r="K577" s="59"/>
      <c r="L577" s="59"/>
      <c r="M577" s="59"/>
      <c r="N577" s="59"/>
      <c r="O577" s="59"/>
      <c r="P577" s="59"/>
    </row>
    <row r="578" spans="1:16">
      <c r="A578" s="71">
        <f ca="1">IFERROR(__xludf.DUMMYFUNCTION("""COMPUTED_VALUE"""),45097.4011128472)</f>
        <v>45097.401112847198</v>
      </c>
      <c r="B578" s="59" t="str">
        <f ca="1">IFERROR(__xludf.DUMMYFUNCTION("""COMPUTED_VALUE"""),"Tank jenish c.")</f>
        <v>Tank jenish c.</v>
      </c>
      <c r="C578" s="72" t="str">
        <f ca="1">IFERROR(__xludf.DUMMYFUNCTION("""COMPUTED_VALUE"""),"22SDSCV01024")</f>
        <v>22SDSCV01024</v>
      </c>
      <c r="D578" s="73">
        <f ca="1">IFERROR(__xludf.DUMMYFUNCTION("""COMPUTED_VALUE"""),45066)</f>
        <v>45066</v>
      </c>
      <c r="E578" s="72"/>
      <c r="F578" s="72">
        <f ca="1">IFERROR(__xludf.DUMMYFUNCTION("""COMPUTED_VALUE"""),3000)</f>
        <v>3000</v>
      </c>
      <c r="G578" s="75"/>
      <c r="H578" s="59" t="str">
        <f ca="1">IFERROR(__xludf.DUMMYFUNCTION("""COMPUTED_VALUE"""),"UPDATE")</f>
        <v>UPDATE</v>
      </c>
      <c r="I578" s="76" t="str">
        <f ca="1">IFERROR(__xludf.DUMMYFUNCTION("""COMPUTED_VALUE"""),"https://drive.google.com/open?id=1C3wkU1jNR45T-JKmhQxGAkt2YslMftGB")</f>
        <v>https://drive.google.com/open?id=1C3wkU1jNR45T-JKmhQxGAkt2YslMftGB</v>
      </c>
      <c r="J578" s="59"/>
      <c r="K578" s="59"/>
      <c r="L578" s="59"/>
      <c r="M578" s="59"/>
      <c r="N578" s="59"/>
      <c r="O578" s="59"/>
      <c r="P578" s="59"/>
    </row>
    <row r="579" spans="1:16">
      <c r="A579" s="71">
        <f ca="1">IFERROR(__xludf.DUMMYFUNCTION("""COMPUTED_VALUE"""),45096.5945257175)</f>
        <v>45096.594525717497</v>
      </c>
      <c r="B579" s="59" t="str">
        <f ca="1">IFERROR(__xludf.DUMMYFUNCTION("""COMPUTED_VALUE"""),"JENISH KOTADIYA ")</f>
        <v xml:space="preserve">JENISH KOTADIYA </v>
      </c>
      <c r="C579" s="72" t="str">
        <f ca="1">IFERROR(__xludf.DUMMYFUNCTION("""COMPUTED_VALUE"""),"21SDSCE01081")</f>
        <v>21SDSCE01081</v>
      </c>
      <c r="D579" s="73">
        <f ca="1">IFERROR(__xludf.DUMMYFUNCTION("""COMPUTED_VALUE"""),45096)</f>
        <v>45096</v>
      </c>
      <c r="E579" s="72"/>
      <c r="F579" s="72">
        <f ca="1">IFERROR(__xludf.DUMMYFUNCTION("""COMPUTED_VALUE"""),2500)</f>
        <v>2500</v>
      </c>
      <c r="G579" s="75"/>
      <c r="H579" s="59" t="str">
        <f ca="1">IFERROR(__xludf.DUMMYFUNCTION("""COMPUTED_VALUE"""),"UPDATE")</f>
        <v>UPDATE</v>
      </c>
      <c r="I579" s="76" t="str">
        <f ca="1">IFERROR(__xludf.DUMMYFUNCTION("""COMPUTED_VALUE"""),"https://drive.google.com/open?id=1znmndjPX6GdwbE2zcwSxSOo2b_8vOuYt")</f>
        <v>https://drive.google.com/open?id=1znmndjPX6GdwbE2zcwSxSOo2b_8vOuYt</v>
      </c>
      <c r="J579" s="59"/>
      <c r="K579" s="59"/>
      <c r="L579" s="59"/>
      <c r="M579" s="59"/>
      <c r="N579" s="59"/>
      <c r="O579" s="59"/>
      <c r="P579" s="59"/>
    </row>
    <row r="580" spans="1:16">
      <c r="A580" s="71">
        <f ca="1">IFERROR(__xludf.DUMMYFUNCTION("""COMPUTED_VALUE"""),45096.5937136574)</f>
        <v>45096.593713657399</v>
      </c>
      <c r="B580" s="59" t="str">
        <f ca="1">IFERROR(__xludf.DUMMYFUNCTION("""COMPUTED_VALUE"""),"Jenish kotadiya ")</f>
        <v xml:space="preserve">Jenish kotadiya </v>
      </c>
      <c r="C580" s="72" t="str">
        <f ca="1">IFERROR(__xludf.DUMMYFUNCTION("""COMPUTED_VALUE"""),"21SDSCE01081")</f>
        <v>21SDSCE01081</v>
      </c>
      <c r="D580" s="73">
        <f ca="1">IFERROR(__xludf.DUMMYFUNCTION("""COMPUTED_VALUE"""),45096)</f>
        <v>45096</v>
      </c>
      <c r="E580" s="74">
        <f ca="1">IFERROR(__xludf.DUMMYFUNCTION("""COMPUTED_VALUE"""),25000)</f>
        <v>25000</v>
      </c>
      <c r="F580" s="72"/>
      <c r="G580" s="75"/>
      <c r="H580" s="59" t="str">
        <f ca="1">IFERROR(__xludf.DUMMYFUNCTION("""COMPUTED_VALUE"""),"UPDATE")</f>
        <v>UPDATE</v>
      </c>
      <c r="I580" s="76" t="str">
        <f ca="1">IFERROR(__xludf.DUMMYFUNCTION("""COMPUTED_VALUE"""),"https://drive.google.com/open?id=1sUKZbf15Q783jikf6QGHg9O5JRe0cruI")</f>
        <v>https://drive.google.com/open?id=1sUKZbf15Q783jikf6QGHg9O5JRe0cruI</v>
      </c>
      <c r="J580" s="59"/>
      <c r="K580" s="59"/>
      <c r="L580" s="59"/>
      <c r="M580" s="59"/>
      <c r="N580" s="59"/>
      <c r="O580" s="59"/>
      <c r="P580" s="59"/>
    </row>
    <row r="581" spans="1:16">
      <c r="A581" s="71">
        <f ca="1">IFERROR(__xludf.DUMMYFUNCTION("""COMPUTED_VALUE"""),45096.5887605787)</f>
        <v>45096.588760578699</v>
      </c>
      <c r="B581" s="59" t="str">
        <f ca="1">IFERROR(__xludf.DUMMYFUNCTION("""COMPUTED_VALUE"""),"Tirth Chimanbhai Kardani ")</f>
        <v xml:space="preserve">Tirth Chimanbhai Kardani </v>
      </c>
      <c r="C581" s="72" t="str">
        <f ca="1">IFERROR(__xludf.DUMMYFUNCTION("""COMPUTED_VALUE"""),"22SDSCE01156")</f>
        <v>22SDSCE01156</v>
      </c>
      <c r="D581" s="73">
        <f ca="1">IFERROR(__xludf.DUMMYFUNCTION("""COMPUTED_VALUE"""),45096)</f>
        <v>45096</v>
      </c>
      <c r="E581" s="72"/>
      <c r="F581" s="72"/>
      <c r="G581" s="75"/>
      <c r="H581" s="59" t="str">
        <f ca="1">IFERROR(__xludf.DUMMYFUNCTION("""COMPUTED_VALUE"""),"UPDATE")</f>
        <v>UPDATE</v>
      </c>
      <c r="I581" s="76" t="str">
        <f ca="1">IFERROR(__xludf.DUMMYFUNCTION("""COMPUTED_VALUE"""),"https://drive.google.com/open?id=1e6SnVBspjU8YbBi310myLqg7jStthZM7")</f>
        <v>https://drive.google.com/open?id=1e6SnVBspjU8YbBi310myLqg7jStthZM7</v>
      </c>
      <c r="J581" s="59"/>
      <c r="K581" s="59"/>
      <c r="L581" s="59"/>
      <c r="M581" s="59"/>
      <c r="N581" s="59"/>
      <c r="O581" s="59"/>
      <c r="P581" s="59"/>
    </row>
    <row r="582" spans="1:16">
      <c r="A582" s="71">
        <f ca="1">IFERROR(__xludf.DUMMYFUNCTION("""COMPUTED_VALUE"""),45096.3775724652)</f>
        <v>45096.377572465201</v>
      </c>
      <c r="B582" s="59" t="str">
        <f ca="1">IFERROR(__xludf.DUMMYFUNCTION("""COMPUTED_VALUE"""),"Javiya krisha prakashbhai ")</f>
        <v xml:space="preserve">Javiya krisha prakashbhai </v>
      </c>
      <c r="C582" s="72" t="str">
        <f ca="1">IFERROR(__xludf.DUMMYFUNCTION("""COMPUTED_VALUE"""),"22SDSCE01154")</f>
        <v>22SDSCE01154</v>
      </c>
      <c r="D582" s="73">
        <f ca="1">IFERROR(__xludf.DUMMYFUNCTION("""COMPUTED_VALUE"""),45091)</f>
        <v>45091</v>
      </c>
      <c r="E582" s="72"/>
      <c r="F582" s="72"/>
      <c r="G582" s="75"/>
      <c r="H582" s="59" t="str">
        <f ca="1">IFERROR(__xludf.DUMMYFUNCTION("""COMPUTED_VALUE"""),"UPDATE")</f>
        <v>UPDATE</v>
      </c>
      <c r="I582" s="76" t="str">
        <f ca="1">IFERROR(__xludf.DUMMYFUNCTION("""COMPUTED_VALUE"""),"https://drive.google.com/open?id=1VjZXsuK-p3jYe6KNX7A-qxoc1qWUWOmX")</f>
        <v>https://drive.google.com/open?id=1VjZXsuK-p3jYe6KNX7A-qxoc1qWUWOmX</v>
      </c>
      <c r="J582" s="59"/>
      <c r="K582" s="59"/>
      <c r="L582" s="59"/>
      <c r="M582" s="59"/>
      <c r="N582" s="59"/>
      <c r="O582" s="59"/>
      <c r="P582" s="59"/>
    </row>
    <row r="583" spans="1:16">
      <c r="A583" s="71">
        <f ca="1">IFERROR(__xludf.DUMMYFUNCTION("""COMPUTED_VALUE"""),45089.6000966087)</f>
        <v>45089.600096608701</v>
      </c>
      <c r="B583" s="59" t="str">
        <f ca="1">IFERROR(__xludf.DUMMYFUNCTION("""COMPUTED_VALUE"""),"Sitapara foramben hirenbhai ")</f>
        <v xml:space="preserve">Sitapara foramben hirenbhai </v>
      </c>
      <c r="C583" s="72" t="str">
        <f ca="1">IFERROR(__xludf.DUMMYFUNCTION("""COMPUTED_VALUE"""),"22SDSCE01189")</f>
        <v>22SDSCE01189</v>
      </c>
      <c r="D583" s="73">
        <f ca="1">IFERROR(__xludf.DUMMYFUNCTION("""COMPUTED_VALUE"""),45089)</f>
        <v>45089</v>
      </c>
      <c r="E583" s="74">
        <f ca="1">IFERROR(__xludf.DUMMYFUNCTION("""COMPUTED_VALUE"""),0)</f>
        <v>0</v>
      </c>
      <c r="F583" s="72">
        <f ca="1">IFERROR(__xludf.DUMMYFUNCTION("""COMPUTED_VALUE"""),0)</f>
        <v>0</v>
      </c>
      <c r="G583" s="75"/>
      <c r="H583" s="59" t="str">
        <f ca="1">IFERROR(__xludf.DUMMYFUNCTION("""COMPUTED_VALUE"""),"UPDATE")</f>
        <v>UPDATE</v>
      </c>
      <c r="I583" s="76" t="str">
        <f ca="1">IFERROR(__xludf.DUMMYFUNCTION("""COMPUTED_VALUE"""),"https://drive.google.com/open?id=1KzCgmGbcNb-18xHk_WYGGALycqlZOo1P")</f>
        <v>https://drive.google.com/open?id=1KzCgmGbcNb-18xHk_WYGGALycqlZOo1P</v>
      </c>
      <c r="J583" s="59"/>
      <c r="K583" s="59"/>
      <c r="L583" s="59"/>
      <c r="M583" s="59"/>
      <c r="N583" s="59"/>
      <c r="O583" s="59"/>
      <c r="P583" s="59"/>
    </row>
    <row r="584" spans="1:16">
      <c r="A584" s="71">
        <f ca="1">IFERROR(__xludf.DUMMYFUNCTION("""COMPUTED_VALUE"""),45089.5982441898)</f>
        <v>45089.598244189801</v>
      </c>
      <c r="B584" s="59" t="str">
        <f ca="1">IFERROR(__xludf.DUMMYFUNCTION("""COMPUTED_VALUE"""),"Sitapara foramben hirenbhai ")</f>
        <v xml:space="preserve">Sitapara foramben hirenbhai </v>
      </c>
      <c r="C584" s="72" t="str">
        <f ca="1">IFERROR(__xludf.DUMMYFUNCTION("""COMPUTED_VALUE"""),"22SDSCE01189")</f>
        <v>22SDSCE01189</v>
      </c>
      <c r="D584" s="73">
        <f ca="1">IFERROR(__xludf.DUMMYFUNCTION("""COMPUTED_VALUE"""),45089)</f>
        <v>45089</v>
      </c>
      <c r="E584" s="74">
        <f ca="1">IFERROR(__xludf.DUMMYFUNCTION("""COMPUTED_VALUE"""),0)</f>
        <v>0</v>
      </c>
      <c r="F584" s="72">
        <f ca="1">IFERROR(__xludf.DUMMYFUNCTION("""COMPUTED_VALUE"""),0)</f>
        <v>0</v>
      </c>
      <c r="G584" s="75"/>
      <c r="H584" s="59" t="str">
        <f ca="1">IFERROR(__xludf.DUMMYFUNCTION("""COMPUTED_VALUE"""),"UPDATE")</f>
        <v>UPDATE</v>
      </c>
      <c r="I584" s="76" t="str">
        <f ca="1">IFERROR(__xludf.DUMMYFUNCTION("""COMPUTED_VALUE"""),"https://drive.google.com/open?id=1MKPPqCmcoZQVNiQcK_vQ1BIs8zMeErOe")</f>
        <v>https://drive.google.com/open?id=1MKPPqCmcoZQVNiQcK_vQ1BIs8zMeErOe</v>
      </c>
      <c r="J584" s="59"/>
      <c r="K584" s="59"/>
      <c r="L584" s="59"/>
      <c r="M584" s="59"/>
      <c r="N584" s="59"/>
      <c r="O584" s="59"/>
      <c r="P584" s="59"/>
    </row>
    <row r="585" spans="1:16">
      <c r="A585" s="71">
        <f ca="1">IFERROR(__xludf.DUMMYFUNCTION("""COMPUTED_VALUE"""),45089.5762985301)</f>
        <v>45089.576298530097</v>
      </c>
      <c r="B585" s="59" t="str">
        <f ca="1">IFERROR(__xludf.DUMMYFUNCTION("""COMPUTED_VALUE"""),"Koradiya isha vithalbhai")</f>
        <v>Koradiya isha vithalbhai</v>
      </c>
      <c r="C585" s="72" t="str">
        <f ca="1">IFERROR(__xludf.DUMMYFUNCTION("""COMPUTED_VALUE"""),"21SDS21SDSCE01080")</f>
        <v>21SDS21SDSCE01080</v>
      </c>
      <c r="D585" s="73">
        <f ca="1">IFERROR(__xludf.DUMMYFUNCTION("""COMPUTED_VALUE"""),45087)</f>
        <v>45087</v>
      </c>
      <c r="E585" s="72"/>
      <c r="F585" s="72"/>
      <c r="G585" s="75"/>
      <c r="H585" s="59" t="str">
        <f ca="1">IFERROR(__xludf.DUMMYFUNCTION("""COMPUTED_VALUE"""),"UPDATE")</f>
        <v>UPDATE</v>
      </c>
      <c r="I585" s="76" t="str">
        <f ca="1">IFERROR(__xludf.DUMMYFUNCTION("""COMPUTED_VALUE"""),"https://drive.google.com/open?id=1i6-y2nJyyBFPies9d-DgjpRudavaaY-k")</f>
        <v>https://drive.google.com/open?id=1i6-y2nJyyBFPies9d-DgjpRudavaaY-k</v>
      </c>
      <c r="J585" s="59"/>
      <c r="K585" s="59"/>
      <c r="L585" s="59"/>
      <c r="M585" s="59"/>
      <c r="N585" s="59"/>
      <c r="O585" s="59"/>
      <c r="P585" s="59"/>
    </row>
    <row r="586" spans="1:16">
      <c r="A586" s="71">
        <f ca="1">IFERROR(__xludf.DUMMYFUNCTION("""COMPUTED_VALUE"""),45087.5944744907)</f>
        <v>45087.594474490703</v>
      </c>
      <c r="B586" s="59" t="str">
        <f ca="1">IFERROR(__xludf.DUMMYFUNCTION("""COMPUTED_VALUE"""),"Keval Kothiya ")</f>
        <v xml:space="preserve">Keval Kothiya </v>
      </c>
      <c r="C586" s="72" t="str">
        <f ca="1">IFERROR(__xludf.DUMMYFUNCTION("""COMPUTED_VALUE"""),"21SDSCE01031")</f>
        <v>21SDSCE01031</v>
      </c>
      <c r="D586" s="73">
        <f ca="1">IFERROR(__xludf.DUMMYFUNCTION("""COMPUTED_VALUE"""),45087)</f>
        <v>45087</v>
      </c>
      <c r="E586" s="74">
        <f ca="1">IFERROR(__xludf.DUMMYFUNCTION("""COMPUTED_VALUE"""),0)</f>
        <v>0</v>
      </c>
      <c r="F586" s="72">
        <f ca="1">IFERROR(__xludf.DUMMYFUNCTION("""COMPUTED_VALUE"""),0)</f>
        <v>0</v>
      </c>
      <c r="G586" s="75"/>
      <c r="H586" s="59" t="str">
        <f ca="1">IFERROR(__xludf.DUMMYFUNCTION("""COMPUTED_VALUE"""),"UPDATE")</f>
        <v>UPDATE</v>
      </c>
      <c r="I586" s="76" t="str">
        <f ca="1">IFERROR(__xludf.DUMMYFUNCTION("""COMPUTED_VALUE"""),"https://drive.google.com/open?id=1K8eaCC8UqCl1tJ7z-z1xq39p6UDZOdCx")</f>
        <v>https://drive.google.com/open?id=1K8eaCC8UqCl1tJ7z-z1xq39p6UDZOdCx</v>
      </c>
      <c r="J586" s="59"/>
      <c r="K586" s="59"/>
      <c r="L586" s="59"/>
      <c r="M586" s="59"/>
      <c r="N586" s="59"/>
      <c r="O586" s="59"/>
      <c r="P586" s="59"/>
    </row>
    <row r="587" spans="1:16">
      <c r="A587" s="71">
        <f ca="1">IFERROR(__xludf.DUMMYFUNCTION("""COMPUTED_VALUE"""),45087.5603136805)</f>
        <v>45087.5603136805</v>
      </c>
      <c r="B587" s="59" t="str">
        <f ca="1">IFERROR(__xludf.DUMMYFUNCTION("""COMPUTED_VALUE"""),"Ravaliya Tushar Maheshbhai")</f>
        <v>Ravaliya Tushar Maheshbhai</v>
      </c>
      <c r="C587" s="72" t="str">
        <f ca="1">IFERROR(__xludf.DUMMYFUNCTION("""COMPUTED_VALUE"""),"21SDSCE01101")</f>
        <v>21SDSCE01101</v>
      </c>
      <c r="D587" s="73">
        <f ca="1">IFERROR(__xludf.DUMMYFUNCTION("""COMPUTED_VALUE"""),45087)</f>
        <v>45087</v>
      </c>
      <c r="E587" s="72"/>
      <c r="F587" s="72"/>
      <c r="G587" s="75"/>
      <c r="H587" s="59" t="str">
        <f ca="1">IFERROR(__xludf.DUMMYFUNCTION("""COMPUTED_VALUE"""),"UPDATE")</f>
        <v>UPDATE</v>
      </c>
      <c r="I587" s="76" t="str">
        <f ca="1">IFERROR(__xludf.DUMMYFUNCTION("""COMPUTED_VALUE"""),"https://drive.google.com/open?id=16IBVcSJUL0vC6GSG-rWC06XtaVzv2ote")</f>
        <v>https://drive.google.com/open?id=16IBVcSJUL0vC6GSG-rWC06XtaVzv2ote</v>
      </c>
      <c r="J587" s="59"/>
      <c r="K587" s="59"/>
      <c r="L587" s="59"/>
      <c r="M587" s="59"/>
      <c r="N587" s="59"/>
      <c r="O587" s="59"/>
      <c r="P587" s="59"/>
    </row>
    <row r="588" spans="1:16">
      <c r="A588" s="71">
        <f ca="1">IFERROR(__xludf.DUMMYFUNCTION("""COMPUTED_VALUE"""),45086.9460161921)</f>
        <v>45086.946016192102</v>
      </c>
      <c r="B588" s="59" t="str">
        <f ca="1">IFERROR(__xludf.DUMMYFUNCTION("""COMPUTED_VALUE"""),"Pruthvi zankat ")</f>
        <v xml:space="preserve">Pruthvi zankat </v>
      </c>
      <c r="C588" s="72" t="str">
        <f ca="1">IFERROR(__xludf.DUMMYFUNCTION("""COMPUTED_VALUE"""),"22SDSCV01018")</f>
        <v>22SDSCV01018</v>
      </c>
      <c r="D588" s="73">
        <f ca="1">IFERROR(__xludf.DUMMYFUNCTION("""COMPUTED_VALUE"""),45086)</f>
        <v>45086</v>
      </c>
      <c r="E588" s="74">
        <f ca="1">IFERROR(__xludf.DUMMYFUNCTION("""COMPUTED_VALUE"""),25000)</f>
        <v>25000</v>
      </c>
      <c r="F588" s="72"/>
      <c r="G588" s="75"/>
      <c r="H588" s="59" t="str">
        <f ca="1">IFERROR(__xludf.DUMMYFUNCTION("""COMPUTED_VALUE"""),"UPDATE")</f>
        <v>UPDATE</v>
      </c>
      <c r="I588" s="76" t="str">
        <f ca="1">IFERROR(__xludf.DUMMYFUNCTION("""COMPUTED_VALUE"""),"https://drive.google.com/open?id=13sAUCPtyA9_U7GI1e8EUv5-A9mRtu9eo")</f>
        <v>https://drive.google.com/open?id=13sAUCPtyA9_U7GI1e8EUv5-A9mRtu9eo</v>
      </c>
      <c r="J588" s="59"/>
      <c r="K588" s="59"/>
      <c r="L588" s="59"/>
      <c r="M588" s="59"/>
      <c r="N588" s="59"/>
      <c r="O588" s="59"/>
      <c r="P588" s="59"/>
    </row>
    <row r="589" spans="1:16">
      <c r="A589" s="71">
        <f ca="1">IFERROR(__xludf.DUMMYFUNCTION("""COMPUTED_VALUE"""),45086.4984789236)</f>
        <v>45086.498478923597</v>
      </c>
      <c r="B589" s="59" t="str">
        <f ca="1">IFERROR(__xludf.DUMMYFUNCTION("""COMPUTED_VALUE"""),"Isha Koradiya")</f>
        <v>Isha Koradiya</v>
      </c>
      <c r="C589" s="72" t="str">
        <f ca="1">IFERROR(__xludf.DUMMYFUNCTION("""COMPUTED_VALUE"""),"21SDSCE01080")</f>
        <v>21SDSCE01080</v>
      </c>
      <c r="D589" s="73">
        <f ca="1">IFERROR(__xludf.DUMMYFUNCTION("""COMPUTED_VALUE"""),45058)</f>
        <v>45058</v>
      </c>
      <c r="E589" s="72"/>
      <c r="F589" s="72"/>
      <c r="G589" s="75"/>
      <c r="H589" s="59" t="str">
        <f ca="1">IFERROR(__xludf.DUMMYFUNCTION("""COMPUTED_VALUE"""),"UPDATE")</f>
        <v>UPDATE</v>
      </c>
      <c r="I589" s="76" t="str">
        <f ca="1">IFERROR(__xludf.DUMMYFUNCTION("""COMPUTED_VALUE"""),"https://drive.google.com/open?id=1w7IFVim7c8I0nR8ixvJ9CDZ0KNVuZicX")</f>
        <v>https://drive.google.com/open?id=1w7IFVim7c8I0nR8ixvJ9CDZ0KNVuZicX</v>
      </c>
      <c r="J589" s="59"/>
      <c r="K589" s="59"/>
      <c r="L589" s="59"/>
      <c r="M589" s="59"/>
      <c r="N589" s="59"/>
      <c r="O589" s="59"/>
      <c r="P589" s="59"/>
    </row>
    <row r="590" spans="1:16">
      <c r="A590" s="71">
        <f ca="1">IFERROR(__xludf.DUMMYFUNCTION("""COMPUTED_VALUE"""),45084.5997873958)</f>
        <v>45084.599787395797</v>
      </c>
      <c r="B590" s="59" t="str">
        <f ca="1">IFERROR(__xludf.DUMMYFUNCTION("""COMPUTED_VALUE"""),"Makwana vivek madhubhai ")</f>
        <v xml:space="preserve">Makwana vivek madhubhai </v>
      </c>
      <c r="C590" s="72" t="str">
        <f ca="1">IFERROR(__xludf.DUMMYFUNCTION("""COMPUTED_VALUE"""),"22SDSCE01170")</f>
        <v>22SDSCE01170</v>
      </c>
      <c r="D590" s="73">
        <f ca="1">IFERROR(__xludf.DUMMYFUNCTION("""COMPUTED_VALUE"""),45084)</f>
        <v>45084</v>
      </c>
      <c r="E590" s="72"/>
      <c r="F590" s="72">
        <f ca="1">IFERROR(__xludf.DUMMYFUNCTION("""COMPUTED_VALUE"""),3200)</f>
        <v>3200</v>
      </c>
      <c r="G590" s="75"/>
      <c r="H590" s="59" t="str">
        <f ca="1">IFERROR(__xludf.DUMMYFUNCTION("""COMPUTED_VALUE"""),"UPDATE")</f>
        <v>UPDATE</v>
      </c>
      <c r="I590" s="76" t="str">
        <f ca="1">IFERROR(__xludf.DUMMYFUNCTION("""COMPUTED_VALUE"""),"https://drive.google.com/open?id=1FIPaX5Nn6rJOg6anvIkd_USouJn875id")</f>
        <v>https://drive.google.com/open?id=1FIPaX5Nn6rJOg6anvIkd_USouJn875id</v>
      </c>
      <c r="J590" s="59"/>
      <c r="K590" s="59"/>
      <c r="L590" s="59"/>
      <c r="M590" s="59"/>
      <c r="N590" s="59"/>
      <c r="O590" s="59"/>
      <c r="P590" s="59"/>
    </row>
    <row r="591" spans="1:16">
      <c r="A591" s="71">
        <f ca="1">IFERROR(__xludf.DUMMYFUNCTION("""COMPUTED_VALUE"""),45081.3934202777)</f>
        <v>45081.393420277702</v>
      </c>
      <c r="B591" s="59" t="str">
        <f ca="1">IFERROR(__xludf.DUMMYFUNCTION("""COMPUTED_VALUE"""),"Pragati Pravinbhai Rathod ")</f>
        <v xml:space="preserve">Pragati Pravinbhai Rathod </v>
      </c>
      <c r="C591" s="72" t="str">
        <f ca="1">IFERROR(__xludf.DUMMYFUNCTION("""COMPUTED_VALUE"""),"20SDSEE01023")</f>
        <v>20SDSEE01023</v>
      </c>
      <c r="D591" s="73">
        <f ca="1">IFERROR(__xludf.DUMMYFUNCTION("""COMPUTED_VALUE"""),45081)</f>
        <v>45081</v>
      </c>
      <c r="E591" s="72"/>
      <c r="F591" s="72"/>
      <c r="G591" s="75"/>
      <c r="H591" s="59" t="str">
        <f ca="1">IFERROR(__xludf.DUMMYFUNCTION("""COMPUTED_VALUE"""),"THIS PROOF IS NOT PROPER")</f>
        <v>THIS PROOF IS NOT PROPER</v>
      </c>
      <c r="I591" s="76" t="str">
        <f ca="1">IFERROR(__xludf.DUMMYFUNCTION("""COMPUTED_VALUE"""),"https://drive.google.com/open?id=1yS1MJyElpCFXyMftAojbvqx7AN4kVBxr")</f>
        <v>https://drive.google.com/open?id=1yS1MJyElpCFXyMftAojbvqx7AN4kVBxr</v>
      </c>
      <c r="J591" s="59"/>
      <c r="K591" s="59"/>
      <c r="L591" s="59"/>
      <c r="M591" s="59"/>
      <c r="N591" s="59"/>
      <c r="O591" s="59"/>
      <c r="P591" s="59"/>
    </row>
    <row r="592" spans="1:16">
      <c r="A592" s="71">
        <f ca="1">IFERROR(__xludf.DUMMYFUNCTION("""COMPUTED_VALUE"""),45081.3923974884)</f>
        <v>45081.392397488402</v>
      </c>
      <c r="B592" s="59" t="str">
        <f ca="1">IFERROR(__xludf.DUMMYFUNCTION("""COMPUTED_VALUE"""),"Pragati Pravinbhai Rathod ")</f>
        <v xml:space="preserve">Pragati Pravinbhai Rathod </v>
      </c>
      <c r="C592" s="72" t="str">
        <f ca="1">IFERROR(__xludf.DUMMYFUNCTION("""COMPUTED_VALUE"""),"20SDSEE01023")</f>
        <v>20SDSEE01023</v>
      </c>
      <c r="D592" s="73">
        <f ca="1">IFERROR(__xludf.DUMMYFUNCTION("""COMPUTED_VALUE"""),45080)</f>
        <v>45080</v>
      </c>
      <c r="E592" s="72"/>
      <c r="F592" s="72"/>
      <c r="G592" s="75"/>
      <c r="H592" s="59" t="str">
        <f ca="1">IFERROR(__xludf.DUMMYFUNCTION("""COMPUTED_VALUE"""),"THIS PROOF IS NOT PROPER")</f>
        <v>THIS PROOF IS NOT PROPER</v>
      </c>
      <c r="I592" s="76" t="str">
        <f ca="1">IFERROR(__xludf.DUMMYFUNCTION("""COMPUTED_VALUE"""),"https://drive.google.com/open?id=1DYv18bk3Y4tSag-MPG7JHJQYCnCeW6_0")</f>
        <v>https://drive.google.com/open?id=1DYv18bk3Y4tSag-MPG7JHJQYCnCeW6_0</v>
      </c>
      <c r="J592" s="59"/>
      <c r="K592" s="59"/>
      <c r="L592" s="59"/>
      <c r="M592" s="59"/>
      <c r="N592" s="59"/>
      <c r="O592" s="59"/>
      <c r="P592" s="59"/>
    </row>
    <row r="593" spans="1:16">
      <c r="A593" s="71">
        <f ca="1">IFERROR(__xludf.DUMMYFUNCTION("""COMPUTED_VALUE"""),45068.6798402893)</f>
        <v>45068.679840289296</v>
      </c>
      <c r="B593" s="59" t="str">
        <f ca="1">IFERROR(__xludf.DUMMYFUNCTION("""COMPUTED_VALUE"""),"DEEP KATESHIYA")</f>
        <v>DEEP KATESHIYA</v>
      </c>
      <c r="C593" s="72" t="str">
        <f ca="1">IFERROR(__xludf.DUMMYFUNCTION("""COMPUTED_VALUE"""),"20SDSME01018")</f>
        <v>20SDSME01018</v>
      </c>
      <c r="D593" s="73">
        <f ca="1">IFERROR(__xludf.DUMMYFUNCTION("""COMPUTED_VALUE"""),45068)</f>
        <v>45068</v>
      </c>
      <c r="E593" s="74">
        <f ca="1">IFERROR(__xludf.DUMMYFUNCTION("""COMPUTED_VALUE"""),25000)</f>
        <v>25000</v>
      </c>
      <c r="F593" s="72">
        <f ca="1">IFERROR(__xludf.DUMMYFUNCTION("""COMPUTED_VALUE"""),0)</f>
        <v>0</v>
      </c>
      <c r="G593" s="75"/>
      <c r="H593" s="59" t="str">
        <f ca="1">IFERROR(__xludf.DUMMYFUNCTION("""COMPUTED_VALUE"""),"UPDATE")</f>
        <v>UPDATE</v>
      </c>
      <c r="I593" s="76" t="str">
        <f ca="1">IFERROR(__xludf.DUMMYFUNCTION("""COMPUTED_VALUE"""),"https://drive.google.com/open?id=1vMNl2ayK_GrzayiRYHxsjNd8pGs0IjYv")</f>
        <v>https://drive.google.com/open?id=1vMNl2ayK_GrzayiRYHxsjNd8pGs0IjYv</v>
      </c>
      <c r="J593" s="59"/>
      <c r="K593" s="59"/>
      <c r="L593" s="59"/>
      <c r="M593" s="59"/>
      <c r="N593" s="59"/>
      <c r="O593" s="59"/>
      <c r="P593" s="59"/>
    </row>
    <row r="594" spans="1:16">
      <c r="A594" s="71">
        <f ca="1">IFERROR(__xludf.DUMMYFUNCTION("""COMPUTED_VALUE"""),45066.5463437037)</f>
        <v>45066.546343703703</v>
      </c>
      <c r="B594" s="59" t="str">
        <f ca="1">IFERROR(__xludf.DUMMYFUNCTION("""COMPUTED_VALUE"""),"Jeet Chudasama ")</f>
        <v xml:space="preserve">Jeet Chudasama </v>
      </c>
      <c r="C594" s="72" t="str">
        <f ca="1">IFERROR(__xludf.DUMMYFUNCTION("""COMPUTED_VALUE"""),"22SDSCE01032")</f>
        <v>22SDSCE01032</v>
      </c>
      <c r="D594" s="73">
        <f ca="1">IFERROR(__xludf.DUMMYFUNCTION("""COMPUTED_VALUE"""),45066)</f>
        <v>45066</v>
      </c>
      <c r="E594" s="74">
        <f ca="1">IFERROR(__xludf.DUMMYFUNCTION("""COMPUTED_VALUE"""),25000)</f>
        <v>25000</v>
      </c>
      <c r="F594" s="72"/>
      <c r="G594" s="75"/>
      <c r="H594" s="59" t="str">
        <f ca="1">IFERROR(__xludf.DUMMYFUNCTION("""COMPUTED_VALUE"""),"UPDATE")</f>
        <v>UPDATE</v>
      </c>
      <c r="I594" s="76" t="str">
        <f ca="1">IFERROR(__xludf.DUMMYFUNCTION("""COMPUTED_VALUE"""),"https://drive.google.com/open?id=1IiVNCcnq5ZI_YoU1k6fdUUy7VsXZ8cyI")</f>
        <v>https://drive.google.com/open?id=1IiVNCcnq5ZI_YoU1k6fdUUy7VsXZ8cyI</v>
      </c>
      <c r="J594" s="59"/>
      <c r="K594" s="59"/>
      <c r="L594" s="59"/>
      <c r="M594" s="59"/>
      <c r="N594" s="59"/>
      <c r="O594" s="59"/>
      <c r="P594" s="59"/>
    </row>
    <row r="595" spans="1:16">
      <c r="A595" s="71">
        <f ca="1">IFERROR(__xludf.DUMMYFUNCTION("""COMPUTED_VALUE"""),45061.6448935185)</f>
        <v>45061.644893518504</v>
      </c>
      <c r="B595" s="59" t="str">
        <f ca="1">IFERROR(__xludf.DUMMYFUNCTION("""COMPUTED_VALUE"""),"VAGH MEHUL KARSHANBHAI ")</f>
        <v xml:space="preserve">VAGH MEHUL KARSHANBHAI </v>
      </c>
      <c r="C595" s="72" t="str">
        <f ca="1">IFERROR(__xludf.DUMMYFUNCTION("""COMPUTED_VALUE"""),"20SDSCE01126")</f>
        <v>20SDSCE01126</v>
      </c>
      <c r="D595" s="73">
        <f ca="1">IFERROR(__xludf.DUMMYFUNCTION("""COMPUTED_VALUE"""),45061)</f>
        <v>45061</v>
      </c>
      <c r="E595" s="74">
        <f ca="1">IFERROR(__xludf.DUMMYFUNCTION("""COMPUTED_VALUE"""),22040)</f>
        <v>22040</v>
      </c>
      <c r="F595" s="72"/>
      <c r="G595" s="75"/>
      <c r="H595" s="59" t="str">
        <f ca="1">IFERROR(__xludf.DUMMYFUNCTION("""COMPUTED_VALUE"""),"UPDATE")</f>
        <v>UPDATE</v>
      </c>
      <c r="I595" s="76" t="str">
        <f ca="1">IFERROR(__xludf.DUMMYFUNCTION("""COMPUTED_VALUE"""),"https://drive.google.com/open?id=1doNC4JaHT1B-VRANZ4PORypWr4m5cFY7")</f>
        <v>https://drive.google.com/open?id=1doNC4JaHT1B-VRANZ4PORypWr4m5cFY7</v>
      </c>
      <c r="J595" s="59"/>
      <c r="K595" s="59"/>
      <c r="L595" s="59"/>
      <c r="M595" s="59"/>
      <c r="N595" s="59"/>
      <c r="O595" s="59"/>
      <c r="P595" s="59"/>
    </row>
    <row r="596" spans="1:16">
      <c r="A596" s="71">
        <f ca="1">IFERROR(__xludf.DUMMYFUNCTION("""COMPUTED_VALUE"""),45061.5141543865)</f>
        <v>45061.514154386503</v>
      </c>
      <c r="B596" s="59" t="str">
        <f ca="1">IFERROR(__xludf.DUMMYFUNCTION("""COMPUTED_VALUE"""),"MAYARIYA SAHIL LAKHDEERBHAI")</f>
        <v>MAYARIYA SAHIL LAKHDEERBHAI</v>
      </c>
      <c r="C596" s="72" t="str">
        <f ca="1">IFERROR(__xludf.DUMMYFUNCTION("""COMPUTED_VALUE"""),"22SDSCE01173")</f>
        <v>22SDSCE01173</v>
      </c>
      <c r="D596" s="73">
        <f ca="1">IFERROR(__xludf.DUMMYFUNCTION("""COMPUTED_VALUE"""),45059)</f>
        <v>45059</v>
      </c>
      <c r="E596" s="74">
        <f ca="1">IFERROR(__xludf.DUMMYFUNCTION("""COMPUTED_VALUE"""),25000)</f>
        <v>25000</v>
      </c>
      <c r="F596" s="72"/>
      <c r="G596" s="75"/>
      <c r="H596" s="59" t="str">
        <f ca="1">IFERROR(__xludf.DUMMYFUNCTION("""COMPUTED_VALUE"""),"UPDATE")</f>
        <v>UPDATE</v>
      </c>
      <c r="I596" s="76" t="str">
        <f ca="1">IFERROR(__xludf.DUMMYFUNCTION("""COMPUTED_VALUE"""),"https://drive.google.com/open?id=17TxWLurzq8OqtH-k1FHLV7JxYrcrAqNE")</f>
        <v>https://drive.google.com/open?id=17TxWLurzq8OqtH-k1FHLV7JxYrcrAqNE</v>
      </c>
      <c r="J596" s="59"/>
      <c r="K596" s="59"/>
      <c r="L596" s="59"/>
      <c r="M596" s="59"/>
      <c r="N596" s="59"/>
      <c r="O596" s="59"/>
      <c r="P596" s="59"/>
    </row>
    <row r="597" spans="1:16">
      <c r="A597" s="71">
        <f ca="1">IFERROR(__xludf.DUMMYFUNCTION("""COMPUTED_VALUE"""),45061.4096122106)</f>
        <v>45061.409612210598</v>
      </c>
      <c r="B597" s="59" t="str">
        <f ca="1">IFERROR(__xludf.DUMMYFUNCTION("""COMPUTED_VALUE"""),"Dev Patel")</f>
        <v>Dev Patel</v>
      </c>
      <c r="C597" s="72" t="str">
        <f ca="1">IFERROR(__xludf.DUMMYFUNCTION("""COMPUTED_VALUE"""),"22SDSCE01089")</f>
        <v>22SDSCE01089</v>
      </c>
      <c r="D597" s="73">
        <f ca="1">IFERROR(__xludf.DUMMYFUNCTION("""COMPUTED_VALUE"""),38122)</f>
        <v>38122</v>
      </c>
      <c r="E597" s="72"/>
      <c r="F597" s="72">
        <f ca="1">IFERROR(__xludf.DUMMYFUNCTION("""COMPUTED_VALUE"""),1000)</f>
        <v>1000</v>
      </c>
      <c r="G597" s="75"/>
      <c r="H597" s="59" t="str">
        <f ca="1">IFERROR(__xludf.DUMMYFUNCTION("""COMPUTED_VALUE"""),"UPDATE")</f>
        <v>UPDATE</v>
      </c>
      <c r="I597" s="76" t="str">
        <f ca="1">IFERROR(__xludf.DUMMYFUNCTION("""COMPUTED_VALUE"""),"https://drive.google.com/open?id=1oskptGtbKmaxONCsLBxKVFhjK2VDjSeI")</f>
        <v>https://drive.google.com/open?id=1oskptGtbKmaxONCsLBxKVFhjK2VDjSeI</v>
      </c>
      <c r="J597" s="59"/>
      <c r="K597" s="59"/>
      <c r="L597" s="59"/>
      <c r="M597" s="59"/>
      <c r="N597" s="59"/>
      <c r="O597" s="59"/>
      <c r="P597" s="59"/>
    </row>
    <row r="598" spans="1:16">
      <c r="A598" s="71">
        <f ca="1">IFERROR(__xludf.DUMMYFUNCTION("""COMPUTED_VALUE"""),45059.4575504745)</f>
        <v>45059.457550474501</v>
      </c>
      <c r="B598" s="59" t="str">
        <f ca="1">IFERROR(__xludf.DUMMYFUNCTION("""COMPUTED_VALUE"""),"Bhimani mahi ashokbhai")</f>
        <v>Bhimani mahi ashokbhai</v>
      </c>
      <c r="C598" s="72" t="str">
        <f ca="1">IFERROR(__xludf.DUMMYFUNCTION("""COMPUTED_VALUE"""),"22SDSCE01134")</f>
        <v>22SDSCE01134</v>
      </c>
      <c r="D598" s="73">
        <f ca="1">IFERROR(__xludf.DUMMYFUNCTION("""COMPUTED_VALUE"""),45059)</f>
        <v>45059</v>
      </c>
      <c r="E598" s="74">
        <f ca="1">IFERROR(__xludf.DUMMYFUNCTION("""COMPUTED_VALUE"""),25000)</f>
        <v>25000</v>
      </c>
      <c r="F598" s="72"/>
      <c r="G598" s="75"/>
      <c r="H598" s="59" t="str">
        <f ca="1">IFERROR(__xludf.DUMMYFUNCTION("""COMPUTED_VALUE"""),"UPDATE")</f>
        <v>UPDATE</v>
      </c>
      <c r="I598" s="76" t="str">
        <f ca="1">IFERROR(__xludf.DUMMYFUNCTION("""COMPUTED_VALUE"""),"https://drive.google.com/open?id=1nRlS6DKO_ojo3qm_-rOgGY9m50WWYy1H")</f>
        <v>https://drive.google.com/open?id=1nRlS6DKO_ojo3qm_-rOgGY9m50WWYy1H</v>
      </c>
      <c r="J598" s="59"/>
      <c r="K598" s="59"/>
      <c r="L598" s="59"/>
      <c r="M598" s="59"/>
      <c r="N598" s="59"/>
      <c r="O598" s="59"/>
      <c r="P598" s="59"/>
    </row>
    <row r="599" spans="1:16">
      <c r="A599" s="71">
        <f ca="1">IFERROR(__xludf.DUMMYFUNCTION("""COMPUTED_VALUE"""),45056.6438400578)</f>
        <v>45056.643840057797</v>
      </c>
      <c r="B599" s="59" t="str">
        <f ca="1">IFERROR(__xludf.DUMMYFUNCTION("""COMPUTED_VALUE"""),"Akash kumar chai")</f>
        <v>Akash kumar chai</v>
      </c>
      <c r="C599" s="72" t="str">
        <f ca="1">IFERROR(__xludf.DUMMYFUNCTION("""COMPUTED_VALUE"""),"22SDSCV01603")</f>
        <v>22SDSCV01603</v>
      </c>
      <c r="D599" s="73">
        <f ca="1">IFERROR(__xludf.DUMMYFUNCTION("""COMPUTED_VALUE"""),45056)</f>
        <v>45056</v>
      </c>
      <c r="E599" s="72"/>
      <c r="F599" s="72"/>
      <c r="G599" s="75"/>
      <c r="H599" s="59" t="str">
        <f ca="1">IFERROR(__xludf.DUMMYFUNCTION("""COMPUTED_VALUE"""),"UPDATE")</f>
        <v>UPDATE</v>
      </c>
      <c r="I599" s="76" t="str">
        <f ca="1">IFERROR(__xludf.DUMMYFUNCTION("""COMPUTED_VALUE"""),"https://drive.google.com/open?id=1ef3NnBYpivbyMAm6gjQ4tfWisTLEF0SV")</f>
        <v>https://drive.google.com/open?id=1ef3NnBYpivbyMAm6gjQ4tfWisTLEF0SV</v>
      </c>
      <c r="J599" s="59"/>
      <c r="K599" s="59"/>
      <c r="L599" s="59"/>
      <c r="M599" s="59"/>
      <c r="N599" s="59"/>
      <c r="O599" s="59"/>
      <c r="P599" s="59"/>
    </row>
    <row r="600" spans="1:16">
      <c r="A600" s="71">
        <f ca="1">IFERROR(__xludf.DUMMYFUNCTION("""COMPUTED_VALUE"""),45051.6338088888)</f>
        <v>45051.633808888801</v>
      </c>
      <c r="B600" s="59" t="str">
        <f ca="1">IFERROR(__xludf.DUMMYFUNCTION("""COMPUTED_VALUE"""),"Mohit Paddhariya ")</f>
        <v xml:space="preserve">Mohit Paddhariya </v>
      </c>
      <c r="C600" s="72" t="str">
        <f ca="1">IFERROR(__xludf.DUMMYFUNCTION("""COMPUTED_VALUE"""),"21SDSCE01038")</f>
        <v>21SDSCE01038</v>
      </c>
      <c r="D600" s="73">
        <f ca="1">IFERROR(__xludf.DUMMYFUNCTION("""COMPUTED_VALUE"""),45051)</f>
        <v>45051</v>
      </c>
      <c r="E600" s="74">
        <f ca="1">IFERROR(__xludf.DUMMYFUNCTION("""COMPUTED_VALUE"""),0)</f>
        <v>0</v>
      </c>
      <c r="F600" s="72">
        <f ca="1">IFERROR(__xludf.DUMMYFUNCTION("""COMPUTED_VALUE"""),0)</f>
        <v>0</v>
      </c>
      <c r="G600" s="75"/>
      <c r="H600" s="59" t="str">
        <f ca="1">IFERROR(__xludf.DUMMYFUNCTION("""COMPUTED_VALUE"""),"UPDATE")</f>
        <v>UPDATE</v>
      </c>
      <c r="I600" s="76" t="str">
        <f ca="1">IFERROR(__xludf.DUMMYFUNCTION("""COMPUTED_VALUE"""),"https://drive.google.com/open?id=1pgjbBo_Pk-ULcQgPAnjBgyIJjwLSg4f6")</f>
        <v>https://drive.google.com/open?id=1pgjbBo_Pk-ULcQgPAnjBgyIJjwLSg4f6</v>
      </c>
      <c r="J600" s="59"/>
      <c r="K600" s="59"/>
      <c r="L600" s="59"/>
      <c r="M600" s="59"/>
      <c r="N600" s="59"/>
      <c r="O600" s="59"/>
      <c r="P600" s="59"/>
    </row>
    <row r="601" spans="1:16">
      <c r="A601" s="71">
        <f ca="1">IFERROR(__xludf.DUMMYFUNCTION("""COMPUTED_VALUE"""),45051.5945288194)</f>
        <v>45051.594528819398</v>
      </c>
      <c r="B601" s="59" t="str">
        <f ca="1">IFERROR(__xludf.DUMMYFUNCTION("""COMPUTED_VALUE"""),"Sumit Prafulbhai Vaghamshi ")</f>
        <v xml:space="preserve">Sumit Prafulbhai Vaghamshi </v>
      </c>
      <c r="C601" s="72" t="str">
        <f ca="1">IFERROR(__xludf.DUMMYFUNCTION("""COMPUTED_VALUE"""),"20SDSCE01127")</f>
        <v>20SDSCE01127</v>
      </c>
      <c r="D601" s="73">
        <f ca="1">IFERROR(__xludf.DUMMYFUNCTION("""COMPUTED_VALUE"""),45051)</f>
        <v>45051</v>
      </c>
      <c r="E601" s="74">
        <f ca="1">IFERROR(__xludf.DUMMYFUNCTION("""COMPUTED_VALUE"""),25000)</f>
        <v>25000</v>
      </c>
      <c r="F601" s="72"/>
      <c r="G601" s="75"/>
      <c r="H601" s="59" t="str">
        <f ca="1">IFERROR(__xludf.DUMMYFUNCTION("""COMPUTED_VALUE"""),"UPDATE")</f>
        <v>UPDATE</v>
      </c>
      <c r="I601" s="76" t="str">
        <f ca="1">IFERROR(__xludf.DUMMYFUNCTION("""COMPUTED_VALUE"""),"https://drive.google.com/open?id=18xb6RgaWFmk9gYxq5wWrB6uFz2mtKyPx")</f>
        <v>https://drive.google.com/open?id=18xb6RgaWFmk9gYxq5wWrB6uFz2mtKyPx</v>
      </c>
      <c r="J601" s="59"/>
      <c r="K601" s="59"/>
      <c r="L601" s="59"/>
      <c r="M601" s="59"/>
      <c r="N601" s="59"/>
      <c r="O601" s="59"/>
      <c r="P601" s="59"/>
    </row>
    <row r="602" spans="1:16">
      <c r="A602" s="71">
        <f ca="1">IFERROR(__xludf.DUMMYFUNCTION("""COMPUTED_VALUE"""),45050.9605631713)</f>
        <v>45050.960563171298</v>
      </c>
      <c r="B602" s="59" t="str">
        <f ca="1">IFERROR(__xludf.DUMMYFUNCTION("""COMPUTED_VALUE"""),"Gajera Harshil")</f>
        <v>Gajera Harshil</v>
      </c>
      <c r="C602" s="72" t="str">
        <f ca="1">IFERROR(__xludf.DUMMYFUNCTION("""COMPUTED_VALUE"""),"21SDSCE01127")</f>
        <v>21SDSCE01127</v>
      </c>
      <c r="D602" s="73">
        <f ca="1">IFERROR(__xludf.DUMMYFUNCTION("""COMPUTED_VALUE"""),45050)</f>
        <v>45050</v>
      </c>
      <c r="E602" s="74">
        <f ca="1">IFERROR(__xludf.DUMMYFUNCTION("""COMPUTED_VALUE"""),25000)</f>
        <v>25000</v>
      </c>
      <c r="F602" s="72">
        <f ca="1">IFERROR(__xludf.DUMMYFUNCTION("""COMPUTED_VALUE"""),0)</f>
        <v>0</v>
      </c>
      <c r="G602" s="75"/>
      <c r="H602" s="59" t="str">
        <f ca="1">IFERROR(__xludf.DUMMYFUNCTION("""COMPUTED_VALUE"""),"UPDATE")</f>
        <v>UPDATE</v>
      </c>
      <c r="I602" s="76" t="str">
        <f ca="1">IFERROR(__xludf.DUMMYFUNCTION("""COMPUTED_VALUE"""),"https://drive.google.com/open?id=1NMbkpW4bcy-u7H0sW2h4Rh-oaX1nru5W")</f>
        <v>https://drive.google.com/open?id=1NMbkpW4bcy-u7H0sW2h4Rh-oaX1nru5W</v>
      </c>
      <c r="J602" s="59"/>
      <c r="K602" s="59"/>
      <c r="L602" s="59"/>
      <c r="M602" s="59"/>
      <c r="N602" s="59"/>
      <c r="O602" s="59"/>
      <c r="P602" s="59"/>
    </row>
    <row r="603" spans="1:16">
      <c r="A603" s="71">
        <f ca="1">IFERROR(__xludf.DUMMYFUNCTION("""COMPUTED_VALUE"""),45050.5796198263)</f>
        <v>45050.579619826298</v>
      </c>
      <c r="B603" s="59" t="str">
        <f ca="1">IFERROR(__xludf.DUMMYFUNCTION("""COMPUTED_VALUE"""),"Vaghela Devdipsinh ")</f>
        <v xml:space="preserve">Vaghela Devdipsinh </v>
      </c>
      <c r="C603" s="72" t="str">
        <f ca="1">IFERROR(__xludf.DUMMYFUNCTION("""COMPUTED_VALUE"""),"20SDSCE01128")</f>
        <v>20SDSCE01128</v>
      </c>
      <c r="D603" s="73">
        <f ca="1">IFERROR(__xludf.DUMMYFUNCTION("""COMPUTED_VALUE"""),45050)</f>
        <v>45050</v>
      </c>
      <c r="E603" s="74">
        <f ca="1">IFERROR(__xludf.DUMMYFUNCTION("""COMPUTED_VALUE"""),25000)</f>
        <v>25000</v>
      </c>
      <c r="F603" s="72"/>
      <c r="G603" s="75"/>
      <c r="H603" s="59" t="str">
        <f ca="1">IFERROR(__xludf.DUMMYFUNCTION("""COMPUTED_VALUE"""),"UPDATE")</f>
        <v>UPDATE</v>
      </c>
      <c r="I603" s="76" t="str">
        <f ca="1">IFERROR(__xludf.DUMMYFUNCTION("""COMPUTED_VALUE"""),"https://drive.google.com/open?id=1EKd2YC_-d79h2B9KcEzIAW6noF2rI1EW")</f>
        <v>https://drive.google.com/open?id=1EKd2YC_-d79h2B9KcEzIAW6noF2rI1EW</v>
      </c>
      <c r="J603" s="59"/>
      <c r="K603" s="59"/>
      <c r="L603" s="59"/>
      <c r="M603" s="59"/>
      <c r="N603" s="59"/>
      <c r="O603" s="59"/>
      <c r="P603" s="59"/>
    </row>
    <row r="604" spans="1:16">
      <c r="A604" s="71">
        <f ca="1">IFERROR(__xludf.DUMMYFUNCTION("""COMPUTED_VALUE"""),45050.3783003587)</f>
        <v>45050.378300358701</v>
      </c>
      <c r="B604" s="59" t="str">
        <f ca="1">IFERROR(__xludf.DUMMYFUNCTION("""COMPUTED_VALUE"""),"Bhavya Savaliya ")</f>
        <v xml:space="preserve">Bhavya Savaliya </v>
      </c>
      <c r="C604" s="72" t="str">
        <f ca="1">IFERROR(__xludf.DUMMYFUNCTION("""COMPUTED_VALUE"""),"20SDSCE01109 ")</f>
        <v xml:space="preserve">20SDSCE01109 </v>
      </c>
      <c r="D604" s="73">
        <f ca="1">IFERROR(__xludf.DUMMYFUNCTION("""COMPUTED_VALUE"""),45049)</f>
        <v>45049</v>
      </c>
      <c r="E604" s="74">
        <f ca="1">IFERROR(__xludf.DUMMYFUNCTION("""COMPUTED_VALUE"""),12500)</f>
        <v>12500</v>
      </c>
      <c r="F604" s="72"/>
      <c r="G604" s="75"/>
      <c r="H604" s="59" t="str">
        <f ca="1">IFERROR(__xludf.DUMMYFUNCTION("""COMPUTED_VALUE"""),"UPDATE")</f>
        <v>UPDATE</v>
      </c>
      <c r="I604" s="76" t="str">
        <f ca="1">IFERROR(__xludf.DUMMYFUNCTION("""COMPUTED_VALUE"""),"https://drive.google.com/open?id=1W25b6gi88ih3RLIeu2kcZEd7tyi4Bfpe")</f>
        <v>https://drive.google.com/open?id=1W25b6gi88ih3RLIeu2kcZEd7tyi4Bfpe</v>
      </c>
      <c r="J604" s="59"/>
      <c r="K604" s="59"/>
      <c r="L604" s="59"/>
      <c r="M604" s="59"/>
      <c r="N604" s="59"/>
      <c r="O604" s="59"/>
      <c r="P604" s="59"/>
    </row>
    <row r="605" spans="1:16">
      <c r="A605" s="71">
        <f ca="1">IFERROR(__xludf.DUMMYFUNCTION("""COMPUTED_VALUE"""),45049.8555322569)</f>
        <v>45049.855532256901</v>
      </c>
      <c r="B605" s="59" t="str">
        <f ca="1">IFERROR(__xludf.DUMMYFUNCTION("""COMPUTED_VALUE"""),"aman sumra")</f>
        <v>aman sumra</v>
      </c>
      <c r="C605" s="72" t="str">
        <f ca="1">IFERROR(__xludf.DUMMYFUNCTION("""COMPUTED_VALUE"""),"20sdsce01115")</f>
        <v>20sdsce01115</v>
      </c>
      <c r="D605" s="73">
        <f ca="1">IFERROR(__xludf.DUMMYFUNCTION("""COMPUTED_VALUE"""),45049)</f>
        <v>45049</v>
      </c>
      <c r="E605" s="74">
        <f ca="1">IFERROR(__xludf.DUMMYFUNCTION("""COMPUTED_VALUE"""),25000)</f>
        <v>25000</v>
      </c>
      <c r="F605" s="72"/>
      <c r="G605" s="75"/>
      <c r="H605" s="59" t="str">
        <f ca="1">IFERROR(__xludf.DUMMYFUNCTION("""COMPUTED_VALUE"""),"UPDATE")</f>
        <v>UPDATE</v>
      </c>
      <c r="I605" s="76" t="str">
        <f ca="1">IFERROR(__xludf.DUMMYFUNCTION("""COMPUTED_VALUE"""),"https://drive.google.com/open?id=1_lv5nLS3B0hPgPycuUX70hcfrG6jX-LD")</f>
        <v>https://drive.google.com/open?id=1_lv5nLS3B0hPgPycuUX70hcfrG6jX-LD</v>
      </c>
      <c r="J605" s="59"/>
      <c r="K605" s="59"/>
      <c r="L605" s="59"/>
      <c r="M605" s="59"/>
      <c r="N605" s="59"/>
      <c r="O605" s="59"/>
      <c r="P605" s="59"/>
    </row>
    <row r="606" spans="1:16">
      <c r="A606" s="71">
        <f ca="1">IFERROR(__xludf.DUMMYFUNCTION("""COMPUTED_VALUE"""),45049.8516509259)</f>
        <v>45049.851650925899</v>
      </c>
      <c r="B606" s="59" t="str">
        <f ca="1">IFERROR(__xludf.DUMMYFUNCTION("""COMPUTED_VALUE"""),"Aman sumra")</f>
        <v>Aman sumra</v>
      </c>
      <c r="C606" s="72" t="str">
        <f ca="1">IFERROR(__xludf.DUMMYFUNCTION("""COMPUTED_VALUE"""),"20sdsce01115")</f>
        <v>20sdsce01115</v>
      </c>
      <c r="D606" s="73">
        <f ca="1">IFERROR(__xludf.DUMMYFUNCTION("""COMPUTED_VALUE"""),45049)</f>
        <v>45049</v>
      </c>
      <c r="E606" s="74">
        <f ca="1">IFERROR(__xludf.DUMMYFUNCTION("""COMPUTED_VALUE"""),25000)</f>
        <v>25000</v>
      </c>
      <c r="F606" s="72"/>
      <c r="G606" s="75"/>
      <c r="H606" s="59" t="str">
        <f ca="1">IFERROR(__xludf.DUMMYFUNCTION("""COMPUTED_VALUE"""),"UPDATE")</f>
        <v>UPDATE</v>
      </c>
      <c r="I606" s="76" t="str">
        <f ca="1">IFERROR(__xludf.DUMMYFUNCTION("""COMPUTED_VALUE"""),"https://drive.google.com/open?id=1ObHk-K6bCrA4KPG3b_X4joJzaSpkz5v3")</f>
        <v>https://drive.google.com/open?id=1ObHk-K6bCrA4KPG3b_X4joJzaSpkz5v3</v>
      </c>
      <c r="J606" s="59"/>
      <c r="K606" s="59"/>
      <c r="L606" s="59"/>
      <c r="M606" s="59"/>
      <c r="N606" s="59"/>
      <c r="O606" s="59"/>
      <c r="P606" s="59"/>
    </row>
    <row r="607" spans="1:16">
      <c r="A607" s="71">
        <f ca="1">IFERROR(__xludf.DUMMYFUNCTION("""COMPUTED_VALUE"""),45049.5591048726)</f>
        <v>45049.559104872598</v>
      </c>
      <c r="B607" s="59" t="str">
        <f ca="1">IFERROR(__xludf.DUMMYFUNCTION("""COMPUTED_VALUE"""),"Bhavya Savaliya ")</f>
        <v xml:space="preserve">Bhavya Savaliya </v>
      </c>
      <c r="C607" s="72" t="str">
        <f ca="1">IFERROR(__xludf.DUMMYFUNCTION("""COMPUTED_VALUE"""),"20SDSCE01109 ")</f>
        <v xml:space="preserve">20SDSCE01109 </v>
      </c>
      <c r="D607" s="73">
        <f ca="1">IFERROR(__xludf.DUMMYFUNCTION("""COMPUTED_VALUE"""),45049)</f>
        <v>45049</v>
      </c>
      <c r="E607" s="74">
        <f ca="1">IFERROR(__xludf.DUMMYFUNCTION("""COMPUTED_VALUE"""),12500)</f>
        <v>12500</v>
      </c>
      <c r="F607" s="72"/>
      <c r="G607" s="75"/>
      <c r="H607" s="59" t="str">
        <f ca="1">IFERROR(__xludf.DUMMYFUNCTION("""COMPUTED_VALUE"""),"UPDATE")</f>
        <v>UPDATE</v>
      </c>
      <c r="I607" s="76" t="str">
        <f ca="1">IFERROR(__xludf.DUMMYFUNCTION("""COMPUTED_VALUE"""),"https://drive.google.com/open?id=1HS8jjfqx_sDYakjpzJj9zrdxEfmffmqu")</f>
        <v>https://drive.google.com/open?id=1HS8jjfqx_sDYakjpzJj9zrdxEfmffmqu</v>
      </c>
      <c r="J607" s="59"/>
      <c r="K607" s="59"/>
      <c r="L607" s="59"/>
      <c r="M607" s="59"/>
      <c r="N607" s="59"/>
      <c r="O607" s="59"/>
      <c r="P607" s="59"/>
    </row>
    <row r="608" spans="1:16">
      <c r="A608" s="71">
        <f ca="1">IFERROR(__xludf.DUMMYFUNCTION("""COMPUTED_VALUE"""),45049.5519280787)</f>
        <v>45049.551928078698</v>
      </c>
      <c r="B608" s="59" t="str">
        <f ca="1">IFERROR(__xludf.DUMMYFUNCTION("""COMPUTED_VALUE"""),"SMIT BARBHAYA ")</f>
        <v xml:space="preserve">SMIT BARBHAYA </v>
      </c>
      <c r="C608" s="72" t="str">
        <f ca="1">IFERROR(__xludf.DUMMYFUNCTION("""COMPUTED_VALUE"""),"20SDSCE01007")</f>
        <v>20SDSCE01007</v>
      </c>
      <c r="D608" s="73">
        <f ca="1">IFERROR(__xludf.DUMMYFUNCTION("""COMPUTED_VALUE"""),45049)</f>
        <v>45049</v>
      </c>
      <c r="E608" s="72"/>
      <c r="F608" s="72"/>
      <c r="G608" s="75"/>
      <c r="H608" s="59" t="str">
        <f ca="1">IFERROR(__xludf.DUMMYFUNCTION("""COMPUTED_VALUE"""),"UPDATE")</f>
        <v>UPDATE</v>
      </c>
      <c r="I608" s="76" t="str">
        <f ca="1">IFERROR(__xludf.DUMMYFUNCTION("""COMPUTED_VALUE"""),"https://drive.google.com/open?id=1kKHmKAQhC1GHYkkpCMjfnXJiMgrhE4sx")</f>
        <v>https://drive.google.com/open?id=1kKHmKAQhC1GHYkkpCMjfnXJiMgrhE4sx</v>
      </c>
      <c r="J608" s="59"/>
      <c r="K608" s="59"/>
      <c r="L608" s="59"/>
      <c r="M608" s="59"/>
      <c r="N608" s="59"/>
      <c r="O608" s="59"/>
      <c r="P608" s="59"/>
    </row>
    <row r="609" spans="1:16">
      <c r="A609" s="71">
        <f ca="1">IFERROR(__xludf.DUMMYFUNCTION("""COMPUTED_VALUE"""),45049.5514073495)</f>
        <v>45049.5514073495</v>
      </c>
      <c r="B609" s="59" t="str">
        <f ca="1">IFERROR(__xludf.DUMMYFUNCTION("""COMPUTED_VALUE"""),"Bhavya Savaliya ")</f>
        <v xml:space="preserve">Bhavya Savaliya </v>
      </c>
      <c r="C609" s="72" t="str">
        <f ca="1">IFERROR(__xludf.DUMMYFUNCTION("""COMPUTED_VALUE"""),"20SDSCE01109 ")</f>
        <v xml:space="preserve">20SDSCE01109 </v>
      </c>
      <c r="D609" s="73">
        <f ca="1">IFERROR(__xludf.DUMMYFUNCTION("""COMPUTED_VALUE"""),45049)</f>
        <v>45049</v>
      </c>
      <c r="E609" s="74">
        <f ca="1">IFERROR(__xludf.DUMMYFUNCTION("""COMPUTED_VALUE"""),12500)</f>
        <v>12500</v>
      </c>
      <c r="F609" s="72"/>
      <c r="G609" s="75"/>
      <c r="H609" s="59" t="str">
        <f ca="1">IFERROR(__xludf.DUMMYFUNCTION("""COMPUTED_VALUE"""),"UPDATE")</f>
        <v>UPDATE</v>
      </c>
      <c r="I609" s="76" t="str">
        <f ca="1">IFERROR(__xludf.DUMMYFUNCTION("""COMPUTED_VALUE"""),"https://drive.google.com/open?id=1gjkR08hfOF2hrEwL7Vhh3c5ajRJd5EuS")</f>
        <v>https://drive.google.com/open?id=1gjkR08hfOF2hrEwL7Vhh3c5ajRJd5EuS</v>
      </c>
      <c r="J609" s="59"/>
      <c r="K609" s="59"/>
      <c r="L609" s="59"/>
      <c r="M609" s="59"/>
      <c r="N609" s="59"/>
      <c r="O609" s="59"/>
      <c r="P609" s="59"/>
    </row>
    <row r="610" spans="1:16">
      <c r="A610" s="71">
        <f ca="1">IFERROR(__xludf.DUMMYFUNCTION("""COMPUTED_VALUE"""),45049.5512456481)</f>
        <v>45049.551245648101</v>
      </c>
      <c r="B610" s="59" t="str">
        <f ca="1">IFERROR(__xludf.DUMMYFUNCTION("""COMPUTED_VALUE"""),"Smit barbhaya")</f>
        <v>Smit barbhaya</v>
      </c>
      <c r="C610" s="72" t="str">
        <f ca="1">IFERROR(__xludf.DUMMYFUNCTION("""COMPUTED_VALUE"""),"20sdsce01007")</f>
        <v>20sdsce01007</v>
      </c>
      <c r="D610" s="73">
        <f ca="1">IFERROR(__xludf.DUMMYFUNCTION("""COMPUTED_VALUE"""),45049)</f>
        <v>45049</v>
      </c>
      <c r="E610" s="72"/>
      <c r="F610" s="72"/>
      <c r="G610" s="75"/>
      <c r="H610" s="59" t="str">
        <f ca="1">IFERROR(__xludf.DUMMYFUNCTION("""COMPUTED_VALUE"""),"UPDATE")</f>
        <v>UPDATE</v>
      </c>
      <c r="I610" s="76" t="str">
        <f ca="1">IFERROR(__xludf.DUMMYFUNCTION("""COMPUTED_VALUE"""),"https://drive.google.com/open?id=18XvkUJI8GoEDZaXBszNw2h8rJCUS-BHd")</f>
        <v>https://drive.google.com/open?id=18XvkUJI8GoEDZaXBszNw2h8rJCUS-BHd</v>
      </c>
      <c r="J610" s="59"/>
      <c r="K610" s="59"/>
      <c r="L610" s="59"/>
      <c r="M610" s="59"/>
      <c r="N610" s="59"/>
      <c r="O610" s="59"/>
      <c r="P610" s="59"/>
    </row>
    <row r="611" spans="1:16">
      <c r="A611" s="71">
        <f ca="1">IFERROR(__xludf.DUMMYFUNCTION("""COMPUTED_VALUE"""),45049.480106493)</f>
        <v>45049.480106493</v>
      </c>
      <c r="B611" s="59" t="str">
        <f ca="1">IFERROR(__xludf.DUMMYFUNCTION("""COMPUTED_VALUE"""),"Meet Vasant")</f>
        <v>Meet Vasant</v>
      </c>
      <c r="C611" s="72" t="str">
        <f ca="1">IFERROR(__xludf.DUMMYFUNCTION("""COMPUTED_VALUE"""),"20SDSCE01138")</f>
        <v>20SDSCE01138</v>
      </c>
      <c r="D611" s="73">
        <f ca="1">IFERROR(__xludf.DUMMYFUNCTION("""COMPUTED_VALUE"""),37751)</f>
        <v>37751</v>
      </c>
      <c r="E611" s="74">
        <f ca="1">IFERROR(__xludf.DUMMYFUNCTION("""COMPUTED_VALUE"""),25000)</f>
        <v>25000</v>
      </c>
      <c r="F611" s="72">
        <f ca="1">IFERROR(__xludf.DUMMYFUNCTION("""COMPUTED_VALUE"""),3750)</f>
        <v>3750</v>
      </c>
      <c r="G611" s="75"/>
      <c r="H611" s="59" t="str">
        <f ca="1">IFERROR(__xludf.DUMMYFUNCTION("""COMPUTED_VALUE"""),"UPDATE")</f>
        <v>UPDATE</v>
      </c>
      <c r="I611" s="76" t="str">
        <f ca="1">IFERROR(__xludf.DUMMYFUNCTION("""COMPUTED_VALUE"""),"https://drive.google.com/open?id=19pnH41EO_8djrI7ZrWG0aUtcdzYSh8VP")</f>
        <v>https://drive.google.com/open?id=19pnH41EO_8djrI7ZrWG0aUtcdzYSh8VP</v>
      </c>
      <c r="J611" s="59"/>
      <c r="K611" s="59"/>
      <c r="L611" s="59"/>
      <c r="M611" s="59"/>
      <c r="N611" s="59"/>
      <c r="O611" s="59"/>
      <c r="P611" s="59"/>
    </row>
    <row r="612" spans="1:16">
      <c r="A612" s="71">
        <f ca="1">IFERROR(__xludf.DUMMYFUNCTION("""COMPUTED_VALUE"""),45049.4608794097)</f>
        <v>45049.4608794097</v>
      </c>
      <c r="B612" s="59" t="str">
        <f ca="1">IFERROR(__xludf.DUMMYFUNCTION("""COMPUTED_VALUE"""),"Akshay Khunt")</f>
        <v>Akshay Khunt</v>
      </c>
      <c r="C612" s="72" t="str">
        <f ca="1">IFERROR(__xludf.DUMMYFUNCTION("""COMPUTED_VALUE"""),"20SDSCE01054")</f>
        <v>20SDSCE01054</v>
      </c>
      <c r="D612" s="73">
        <f ca="1">IFERROR(__xludf.DUMMYFUNCTION("""COMPUTED_VALUE"""),45049)</f>
        <v>45049</v>
      </c>
      <c r="E612" s="74">
        <f ca="1">IFERROR(__xludf.DUMMYFUNCTION("""COMPUTED_VALUE"""),25000)</f>
        <v>25000</v>
      </c>
      <c r="F612" s="72">
        <f ca="1">IFERROR(__xludf.DUMMYFUNCTION("""COMPUTED_VALUE"""),0)</f>
        <v>0</v>
      </c>
      <c r="G612" s="75"/>
      <c r="H612" s="59" t="str">
        <f ca="1">IFERROR(__xludf.DUMMYFUNCTION("""COMPUTED_VALUE"""),"UPDATE")</f>
        <v>UPDATE</v>
      </c>
      <c r="I612" s="76" t="str">
        <f ca="1">IFERROR(__xludf.DUMMYFUNCTION("""COMPUTED_VALUE"""),"https://drive.google.com/open?id=10UduY8jBELDdfzrbkIJ0S_U2qObn4cbl")</f>
        <v>https://drive.google.com/open?id=10UduY8jBELDdfzrbkIJ0S_U2qObn4cbl</v>
      </c>
      <c r="J612" s="59"/>
      <c r="K612" s="59"/>
      <c r="L612" s="59"/>
      <c r="M612" s="59"/>
      <c r="N612" s="59"/>
      <c r="O612" s="59"/>
      <c r="P612" s="59"/>
    </row>
    <row r="613" spans="1:16">
      <c r="A613" s="71">
        <f ca="1">IFERROR(__xludf.DUMMYFUNCTION("""COMPUTED_VALUE"""),45049.4582797685)</f>
        <v>45049.4582797685</v>
      </c>
      <c r="B613" s="59" t="str">
        <f ca="1">IFERROR(__xludf.DUMMYFUNCTION("""COMPUTED_VALUE"""),"KHUNT AMAN ARVINDBHAI ")</f>
        <v xml:space="preserve">KHUNT AMAN ARVINDBHAI </v>
      </c>
      <c r="C613" s="72" t="str">
        <f ca="1">IFERROR(__xludf.DUMMYFUNCTION("""COMPUTED_VALUE"""),"20SDSCE01055")</f>
        <v>20SDSCE01055</v>
      </c>
      <c r="D613" s="73">
        <f ca="1">IFERROR(__xludf.DUMMYFUNCTION("""COMPUTED_VALUE"""),45049)</f>
        <v>45049</v>
      </c>
      <c r="E613" s="74">
        <f ca="1">IFERROR(__xludf.DUMMYFUNCTION("""COMPUTED_VALUE"""),25000)</f>
        <v>25000</v>
      </c>
      <c r="F613" s="72">
        <f ca="1">IFERROR(__xludf.DUMMYFUNCTION("""COMPUTED_VALUE"""),0)</f>
        <v>0</v>
      </c>
      <c r="G613" s="75"/>
      <c r="H613" s="59" t="str">
        <f ca="1">IFERROR(__xludf.DUMMYFUNCTION("""COMPUTED_VALUE"""),"UPDATE")</f>
        <v>UPDATE</v>
      </c>
      <c r="I613" s="76" t="str">
        <f ca="1">IFERROR(__xludf.DUMMYFUNCTION("""COMPUTED_VALUE"""),"https://drive.google.com/open?id=1-EuCYtbGa5HzKgRK2LCcuDgi54r7QFBM")</f>
        <v>https://drive.google.com/open?id=1-EuCYtbGa5HzKgRK2LCcuDgi54r7QFBM</v>
      </c>
      <c r="J613" s="59"/>
      <c r="K613" s="59"/>
      <c r="L613" s="59"/>
      <c r="M613" s="59"/>
      <c r="N613" s="59"/>
      <c r="O613" s="59"/>
      <c r="P613" s="59"/>
    </row>
    <row r="614" spans="1:16">
      <c r="A614" s="71">
        <f ca="1">IFERROR(__xludf.DUMMYFUNCTION("""COMPUTED_VALUE"""),45045.6557498842)</f>
        <v>45045.655749884201</v>
      </c>
      <c r="B614" s="59" t="str">
        <f ca="1">IFERROR(__xludf.DUMMYFUNCTION("""COMPUTED_VALUE"""),"Sidapara yashvi Sanjay Bhai ")</f>
        <v xml:space="preserve">Sidapara yashvi Sanjay Bhai </v>
      </c>
      <c r="C614" s="72" t="str">
        <f ca="1">IFERROR(__xludf.DUMMYFUNCTION("""COMPUTED_VALUE"""),"21sdsce01149")</f>
        <v>21sdsce01149</v>
      </c>
      <c r="D614" s="73">
        <f ca="1">IFERROR(__xludf.DUMMYFUNCTION("""COMPUTED_VALUE"""),45045)</f>
        <v>45045</v>
      </c>
      <c r="E614" s="74">
        <f ca="1">IFERROR(__xludf.DUMMYFUNCTION("""COMPUTED_VALUE"""),0)</f>
        <v>0</v>
      </c>
      <c r="F614" s="72">
        <f ca="1">IFERROR(__xludf.DUMMYFUNCTION("""COMPUTED_VALUE"""),0)</f>
        <v>0</v>
      </c>
      <c r="G614" s="75"/>
      <c r="H614" s="59" t="str">
        <f ca="1">IFERROR(__xludf.DUMMYFUNCTION("""COMPUTED_VALUE"""),"UPDATE")</f>
        <v>UPDATE</v>
      </c>
      <c r="I614" s="76" t="str">
        <f ca="1">IFERROR(__xludf.DUMMYFUNCTION("""COMPUTED_VALUE"""),"https://drive.google.com/open?id=1JFWkdZzm6itVsv4kgwjp9xTY-Eh0-RDX")</f>
        <v>https://drive.google.com/open?id=1JFWkdZzm6itVsv4kgwjp9xTY-Eh0-RDX</v>
      </c>
      <c r="J614" s="59"/>
      <c r="K614" s="59"/>
      <c r="L614" s="59"/>
      <c r="M614" s="59"/>
      <c r="N614" s="59"/>
      <c r="O614" s="59"/>
      <c r="P614" s="59"/>
    </row>
    <row r="615" spans="1:16">
      <c r="A615" s="71">
        <f ca="1">IFERROR(__xludf.DUMMYFUNCTION("""COMPUTED_VALUE"""),45045.5890692824)</f>
        <v>45045.589069282403</v>
      </c>
      <c r="B615" s="59" t="str">
        <f ca="1">IFERROR(__xludf.DUMMYFUNCTION("""COMPUTED_VALUE"""),"Patel krishna jagubhai ")</f>
        <v xml:space="preserve">Patel krishna jagubhai </v>
      </c>
      <c r="C615" s="72" t="str">
        <f ca="1">IFERROR(__xludf.DUMMYFUNCTION("""COMPUTED_VALUE"""),"21SDSCV01014")</f>
        <v>21SDSCV01014</v>
      </c>
      <c r="D615" s="73">
        <f ca="1">IFERROR(__xludf.DUMMYFUNCTION("""COMPUTED_VALUE"""),45045)</f>
        <v>45045</v>
      </c>
      <c r="E615" s="72"/>
      <c r="F615" s="72"/>
      <c r="G615" s="75"/>
      <c r="H615" s="59" t="str">
        <f ca="1">IFERROR(__xludf.DUMMYFUNCTION("""COMPUTED_VALUE"""),"UPDATE")</f>
        <v>UPDATE</v>
      </c>
      <c r="I615" s="76" t="str">
        <f ca="1">IFERROR(__xludf.DUMMYFUNCTION("""COMPUTED_VALUE"""),"https://drive.google.com/open?id=1oKtUFmMwUobK7gBwzYjWbbrQ4TTGqeP1")</f>
        <v>https://drive.google.com/open?id=1oKtUFmMwUobK7gBwzYjWbbrQ4TTGqeP1</v>
      </c>
      <c r="J615" s="59"/>
      <c r="K615" s="59"/>
      <c r="L615" s="59"/>
      <c r="M615" s="59"/>
      <c r="N615" s="59"/>
      <c r="O615" s="59"/>
      <c r="P615" s="59"/>
    </row>
    <row r="616" spans="1:16">
      <c r="A616" s="71">
        <f ca="1">IFERROR(__xludf.DUMMYFUNCTION("""COMPUTED_VALUE"""),45045.5428950115)</f>
        <v>45045.542895011502</v>
      </c>
      <c r="B616" s="59" t="str">
        <f ca="1">IFERROR(__xludf.DUMMYFUNCTION("""COMPUTED_VALUE"""),"Patel krishna jagubhai")</f>
        <v>Patel krishna jagubhai</v>
      </c>
      <c r="C616" s="72" t="str">
        <f ca="1">IFERROR(__xludf.DUMMYFUNCTION("""COMPUTED_VALUE"""),"21SDSCV01014")</f>
        <v>21SDSCV01014</v>
      </c>
      <c r="D616" s="73">
        <f ca="1">IFERROR(__xludf.DUMMYFUNCTION("""COMPUTED_VALUE"""),45045)</f>
        <v>45045</v>
      </c>
      <c r="E616" s="72"/>
      <c r="F616" s="72"/>
      <c r="G616" s="75"/>
      <c r="H616" s="59" t="str">
        <f ca="1">IFERROR(__xludf.DUMMYFUNCTION("""COMPUTED_VALUE"""),"UPDATE")</f>
        <v>UPDATE</v>
      </c>
      <c r="I616" s="76" t="str">
        <f ca="1">IFERROR(__xludf.DUMMYFUNCTION("""COMPUTED_VALUE"""),"https://drive.google.com/open?id=1yZSaN8XRkTA6YZGxq56egO_MFiVcE99B")</f>
        <v>https://drive.google.com/open?id=1yZSaN8XRkTA6YZGxq56egO_MFiVcE99B</v>
      </c>
      <c r="J616" s="59"/>
      <c r="K616" s="59"/>
      <c r="L616" s="59"/>
      <c r="M616" s="59"/>
      <c r="N616" s="59"/>
      <c r="O616" s="59"/>
      <c r="P616" s="59"/>
    </row>
    <row r="617" spans="1:16">
      <c r="A617" s="71">
        <f ca="1">IFERROR(__xludf.DUMMYFUNCTION("""COMPUTED_VALUE"""),45045.5188539467)</f>
        <v>45045.518853946698</v>
      </c>
      <c r="B617" s="59" t="str">
        <f ca="1">IFERROR(__xludf.DUMMYFUNCTION("""COMPUTED_VALUE"""),"Kapupara kaushal ")</f>
        <v xml:space="preserve">Kapupara kaushal </v>
      </c>
      <c r="C617" s="72" t="str">
        <f ca="1">IFERROR(__xludf.DUMMYFUNCTION("""COMPUTED_VALUE"""),"21SDSCE01026")</f>
        <v>21SDSCE01026</v>
      </c>
      <c r="D617" s="73">
        <f ca="1">IFERROR(__xludf.DUMMYFUNCTION("""COMPUTED_VALUE"""),45045)</f>
        <v>45045</v>
      </c>
      <c r="E617" s="72"/>
      <c r="F617" s="72"/>
      <c r="G617" s="75"/>
      <c r="H617" s="59" t="str">
        <f ca="1">IFERROR(__xludf.DUMMYFUNCTION("""COMPUTED_VALUE"""),"UPDATE")</f>
        <v>UPDATE</v>
      </c>
      <c r="I617" s="76" t="str">
        <f ca="1">IFERROR(__xludf.DUMMYFUNCTION("""COMPUTED_VALUE"""),"https://drive.google.com/open?id=1ab4luXkHVXEYFo3dEff3E_EWlTKiltvP")</f>
        <v>https://drive.google.com/open?id=1ab4luXkHVXEYFo3dEff3E_EWlTKiltvP</v>
      </c>
      <c r="J617" s="59"/>
      <c r="K617" s="59"/>
      <c r="L617" s="59"/>
      <c r="M617" s="59"/>
      <c r="N617" s="59"/>
      <c r="O617" s="59"/>
      <c r="P617" s="59"/>
    </row>
    <row r="618" spans="1:16">
      <c r="A618" s="71">
        <f ca="1">IFERROR(__xludf.DUMMYFUNCTION("""COMPUTED_VALUE"""),45044.7989337847)</f>
        <v>45044.798933784703</v>
      </c>
      <c r="B618" s="59" t="str">
        <f ca="1">IFERROR(__xludf.DUMMYFUNCTION("""COMPUTED_VALUE"""),"Ravaliya Tushar Maheshbhai")</f>
        <v>Ravaliya Tushar Maheshbhai</v>
      </c>
      <c r="C618" s="72" t="str">
        <f ca="1">IFERROR(__xludf.DUMMYFUNCTION("""COMPUTED_VALUE"""),"21SDSCE01101")</f>
        <v>21SDSCE01101</v>
      </c>
      <c r="D618" s="73">
        <f ca="1">IFERROR(__xludf.DUMMYFUNCTION("""COMPUTED_VALUE"""),45044)</f>
        <v>45044</v>
      </c>
      <c r="E618" s="72"/>
      <c r="F618" s="72"/>
      <c r="G618" s="75"/>
      <c r="H618" s="59" t="str">
        <f ca="1">IFERROR(__xludf.DUMMYFUNCTION("""COMPUTED_VALUE"""),"UPDATE")</f>
        <v>UPDATE</v>
      </c>
      <c r="I618" s="76" t="str">
        <f ca="1">IFERROR(__xludf.DUMMYFUNCTION("""COMPUTED_VALUE"""),"https://drive.google.com/open?id=1GTTD_kNiOjQXvVR6GIXBoqtCgo66AiHu")</f>
        <v>https://drive.google.com/open?id=1GTTD_kNiOjQXvVR6GIXBoqtCgo66AiHu</v>
      </c>
      <c r="J618" s="59"/>
      <c r="K618" s="59"/>
      <c r="L618" s="59"/>
      <c r="M618" s="59"/>
      <c r="N618" s="59"/>
      <c r="O618" s="59"/>
      <c r="P618" s="59"/>
    </row>
    <row r="619" spans="1:16">
      <c r="A619" s="71">
        <f ca="1">IFERROR(__xludf.DUMMYFUNCTION("""COMPUTED_VALUE"""),45044.6762109375)</f>
        <v>45044.676210937498</v>
      </c>
      <c r="B619" s="59" t="str">
        <f ca="1">IFERROR(__xludf.DUMMYFUNCTION("""COMPUTED_VALUE"""),"Ladani zeel mukeshbhai")</f>
        <v>Ladani zeel mukeshbhai</v>
      </c>
      <c r="C619" s="72" t="str">
        <f ca="1">IFERROR(__xludf.DUMMYFUNCTION("""COMPUTED_VALUE"""),"22SDSEE01014")</f>
        <v>22SDSEE01014</v>
      </c>
      <c r="D619" s="73">
        <f ca="1">IFERROR(__xludf.DUMMYFUNCTION("""COMPUTED_VALUE"""),45044)</f>
        <v>45044</v>
      </c>
      <c r="E619" s="72"/>
      <c r="F619" s="72"/>
      <c r="G619" s="75"/>
      <c r="H619" s="59" t="str">
        <f ca="1">IFERROR(__xludf.DUMMYFUNCTION("""COMPUTED_VALUE"""),"UPDATE")</f>
        <v>UPDATE</v>
      </c>
      <c r="I619" s="76" t="str">
        <f ca="1">IFERROR(__xludf.DUMMYFUNCTION("""COMPUTED_VALUE"""),"https://drive.google.com/open?id=1nPTjT1_PGdAzUkhcfiCaxQQykImZeWp_")</f>
        <v>https://drive.google.com/open?id=1nPTjT1_PGdAzUkhcfiCaxQQykImZeWp_</v>
      </c>
      <c r="J619" s="59"/>
      <c r="K619" s="59"/>
      <c r="L619" s="59"/>
      <c r="M619" s="59"/>
      <c r="N619" s="59"/>
      <c r="O619" s="59"/>
      <c r="P619" s="59"/>
    </row>
    <row r="620" spans="1:16">
      <c r="A620" s="71">
        <f ca="1">IFERROR(__xludf.DUMMYFUNCTION("""COMPUTED_VALUE"""),45044.6735796064)</f>
        <v>45044.673579606402</v>
      </c>
      <c r="B620" s="59" t="str">
        <f ca="1">IFERROR(__xludf.DUMMYFUNCTION("""COMPUTED_VALUE"""),"Ladani zeel mukeshbhai")</f>
        <v>Ladani zeel mukeshbhai</v>
      </c>
      <c r="C620" s="72" t="str">
        <f ca="1">IFERROR(__xludf.DUMMYFUNCTION("""COMPUTED_VALUE"""),"22SDSEE01014")</f>
        <v>22SDSEE01014</v>
      </c>
      <c r="D620" s="73">
        <f ca="1">IFERROR(__xludf.DUMMYFUNCTION("""COMPUTED_VALUE"""),45044)</f>
        <v>45044</v>
      </c>
      <c r="E620" s="72"/>
      <c r="F620" s="72"/>
      <c r="G620" s="75"/>
      <c r="H620" s="59" t="str">
        <f ca="1">IFERROR(__xludf.DUMMYFUNCTION("""COMPUTED_VALUE"""),"UPDATE")</f>
        <v>UPDATE</v>
      </c>
      <c r="I620" s="76" t="str">
        <f ca="1">IFERROR(__xludf.DUMMYFUNCTION("""COMPUTED_VALUE"""),"https://drive.google.com/open?id=10P-XeTr4HhuK28vMYiVjQf5DMLzi9XAp")</f>
        <v>https://drive.google.com/open?id=10P-XeTr4HhuK28vMYiVjQf5DMLzi9XAp</v>
      </c>
      <c r="J620" s="59"/>
      <c r="K620" s="59"/>
      <c r="L620" s="59"/>
      <c r="M620" s="59"/>
      <c r="N620" s="59"/>
      <c r="O620" s="59"/>
      <c r="P620" s="59"/>
    </row>
    <row r="621" spans="1:16">
      <c r="A621" s="71">
        <f ca="1">IFERROR(__xludf.DUMMYFUNCTION("""COMPUTED_VALUE"""),45044.6643169213)</f>
        <v>45044.664316921298</v>
      </c>
      <c r="B621" s="59" t="str">
        <f ca="1">IFERROR(__xludf.DUMMYFUNCTION("""COMPUTED_VALUE"""),"jani dolly kiranbhai")</f>
        <v>jani dolly kiranbhai</v>
      </c>
      <c r="C621" s="72" t="str">
        <f ca="1">IFERROR(__xludf.DUMMYFUNCTION("""COMPUTED_VALUE"""),"21SDSCV01009")</f>
        <v>21SDSCV01009</v>
      </c>
      <c r="D621" s="73">
        <f ca="1">IFERROR(__xludf.DUMMYFUNCTION("""COMPUTED_VALUE"""),45044)</f>
        <v>45044</v>
      </c>
      <c r="E621" s="72"/>
      <c r="F621" s="72"/>
      <c r="G621" s="75"/>
      <c r="H621" s="59" t="str">
        <f ca="1">IFERROR(__xludf.DUMMYFUNCTION("""COMPUTED_VALUE"""),"UPDATE")</f>
        <v>UPDATE</v>
      </c>
      <c r="I621" s="76" t="str">
        <f ca="1">IFERROR(__xludf.DUMMYFUNCTION("""COMPUTED_VALUE"""),"https://drive.google.com/open?id=1G4dvgh2D_gKtSX-jWCtUPrCV3TU8Dlpe")</f>
        <v>https://drive.google.com/open?id=1G4dvgh2D_gKtSX-jWCtUPrCV3TU8Dlpe</v>
      </c>
      <c r="J621" s="59"/>
      <c r="K621" s="59"/>
      <c r="L621" s="59"/>
      <c r="M621" s="59"/>
      <c r="N621" s="59"/>
      <c r="O621" s="59"/>
      <c r="P621" s="59"/>
    </row>
    <row r="622" spans="1:16">
      <c r="A622" s="71">
        <f ca="1">IFERROR(__xludf.DUMMYFUNCTION("""COMPUTED_VALUE"""),45044.6260250347)</f>
        <v>45044.626025034697</v>
      </c>
      <c r="B622" s="59" t="str">
        <f ca="1">IFERROR(__xludf.DUMMYFUNCTION("""COMPUTED_VALUE"""),"POOJAN PRAVINBHAI KALARIYA")</f>
        <v>POOJAN PRAVINBHAI KALARIYA</v>
      </c>
      <c r="C622" s="72" t="str">
        <f ca="1">IFERROR(__xludf.DUMMYFUNCTION("""COMPUTED_VALUE"""),"21SDSCE01025")</f>
        <v>21SDSCE01025</v>
      </c>
      <c r="D622" s="73">
        <f ca="1">IFERROR(__xludf.DUMMYFUNCTION("""COMPUTED_VALUE"""),45044)</f>
        <v>45044</v>
      </c>
      <c r="E622" s="72"/>
      <c r="F622" s="72">
        <f ca="1">IFERROR(__xludf.DUMMYFUNCTION("""COMPUTED_VALUE"""),5000)</f>
        <v>5000</v>
      </c>
      <c r="G622" s="75"/>
      <c r="H622" s="59" t="str">
        <f ca="1">IFERROR(__xludf.DUMMYFUNCTION("""COMPUTED_VALUE"""),"UPDATE")</f>
        <v>UPDATE</v>
      </c>
      <c r="I622" s="76" t="str">
        <f ca="1">IFERROR(__xludf.DUMMYFUNCTION("""COMPUTED_VALUE"""),"https://drive.google.com/open?id=1LPN912CrDDXCWm5xMnEY0vBWHfzx2IPW")</f>
        <v>https://drive.google.com/open?id=1LPN912CrDDXCWm5xMnEY0vBWHfzx2IPW</v>
      </c>
      <c r="J622" s="59"/>
      <c r="K622" s="59"/>
      <c r="L622" s="59"/>
      <c r="M622" s="59"/>
      <c r="N622" s="59"/>
      <c r="O622" s="59"/>
      <c r="P622" s="59"/>
    </row>
    <row r="623" spans="1:16">
      <c r="A623" s="71">
        <f ca="1">IFERROR(__xludf.DUMMYFUNCTION("""COMPUTED_VALUE"""),45044.6245168287)</f>
        <v>45044.624516828699</v>
      </c>
      <c r="B623" s="59" t="str">
        <f ca="1">IFERROR(__xludf.DUMMYFUNCTION("""COMPUTED_VALUE"""),"POOJAN PRAVINBHAI KALARIYA")</f>
        <v>POOJAN PRAVINBHAI KALARIYA</v>
      </c>
      <c r="C623" s="72" t="str">
        <f ca="1">IFERROR(__xludf.DUMMYFUNCTION("""COMPUTED_VALUE"""),"21SDSCE01025")</f>
        <v>21SDSCE01025</v>
      </c>
      <c r="D623" s="73">
        <f ca="1">IFERROR(__xludf.DUMMYFUNCTION("""COMPUTED_VALUE"""),45044)</f>
        <v>45044</v>
      </c>
      <c r="E623" s="74">
        <f ca="1">IFERROR(__xludf.DUMMYFUNCTION("""COMPUTED_VALUE"""),25000)</f>
        <v>25000</v>
      </c>
      <c r="F623" s="72"/>
      <c r="G623" s="75"/>
      <c r="H623" s="59" t="str">
        <f ca="1">IFERROR(__xludf.DUMMYFUNCTION("""COMPUTED_VALUE"""),"UPDATE")</f>
        <v>UPDATE</v>
      </c>
      <c r="I623" s="76" t="str">
        <f ca="1">IFERROR(__xludf.DUMMYFUNCTION("""COMPUTED_VALUE"""),"https://drive.google.com/open?id=18GOTb5Aw1Si0L_6gWMtr2_3fXFd5K-9e")</f>
        <v>https://drive.google.com/open?id=18GOTb5Aw1Si0L_6gWMtr2_3fXFd5K-9e</v>
      </c>
      <c r="J623" s="59"/>
      <c r="K623" s="59"/>
      <c r="L623" s="59"/>
      <c r="M623" s="59"/>
      <c r="N623" s="59"/>
      <c r="O623" s="59"/>
      <c r="P623" s="59"/>
    </row>
    <row r="624" spans="1:16">
      <c r="A624" s="71">
        <f ca="1">IFERROR(__xludf.DUMMYFUNCTION("""COMPUTED_VALUE"""),45043.921463993)</f>
        <v>45043.921463993</v>
      </c>
      <c r="B624" s="59" t="str">
        <f ca="1">IFERROR(__xludf.DUMMYFUNCTION("""COMPUTED_VALUE"""),"POOJAN PRAVINBHAI KALARIYA")</f>
        <v>POOJAN PRAVINBHAI KALARIYA</v>
      </c>
      <c r="C624" s="72" t="str">
        <f ca="1">IFERROR(__xludf.DUMMYFUNCTION("""COMPUTED_VALUE"""),"21SDSCE01025")</f>
        <v>21SDSCE01025</v>
      </c>
      <c r="D624" s="73">
        <f ca="1">IFERROR(__xludf.DUMMYFUNCTION("""COMPUTED_VALUE"""),45043)</f>
        <v>45043</v>
      </c>
      <c r="E624" s="72"/>
      <c r="F624" s="72"/>
      <c r="G624" s="75"/>
      <c r="H624" s="59" t="str">
        <f ca="1">IFERROR(__xludf.DUMMYFUNCTION("""COMPUTED_VALUE"""),"UPDATE")</f>
        <v>UPDATE</v>
      </c>
      <c r="I624" s="76" t="str">
        <f ca="1">IFERROR(__xludf.DUMMYFUNCTION("""COMPUTED_VALUE"""),"https://drive.google.com/open?id=13ANxxiNbAIx-sFmkKbXugHh5874c5hWG")</f>
        <v>https://drive.google.com/open?id=13ANxxiNbAIx-sFmkKbXugHh5874c5hWG</v>
      </c>
      <c r="J624" s="59"/>
      <c r="K624" s="59"/>
      <c r="L624" s="59"/>
      <c r="M624" s="59"/>
      <c r="N624" s="59"/>
      <c r="O624" s="59"/>
      <c r="P624" s="59"/>
    </row>
    <row r="625" spans="1:16">
      <c r="A625" s="71">
        <f ca="1">IFERROR(__xludf.DUMMYFUNCTION("""COMPUTED_VALUE"""),45043.8893205555)</f>
        <v>45043.8893205555</v>
      </c>
      <c r="B625" s="59" t="str">
        <f ca="1">IFERROR(__xludf.DUMMYFUNCTION("""COMPUTED_VALUE"""),"Kandarp vyas")</f>
        <v>Kandarp vyas</v>
      </c>
      <c r="C625" s="72" t="str">
        <f ca="1">IFERROR(__xludf.DUMMYFUNCTION("""COMPUTED_VALUE"""),"21sdsce01054")</f>
        <v>21sdsce01054</v>
      </c>
      <c r="D625" s="73">
        <f ca="1">IFERROR(__xludf.DUMMYFUNCTION("""COMPUTED_VALUE"""),45043)</f>
        <v>45043</v>
      </c>
      <c r="E625" s="72"/>
      <c r="F625" s="72"/>
      <c r="G625" s="75"/>
      <c r="H625" s="59" t="str">
        <f ca="1">IFERROR(__xludf.DUMMYFUNCTION("""COMPUTED_VALUE"""),"UPDATE")</f>
        <v>UPDATE</v>
      </c>
      <c r="I625" s="76" t="str">
        <f ca="1">IFERROR(__xludf.DUMMYFUNCTION("""COMPUTED_VALUE"""),"https://drive.google.com/open?id=1-jPJi_ezwbtEAOh8OAKLzkfXDQgOQHg1")</f>
        <v>https://drive.google.com/open?id=1-jPJi_ezwbtEAOh8OAKLzkfXDQgOQHg1</v>
      </c>
      <c r="J625" s="59"/>
      <c r="K625" s="59"/>
      <c r="L625" s="59"/>
      <c r="M625" s="59"/>
      <c r="N625" s="59"/>
      <c r="O625" s="59"/>
      <c r="P625" s="59"/>
    </row>
    <row r="626" spans="1:16">
      <c r="A626" s="71">
        <f ca="1">IFERROR(__xludf.DUMMYFUNCTION("""COMPUTED_VALUE"""),45043.7276648842)</f>
        <v>45043.727664884202</v>
      </c>
      <c r="B626" s="59" t="str">
        <f ca="1">IFERROR(__xludf.DUMMYFUNCTION("""COMPUTED_VALUE"""),"Krishnu Gupta")</f>
        <v>Krishnu Gupta</v>
      </c>
      <c r="C626" s="72" t="str">
        <f ca="1">IFERROR(__xludf.DUMMYFUNCTION("""COMPUTED_VALUE"""),"21SDSCE01604")</f>
        <v>21SDSCE01604</v>
      </c>
      <c r="D626" s="73">
        <f ca="1">IFERROR(__xludf.DUMMYFUNCTION("""COMPUTED_VALUE"""),45043)</f>
        <v>45043</v>
      </c>
      <c r="E626" s="74">
        <f ca="1">IFERROR(__xludf.DUMMYFUNCTION("""COMPUTED_VALUE"""),30000)</f>
        <v>30000</v>
      </c>
      <c r="F626" s="72"/>
      <c r="G626" s="75"/>
      <c r="H626" s="59" t="str">
        <f ca="1">IFERROR(__xludf.DUMMYFUNCTION("""COMPUTED_VALUE"""),"UPDATE")</f>
        <v>UPDATE</v>
      </c>
      <c r="I626" s="76" t="str">
        <f ca="1">IFERROR(__xludf.DUMMYFUNCTION("""COMPUTED_VALUE"""),"https://drive.google.com/open?id=1REyA017xhsxUNzOSFTVMDKUdZTwTfybU")</f>
        <v>https://drive.google.com/open?id=1REyA017xhsxUNzOSFTVMDKUdZTwTfybU</v>
      </c>
      <c r="J626" s="59"/>
      <c r="K626" s="59"/>
      <c r="L626" s="59"/>
      <c r="M626" s="59"/>
      <c r="N626" s="59"/>
      <c r="O626" s="59"/>
      <c r="P626" s="59"/>
    </row>
    <row r="627" spans="1:16">
      <c r="A627" s="71">
        <f ca="1">IFERROR(__xludf.DUMMYFUNCTION("""COMPUTED_VALUE"""),45043.2675017708)</f>
        <v>45043.267501770802</v>
      </c>
      <c r="B627" s="59" t="str">
        <f ca="1">IFERROR(__xludf.DUMMYFUNCTION("""COMPUTED_VALUE"""),"Kalariya jigar kiranbhai")</f>
        <v>Kalariya jigar kiranbhai</v>
      </c>
      <c r="C627" s="72" t="str">
        <f ca="1">IFERROR(__xludf.DUMMYFUNCTION("""COMPUTED_VALUE"""),"20SDSCE01048")</f>
        <v>20SDSCE01048</v>
      </c>
      <c r="D627" s="73">
        <f ca="1">IFERROR(__xludf.DUMMYFUNCTION("""COMPUTED_VALUE"""),45043)</f>
        <v>45043</v>
      </c>
      <c r="E627" s="74">
        <f ca="1">IFERROR(__xludf.DUMMYFUNCTION("""COMPUTED_VALUE"""),25000)</f>
        <v>25000</v>
      </c>
      <c r="F627" s="72"/>
      <c r="G627" s="75"/>
      <c r="H627" s="59" t="str">
        <f ca="1">IFERROR(__xludf.DUMMYFUNCTION("""COMPUTED_VALUE"""),"UPDATE")</f>
        <v>UPDATE</v>
      </c>
      <c r="I627" s="76" t="str">
        <f ca="1">IFERROR(__xludf.DUMMYFUNCTION("""COMPUTED_VALUE"""),"https://drive.google.com/open?id=1uxQAnQW4fwXKyB90JVbCYnw0NJd2819k")</f>
        <v>https://drive.google.com/open?id=1uxQAnQW4fwXKyB90JVbCYnw0NJd2819k</v>
      </c>
      <c r="J627" s="59"/>
      <c r="K627" s="59"/>
      <c r="L627" s="59"/>
      <c r="M627" s="59"/>
      <c r="N627" s="59"/>
      <c r="O627" s="59"/>
      <c r="P627" s="59"/>
    </row>
    <row r="628" spans="1:16">
      <c r="A628" s="71">
        <f ca="1">IFERROR(__xludf.DUMMYFUNCTION("""COMPUTED_VALUE"""),45042.6851720486)</f>
        <v>45042.685172048601</v>
      </c>
      <c r="B628" s="59" t="str">
        <f ca="1">IFERROR(__xludf.DUMMYFUNCTION("""COMPUTED_VALUE"""),"Vaghela devdipsinh Narendrasinh ")</f>
        <v xml:space="preserve">Vaghela devdipsinh Narendrasinh </v>
      </c>
      <c r="C628" s="72" t="str">
        <f ca="1">IFERROR(__xludf.DUMMYFUNCTION("""COMPUTED_VALUE"""),"20sdsce01128")</f>
        <v>20sdsce01128</v>
      </c>
      <c r="D628" s="73">
        <f ca="1">IFERROR(__xludf.DUMMYFUNCTION("""COMPUTED_VALUE"""),45042)</f>
        <v>45042</v>
      </c>
      <c r="E628" s="72"/>
      <c r="F628" s="72">
        <f ca="1">IFERROR(__xludf.DUMMYFUNCTION("""COMPUTED_VALUE"""),3750)</f>
        <v>3750</v>
      </c>
      <c r="G628" s="75"/>
      <c r="H628" s="59"/>
      <c r="I628" s="76" t="str">
        <f ca="1">IFERROR(__xludf.DUMMYFUNCTION("""COMPUTED_VALUE"""),"https://drive.google.com/open?id=1ConKAeCWEw4H7T4RCqqckNBGBEacItzY")</f>
        <v>https://drive.google.com/open?id=1ConKAeCWEw4H7T4RCqqckNBGBEacItzY</v>
      </c>
      <c r="J628" s="59"/>
      <c r="K628" s="59"/>
      <c r="L628" s="59"/>
      <c r="M628" s="59"/>
      <c r="N628" s="59"/>
      <c r="O628" s="59"/>
      <c r="P628" s="59"/>
    </row>
    <row r="629" spans="1:16">
      <c r="A629" s="71">
        <f ca="1">IFERROR(__xludf.DUMMYFUNCTION("""COMPUTED_VALUE"""),45041.4277989467)</f>
        <v>45041.427798946701</v>
      </c>
      <c r="B629" s="59" t="str">
        <f ca="1">IFERROR(__xludf.DUMMYFUNCTION("""COMPUTED_VALUE"""),"Kardani dax rajeshbhai")</f>
        <v>Kardani dax rajeshbhai</v>
      </c>
      <c r="C629" s="72" t="str">
        <f ca="1">IFERROR(__xludf.DUMMYFUNCTION("""COMPUTED_VALUE"""),"20SDSCE01051")</f>
        <v>20SDSCE01051</v>
      </c>
      <c r="D629" s="73">
        <f ca="1">IFERROR(__xludf.DUMMYFUNCTION("""COMPUTED_VALUE"""),45041)</f>
        <v>45041</v>
      </c>
      <c r="E629" s="74">
        <f ca="1">IFERROR(__xludf.DUMMYFUNCTION("""COMPUTED_VALUE"""),25000)</f>
        <v>25000</v>
      </c>
      <c r="F629" s="72">
        <f ca="1">IFERROR(__xludf.DUMMYFUNCTION("""COMPUTED_VALUE"""),2500)</f>
        <v>2500</v>
      </c>
      <c r="G629" s="75"/>
      <c r="H629" s="59" t="str">
        <f ca="1">IFERROR(__xludf.DUMMYFUNCTION("""COMPUTED_VALUE"""),"UPDATE")</f>
        <v>UPDATE</v>
      </c>
      <c r="I629" s="76" t="str">
        <f ca="1">IFERROR(__xludf.DUMMYFUNCTION("""COMPUTED_VALUE"""),"https://drive.google.com/open?id=1z6iU0W2z8LqQ_JOMYqEJgzAogNvDGnrR")</f>
        <v>https://drive.google.com/open?id=1z6iU0W2z8LqQ_JOMYqEJgzAogNvDGnrR</v>
      </c>
      <c r="J629" s="59"/>
      <c r="K629" s="59"/>
      <c r="L629" s="59"/>
      <c r="M629" s="59"/>
      <c r="N629" s="59"/>
      <c r="O629" s="59"/>
      <c r="P629" s="59"/>
    </row>
    <row r="630" spans="1:16">
      <c r="A630" s="71">
        <f ca="1">IFERROR(__xludf.DUMMYFUNCTION("""COMPUTED_VALUE"""),45040.7003093634)</f>
        <v>45040.700309363398</v>
      </c>
      <c r="B630" s="59" t="str">
        <f ca="1">IFERROR(__xludf.DUMMYFUNCTION("""COMPUTED_VALUE"""),"Bhargav dudhagara")</f>
        <v>Bhargav dudhagara</v>
      </c>
      <c r="C630" s="72" t="str">
        <f ca="1">IFERROR(__xludf.DUMMYFUNCTION("""COMPUTED_VALUE"""),"22SDSCE01148")</f>
        <v>22SDSCE01148</v>
      </c>
      <c r="D630" s="73">
        <f ca="1">IFERROR(__xludf.DUMMYFUNCTION("""COMPUTED_VALUE"""),45040)</f>
        <v>45040</v>
      </c>
      <c r="E630" s="72"/>
      <c r="F630" s="72">
        <f ca="1">IFERROR(__xludf.DUMMYFUNCTION("""COMPUTED_VALUE"""),25000)</f>
        <v>25000</v>
      </c>
      <c r="G630" s="75"/>
      <c r="H630" s="59" t="str">
        <f ca="1">IFERROR(__xludf.DUMMYFUNCTION("""COMPUTED_VALUE"""),"UPDATE")</f>
        <v>UPDATE</v>
      </c>
      <c r="I630" s="76" t="str">
        <f ca="1">IFERROR(__xludf.DUMMYFUNCTION("""COMPUTED_VALUE"""),"https://drive.google.com/open?id=17BoDmOqX6m_sDlG_HYeNfQbI8ouzZYHg")</f>
        <v>https://drive.google.com/open?id=17BoDmOqX6m_sDlG_HYeNfQbI8ouzZYHg</v>
      </c>
      <c r="J630" s="59"/>
      <c r="K630" s="59"/>
      <c r="L630" s="59"/>
      <c r="M630" s="59"/>
      <c r="N630" s="59"/>
      <c r="O630" s="59"/>
      <c r="P630" s="59"/>
    </row>
    <row r="631" spans="1:16">
      <c r="A631" s="71">
        <f ca="1">IFERROR(__xludf.DUMMYFUNCTION("""COMPUTED_VALUE"""),45037.5661068171)</f>
        <v>45037.566106817103</v>
      </c>
      <c r="B631" s="59" t="str">
        <f ca="1">IFERROR(__xludf.DUMMYFUNCTION("""COMPUTED_VALUE"""),"JENISH KOTADIYA ")</f>
        <v xml:space="preserve">JENISH KOTADIYA </v>
      </c>
      <c r="C631" s="72" t="str">
        <f ca="1">IFERROR(__xludf.DUMMYFUNCTION("""COMPUTED_VALUE"""),"21SDSCE010181")</f>
        <v>21SDSCE010181</v>
      </c>
      <c r="D631" s="73">
        <f ca="1">IFERROR(__xludf.DUMMYFUNCTION("""COMPUTED_VALUE"""),45037)</f>
        <v>45037</v>
      </c>
      <c r="E631" s="72"/>
      <c r="F631" s="72"/>
      <c r="G631" s="75"/>
      <c r="H631" s="59" t="str">
        <f ca="1">IFERROR(__xludf.DUMMYFUNCTION("""COMPUTED_VALUE"""),"UPDATE")</f>
        <v>UPDATE</v>
      </c>
      <c r="I631" s="76" t="str">
        <f ca="1">IFERROR(__xludf.DUMMYFUNCTION("""COMPUTED_VALUE"""),"https://drive.google.com/open?id=1XISARuQB_4PBYVLLb5n1vVzs0QGGDut1")</f>
        <v>https://drive.google.com/open?id=1XISARuQB_4PBYVLLb5n1vVzs0QGGDut1</v>
      </c>
      <c r="J631" s="59"/>
      <c r="K631" s="59"/>
      <c r="L631" s="59"/>
      <c r="M631" s="59"/>
      <c r="N631" s="59"/>
      <c r="O631" s="59"/>
      <c r="P631" s="59"/>
    </row>
    <row r="632" spans="1:16">
      <c r="A632" s="71">
        <f ca="1">IFERROR(__xludf.DUMMYFUNCTION("""COMPUTED_VALUE"""),45036.6000216898)</f>
        <v>45036.600021689803</v>
      </c>
      <c r="B632" s="59" t="str">
        <f ca="1">IFERROR(__xludf.DUMMYFUNCTION("""COMPUTED_VALUE"""),"Makda Jusar Abbasbhai")</f>
        <v>Makda Jusar Abbasbhai</v>
      </c>
      <c r="C632" s="72" t="str">
        <f ca="1">IFERROR(__xludf.DUMMYFUNCTION("""COMPUTED_VALUE"""),"21SDSCE01134")</f>
        <v>21SDSCE01134</v>
      </c>
      <c r="D632" s="73">
        <f ca="1">IFERROR(__xludf.DUMMYFUNCTION("""COMPUTED_VALUE"""),45036)</f>
        <v>45036</v>
      </c>
      <c r="E632" s="74">
        <f ca="1">IFERROR(__xludf.DUMMYFUNCTION("""COMPUTED_VALUE"""),25000)</f>
        <v>25000</v>
      </c>
      <c r="F632" s="72">
        <f ca="1">IFERROR(__xludf.DUMMYFUNCTION("""COMPUTED_VALUE"""),2500)</f>
        <v>2500</v>
      </c>
      <c r="G632" s="75"/>
      <c r="H632" s="59" t="str">
        <f ca="1">IFERROR(__xludf.DUMMYFUNCTION("""COMPUTED_VALUE"""),"UPDATE")</f>
        <v>UPDATE</v>
      </c>
      <c r="I632" s="76" t="str">
        <f ca="1">IFERROR(__xludf.DUMMYFUNCTION("""COMPUTED_VALUE"""),"https://drive.google.com/open?id=1mhbFxnN6FIgkL51l17NMf2GO5COsAfiW")</f>
        <v>https://drive.google.com/open?id=1mhbFxnN6FIgkL51l17NMf2GO5COsAfiW</v>
      </c>
      <c r="J632" s="59"/>
      <c r="K632" s="59"/>
      <c r="L632" s="59"/>
      <c r="M632" s="59"/>
      <c r="N632" s="59"/>
      <c r="O632" s="59"/>
      <c r="P632" s="59"/>
    </row>
    <row r="633" spans="1:16">
      <c r="A633" s="71">
        <f ca="1">IFERROR(__xludf.DUMMYFUNCTION("""COMPUTED_VALUE"""),45036.4509358101)</f>
        <v>45036.450935810099</v>
      </c>
      <c r="B633" s="59" t="str">
        <f ca="1">IFERROR(__xludf.DUMMYFUNCTION("""COMPUTED_VALUE"""),"Jasani krisha maheshbhai ")</f>
        <v xml:space="preserve">Jasani krisha maheshbhai </v>
      </c>
      <c r="C633" s="72" t="str">
        <f ca="1">IFERROR(__xludf.DUMMYFUNCTION("""COMPUTED_VALUE"""),"22SDSCE01153")</f>
        <v>22SDSCE01153</v>
      </c>
      <c r="D633" s="73">
        <f ca="1">IFERROR(__xludf.DUMMYFUNCTION("""COMPUTED_VALUE"""),45036)</f>
        <v>45036</v>
      </c>
      <c r="E633" s="74">
        <f ca="1">IFERROR(__xludf.DUMMYFUNCTION("""COMPUTED_VALUE"""),25000)</f>
        <v>25000</v>
      </c>
      <c r="F633" s="72"/>
      <c r="G633" s="75"/>
      <c r="H633" s="59" t="str">
        <f ca="1">IFERROR(__xludf.DUMMYFUNCTION("""COMPUTED_VALUE"""),"UPDATE")</f>
        <v>UPDATE</v>
      </c>
      <c r="I633" s="76" t="str">
        <f ca="1">IFERROR(__xludf.DUMMYFUNCTION("""COMPUTED_VALUE"""),"https://drive.google.com/open?id=1lb9FE3eORXD2P-6QuPuhdjKNWRzROL5u")</f>
        <v>https://drive.google.com/open?id=1lb9FE3eORXD2P-6QuPuhdjKNWRzROL5u</v>
      </c>
      <c r="J633" s="59"/>
      <c r="K633" s="59"/>
      <c r="L633" s="59"/>
      <c r="M633" s="59"/>
      <c r="N633" s="59"/>
      <c r="O633" s="59"/>
      <c r="P633" s="59"/>
    </row>
    <row r="634" spans="1:16">
      <c r="A634" s="71">
        <f ca="1">IFERROR(__xludf.DUMMYFUNCTION("""COMPUTED_VALUE"""),45035.5746928819)</f>
        <v>45035.574692881899</v>
      </c>
      <c r="B634" s="59" t="str">
        <f ca="1">IFERROR(__xludf.DUMMYFUNCTION("""COMPUTED_VALUE"""),"Hiren vaghela")</f>
        <v>Hiren vaghela</v>
      </c>
      <c r="C634" s="72" t="str">
        <f ca="1">IFERROR(__xludf.DUMMYFUNCTION("""COMPUTED_VALUE"""),"22SDSCV01014")</f>
        <v>22SDSCV01014</v>
      </c>
      <c r="D634" s="73">
        <f ca="1">IFERROR(__xludf.DUMMYFUNCTION("""COMPUTED_VALUE"""),45028)</f>
        <v>45028</v>
      </c>
      <c r="E634" s="72"/>
      <c r="F634" s="72"/>
      <c r="G634" s="75"/>
      <c r="H634" s="59" t="str">
        <f ca="1">IFERROR(__xludf.DUMMYFUNCTION("""COMPUTED_VALUE"""),"UPDATE")</f>
        <v>UPDATE</v>
      </c>
      <c r="I634" s="76" t="str">
        <f ca="1">IFERROR(__xludf.DUMMYFUNCTION("""COMPUTED_VALUE"""),"https://drive.google.com/open?id=12IAynBiFJuyrQOgVgF6-1Pir0aAmS7zL")</f>
        <v>https://drive.google.com/open?id=12IAynBiFJuyrQOgVgF6-1Pir0aAmS7zL</v>
      </c>
      <c r="J634" s="59"/>
      <c r="K634" s="59"/>
      <c r="L634" s="59"/>
      <c r="M634" s="59"/>
      <c r="N634" s="59"/>
      <c r="O634" s="59"/>
      <c r="P634" s="59"/>
    </row>
    <row r="635" spans="1:16">
      <c r="A635" s="71">
        <f ca="1">IFERROR(__xludf.DUMMYFUNCTION("""COMPUTED_VALUE"""),45035.5734209606)</f>
        <v>45035.573420960602</v>
      </c>
      <c r="B635" s="59" t="str">
        <f ca="1">IFERROR(__xludf.DUMMYFUNCTION("""COMPUTED_VALUE"""),"Hiren vaghela")</f>
        <v>Hiren vaghela</v>
      </c>
      <c r="C635" s="72" t="str">
        <f ca="1">IFERROR(__xludf.DUMMYFUNCTION("""COMPUTED_VALUE"""),"22SDSCV01014")</f>
        <v>22SDSCV01014</v>
      </c>
      <c r="D635" s="73">
        <f ca="1">IFERROR(__xludf.DUMMYFUNCTION("""COMPUTED_VALUE"""),45028)</f>
        <v>45028</v>
      </c>
      <c r="E635" s="74">
        <f ca="1">IFERROR(__xludf.DUMMYFUNCTION("""COMPUTED_VALUE"""),25000)</f>
        <v>25000</v>
      </c>
      <c r="F635" s="72">
        <f ca="1">IFERROR(__xludf.DUMMYFUNCTION("""COMPUTED_VALUE"""),3000)</f>
        <v>3000</v>
      </c>
      <c r="G635" s="75"/>
      <c r="H635" s="59" t="str">
        <f ca="1">IFERROR(__xludf.DUMMYFUNCTION("""COMPUTED_VALUE"""),"UPDATE")</f>
        <v>UPDATE</v>
      </c>
      <c r="I635" s="76" t="str">
        <f ca="1">IFERROR(__xludf.DUMMYFUNCTION("""COMPUTED_VALUE"""),"https://drive.google.com/open?id=1Hgzk97ELyJFgK6gQxos21aVtILnIQrpq")</f>
        <v>https://drive.google.com/open?id=1Hgzk97ELyJFgK6gQxos21aVtILnIQrpq</v>
      </c>
      <c r="J635" s="59"/>
      <c r="K635" s="59"/>
      <c r="L635" s="59"/>
      <c r="M635" s="59"/>
      <c r="N635" s="59"/>
      <c r="O635" s="59"/>
      <c r="P635" s="59"/>
    </row>
    <row r="636" spans="1:16">
      <c r="A636" s="71">
        <f ca="1">IFERROR(__xludf.DUMMYFUNCTION("""COMPUTED_VALUE"""),45035.5016708564)</f>
        <v>45035.5016708564</v>
      </c>
      <c r="B636" s="59" t="str">
        <f ca="1">IFERROR(__xludf.DUMMYFUNCTION("""COMPUTED_VALUE"""),"Sanjay teli")</f>
        <v>Sanjay teli</v>
      </c>
      <c r="C636" s="72" t="str">
        <f ca="1">IFERROR(__xludf.DUMMYFUNCTION("""COMPUTED_VALUE"""),"21SDSCE01615")</f>
        <v>21SDSCE01615</v>
      </c>
      <c r="D636" s="73">
        <f ca="1">IFERROR(__xludf.DUMMYFUNCTION("""COMPUTED_VALUE"""),45035)</f>
        <v>45035</v>
      </c>
      <c r="E636" s="72"/>
      <c r="F636" s="72"/>
      <c r="G636" s="75"/>
      <c r="H636" s="59" t="str">
        <f ca="1">IFERROR(__xludf.DUMMYFUNCTION("""COMPUTED_VALUE"""),"UPDATE")</f>
        <v>UPDATE</v>
      </c>
      <c r="I636" s="76" t="str">
        <f ca="1">IFERROR(__xludf.DUMMYFUNCTION("""COMPUTED_VALUE"""),"https://drive.google.com/open?id=1db2rtmfybv9d2l5qtwozLAGUL8l_fTXD")</f>
        <v>https://drive.google.com/open?id=1db2rtmfybv9d2l5qtwozLAGUL8l_fTXD</v>
      </c>
      <c r="J636" s="59"/>
      <c r="K636" s="59"/>
      <c r="L636" s="59"/>
      <c r="M636" s="59"/>
      <c r="N636" s="59"/>
      <c r="O636" s="59"/>
      <c r="P636" s="59"/>
    </row>
    <row r="637" spans="1:16">
      <c r="A637" s="71">
        <f ca="1">IFERROR(__xludf.DUMMYFUNCTION("""COMPUTED_VALUE"""),45035.4967928819)</f>
        <v>45035.496792881902</v>
      </c>
      <c r="B637" s="59" t="str">
        <f ca="1">IFERROR(__xludf.DUMMYFUNCTION("""COMPUTED_VALUE"""),"sanjay teli")</f>
        <v>sanjay teli</v>
      </c>
      <c r="C637" s="72" t="str">
        <f ca="1">IFERROR(__xludf.DUMMYFUNCTION("""COMPUTED_VALUE"""),"21SDSCE01615")</f>
        <v>21SDSCE01615</v>
      </c>
      <c r="D637" s="73">
        <f ca="1">IFERROR(__xludf.DUMMYFUNCTION("""COMPUTED_VALUE"""),45035)</f>
        <v>45035</v>
      </c>
      <c r="E637" s="72"/>
      <c r="F637" s="72"/>
      <c r="G637" s="75"/>
      <c r="H637" s="59" t="str">
        <f ca="1">IFERROR(__xludf.DUMMYFUNCTION("""COMPUTED_VALUE"""),"UPDATE")</f>
        <v>UPDATE</v>
      </c>
      <c r="I637" s="76" t="str">
        <f ca="1">IFERROR(__xludf.DUMMYFUNCTION("""COMPUTED_VALUE"""),"https://drive.google.com/open?id=1nsUg7lB9ba4KcNisUmOAg3KTP20JYxM-")</f>
        <v>https://drive.google.com/open?id=1nsUg7lB9ba4KcNisUmOAg3KTP20JYxM-</v>
      </c>
      <c r="J637" s="59"/>
      <c r="K637" s="59"/>
      <c r="L637" s="59"/>
      <c r="M637" s="59"/>
      <c r="N637" s="59"/>
      <c r="O637" s="59"/>
      <c r="P637" s="59"/>
    </row>
    <row r="638" spans="1:16">
      <c r="A638" s="71">
        <f ca="1">IFERROR(__xludf.DUMMYFUNCTION("""COMPUTED_VALUE"""),45034.6051281713)</f>
        <v>45034.605128171301</v>
      </c>
      <c r="B638" s="59" t="str">
        <f ca="1">IFERROR(__xludf.DUMMYFUNCTION("""COMPUTED_VALUE"""),"Malvi padaliya ")</f>
        <v xml:space="preserve">Malvi padaliya </v>
      </c>
      <c r="C638" s="72" t="str">
        <f ca="1">IFERROR(__xludf.DUMMYFUNCTION("""COMPUTED_VALUE"""),"21SDSCE01037")</f>
        <v>21SDSCE01037</v>
      </c>
      <c r="D638" s="73">
        <f ca="1">IFERROR(__xludf.DUMMYFUNCTION("""COMPUTED_VALUE"""),45034)</f>
        <v>45034</v>
      </c>
      <c r="E638" s="72"/>
      <c r="F638" s="72"/>
      <c r="G638" s="75"/>
      <c r="H638" s="59" t="str">
        <f ca="1">IFERROR(__xludf.DUMMYFUNCTION("""COMPUTED_VALUE"""),"UPDATE")</f>
        <v>UPDATE</v>
      </c>
      <c r="I638" s="76" t="str">
        <f ca="1">IFERROR(__xludf.DUMMYFUNCTION("""COMPUTED_VALUE"""),"https://drive.google.com/open?id=1Mg0l9VT7JV9gmg1cOa0mYmVPWu74YdgS")</f>
        <v>https://drive.google.com/open?id=1Mg0l9VT7JV9gmg1cOa0mYmVPWu74YdgS</v>
      </c>
      <c r="J638" s="59"/>
      <c r="K638" s="59"/>
      <c r="L638" s="59"/>
      <c r="M638" s="59"/>
      <c r="N638" s="59"/>
      <c r="O638" s="59"/>
      <c r="P638" s="59"/>
    </row>
    <row r="639" spans="1:16">
      <c r="A639" s="71">
        <f ca="1">IFERROR(__xludf.DUMMYFUNCTION("""COMPUTED_VALUE"""),45033.6665023148)</f>
        <v>45033.666502314802</v>
      </c>
      <c r="B639" s="59" t="str">
        <f ca="1">IFERROR(__xludf.DUMMYFUNCTION("""COMPUTED_VALUE"""),"Malvi padaliya ")</f>
        <v xml:space="preserve">Malvi padaliya </v>
      </c>
      <c r="C639" s="72" t="str">
        <f ca="1">IFERROR(__xludf.DUMMYFUNCTION("""COMPUTED_VALUE"""),"21SDSCE01037")</f>
        <v>21SDSCE01037</v>
      </c>
      <c r="D639" s="73">
        <f ca="1">IFERROR(__xludf.DUMMYFUNCTION("""COMPUTED_VALUE"""),45033)</f>
        <v>45033</v>
      </c>
      <c r="E639" s="74">
        <f ca="1">IFERROR(__xludf.DUMMYFUNCTION("""COMPUTED_VALUE"""),50)</f>
        <v>50</v>
      </c>
      <c r="F639" s="72"/>
      <c r="G639" s="75"/>
      <c r="H639" s="59" t="str">
        <f ca="1">IFERROR(__xludf.DUMMYFUNCTION("""COMPUTED_VALUE"""),"UPDATE")</f>
        <v>UPDATE</v>
      </c>
      <c r="I639" s="76" t="str">
        <f ca="1">IFERROR(__xludf.DUMMYFUNCTION("""COMPUTED_VALUE"""),"https://drive.google.com/open?id=1lm6brMtmZnmz-qYRqBcJKEQSbmnE0THc")</f>
        <v>https://drive.google.com/open?id=1lm6brMtmZnmz-qYRqBcJKEQSbmnE0THc</v>
      </c>
      <c r="J639" s="59"/>
      <c r="K639" s="59"/>
      <c r="L639" s="59"/>
      <c r="M639" s="59"/>
      <c r="N639" s="59"/>
      <c r="O639" s="59"/>
      <c r="P639" s="59"/>
    </row>
    <row r="640" spans="1:16">
      <c r="A640" s="71">
        <f ca="1">IFERROR(__xludf.DUMMYFUNCTION("""COMPUTED_VALUE"""),45033.6655266203)</f>
        <v>45033.665526620302</v>
      </c>
      <c r="B640" s="59" t="str">
        <f ca="1">IFERROR(__xludf.DUMMYFUNCTION("""COMPUTED_VALUE"""),"Malvi padaliya ")</f>
        <v xml:space="preserve">Malvi padaliya </v>
      </c>
      <c r="C640" s="72" t="str">
        <f ca="1">IFERROR(__xludf.DUMMYFUNCTION("""COMPUTED_VALUE"""),"21SDSCE01037")</f>
        <v>21SDSCE01037</v>
      </c>
      <c r="D640" s="73">
        <f ca="1">IFERROR(__xludf.DUMMYFUNCTION("""COMPUTED_VALUE"""),45033)</f>
        <v>45033</v>
      </c>
      <c r="E640" s="74">
        <f ca="1">IFERROR(__xludf.DUMMYFUNCTION("""COMPUTED_VALUE"""),24950)</f>
        <v>24950</v>
      </c>
      <c r="F640" s="72"/>
      <c r="G640" s="75"/>
      <c r="H640" s="59" t="str">
        <f ca="1">IFERROR(__xludf.DUMMYFUNCTION("""COMPUTED_VALUE"""),"UPDATE")</f>
        <v>UPDATE</v>
      </c>
      <c r="I640" s="76" t="str">
        <f ca="1">IFERROR(__xludf.DUMMYFUNCTION("""COMPUTED_VALUE"""),"https://drive.google.com/open?id=1Ud8191G7oNQDAUhZaSz4gaaMyEp_U1Rp")</f>
        <v>https://drive.google.com/open?id=1Ud8191G7oNQDAUhZaSz4gaaMyEp_U1Rp</v>
      </c>
      <c r="J640" s="59"/>
      <c r="K640" s="59"/>
      <c r="L640" s="59"/>
      <c r="M640" s="59"/>
      <c r="N640" s="59"/>
      <c r="O640" s="59"/>
      <c r="P640" s="59"/>
    </row>
    <row r="641" spans="1:16">
      <c r="A641" s="71">
        <f ca="1">IFERROR(__xludf.DUMMYFUNCTION("""COMPUTED_VALUE"""),45028.8940849189)</f>
        <v>45028.894084918902</v>
      </c>
      <c r="B641" s="59" t="str">
        <f ca="1">IFERROR(__xludf.DUMMYFUNCTION("""COMPUTED_VALUE"""),"Tank drashti ashokbhai")</f>
        <v>Tank drashti ashokbhai</v>
      </c>
      <c r="C641" s="72" t="str">
        <f ca="1">IFERROR(__xludf.DUMMYFUNCTION("""COMPUTED_VALUE"""),"22SDSCE01063")</f>
        <v>22SDSCE01063</v>
      </c>
      <c r="D641" s="73">
        <f ca="1">IFERROR(__xludf.DUMMYFUNCTION("""COMPUTED_VALUE"""),45028)</f>
        <v>45028</v>
      </c>
      <c r="E641" s="74">
        <f ca="1">IFERROR(__xludf.DUMMYFUNCTION("""COMPUTED_VALUE"""),25000)</f>
        <v>25000</v>
      </c>
      <c r="F641" s="72">
        <f ca="1">IFERROR(__xludf.DUMMYFUNCTION("""COMPUTED_VALUE"""),3000)</f>
        <v>3000</v>
      </c>
      <c r="G641" s="75"/>
      <c r="H641" s="59" t="str">
        <f ca="1">IFERROR(__xludf.DUMMYFUNCTION("""COMPUTED_VALUE"""),"UPDATE")</f>
        <v>UPDATE</v>
      </c>
      <c r="I641" s="76" t="str">
        <f ca="1">IFERROR(__xludf.DUMMYFUNCTION("""COMPUTED_VALUE"""),"https://drive.google.com/open?id=1IQ6JQvS-nZHF58j4DNxBeabSo6lTwnwn")</f>
        <v>https://drive.google.com/open?id=1IQ6JQvS-nZHF58j4DNxBeabSo6lTwnwn</v>
      </c>
      <c r="J641" s="59"/>
      <c r="K641" s="59"/>
      <c r="L641" s="59"/>
      <c r="M641" s="59"/>
      <c r="N641" s="59"/>
      <c r="O641" s="59"/>
      <c r="P641" s="59"/>
    </row>
    <row r="642" spans="1:16">
      <c r="A642" s="71">
        <f ca="1">IFERROR(__xludf.DUMMYFUNCTION("""COMPUTED_VALUE"""),45028.6147300347)</f>
        <v>45028.6147300347</v>
      </c>
      <c r="B642" s="59" t="str">
        <f ca="1">IFERROR(__xludf.DUMMYFUNCTION("""COMPUTED_VALUE"""),"Hiren Vaghela ")</f>
        <v xml:space="preserve">Hiren Vaghela </v>
      </c>
      <c r="C642" s="72" t="str">
        <f ca="1">IFERROR(__xludf.DUMMYFUNCTION("""COMPUTED_VALUE"""),"22SDSCV01014")</f>
        <v>22SDSCV01014</v>
      </c>
      <c r="D642" s="73">
        <f ca="1">IFERROR(__xludf.DUMMYFUNCTION("""COMPUTED_VALUE"""),45028)</f>
        <v>45028</v>
      </c>
      <c r="E642" s="74">
        <f ca="1">IFERROR(__xludf.DUMMYFUNCTION("""COMPUTED_VALUE"""),25000)</f>
        <v>25000</v>
      </c>
      <c r="F642" s="72">
        <f ca="1">IFERROR(__xludf.DUMMYFUNCTION("""COMPUTED_VALUE"""),3000)</f>
        <v>3000</v>
      </c>
      <c r="G642" s="75"/>
      <c r="H642" s="59" t="str">
        <f ca="1">IFERROR(__xludf.DUMMYFUNCTION("""COMPUTED_VALUE"""),"UPDATE")</f>
        <v>UPDATE</v>
      </c>
      <c r="I642" s="76" t="str">
        <f ca="1">IFERROR(__xludf.DUMMYFUNCTION("""COMPUTED_VALUE"""),"https://drive.google.com/open?id=1M9paOrcG4wHCgWJW-g9BWRi4jhbte6t5")</f>
        <v>https://drive.google.com/open?id=1M9paOrcG4wHCgWJW-g9BWRi4jhbte6t5</v>
      </c>
      <c r="J642" s="59"/>
      <c r="K642" s="59"/>
      <c r="L642" s="59"/>
      <c r="M642" s="59"/>
      <c r="N642" s="59"/>
      <c r="O642" s="59"/>
      <c r="P642" s="59"/>
    </row>
    <row r="643" spans="1:16">
      <c r="A643" s="71">
        <f ca="1">IFERROR(__xludf.DUMMYFUNCTION("""COMPUTED_VALUE"""),45028.5860151736)</f>
        <v>45028.586015173598</v>
      </c>
      <c r="B643" s="59" t="str">
        <f ca="1">IFERROR(__xludf.DUMMYFUNCTION("""COMPUTED_VALUE"""),"Baldha Urvisha Rajeshbhai ")</f>
        <v xml:space="preserve">Baldha Urvisha Rajeshbhai </v>
      </c>
      <c r="C643" s="72" t="str">
        <f ca="1">IFERROR(__xludf.DUMMYFUNCTION("""COMPUTED_VALUE"""),"20SDSCE01006")</f>
        <v>20SDSCE01006</v>
      </c>
      <c r="D643" s="73">
        <f ca="1">IFERROR(__xludf.DUMMYFUNCTION("""COMPUTED_VALUE"""),45012)</f>
        <v>45012</v>
      </c>
      <c r="E643" s="74">
        <f ca="1">IFERROR(__xludf.DUMMYFUNCTION("""COMPUTED_VALUE"""),25000)</f>
        <v>25000</v>
      </c>
      <c r="F643" s="72">
        <f ca="1">IFERROR(__xludf.DUMMYFUNCTION("""COMPUTED_VALUE"""),3750)</f>
        <v>3750</v>
      </c>
      <c r="G643" s="75"/>
      <c r="H643" s="59" t="str">
        <f ca="1">IFERROR(__xludf.DUMMYFUNCTION("""COMPUTED_VALUE"""),"UPDATE")</f>
        <v>UPDATE</v>
      </c>
      <c r="I643" s="76" t="str">
        <f ca="1">IFERROR(__xludf.DUMMYFUNCTION("""COMPUTED_VALUE"""),"https://drive.google.com/open?id=1HS0tS215ixmRldOdjCKACw7tkomTJ4Ev")</f>
        <v>https://drive.google.com/open?id=1HS0tS215ixmRldOdjCKACw7tkomTJ4Ev</v>
      </c>
      <c r="J643" s="59"/>
      <c r="K643" s="59"/>
      <c r="L643" s="59"/>
      <c r="M643" s="59"/>
      <c r="N643" s="59"/>
      <c r="O643" s="59"/>
      <c r="P643" s="59"/>
    </row>
    <row r="644" spans="1:16">
      <c r="A644" s="71">
        <f ca="1">IFERROR(__xludf.DUMMYFUNCTION("""COMPUTED_VALUE"""),45027.6827804513)</f>
        <v>45027.682780451301</v>
      </c>
      <c r="B644" s="59" t="str">
        <f ca="1">IFERROR(__xludf.DUMMYFUNCTION("""COMPUTED_VALUE"""),"Goraniya karan")</f>
        <v>Goraniya karan</v>
      </c>
      <c r="C644" s="72" t="str">
        <f ca="1">IFERROR(__xludf.DUMMYFUNCTION("""COMPUTED_VALUE"""),"22SDSCE01152")</f>
        <v>22SDSCE01152</v>
      </c>
      <c r="D644" s="73">
        <f ca="1">IFERROR(__xludf.DUMMYFUNCTION("""COMPUTED_VALUE"""),45027)</f>
        <v>45027</v>
      </c>
      <c r="E644" s="72"/>
      <c r="F644" s="72"/>
      <c r="G644" s="75"/>
      <c r="H644" s="59" t="str">
        <f ca="1">IFERROR(__xludf.DUMMYFUNCTION("""COMPUTED_VALUE"""),"UPDATE")</f>
        <v>UPDATE</v>
      </c>
      <c r="I644" s="76" t="str">
        <f ca="1">IFERROR(__xludf.DUMMYFUNCTION("""COMPUTED_VALUE"""),"https://drive.google.com/open?id=1Qckx9e54jYaCb7Fc5dhFsIMH2Fzwqcre")</f>
        <v>https://drive.google.com/open?id=1Qckx9e54jYaCb7Fc5dhFsIMH2Fzwqcre</v>
      </c>
      <c r="J644" s="59"/>
      <c r="K644" s="59"/>
      <c r="L644" s="59"/>
      <c r="M644" s="59"/>
      <c r="N644" s="59"/>
      <c r="O644" s="59"/>
      <c r="P644" s="59"/>
    </row>
    <row r="645" spans="1:16">
      <c r="A645" s="71">
        <f ca="1">IFERROR(__xludf.DUMMYFUNCTION("""COMPUTED_VALUE"""),45026.64468603)</f>
        <v>45026.644686029998</v>
      </c>
      <c r="B645" s="59" t="str">
        <f ca="1">IFERROR(__xludf.DUMMYFUNCTION("""COMPUTED_VALUE"""),"Gohel Maitri Nayanbhai ")</f>
        <v xml:space="preserve">Gohel Maitri Nayanbhai </v>
      </c>
      <c r="C645" s="72" t="str">
        <f ca="1">IFERROR(__xludf.DUMMYFUNCTION("""COMPUTED_VALUE"""),"21SDSCE01128")</f>
        <v>21SDSCE01128</v>
      </c>
      <c r="D645" s="73">
        <f ca="1">IFERROR(__xludf.DUMMYFUNCTION("""COMPUTED_VALUE"""),44966)</f>
        <v>44966</v>
      </c>
      <c r="E645" s="72"/>
      <c r="F645" s="72">
        <f ca="1">IFERROR(__xludf.DUMMYFUNCTION("""COMPUTED_VALUE"""),2500)</f>
        <v>2500</v>
      </c>
      <c r="G645" s="75"/>
      <c r="H645" s="59" t="str">
        <f ca="1">IFERROR(__xludf.DUMMYFUNCTION("""COMPUTED_VALUE"""),"200 penalty")</f>
        <v>200 penalty</v>
      </c>
      <c r="I645" s="76" t="str">
        <f ca="1">IFERROR(__xludf.DUMMYFUNCTION("""COMPUTED_VALUE"""),"https://drive.google.com/open?id=1NkCGCWJTEx8FycYLtV7j_tYgceZBwg_Q")</f>
        <v>https://drive.google.com/open?id=1NkCGCWJTEx8FycYLtV7j_tYgceZBwg_Q</v>
      </c>
      <c r="J645" s="59"/>
      <c r="K645" s="59"/>
      <c r="L645" s="59"/>
      <c r="M645" s="59"/>
      <c r="N645" s="59"/>
      <c r="O645" s="59"/>
      <c r="P645" s="59"/>
    </row>
    <row r="646" spans="1:16">
      <c r="A646" s="71">
        <f ca="1">IFERROR(__xludf.DUMMYFUNCTION("""COMPUTED_VALUE"""),45025.4864982175)</f>
        <v>45025.486498217499</v>
      </c>
      <c r="B646" s="59" t="str">
        <f ca="1">IFERROR(__xludf.DUMMYFUNCTION("""COMPUTED_VALUE"""),"Bhargav vipulbhai bhatt")</f>
        <v>Bhargav vipulbhai bhatt</v>
      </c>
      <c r="C646" s="72" t="str">
        <f ca="1">IFERROR(__xludf.DUMMYFUNCTION("""COMPUTED_VALUE"""),"22SDSCE01198")</f>
        <v>22SDSCE01198</v>
      </c>
      <c r="D646" s="73">
        <f ca="1">IFERROR(__xludf.DUMMYFUNCTION("""COMPUTED_VALUE"""),45025)</f>
        <v>45025</v>
      </c>
      <c r="E646" s="74">
        <f ca="1">IFERROR(__xludf.DUMMYFUNCTION("""COMPUTED_VALUE"""),25000)</f>
        <v>25000</v>
      </c>
      <c r="F646" s="72"/>
      <c r="G646" s="75"/>
      <c r="H646" s="59" t="str">
        <f ca="1">IFERROR(__xludf.DUMMYFUNCTION("""COMPUTED_VALUE"""),"1000  PENALTY")</f>
        <v>1000  PENALTY</v>
      </c>
      <c r="I646" s="76" t="str">
        <f ca="1">IFERROR(__xludf.DUMMYFUNCTION("""COMPUTED_VALUE"""),"https://drive.google.com/open?id=1yxlqnJyj8DTidSwUdImPFsWugZmxcxaZ")</f>
        <v>https://drive.google.com/open?id=1yxlqnJyj8DTidSwUdImPFsWugZmxcxaZ</v>
      </c>
      <c r="J646" s="59"/>
      <c r="K646" s="59"/>
      <c r="L646" s="59"/>
      <c r="M646" s="59"/>
      <c r="N646" s="59"/>
      <c r="O646" s="59"/>
      <c r="P646" s="59"/>
    </row>
    <row r="647" spans="1:16">
      <c r="A647" s="71">
        <f ca="1">IFERROR(__xludf.DUMMYFUNCTION("""COMPUTED_VALUE"""),45024.4058545949)</f>
        <v>45024.405854594901</v>
      </c>
      <c r="B647" s="59" t="str">
        <f ca="1">IFERROR(__xludf.DUMMYFUNCTION("""COMPUTED_VALUE"""),"Rignesh kalpeshbhai raiyani")</f>
        <v>Rignesh kalpeshbhai raiyani</v>
      </c>
      <c r="C647" s="72" t="str">
        <f ca="1">IFERROR(__xludf.DUMMYFUNCTION("""COMPUTED_VALUE"""),"20SDSCE01091")</f>
        <v>20SDSCE01091</v>
      </c>
      <c r="D647" s="73">
        <f ca="1">IFERROR(__xludf.DUMMYFUNCTION("""COMPUTED_VALUE"""),45010)</f>
        <v>45010</v>
      </c>
      <c r="E647" s="74">
        <f ca="1">IFERROR(__xludf.DUMMYFUNCTION("""COMPUTED_VALUE"""),0)</f>
        <v>0</v>
      </c>
      <c r="F647" s="72">
        <f ca="1">IFERROR(__xludf.DUMMYFUNCTION("""COMPUTED_VALUE"""),3750)</f>
        <v>3750</v>
      </c>
      <c r="G647" s="75"/>
      <c r="H647" s="59" t="str">
        <f ca="1">IFERROR(__xludf.DUMMYFUNCTION("""COMPUTED_VALUE"""),"UPDATE")</f>
        <v>UPDATE</v>
      </c>
      <c r="I647" s="76" t="str">
        <f ca="1">IFERROR(__xludf.DUMMYFUNCTION("""COMPUTED_VALUE"""),"https://drive.google.com/open?id=1ZzybX9FDBF_8baGNuHE3B5_K_5b7zp-8")</f>
        <v>https://drive.google.com/open?id=1ZzybX9FDBF_8baGNuHE3B5_K_5b7zp-8</v>
      </c>
      <c r="J647" s="59"/>
      <c r="K647" s="59"/>
      <c r="L647" s="59"/>
      <c r="M647" s="59"/>
      <c r="N647" s="59"/>
      <c r="O647" s="59"/>
      <c r="P647" s="59"/>
    </row>
    <row r="648" spans="1:16">
      <c r="A648" s="71">
        <f ca="1">IFERROR(__xludf.DUMMYFUNCTION("""COMPUTED_VALUE"""),45024.404787824)</f>
        <v>45024.404787824002</v>
      </c>
      <c r="B648" s="59" t="str">
        <f ca="1">IFERROR(__xludf.DUMMYFUNCTION("""COMPUTED_VALUE"""),"Rignesh kalpeshbhai raiyani ")</f>
        <v xml:space="preserve">Rignesh kalpeshbhai raiyani </v>
      </c>
      <c r="C648" s="72" t="str">
        <f ca="1">IFERROR(__xludf.DUMMYFUNCTION("""COMPUTED_VALUE"""),"20SDSCE01091")</f>
        <v>20SDSCE01091</v>
      </c>
      <c r="D648" s="73">
        <f ca="1">IFERROR(__xludf.DUMMYFUNCTION("""COMPUTED_VALUE"""),45010)</f>
        <v>45010</v>
      </c>
      <c r="E648" s="74">
        <f ca="1">IFERROR(__xludf.DUMMYFUNCTION("""COMPUTED_VALUE"""),0)</f>
        <v>0</v>
      </c>
      <c r="F648" s="72">
        <f ca="1">IFERROR(__xludf.DUMMYFUNCTION("""COMPUTED_VALUE"""),3750)</f>
        <v>3750</v>
      </c>
      <c r="G648" s="75"/>
      <c r="H648" s="59" t="str">
        <f ca="1">IFERROR(__xludf.DUMMYFUNCTION("""COMPUTED_VALUE"""),"UPDATE")</f>
        <v>UPDATE</v>
      </c>
      <c r="I648" s="76" t="str">
        <f ca="1">IFERROR(__xludf.DUMMYFUNCTION("""COMPUTED_VALUE"""),"https://drive.google.com/open?id=1b1ulSoNQUH78O9QckmwTHihPxUXkO7x_")</f>
        <v>https://drive.google.com/open?id=1b1ulSoNQUH78O9QckmwTHihPxUXkO7x_</v>
      </c>
      <c r="J648" s="59"/>
      <c r="K648" s="59"/>
      <c r="L648" s="59"/>
      <c r="M648" s="59"/>
      <c r="N648" s="59"/>
      <c r="O648" s="59"/>
      <c r="P648" s="59"/>
    </row>
    <row r="649" spans="1:16">
      <c r="A649" s="71">
        <f ca="1">IFERROR(__xludf.DUMMYFUNCTION("""COMPUTED_VALUE"""),45023.5777756134)</f>
        <v>45023.577775613398</v>
      </c>
      <c r="B649" s="59" t="str">
        <f ca="1">IFERROR(__xludf.DUMMYFUNCTION("""COMPUTED_VALUE"""),"Kotak Nikhil Pankajbhai ")</f>
        <v xml:space="preserve">Kotak Nikhil Pankajbhai </v>
      </c>
      <c r="C649" s="72" t="str">
        <f ca="1">IFERROR(__xludf.DUMMYFUNCTION("""COMPUTED_VALUE"""),"22SDSCE01056")</f>
        <v>22SDSCE01056</v>
      </c>
      <c r="D649" s="73">
        <f ca="1">IFERROR(__xludf.DUMMYFUNCTION("""COMPUTED_VALUE"""),45023)</f>
        <v>45023</v>
      </c>
      <c r="E649" s="74">
        <f ca="1">IFERROR(__xludf.DUMMYFUNCTION("""COMPUTED_VALUE"""),0)</f>
        <v>0</v>
      </c>
      <c r="F649" s="72">
        <f ca="1">IFERROR(__xludf.DUMMYFUNCTION("""COMPUTED_VALUE"""),3200)</f>
        <v>3200</v>
      </c>
      <c r="G649" s="75"/>
      <c r="H649" s="59" t="str">
        <f ca="1">IFERROR(__xludf.DUMMYFUNCTION("""COMPUTED_VALUE"""),"UPDATE")</f>
        <v>UPDATE</v>
      </c>
      <c r="I649" s="76" t="str">
        <f ca="1">IFERROR(__xludf.DUMMYFUNCTION("""COMPUTED_VALUE"""),"https://drive.google.com/open?id=1pm7p6j6uZd8AuNQAT9ssuRDy-8O-kSdh")</f>
        <v>https://drive.google.com/open?id=1pm7p6j6uZd8AuNQAT9ssuRDy-8O-kSdh</v>
      </c>
      <c r="J649" s="59"/>
      <c r="K649" s="59"/>
      <c r="L649" s="59"/>
      <c r="M649" s="59"/>
      <c r="N649" s="59"/>
      <c r="O649" s="59"/>
      <c r="P649" s="59"/>
    </row>
    <row r="650" spans="1:16">
      <c r="A650" s="71">
        <f ca="1">IFERROR(__xludf.DUMMYFUNCTION("""COMPUTED_VALUE"""),45023.3641696759)</f>
        <v>45023.3641696759</v>
      </c>
      <c r="B650" s="59" t="str">
        <f ca="1">IFERROR(__xludf.DUMMYFUNCTION("""COMPUTED_VALUE"""),"Kanabar heet rajeshbhai")</f>
        <v>Kanabar heet rajeshbhai</v>
      </c>
      <c r="C650" s="72" t="str">
        <f ca="1">IFERROR(__xludf.DUMMYFUNCTION("""COMPUTED_VALUE"""),"20SDSCE01049")</f>
        <v>20SDSCE01049</v>
      </c>
      <c r="D650" s="73">
        <f ca="1">IFERROR(__xludf.DUMMYFUNCTION("""COMPUTED_VALUE"""),44910)</f>
        <v>44910</v>
      </c>
      <c r="E650" s="72"/>
      <c r="F650" s="72">
        <f ca="1">IFERROR(__xludf.DUMMYFUNCTION("""COMPUTED_VALUE"""),3750)</f>
        <v>3750</v>
      </c>
      <c r="G650" s="75"/>
      <c r="H650" s="59" t="str">
        <f ca="1">IFERROR(__xludf.DUMMYFUNCTION("""COMPUTED_VALUE"""),"UPDATE")</f>
        <v>UPDATE</v>
      </c>
      <c r="I650" s="76" t="str">
        <f ca="1">IFERROR(__xludf.DUMMYFUNCTION("""COMPUTED_VALUE"""),"https://drive.google.com/open?id=1WdVrgdOHXJL6OOpaLGl9zw4hKbTsnDVG")</f>
        <v>https://drive.google.com/open?id=1WdVrgdOHXJL6OOpaLGl9zw4hKbTsnDVG</v>
      </c>
      <c r="J650" s="59"/>
      <c r="K650" s="59"/>
      <c r="L650" s="59"/>
      <c r="M650" s="59"/>
      <c r="N650" s="59"/>
      <c r="O650" s="59"/>
      <c r="P650" s="59"/>
    </row>
    <row r="651" spans="1:16">
      <c r="A651" s="71">
        <f ca="1">IFERROR(__xludf.DUMMYFUNCTION("""COMPUTED_VALUE"""),45022.7529361921)</f>
        <v>45022.752936192097</v>
      </c>
      <c r="B651" s="59" t="str">
        <f ca="1">IFERROR(__xludf.DUMMYFUNCTION("""COMPUTED_VALUE"""),"Kariya jay Maheshbhai")</f>
        <v>Kariya jay Maheshbhai</v>
      </c>
      <c r="C651" s="72" t="str">
        <f ca="1">IFERROR(__xludf.DUMMYFUNCTION("""COMPUTED_VALUE"""),"20SDSCE01052")</f>
        <v>20SDSCE01052</v>
      </c>
      <c r="D651" s="73">
        <f ca="1">IFERROR(__xludf.DUMMYFUNCTION("""COMPUTED_VALUE"""),45022)</f>
        <v>45022</v>
      </c>
      <c r="E651" s="74">
        <f ca="1">IFERROR(__xludf.DUMMYFUNCTION("""COMPUTED_VALUE"""),25000)</f>
        <v>25000</v>
      </c>
      <c r="F651" s="72"/>
      <c r="G651" s="75"/>
      <c r="H651" s="59" t="str">
        <f ca="1">IFERROR(__xludf.DUMMYFUNCTION("""COMPUTED_VALUE"""),"UPDATE")</f>
        <v>UPDATE</v>
      </c>
      <c r="I651" s="76" t="str">
        <f ca="1">IFERROR(__xludf.DUMMYFUNCTION("""COMPUTED_VALUE"""),"https://drive.google.com/open?id=1x5YBlMCWO8PBcdlzml_-xxlOA0sX-NU7")</f>
        <v>https://drive.google.com/open?id=1x5YBlMCWO8PBcdlzml_-xxlOA0sX-NU7</v>
      </c>
      <c r="J651" s="59"/>
      <c r="K651" s="59"/>
      <c r="L651" s="59"/>
      <c r="M651" s="59"/>
      <c r="N651" s="59"/>
      <c r="O651" s="59"/>
      <c r="P651" s="59"/>
    </row>
    <row r="652" spans="1:16">
      <c r="A652" s="71">
        <f ca="1">IFERROR(__xludf.DUMMYFUNCTION("""COMPUTED_VALUE"""),45022.6058704166)</f>
        <v>45022.605870416599</v>
      </c>
      <c r="B652" s="59" t="str">
        <f ca="1">IFERROR(__xludf.DUMMYFUNCTION("""COMPUTED_VALUE"""),"Khunt Akshay Arvindbhai")</f>
        <v>Khunt Akshay Arvindbhai</v>
      </c>
      <c r="C652" s="72" t="str">
        <f ca="1">IFERROR(__xludf.DUMMYFUNCTION("""COMPUTED_VALUE"""),"20SDSCE01054")</f>
        <v>20SDSCE01054</v>
      </c>
      <c r="D652" s="73">
        <f ca="1">IFERROR(__xludf.DUMMYFUNCTION("""COMPUTED_VALUE"""),45022)</f>
        <v>45022</v>
      </c>
      <c r="E652" s="74">
        <f ca="1">IFERROR(__xludf.DUMMYFUNCTION("""COMPUTED_VALUE"""),0)</f>
        <v>0</v>
      </c>
      <c r="F652" s="72">
        <f ca="1">IFERROR(__xludf.DUMMYFUNCTION("""COMPUTED_VALUE"""),1000)</f>
        <v>1000</v>
      </c>
      <c r="G652" s="75"/>
      <c r="H652" s="59" t="str">
        <f ca="1">IFERROR(__xludf.DUMMYFUNCTION("""COMPUTED_VALUE"""),"UPDATE")</f>
        <v>UPDATE</v>
      </c>
      <c r="I652" s="76" t="str">
        <f ca="1">IFERROR(__xludf.DUMMYFUNCTION("""COMPUTED_VALUE"""),"https://drive.google.com/open?id=1QMe2xa3pwFj2carciY03mD2KHau3TU_Z")</f>
        <v>https://drive.google.com/open?id=1QMe2xa3pwFj2carciY03mD2KHau3TU_Z</v>
      </c>
      <c r="J652" s="59"/>
      <c r="K652" s="59"/>
      <c r="L652" s="59"/>
      <c r="M652" s="59"/>
      <c r="N652" s="59"/>
      <c r="O652" s="59"/>
      <c r="P652" s="59"/>
    </row>
    <row r="653" spans="1:16">
      <c r="A653" s="71">
        <f ca="1">IFERROR(__xludf.DUMMYFUNCTION("""COMPUTED_VALUE"""),45022.605014074)</f>
        <v>45022.605014073997</v>
      </c>
      <c r="B653" s="59" t="str">
        <f ca="1">IFERROR(__xludf.DUMMYFUNCTION("""COMPUTED_VALUE"""),"KHUNT AMAN ARVINDBHAI ")</f>
        <v xml:space="preserve">KHUNT AMAN ARVINDBHAI </v>
      </c>
      <c r="C653" s="72" t="str">
        <f ca="1">IFERROR(__xludf.DUMMYFUNCTION("""COMPUTED_VALUE"""),"20SDSCE01055")</f>
        <v>20SDSCE01055</v>
      </c>
      <c r="D653" s="73">
        <f ca="1">IFERROR(__xludf.DUMMYFUNCTION("""COMPUTED_VALUE"""),45022)</f>
        <v>45022</v>
      </c>
      <c r="E653" s="74">
        <f ca="1">IFERROR(__xludf.DUMMYFUNCTION("""COMPUTED_VALUE"""),0)</f>
        <v>0</v>
      </c>
      <c r="F653" s="72">
        <f ca="1">IFERROR(__xludf.DUMMYFUNCTION("""COMPUTED_VALUE"""),1000)</f>
        <v>1000</v>
      </c>
      <c r="G653" s="75"/>
      <c r="H653" s="59" t="str">
        <f ca="1">IFERROR(__xludf.DUMMYFUNCTION("""COMPUTED_VALUE"""),"UPDATE")</f>
        <v>UPDATE</v>
      </c>
      <c r="I653" s="76" t="str">
        <f ca="1">IFERROR(__xludf.DUMMYFUNCTION("""COMPUTED_VALUE"""),"https://drive.google.com/open?id=1Yag304aCWqjVs973A5IL0kb2r3-M6dTq")</f>
        <v>https://drive.google.com/open?id=1Yag304aCWqjVs973A5IL0kb2r3-M6dTq</v>
      </c>
      <c r="J653" s="59"/>
      <c r="K653" s="59"/>
      <c r="L653" s="59"/>
      <c r="M653" s="59"/>
      <c r="N653" s="59"/>
      <c r="O653" s="59"/>
      <c r="P653" s="59"/>
    </row>
    <row r="654" spans="1:16">
      <c r="A654" s="71">
        <f ca="1">IFERROR(__xludf.DUMMYFUNCTION("""COMPUTED_VALUE"""),45022.6033787384)</f>
        <v>45022.6033787384</v>
      </c>
      <c r="B654" s="59" t="str">
        <f ca="1">IFERROR(__xludf.DUMMYFUNCTION("""COMPUTED_VALUE"""),"KHUNT AMAN ARVINDBHAI ")</f>
        <v xml:space="preserve">KHUNT AMAN ARVINDBHAI </v>
      </c>
      <c r="C654" s="72" t="str">
        <f ca="1">IFERROR(__xludf.DUMMYFUNCTION("""COMPUTED_VALUE"""),"20SDSCE01055")</f>
        <v>20SDSCE01055</v>
      </c>
      <c r="D654" s="73">
        <f ca="1">IFERROR(__xludf.DUMMYFUNCTION("""COMPUTED_VALUE"""),45022)</f>
        <v>45022</v>
      </c>
      <c r="E654" s="74">
        <f ca="1">IFERROR(__xludf.DUMMYFUNCTION("""COMPUTED_VALUE"""),25000)</f>
        <v>25000</v>
      </c>
      <c r="F654" s="72">
        <f ca="1">IFERROR(__xludf.DUMMYFUNCTION("""COMPUTED_VALUE"""),0)</f>
        <v>0</v>
      </c>
      <c r="G654" s="75"/>
      <c r="H654" s="59" t="str">
        <f ca="1">IFERROR(__xludf.DUMMYFUNCTION("""COMPUTED_VALUE"""),"UPDATE")</f>
        <v>UPDATE</v>
      </c>
      <c r="I654" s="76" t="str">
        <f ca="1">IFERROR(__xludf.DUMMYFUNCTION("""COMPUTED_VALUE"""),"https://drive.google.com/open?id=1ihxpEmhjAzBoA3eXzElyEU1GbmWZ4UC2")</f>
        <v>https://drive.google.com/open?id=1ihxpEmhjAzBoA3eXzElyEU1GbmWZ4UC2</v>
      </c>
      <c r="J654" s="59"/>
      <c r="K654" s="59"/>
      <c r="L654" s="59"/>
      <c r="M654" s="59"/>
      <c r="N654" s="59"/>
      <c r="O654" s="59"/>
      <c r="P654" s="59"/>
    </row>
    <row r="655" spans="1:16">
      <c r="A655" s="71">
        <f ca="1">IFERROR(__xludf.DUMMYFUNCTION("""COMPUTED_VALUE"""),45022.6016695486)</f>
        <v>45022.601669548603</v>
      </c>
      <c r="B655" s="59" t="str">
        <f ca="1">IFERROR(__xludf.DUMMYFUNCTION("""COMPUTED_VALUE"""),"Khunt akshay Arvindbhai")</f>
        <v>Khunt akshay Arvindbhai</v>
      </c>
      <c r="C655" s="72" t="str">
        <f ca="1">IFERROR(__xludf.DUMMYFUNCTION("""COMPUTED_VALUE"""),"20SDSCE01054")</f>
        <v>20SDSCE01054</v>
      </c>
      <c r="D655" s="73">
        <f ca="1">IFERROR(__xludf.DUMMYFUNCTION("""COMPUTED_VALUE"""),45005)</f>
        <v>45005</v>
      </c>
      <c r="E655" s="74">
        <f ca="1">IFERROR(__xludf.DUMMYFUNCTION("""COMPUTED_VALUE"""),25000)</f>
        <v>25000</v>
      </c>
      <c r="F655" s="72">
        <f ca="1">IFERROR(__xludf.DUMMYFUNCTION("""COMPUTED_VALUE"""),0)</f>
        <v>0</v>
      </c>
      <c r="G655" s="75"/>
      <c r="H655" s="59" t="str">
        <f ca="1">IFERROR(__xludf.DUMMYFUNCTION("""COMPUTED_VALUE"""),"UPDATE")</f>
        <v>UPDATE</v>
      </c>
      <c r="I655" s="76" t="str">
        <f ca="1">IFERROR(__xludf.DUMMYFUNCTION("""COMPUTED_VALUE"""),"https://drive.google.com/open?id=1fUKCosbdegDZpTyWg_jqdqQpsA9h7Hp9")</f>
        <v>https://drive.google.com/open?id=1fUKCosbdegDZpTyWg_jqdqQpsA9h7Hp9</v>
      </c>
      <c r="J655" s="59"/>
      <c r="K655" s="59"/>
      <c r="L655" s="59"/>
      <c r="M655" s="59"/>
      <c r="N655" s="59"/>
      <c r="O655" s="59"/>
      <c r="P655" s="59"/>
    </row>
    <row r="656" spans="1:16">
      <c r="A656" s="71">
        <f ca="1">IFERROR(__xludf.DUMMYFUNCTION("""COMPUTED_VALUE"""),45022.3898065509)</f>
        <v>45022.389806550898</v>
      </c>
      <c r="B656" s="59" t="str">
        <f ca="1">IFERROR(__xludf.DUMMYFUNCTION("""COMPUTED_VALUE"""),"Khunt akshay Arvindbhai")</f>
        <v>Khunt akshay Arvindbhai</v>
      </c>
      <c r="C656" s="72" t="str">
        <f ca="1">IFERROR(__xludf.DUMMYFUNCTION("""COMPUTED_VALUE"""),"20SDSCE01054")</f>
        <v>20SDSCE01054</v>
      </c>
      <c r="D656" s="73">
        <f ca="1">IFERROR(__xludf.DUMMYFUNCTION("""COMPUTED_VALUE"""),45005)</f>
        <v>45005</v>
      </c>
      <c r="E656" s="74">
        <f ca="1">IFERROR(__xludf.DUMMYFUNCTION("""COMPUTED_VALUE"""),12500)</f>
        <v>12500</v>
      </c>
      <c r="F656" s="72">
        <f ca="1">IFERROR(__xludf.DUMMYFUNCTION("""COMPUTED_VALUE"""),3750)</f>
        <v>3750</v>
      </c>
      <c r="G656" s="75"/>
      <c r="H656" s="59" t="str">
        <f ca="1">IFERROR(__xludf.DUMMYFUNCTION("""COMPUTED_VALUE"""),"UPDATE")</f>
        <v>UPDATE</v>
      </c>
      <c r="I656" s="76" t="str">
        <f ca="1">IFERROR(__xludf.DUMMYFUNCTION("""COMPUTED_VALUE"""),"https://drive.google.com/open?id=1Jjgu83T5W7E6thR80kRXM5Pq9zmaSzgO")</f>
        <v>https://drive.google.com/open?id=1Jjgu83T5W7E6thR80kRXM5Pq9zmaSzgO</v>
      </c>
      <c r="J656" s="59"/>
      <c r="K656" s="59"/>
      <c r="L656" s="59"/>
      <c r="M656" s="59"/>
      <c r="N656" s="59"/>
      <c r="O656" s="59"/>
      <c r="P656" s="59"/>
    </row>
    <row r="657" spans="1:16">
      <c r="A657" s="71">
        <f ca="1">IFERROR(__xludf.DUMMYFUNCTION("""COMPUTED_VALUE"""),45022.38204)</f>
        <v>45022.382039999997</v>
      </c>
      <c r="B657" s="59" t="str">
        <f ca="1">IFERROR(__xludf.DUMMYFUNCTION("""COMPUTED_VALUE"""),"Bhimani Bhargav manishbhai")</f>
        <v>Bhimani Bhargav manishbhai</v>
      </c>
      <c r="C657" s="72" t="str">
        <f ca="1">IFERROR(__xludf.DUMMYFUNCTION("""COMPUTED_VALUE"""),"20SDSCE01012")</f>
        <v>20SDSCE01012</v>
      </c>
      <c r="D657" s="73">
        <f ca="1">IFERROR(__xludf.DUMMYFUNCTION("""COMPUTED_VALUE"""),45022)</f>
        <v>45022</v>
      </c>
      <c r="E657" s="74">
        <f ca="1">IFERROR(__xludf.DUMMYFUNCTION("""COMPUTED_VALUE"""),200)</f>
        <v>200</v>
      </c>
      <c r="F657" s="72"/>
      <c r="G657" s="75"/>
      <c r="H657" s="59" t="str">
        <f ca="1">IFERROR(__xludf.DUMMYFUNCTION("""COMPUTED_VALUE"""),"UPDATE")</f>
        <v>UPDATE</v>
      </c>
      <c r="I657" s="76" t="str">
        <f ca="1">IFERROR(__xludf.DUMMYFUNCTION("""COMPUTED_VALUE"""),"https://drive.google.com/open?id=1Xx30Qgc-Rq3A-Fb4mPeUZBPO2Zj1Gzwv")</f>
        <v>https://drive.google.com/open?id=1Xx30Qgc-Rq3A-Fb4mPeUZBPO2Zj1Gzwv</v>
      </c>
      <c r="J657" s="59"/>
      <c r="K657" s="59"/>
      <c r="L657" s="59"/>
      <c r="M657" s="59"/>
      <c r="N657" s="59"/>
      <c r="O657" s="59"/>
      <c r="P657" s="59"/>
    </row>
    <row r="658" spans="1:16">
      <c r="A658" s="71">
        <f ca="1">IFERROR(__xludf.DUMMYFUNCTION("""COMPUTED_VALUE"""),45021.8723693981)</f>
        <v>45021.872369398101</v>
      </c>
      <c r="B658" s="59" t="str">
        <f ca="1">IFERROR(__xludf.DUMMYFUNCTION("""COMPUTED_VALUE"""),"JADAV JAINIK")</f>
        <v>JADAV JAINIK</v>
      </c>
      <c r="C658" s="72" t="str">
        <f ca="1">IFERROR(__xludf.DUMMYFUNCTION("""COMPUTED_VALUE"""),"22SDSCE01202")</f>
        <v>22SDSCE01202</v>
      </c>
      <c r="D658" s="73">
        <f ca="1">IFERROR(__xludf.DUMMYFUNCTION("""COMPUTED_VALUE"""),45009)</f>
        <v>45009</v>
      </c>
      <c r="E658" s="72"/>
      <c r="F658" s="72"/>
      <c r="G658" s="75"/>
      <c r="H658" s="59" t="str">
        <f ca="1">IFERROR(__xludf.DUMMYFUNCTION("""COMPUTED_VALUE"""),"PENALTY APLICABLE")</f>
        <v>PENALTY APLICABLE</v>
      </c>
      <c r="I658" s="76" t="str">
        <f ca="1">IFERROR(__xludf.DUMMYFUNCTION("""COMPUTED_VALUE"""),"https://drive.google.com/open?id=1aa89_iQszHLiWUwkBN0EFkosc1mdnaEk")</f>
        <v>https://drive.google.com/open?id=1aa89_iQszHLiWUwkBN0EFkosc1mdnaEk</v>
      </c>
      <c r="J658" s="59"/>
      <c r="K658" s="59"/>
      <c r="L658" s="59"/>
      <c r="M658" s="59"/>
      <c r="N658" s="59"/>
      <c r="O658" s="59"/>
      <c r="P658" s="59"/>
    </row>
    <row r="659" spans="1:16">
      <c r="A659" s="71">
        <f ca="1">IFERROR(__xludf.DUMMYFUNCTION("""COMPUTED_VALUE"""),45021.7197320254)</f>
        <v>45021.719732025398</v>
      </c>
      <c r="B659" s="59" t="str">
        <f ca="1">IFERROR(__xludf.DUMMYFUNCTION("""COMPUTED_VALUE"""),"Bhimani Mahi Ashokbhai ")</f>
        <v xml:space="preserve">Bhimani Mahi Ashokbhai </v>
      </c>
      <c r="C659" s="72" t="str">
        <f ca="1">IFERROR(__xludf.DUMMYFUNCTION("""COMPUTED_VALUE"""),"22SDSCE01134")</f>
        <v>22SDSCE01134</v>
      </c>
      <c r="D659" s="73">
        <f ca="1">IFERROR(__xludf.DUMMYFUNCTION("""COMPUTED_VALUE"""),45021)</f>
        <v>45021</v>
      </c>
      <c r="E659" s="74">
        <f ca="1">IFERROR(__xludf.DUMMYFUNCTION("""COMPUTED_VALUE"""),25000)</f>
        <v>25000</v>
      </c>
      <c r="F659" s="72"/>
      <c r="G659" s="75"/>
      <c r="H659" s="59" t="str">
        <f ca="1">IFERROR(__xludf.DUMMYFUNCTION("""COMPUTED_VALUE"""),"1000 late fee applicable")</f>
        <v>1000 late fee applicable</v>
      </c>
      <c r="I659" s="76" t="str">
        <f ca="1">IFERROR(__xludf.DUMMYFUNCTION("""COMPUTED_VALUE"""),"https://drive.google.com/open?id=1Ro-7_dXnsCLouow7rY-jThx_q_fKb7CN")</f>
        <v>https://drive.google.com/open?id=1Ro-7_dXnsCLouow7rY-jThx_q_fKb7CN</v>
      </c>
      <c r="J659" s="59"/>
      <c r="K659" s="59"/>
      <c r="L659" s="59"/>
      <c r="M659" s="59"/>
      <c r="N659" s="59"/>
      <c r="O659" s="59"/>
      <c r="P659" s="59"/>
    </row>
    <row r="660" spans="1:16">
      <c r="A660" s="71">
        <f ca="1">IFERROR(__xludf.DUMMYFUNCTION("""COMPUTED_VALUE"""),45021.5040738888)</f>
        <v>45021.504073888798</v>
      </c>
      <c r="B660" s="59" t="str">
        <f ca="1">IFERROR(__xludf.DUMMYFUNCTION("""COMPUTED_VALUE"""),"Krunal lunagariya ")</f>
        <v xml:space="preserve">Krunal lunagariya </v>
      </c>
      <c r="C660" s="72" t="str">
        <f ca="1">IFERROR(__xludf.DUMMYFUNCTION("""COMPUTED_VALUE"""),"20sdsce01060")</f>
        <v>20sdsce01060</v>
      </c>
      <c r="D660" s="73">
        <f ca="1">IFERROR(__xludf.DUMMYFUNCTION("""COMPUTED_VALUE"""),45021)</f>
        <v>45021</v>
      </c>
      <c r="E660" s="74">
        <f ca="1">IFERROR(__xludf.DUMMYFUNCTION("""COMPUTED_VALUE"""),25000)</f>
        <v>25000</v>
      </c>
      <c r="F660" s="72"/>
      <c r="G660" s="75"/>
      <c r="H660" s="59" t="str">
        <f ca="1">IFERROR(__xludf.DUMMYFUNCTION("""COMPUTED_VALUE"""),"UPDATE")</f>
        <v>UPDATE</v>
      </c>
      <c r="I660" s="76" t="str">
        <f ca="1">IFERROR(__xludf.DUMMYFUNCTION("""COMPUTED_VALUE"""),"https://drive.google.com/open?id=1HWsVCa9J4v2oX-pr2N6us5_HRE8XwJuu")</f>
        <v>https://drive.google.com/open?id=1HWsVCa9J4v2oX-pr2N6us5_HRE8XwJuu</v>
      </c>
      <c r="J660" s="59"/>
      <c r="K660" s="59"/>
      <c r="L660" s="59"/>
      <c r="M660" s="59"/>
      <c r="N660" s="59"/>
      <c r="O660" s="59"/>
      <c r="P660" s="59"/>
    </row>
    <row r="661" spans="1:16">
      <c r="A661" s="71">
        <f ca="1">IFERROR(__xludf.DUMMYFUNCTION("""COMPUTED_VALUE"""),45021.4421782407)</f>
        <v>45021.442178240701</v>
      </c>
      <c r="B661" s="59" t="str">
        <f ca="1">IFERROR(__xludf.DUMMYFUNCTION("""COMPUTED_VALUE"""),"Vasani Utsav Laxmanbhai")</f>
        <v>Vasani Utsav Laxmanbhai</v>
      </c>
      <c r="C661" s="72" t="str">
        <f ca="1">IFERROR(__xludf.DUMMYFUNCTION("""COMPUTED_VALUE"""),"22SDSCE01120")</f>
        <v>22SDSCE01120</v>
      </c>
      <c r="D661" s="73">
        <f ca="1">IFERROR(__xludf.DUMMYFUNCTION("""COMPUTED_VALUE"""),44983)</f>
        <v>44983</v>
      </c>
      <c r="E661" s="74">
        <f ca="1">IFERROR(__xludf.DUMMYFUNCTION("""COMPUTED_VALUE"""),0)</f>
        <v>0</v>
      </c>
      <c r="F661" s="72">
        <f ca="1">IFERROR(__xludf.DUMMYFUNCTION("""COMPUTED_VALUE"""),3000)</f>
        <v>3000</v>
      </c>
      <c r="G661" s="75"/>
      <c r="H661" s="59" t="str">
        <f ca="1">IFERROR(__xludf.DUMMYFUNCTION("""COMPUTED_VALUE"""),"UPDATE")</f>
        <v>UPDATE</v>
      </c>
      <c r="I661" s="76" t="str">
        <f ca="1">IFERROR(__xludf.DUMMYFUNCTION("""COMPUTED_VALUE"""),"https://drive.google.com/open?id=1M95T3TlQvUkxZBtxKeyIUCDQZnYY9Mgm")</f>
        <v>https://drive.google.com/open?id=1M95T3TlQvUkxZBtxKeyIUCDQZnYY9Mgm</v>
      </c>
      <c r="J661" s="59"/>
      <c r="K661" s="59"/>
      <c r="L661" s="59"/>
      <c r="M661" s="59"/>
      <c r="N661" s="59"/>
      <c r="O661" s="59"/>
      <c r="P661" s="59"/>
    </row>
    <row r="662" spans="1:16">
      <c r="A662" s="71">
        <f ca="1">IFERROR(__xludf.DUMMYFUNCTION("""COMPUTED_VALUE"""),45019.8867022222)</f>
        <v>45019.886702222197</v>
      </c>
      <c r="B662" s="59" t="str">
        <f ca="1">IFERROR(__xludf.DUMMYFUNCTION("""COMPUTED_VALUE"""),"Dev Ramjiyani ")</f>
        <v xml:space="preserve">Dev Ramjiyani </v>
      </c>
      <c r="C662" s="72" t="str">
        <f ca="1">IFERROR(__xludf.DUMMYFUNCTION("""COMPUTED_VALUE"""),"22SDSCE01183")</f>
        <v>22SDSCE01183</v>
      </c>
      <c r="D662" s="73">
        <f ca="1">IFERROR(__xludf.DUMMYFUNCTION("""COMPUTED_VALUE"""),45019)</f>
        <v>45019</v>
      </c>
      <c r="E662" s="74">
        <f ca="1">IFERROR(__xludf.DUMMYFUNCTION("""COMPUTED_VALUE"""),25000)</f>
        <v>25000</v>
      </c>
      <c r="F662" s="72">
        <f ca="1">IFERROR(__xludf.DUMMYFUNCTION("""COMPUTED_VALUE"""),4000)</f>
        <v>4000</v>
      </c>
      <c r="G662" s="75"/>
      <c r="H662" s="59" t="str">
        <f ca="1">IFERROR(__xludf.DUMMYFUNCTION("""COMPUTED_VALUE"""),"UPDATE")</f>
        <v>UPDATE</v>
      </c>
      <c r="I662" s="76" t="str">
        <f ca="1">IFERROR(__xludf.DUMMYFUNCTION("""COMPUTED_VALUE"""),"https://drive.google.com/open?id=17SDA37ui6FhMh-EEot2IfzcBZOy_3A1M")</f>
        <v>https://drive.google.com/open?id=17SDA37ui6FhMh-EEot2IfzcBZOy_3A1M</v>
      </c>
      <c r="J662" s="59"/>
      <c r="K662" s="59"/>
      <c r="L662" s="59"/>
      <c r="M662" s="59"/>
      <c r="N662" s="59"/>
      <c r="O662" s="59"/>
      <c r="P662" s="59"/>
    </row>
    <row r="663" spans="1:16">
      <c r="A663" s="71">
        <f ca="1">IFERROR(__xludf.DUMMYFUNCTION("""COMPUTED_VALUE"""),45019.5807352777)</f>
        <v>45019.580735277697</v>
      </c>
      <c r="B663" s="59" t="str">
        <f ca="1">IFERROR(__xludf.DUMMYFUNCTION("""COMPUTED_VALUE"""),"Dafda Anurag jiteshbhai")</f>
        <v>Dafda Anurag jiteshbhai</v>
      </c>
      <c r="C663" s="72" t="str">
        <f ca="1">IFERROR(__xludf.DUMMYFUNCTION("""COMPUTED_VALUE"""),"21SDSEE01003")</f>
        <v>21SDSEE01003</v>
      </c>
      <c r="D663" s="73">
        <f ca="1">IFERROR(__xludf.DUMMYFUNCTION("""COMPUTED_VALUE"""),45019)</f>
        <v>45019</v>
      </c>
      <c r="E663" s="74">
        <f ca="1">IFERROR(__xludf.DUMMYFUNCTION("""COMPUTED_VALUE"""),27900)</f>
        <v>27900</v>
      </c>
      <c r="F663" s="72"/>
      <c r="G663" s="75"/>
      <c r="H663" s="59" t="str">
        <f ca="1">IFERROR(__xludf.DUMMYFUNCTION("""COMPUTED_VALUE"""),"UPDATE")</f>
        <v>UPDATE</v>
      </c>
      <c r="I663" s="76" t="str">
        <f ca="1">IFERROR(__xludf.DUMMYFUNCTION("""COMPUTED_VALUE"""),"https://drive.google.com/open?id=1MpDclfVNhtIJ8Tdjs7Jha30YbZJ_UkR4")</f>
        <v>https://drive.google.com/open?id=1MpDclfVNhtIJ8Tdjs7Jha30YbZJ_UkR4</v>
      </c>
      <c r="J663" s="59"/>
      <c r="K663" s="59"/>
      <c r="L663" s="59"/>
      <c r="M663" s="59"/>
      <c r="N663" s="59"/>
      <c r="O663" s="59"/>
      <c r="P663" s="59"/>
    </row>
    <row r="664" spans="1:16">
      <c r="A664" s="71">
        <f ca="1">IFERROR(__xludf.DUMMYFUNCTION("""COMPUTED_VALUE"""),45018.7817588888)</f>
        <v>45018.781758888799</v>
      </c>
      <c r="B664" s="59" t="str">
        <f ca="1">IFERROR(__xludf.DUMMYFUNCTION("""COMPUTED_VALUE"""),"Bhut Milap Bharatbhai")</f>
        <v>Bhut Milap Bharatbhai</v>
      </c>
      <c r="C664" s="72" t="str">
        <f ca="1">IFERROR(__xludf.DUMMYFUNCTION("""COMPUTED_VALUE"""),"22SDSCE01135")</f>
        <v>22SDSCE01135</v>
      </c>
      <c r="D664" s="73">
        <f ca="1">IFERROR(__xludf.DUMMYFUNCTION("""COMPUTED_VALUE"""),45018)</f>
        <v>45018</v>
      </c>
      <c r="E664" s="74">
        <f ca="1">IFERROR(__xludf.DUMMYFUNCTION("""COMPUTED_VALUE"""),25000)</f>
        <v>25000</v>
      </c>
      <c r="F664" s="72"/>
      <c r="G664" s="75"/>
      <c r="H664" s="59" t="str">
        <f ca="1">IFERROR(__xludf.DUMMYFUNCTION("""COMPUTED_VALUE"""),"UPDATE")</f>
        <v>UPDATE</v>
      </c>
      <c r="I664" s="76" t="str">
        <f ca="1">IFERROR(__xludf.DUMMYFUNCTION("""COMPUTED_VALUE"""),"https://drive.google.com/open?id=1xRaTSnt0QKg8iejZO2zHdROntWDhuJM0")</f>
        <v>https://drive.google.com/open?id=1xRaTSnt0QKg8iejZO2zHdROntWDhuJM0</v>
      </c>
      <c r="J664" s="59"/>
      <c r="K664" s="59"/>
      <c r="L664" s="59"/>
      <c r="M664" s="59"/>
      <c r="N664" s="59"/>
      <c r="O664" s="59"/>
      <c r="P664" s="59"/>
    </row>
    <row r="665" spans="1:16">
      <c r="A665" s="71">
        <f ca="1">IFERROR(__xludf.DUMMYFUNCTION("""COMPUTED_VALUE"""),45017.5682454398)</f>
        <v>45017.568245439797</v>
      </c>
      <c r="B665" s="59" t="str">
        <f ca="1">IFERROR(__xludf.DUMMYFUNCTION("""COMPUTED_VALUE"""),"Dhruv koladiya Girishbhai ")</f>
        <v xml:space="preserve">Dhruv koladiya Girishbhai </v>
      </c>
      <c r="C665" s="72" t="str">
        <f ca="1">IFERROR(__xludf.DUMMYFUNCTION("""COMPUTED_VALUE"""),"20SDSCE01056")</f>
        <v>20SDSCE01056</v>
      </c>
      <c r="D665" s="73">
        <f ca="1">IFERROR(__xludf.DUMMYFUNCTION("""COMPUTED_VALUE"""),45017)</f>
        <v>45017</v>
      </c>
      <c r="E665" s="72"/>
      <c r="F665" s="72">
        <f ca="1">IFERROR(__xludf.DUMMYFUNCTION("""COMPUTED_VALUE"""),1000)</f>
        <v>1000</v>
      </c>
      <c r="G665" s="75"/>
      <c r="H665" s="59" t="str">
        <f ca="1">IFERROR(__xludf.DUMMYFUNCTION("""COMPUTED_VALUE"""),"UPDATE")</f>
        <v>UPDATE</v>
      </c>
      <c r="I665" s="76" t="str">
        <f ca="1">IFERROR(__xludf.DUMMYFUNCTION("""COMPUTED_VALUE"""),"https://drive.google.com/open?id=1ERGoA6Q72DZzjYu-5PQ1U7gCVA2XuWB1")</f>
        <v>https://drive.google.com/open?id=1ERGoA6Q72DZzjYu-5PQ1U7gCVA2XuWB1</v>
      </c>
      <c r="J665" s="59"/>
      <c r="K665" s="59"/>
      <c r="L665" s="59"/>
      <c r="M665" s="59"/>
      <c r="N665" s="59"/>
      <c r="O665" s="59"/>
      <c r="P665" s="59"/>
    </row>
    <row r="666" spans="1:16">
      <c r="A666" s="71">
        <f ca="1">IFERROR(__xludf.DUMMYFUNCTION("""COMPUTED_VALUE"""),45016.5584643287)</f>
        <v>45016.5584643287</v>
      </c>
      <c r="B666" s="59" t="str">
        <f ca="1">IFERROR(__xludf.DUMMYFUNCTION("""COMPUTED_VALUE"""),"HINDOCHA KALPESH CHANDUBHAI")</f>
        <v>HINDOCHA KALPESH CHANDUBHAI</v>
      </c>
      <c r="C666" s="72" t="str">
        <f ca="1">IFERROR(__xludf.DUMMYFUNCTION("""COMPUTED_VALUE"""),"22sdsce01049")</f>
        <v>22sdsce01049</v>
      </c>
      <c r="D666" s="73">
        <f ca="1">IFERROR(__xludf.DUMMYFUNCTION("""COMPUTED_VALUE"""),45016)</f>
        <v>45016</v>
      </c>
      <c r="E666" s="74">
        <f ca="1">IFERROR(__xludf.DUMMYFUNCTION("""COMPUTED_VALUE"""),25000)</f>
        <v>25000</v>
      </c>
      <c r="F666" s="72"/>
      <c r="G666" s="75"/>
      <c r="H666" s="59" t="str">
        <f ca="1">IFERROR(__xludf.DUMMYFUNCTION("""COMPUTED_VALUE"""),"UPDATE")</f>
        <v>UPDATE</v>
      </c>
      <c r="I666" s="76" t="str">
        <f ca="1">IFERROR(__xludf.DUMMYFUNCTION("""COMPUTED_VALUE"""),"https://drive.google.com/open?id=1w7G2rkqQjKPJAu4jgj-54q9WdQfvMKKd")</f>
        <v>https://drive.google.com/open?id=1w7G2rkqQjKPJAu4jgj-54q9WdQfvMKKd</v>
      </c>
      <c r="J666" s="59"/>
      <c r="K666" s="59"/>
      <c r="L666" s="59"/>
      <c r="M666" s="59"/>
      <c r="N666" s="59"/>
      <c r="O666" s="59"/>
      <c r="P666" s="59"/>
    </row>
    <row r="667" spans="1:16">
      <c r="A667" s="71">
        <f ca="1">IFERROR(__xludf.DUMMYFUNCTION("""COMPUTED_VALUE"""),45016.5476608449)</f>
        <v>45016.547660844903</v>
      </c>
      <c r="B667" s="59" t="str">
        <f ca="1">IFERROR(__xludf.DUMMYFUNCTION("""COMPUTED_VALUE"""),"Kikani Raj Kishorbhai ")</f>
        <v xml:space="preserve">Kikani Raj Kishorbhai </v>
      </c>
      <c r="C667" s="72" t="str">
        <f ca="1">IFERROR(__xludf.DUMMYFUNCTION("""COMPUTED_VALUE"""),"22SDSCE01053")</f>
        <v>22SDSCE01053</v>
      </c>
      <c r="D667" s="73">
        <f ca="1">IFERROR(__xludf.DUMMYFUNCTION("""COMPUTED_VALUE"""),45016)</f>
        <v>45016</v>
      </c>
      <c r="E667" s="74">
        <f ca="1">IFERROR(__xludf.DUMMYFUNCTION("""COMPUTED_VALUE"""),0)</f>
        <v>0</v>
      </c>
      <c r="F667" s="72">
        <f ca="1">IFERROR(__xludf.DUMMYFUNCTION("""COMPUTED_VALUE"""),3200)</f>
        <v>3200</v>
      </c>
      <c r="G667" s="75"/>
      <c r="H667" s="59" t="str">
        <f ca="1">IFERROR(__xludf.DUMMYFUNCTION("""COMPUTED_VALUE"""),"UPDATE")</f>
        <v>UPDATE</v>
      </c>
      <c r="I667" s="76" t="str">
        <f ca="1">IFERROR(__xludf.DUMMYFUNCTION("""COMPUTED_VALUE"""),"https://drive.google.com/open?id=1G7Ew5ahebi6PUyBHH4QHMzCMmQsxf3uK")</f>
        <v>https://drive.google.com/open?id=1G7Ew5ahebi6PUyBHH4QHMzCMmQsxf3uK</v>
      </c>
      <c r="J667" s="59"/>
      <c r="K667" s="59"/>
      <c r="L667" s="59"/>
      <c r="M667" s="59"/>
      <c r="N667" s="59"/>
      <c r="O667" s="59"/>
      <c r="P667" s="59"/>
    </row>
    <row r="668" spans="1:16">
      <c r="A668" s="71">
        <f ca="1">IFERROR(__xludf.DUMMYFUNCTION("""COMPUTED_VALUE"""),45016.544260405)</f>
        <v>45016.544260404997</v>
      </c>
      <c r="B668" s="59" t="str">
        <f ca="1">IFERROR(__xludf.DUMMYFUNCTION("""COMPUTED_VALUE"""),"Kikani Raj Kishorbhai")</f>
        <v>Kikani Raj Kishorbhai</v>
      </c>
      <c r="C668" s="72" t="str">
        <f ca="1">IFERROR(__xludf.DUMMYFUNCTION("""COMPUTED_VALUE"""),"22SDSCE01053")</f>
        <v>22SDSCE01053</v>
      </c>
      <c r="D668" s="73">
        <f ca="1">IFERROR(__xludf.DUMMYFUNCTION("""COMPUTED_VALUE"""),45016)</f>
        <v>45016</v>
      </c>
      <c r="E668" s="74">
        <f ca="1">IFERROR(__xludf.DUMMYFUNCTION("""COMPUTED_VALUE"""),0)</f>
        <v>0</v>
      </c>
      <c r="F668" s="72">
        <f ca="1">IFERROR(__xludf.DUMMYFUNCTION("""COMPUTED_VALUE"""),3200)</f>
        <v>3200</v>
      </c>
      <c r="G668" s="75"/>
      <c r="H668" s="59" t="str">
        <f ca="1">IFERROR(__xludf.DUMMYFUNCTION("""COMPUTED_VALUE"""),"UPDATE")</f>
        <v>UPDATE</v>
      </c>
      <c r="I668" s="76" t="str">
        <f ca="1">IFERROR(__xludf.DUMMYFUNCTION("""COMPUTED_VALUE"""),"https://drive.google.com/open?id=1PeomHRav0V4iG4jlb45B6-BOsYEanx72")</f>
        <v>https://drive.google.com/open?id=1PeomHRav0V4iG4jlb45B6-BOsYEanx72</v>
      </c>
      <c r="J668" s="59"/>
      <c r="K668" s="59"/>
      <c r="L668" s="59"/>
      <c r="M668" s="59"/>
      <c r="N668" s="59"/>
      <c r="O668" s="59"/>
      <c r="P668" s="59"/>
    </row>
    <row r="669" spans="1:16">
      <c r="A669" s="71">
        <f ca="1">IFERROR(__xludf.DUMMYFUNCTION("""COMPUTED_VALUE"""),45016.5115430092)</f>
        <v>45016.511543009197</v>
      </c>
      <c r="B669" s="59" t="str">
        <f ca="1">IFERROR(__xludf.DUMMYFUNCTION("""COMPUTED_VALUE"""),"Pragati Rathod")</f>
        <v>Pragati Rathod</v>
      </c>
      <c r="C669" s="72" t="str">
        <f ca="1">IFERROR(__xludf.DUMMYFUNCTION("""COMPUTED_VALUE"""),"20SDSEE01023")</f>
        <v>20SDSEE01023</v>
      </c>
      <c r="D669" s="73">
        <f ca="1">IFERROR(__xludf.DUMMYFUNCTION("""COMPUTED_VALUE"""),45016)</f>
        <v>45016</v>
      </c>
      <c r="E669" s="74">
        <f ca="1">IFERROR(__xludf.DUMMYFUNCTION("""COMPUTED_VALUE"""),25000)</f>
        <v>25000</v>
      </c>
      <c r="F669" s="72">
        <f ca="1">IFERROR(__xludf.DUMMYFUNCTION("""COMPUTED_VALUE"""),1000)</f>
        <v>1000</v>
      </c>
      <c r="G669" s="75"/>
      <c r="H669" s="59"/>
      <c r="I669" s="76" t="str">
        <f ca="1">IFERROR(__xludf.DUMMYFUNCTION("""COMPUTED_VALUE"""),"https://drive.google.com/open?id=1bIZFG6UIf4j7jnAb092h3bbIlMxI_i9g")</f>
        <v>https://drive.google.com/open?id=1bIZFG6UIf4j7jnAb092h3bbIlMxI_i9g</v>
      </c>
      <c r="J669" s="59"/>
      <c r="K669" s="59"/>
      <c r="L669" s="59"/>
      <c r="M669" s="59"/>
      <c r="N669" s="59"/>
      <c r="O669" s="59"/>
      <c r="P669" s="59"/>
    </row>
    <row r="670" spans="1:16">
      <c r="A670" s="71">
        <f ca="1">IFERROR(__xludf.DUMMYFUNCTION("""COMPUTED_VALUE"""),45016.4864190972)</f>
        <v>45016.4864190972</v>
      </c>
      <c r="B670" s="59" t="str">
        <f ca="1">IFERROR(__xludf.DUMMYFUNCTION("""COMPUTED_VALUE"""),"Dadhaniya Dhruvi Niteshbhai ")</f>
        <v xml:space="preserve">Dadhaniya Dhruvi Niteshbhai </v>
      </c>
      <c r="C670" s="72" t="str">
        <f ca="1">IFERROR(__xludf.DUMMYFUNCTION("""COMPUTED_VALUE"""),"22SDSCE01033")</f>
        <v>22SDSCE01033</v>
      </c>
      <c r="D670" s="73">
        <f ca="1">IFERROR(__xludf.DUMMYFUNCTION("""COMPUTED_VALUE"""),44972)</f>
        <v>44972</v>
      </c>
      <c r="E670" s="74">
        <f ca="1">IFERROR(__xludf.DUMMYFUNCTION("""COMPUTED_VALUE"""),25000)</f>
        <v>25000</v>
      </c>
      <c r="F670" s="72">
        <f ca="1">IFERROR(__xludf.DUMMYFUNCTION("""COMPUTED_VALUE"""),3000)</f>
        <v>3000</v>
      </c>
      <c r="G670" s="75"/>
      <c r="H670" s="59" t="str">
        <f ca="1">IFERROR(__xludf.DUMMYFUNCTION("""COMPUTED_VALUE"""),"UPDATE")</f>
        <v>UPDATE</v>
      </c>
      <c r="I670" s="76" t="str">
        <f ca="1">IFERROR(__xludf.DUMMYFUNCTION("""COMPUTED_VALUE"""),"https://drive.google.com/open?id=1nY7zJ3ZbWaFDB3B0P8ZDAZedPAD1LiOV")</f>
        <v>https://drive.google.com/open?id=1nY7zJ3ZbWaFDB3B0P8ZDAZedPAD1LiOV</v>
      </c>
      <c r="J670" s="59"/>
      <c r="K670" s="59"/>
      <c r="L670" s="59"/>
      <c r="M670" s="59"/>
      <c r="N670" s="59"/>
      <c r="O670" s="59"/>
      <c r="P670" s="59"/>
    </row>
    <row r="671" spans="1:16">
      <c r="A671" s="71">
        <f ca="1">IFERROR(__xludf.DUMMYFUNCTION("""COMPUTED_VALUE"""),45016.467593449)</f>
        <v>45016.467593449001</v>
      </c>
      <c r="B671" s="59" t="str">
        <f ca="1">IFERROR(__xludf.DUMMYFUNCTION("""COMPUTED_VALUE"""),"Vasant Meet")</f>
        <v>Vasant Meet</v>
      </c>
      <c r="C671" s="72" t="str">
        <f ca="1">IFERROR(__xludf.DUMMYFUNCTION("""COMPUTED_VALUE"""),"20SDSCE01138")</f>
        <v>20SDSCE01138</v>
      </c>
      <c r="D671" s="73">
        <f ca="1">IFERROR(__xludf.DUMMYFUNCTION("""COMPUTED_VALUE"""),45015)</f>
        <v>45015</v>
      </c>
      <c r="E671" s="74">
        <f ca="1">IFERROR(__xludf.DUMMYFUNCTION("""COMPUTED_VALUE"""),25000)</f>
        <v>25000</v>
      </c>
      <c r="F671" s="72">
        <f ca="1">IFERROR(__xludf.DUMMYFUNCTION("""COMPUTED_VALUE"""),3750)</f>
        <v>3750</v>
      </c>
      <c r="G671" s="75"/>
      <c r="H671" s="59" t="str">
        <f ca="1">IFERROR(__xludf.DUMMYFUNCTION("""COMPUTED_VALUE"""),"UPDATE")</f>
        <v>UPDATE</v>
      </c>
      <c r="I671" s="76" t="str">
        <f ca="1">IFERROR(__xludf.DUMMYFUNCTION("""COMPUTED_VALUE"""),"https://drive.google.com/open?id=1r67iSing2W1TdoRwH09XSgoKOOLRo0z6")</f>
        <v>https://drive.google.com/open?id=1r67iSing2W1TdoRwH09XSgoKOOLRo0z6</v>
      </c>
      <c r="J671" s="59"/>
      <c r="K671" s="59"/>
      <c r="L671" s="59"/>
      <c r="M671" s="59"/>
      <c r="N671" s="59"/>
      <c r="O671" s="59"/>
      <c r="P671" s="59"/>
    </row>
    <row r="672" spans="1:16">
      <c r="A672" s="71">
        <f ca="1">IFERROR(__xludf.DUMMYFUNCTION("""COMPUTED_VALUE"""),45015.9455586458)</f>
        <v>45015.945558645799</v>
      </c>
      <c r="B672" s="59" t="str">
        <f ca="1">IFERROR(__xludf.DUMMYFUNCTION("""COMPUTED_VALUE"""),"Meet Vasant Hiteshbhai")</f>
        <v>Meet Vasant Hiteshbhai</v>
      </c>
      <c r="C672" s="72" t="str">
        <f ca="1">IFERROR(__xludf.DUMMYFUNCTION("""COMPUTED_VALUE"""),"20SDSCE01138")</f>
        <v>20SDSCE01138</v>
      </c>
      <c r="D672" s="73">
        <f ca="1">IFERROR(__xludf.DUMMYFUNCTION("""COMPUTED_VALUE"""),45015)</f>
        <v>45015</v>
      </c>
      <c r="E672" s="74">
        <f ca="1">IFERROR(__xludf.DUMMYFUNCTION("""COMPUTED_VALUE"""),25000)</f>
        <v>25000</v>
      </c>
      <c r="F672" s="72">
        <f ca="1">IFERROR(__xludf.DUMMYFUNCTION("""COMPUTED_VALUE"""),3750)</f>
        <v>3750</v>
      </c>
      <c r="G672" s="75"/>
      <c r="H672" s="59" t="str">
        <f ca="1">IFERROR(__xludf.DUMMYFUNCTION("""COMPUTED_VALUE"""),"UPDATE")</f>
        <v>UPDATE</v>
      </c>
      <c r="I672" s="76" t="str">
        <f ca="1">IFERROR(__xludf.DUMMYFUNCTION("""COMPUTED_VALUE"""),"https://drive.google.com/open?id=1Wv6E_vdS-ESWZnxUhnnndrDirl7F1hzF")</f>
        <v>https://drive.google.com/open?id=1Wv6E_vdS-ESWZnxUhnnndrDirl7F1hzF</v>
      </c>
      <c r="J672" s="59"/>
      <c r="K672" s="59"/>
      <c r="L672" s="59"/>
      <c r="M672" s="59"/>
      <c r="N672" s="59"/>
      <c r="O672" s="59"/>
      <c r="P672" s="59"/>
    </row>
    <row r="673" spans="1:16">
      <c r="A673" s="71">
        <f ca="1">IFERROR(__xludf.DUMMYFUNCTION("""COMPUTED_VALUE"""),45015.5075753472)</f>
        <v>45015.507575347197</v>
      </c>
      <c r="B673" s="59" t="str">
        <f ca="1">IFERROR(__xludf.DUMMYFUNCTION("""COMPUTED_VALUE"""),"Muliya Devraj Ratilal")</f>
        <v>Muliya Devraj Ratilal</v>
      </c>
      <c r="C673" s="72" t="str">
        <f ca="1">IFERROR(__xludf.DUMMYFUNCTION("""COMPUTED_VALUE"""),"20sdsce01065")</f>
        <v>20sdsce01065</v>
      </c>
      <c r="D673" s="73">
        <f ca="1">IFERROR(__xludf.DUMMYFUNCTION("""COMPUTED_VALUE"""),45015)</f>
        <v>45015</v>
      </c>
      <c r="E673" s="74">
        <f ca="1">IFERROR(__xludf.DUMMYFUNCTION("""COMPUTED_VALUE"""),25000)</f>
        <v>25000</v>
      </c>
      <c r="F673" s="72">
        <f ca="1">IFERROR(__xludf.DUMMYFUNCTION("""COMPUTED_VALUE"""),0)</f>
        <v>0</v>
      </c>
      <c r="G673" s="75"/>
      <c r="H673" s="59" t="str">
        <f ca="1">IFERROR(__xludf.DUMMYFUNCTION("""COMPUTED_VALUE"""),"UPDATE")</f>
        <v>UPDATE</v>
      </c>
      <c r="I673" s="76" t="str">
        <f ca="1">IFERROR(__xludf.DUMMYFUNCTION("""COMPUTED_VALUE"""),"https://drive.google.com/open?id=1Onx2B2LXHWR10EY0gegK1bzsfqRsumuE")</f>
        <v>https://drive.google.com/open?id=1Onx2B2LXHWR10EY0gegK1bzsfqRsumuE</v>
      </c>
      <c r="J673" s="59"/>
      <c r="K673" s="59"/>
      <c r="L673" s="59"/>
      <c r="M673" s="59"/>
      <c r="N673" s="59"/>
      <c r="O673" s="59"/>
      <c r="P673" s="59"/>
    </row>
    <row r="674" spans="1:16">
      <c r="A674" s="71">
        <f ca="1">IFERROR(__xludf.DUMMYFUNCTION("""COMPUTED_VALUE"""),45014.6807241435)</f>
        <v>45014.680724143502</v>
      </c>
      <c r="B674" s="59" t="str">
        <f ca="1">IFERROR(__xludf.DUMMYFUNCTION("""COMPUTED_VALUE"""),"Manoj Kewat")</f>
        <v>Manoj Kewat</v>
      </c>
      <c r="C674" s="72" t="str">
        <f ca="1">IFERROR(__xludf.DUMMYFUNCTION("""COMPUTED_VALUE"""),"22SDSCE01616")</f>
        <v>22SDSCE01616</v>
      </c>
      <c r="D674" s="73">
        <f ca="1">IFERROR(__xludf.DUMMYFUNCTION("""COMPUTED_VALUE"""),45014)</f>
        <v>45014</v>
      </c>
      <c r="E674" s="72"/>
      <c r="F674" s="72"/>
      <c r="G674" s="75"/>
      <c r="H674" s="59" t="str">
        <f ca="1">IFERROR(__xludf.DUMMYFUNCTION("""COMPUTED_VALUE"""),"UPDATE")</f>
        <v>UPDATE</v>
      </c>
      <c r="I674" s="76" t="str">
        <f ca="1">IFERROR(__xludf.DUMMYFUNCTION("""COMPUTED_VALUE"""),"https://drive.google.com/open?id=16-CtVa9VpkHY8JM8FReF0wfRlgXGSeKT")</f>
        <v>https://drive.google.com/open?id=16-CtVa9VpkHY8JM8FReF0wfRlgXGSeKT</v>
      </c>
      <c r="J674" s="59"/>
      <c r="K674" s="59"/>
      <c r="L674" s="59"/>
      <c r="M674" s="59"/>
      <c r="N674" s="59"/>
      <c r="O674" s="59"/>
      <c r="P674" s="59"/>
    </row>
    <row r="675" spans="1:16">
      <c r="A675" s="71">
        <f ca="1">IFERROR(__xludf.DUMMYFUNCTION("""COMPUTED_VALUE"""),45014.4148641088)</f>
        <v>45014.414864108803</v>
      </c>
      <c r="B675" s="59" t="str">
        <f ca="1">IFERROR(__xludf.DUMMYFUNCTION("""COMPUTED_VALUE"""),"Harsh Atara")</f>
        <v>Harsh Atara</v>
      </c>
      <c r="C675" s="72" t="str">
        <f ca="1">IFERROR(__xludf.DUMMYFUNCTION("""COMPUTED_VALUE"""),"20SDSCE01004")</f>
        <v>20SDSCE01004</v>
      </c>
      <c r="D675" s="73">
        <f ca="1">IFERROR(__xludf.DUMMYFUNCTION("""COMPUTED_VALUE"""),45010)</f>
        <v>45010</v>
      </c>
      <c r="E675" s="72"/>
      <c r="F675" s="72"/>
      <c r="G675" s="75"/>
      <c r="H675" s="59" t="str">
        <f ca="1">IFERROR(__xludf.DUMMYFUNCTION("""COMPUTED_VALUE"""),"UPDATE")</f>
        <v>UPDATE</v>
      </c>
      <c r="I675" s="76" t="str">
        <f ca="1">IFERROR(__xludf.DUMMYFUNCTION("""COMPUTED_VALUE"""),"https://drive.google.com/open?id=1Ba0XzfumqZbaTjqQ2JrZugS_GQRhX4q-")</f>
        <v>https://drive.google.com/open?id=1Ba0XzfumqZbaTjqQ2JrZugS_GQRhX4q-</v>
      </c>
      <c r="J675" s="59"/>
      <c r="K675" s="59"/>
      <c r="L675" s="59"/>
      <c r="M675" s="59"/>
      <c r="N675" s="59"/>
      <c r="O675" s="59"/>
      <c r="P675" s="59"/>
    </row>
    <row r="676" spans="1:16">
      <c r="A676" s="71">
        <f ca="1">IFERROR(__xludf.DUMMYFUNCTION("""COMPUTED_VALUE"""),45013.6440940393)</f>
        <v>45013.6440940393</v>
      </c>
      <c r="B676" s="59" t="str">
        <f ca="1">IFERROR(__xludf.DUMMYFUNCTION("""COMPUTED_VALUE"""),"Thummar Prasit Chimanbhai ")</f>
        <v xml:space="preserve">Thummar Prasit Chimanbhai </v>
      </c>
      <c r="C676" s="72" t="str">
        <f ca="1">IFERROR(__xludf.DUMMYFUNCTION("""COMPUTED_VALUE"""),"20SDSCE01121")</f>
        <v>20SDSCE01121</v>
      </c>
      <c r="D676" s="73">
        <f ca="1">IFERROR(__xludf.DUMMYFUNCTION("""COMPUTED_VALUE"""),45012)</f>
        <v>45012</v>
      </c>
      <c r="E676" s="74">
        <f ca="1">IFERROR(__xludf.DUMMYFUNCTION("""COMPUTED_VALUE"""),0)</f>
        <v>0</v>
      </c>
      <c r="F676" s="72">
        <f ca="1">IFERROR(__xludf.DUMMYFUNCTION("""COMPUTED_VALUE"""),5000)</f>
        <v>5000</v>
      </c>
      <c r="G676" s="75"/>
      <c r="H676" s="59" t="str">
        <f ca="1">IFERROR(__xludf.DUMMYFUNCTION("""COMPUTED_VALUE"""),"UPDATE")</f>
        <v>UPDATE</v>
      </c>
      <c r="I676" s="76" t="str">
        <f ca="1">IFERROR(__xludf.DUMMYFUNCTION("""COMPUTED_VALUE"""),"https://drive.google.com/open?id=1rETRzjl1XHF6YSBAAlr7--EtFkEouB08")</f>
        <v>https://drive.google.com/open?id=1rETRzjl1XHF6YSBAAlr7--EtFkEouB08</v>
      </c>
      <c r="J676" s="59"/>
      <c r="K676" s="59"/>
      <c r="L676" s="59"/>
      <c r="M676" s="59"/>
      <c r="N676" s="59"/>
      <c r="O676" s="59"/>
      <c r="P676" s="59"/>
    </row>
    <row r="677" spans="1:16">
      <c r="A677" s="71">
        <f ca="1">IFERROR(__xludf.DUMMYFUNCTION("""COMPUTED_VALUE"""),45013.5983247222)</f>
        <v>45013.598324722203</v>
      </c>
      <c r="B677" s="59" t="str">
        <f ca="1">IFERROR(__xludf.DUMMYFUNCTION("""COMPUTED_VALUE"""),"Goraniya Karan")</f>
        <v>Goraniya Karan</v>
      </c>
      <c r="C677" s="72" t="str">
        <f ca="1">IFERROR(__xludf.DUMMYFUNCTION("""COMPUTED_VALUE"""),"22SDSCE01152")</f>
        <v>22SDSCE01152</v>
      </c>
      <c r="D677" s="73">
        <f ca="1">IFERROR(__xludf.DUMMYFUNCTION("""COMPUTED_VALUE"""),45013)</f>
        <v>45013</v>
      </c>
      <c r="E677" s="74">
        <f ca="1">IFERROR(__xludf.DUMMYFUNCTION("""COMPUTED_VALUE"""),25000)</f>
        <v>25000</v>
      </c>
      <c r="F677" s="72">
        <f ca="1">IFERROR(__xludf.DUMMYFUNCTION("""COMPUTED_VALUE"""),3000)</f>
        <v>3000</v>
      </c>
      <c r="G677" s="75"/>
      <c r="H677" s="59" t="str">
        <f ca="1">IFERROR(__xludf.DUMMYFUNCTION("""COMPUTED_VALUE"""),"UPDATE")</f>
        <v>UPDATE</v>
      </c>
      <c r="I677" s="76" t="str">
        <f ca="1">IFERROR(__xludf.DUMMYFUNCTION("""COMPUTED_VALUE"""),"https://drive.google.com/open?id=1dhZyxC7wL6odOfSkyDYkXhfL1hk_g4kA")</f>
        <v>https://drive.google.com/open?id=1dhZyxC7wL6odOfSkyDYkXhfL1hk_g4kA</v>
      </c>
      <c r="J677" s="59"/>
      <c r="K677" s="59"/>
      <c r="L677" s="59"/>
      <c r="M677" s="59"/>
      <c r="N677" s="59"/>
      <c r="O677" s="59"/>
      <c r="P677" s="59"/>
    </row>
    <row r="678" spans="1:16">
      <c r="A678" s="71">
        <f ca="1">IFERROR(__xludf.DUMMYFUNCTION("""COMPUTED_VALUE"""),45013.3582022222)</f>
        <v>45013.358202222204</v>
      </c>
      <c r="B678" s="59" t="str">
        <f ca="1">IFERROR(__xludf.DUMMYFUNCTION("""COMPUTED_VALUE"""),"Gabu Daxa Rasikbhai ")</f>
        <v xml:space="preserve">Gabu Daxa Rasikbhai </v>
      </c>
      <c r="C678" s="72" t="str">
        <f ca="1">IFERROR(__xludf.DUMMYFUNCTION("""COMPUTED_VALUE"""),"20SDSCE01032")</f>
        <v>20SDSCE01032</v>
      </c>
      <c r="D678" s="73">
        <f ca="1">IFERROR(__xludf.DUMMYFUNCTION("""COMPUTED_VALUE"""),45013)</f>
        <v>45013</v>
      </c>
      <c r="E678" s="74">
        <f ca="1">IFERROR(__xludf.DUMMYFUNCTION("""COMPUTED_VALUE"""),25000)</f>
        <v>25000</v>
      </c>
      <c r="F678" s="72">
        <f ca="1">IFERROR(__xludf.DUMMYFUNCTION("""COMPUTED_VALUE"""),0)</f>
        <v>0</v>
      </c>
      <c r="G678" s="75"/>
      <c r="H678" s="59" t="str">
        <f ca="1">IFERROR(__xludf.DUMMYFUNCTION("""COMPUTED_VALUE"""),"UPDATE")</f>
        <v>UPDATE</v>
      </c>
      <c r="I678" s="76" t="str">
        <f ca="1">IFERROR(__xludf.DUMMYFUNCTION("""COMPUTED_VALUE"""),"https://drive.google.com/open?id=1HertRSLQO7_1T8N6CbtNcj4ZnVWZVL-1")</f>
        <v>https://drive.google.com/open?id=1HertRSLQO7_1T8N6CbtNcj4ZnVWZVL-1</v>
      </c>
      <c r="J678" s="59"/>
      <c r="K678" s="59"/>
      <c r="L678" s="59"/>
      <c r="M678" s="59"/>
      <c r="N678" s="59"/>
      <c r="O678" s="59"/>
      <c r="P678" s="59"/>
    </row>
    <row r="679" spans="1:16">
      <c r="A679" s="71">
        <f ca="1">IFERROR(__xludf.DUMMYFUNCTION("""COMPUTED_VALUE"""),45012.590603449)</f>
        <v>45012.590603449004</v>
      </c>
      <c r="B679" s="59" t="str">
        <f ca="1">IFERROR(__xludf.DUMMYFUNCTION("""COMPUTED_VALUE"""),"Muliya Devrajbhai Ratilal")</f>
        <v>Muliya Devrajbhai Ratilal</v>
      </c>
      <c r="C679" s="72" t="str">
        <f ca="1">IFERROR(__xludf.DUMMYFUNCTION("""COMPUTED_VALUE"""),"20sdsce01065")</f>
        <v>20sdsce01065</v>
      </c>
      <c r="D679" s="73">
        <f ca="1">IFERROR(__xludf.DUMMYFUNCTION("""COMPUTED_VALUE"""),45012)</f>
        <v>45012</v>
      </c>
      <c r="E679" s="74">
        <f ca="1">IFERROR(__xludf.DUMMYFUNCTION("""COMPUTED_VALUE"""),26000)</f>
        <v>26000</v>
      </c>
      <c r="F679" s="72">
        <f ca="1">IFERROR(__xludf.DUMMYFUNCTION("""COMPUTED_VALUE"""),0)</f>
        <v>0</v>
      </c>
      <c r="G679" s="75"/>
      <c r="H679" s="59" t="str">
        <f ca="1">IFERROR(__xludf.DUMMYFUNCTION("""COMPUTED_VALUE"""),"UPDATE")</f>
        <v>UPDATE</v>
      </c>
      <c r="I679" s="76" t="str">
        <f ca="1">IFERROR(__xludf.DUMMYFUNCTION("""COMPUTED_VALUE"""),"https://drive.google.com/open?id=1bN9eoJOrOCskiq0ssktSlQXyB4QtLZ-e")</f>
        <v>https://drive.google.com/open?id=1bN9eoJOrOCskiq0ssktSlQXyB4QtLZ-e</v>
      </c>
      <c r="J679" s="59"/>
      <c r="K679" s="59"/>
      <c r="L679" s="59"/>
      <c r="M679" s="59"/>
      <c r="N679" s="59"/>
      <c r="O679" s="59"/>
      <c r="P679" s="59"/>
    </row>
    <row r="680" spans="1:16">
      <c r="A680" s="71">
        <f ca="1">IFERROR(__xludf.DUMMYFUNCTION("""COMPUTED_VALUE"""),45012.5871554398)</f>
        <v>45012.587155439804</v>
      </c>
      <c r="B680" s="59" t="str">
        <f ca="1">IFERROR(__xludf.DUMMYFUNCTION("""COMPUTED_VALUE"""),"Aashvi Atulbhai Kansagara ")</f>
        <v xml:space="preserve">Aashvi Atulbhai Kansagara </v>
      </c>
      <c r="C680" s="72" t="str">
        <f ca="1">IFERROR(__xludf.DUMMYFUNCTION("""COMPUTED_VALUE"""),"20SDSCE01050")</f>
        <v>20SDSCE01050</v>
      </c>
      <c r="D680" s="73">
        <f ca="1">IFERROR(__xludf.DUMMYFUNCTION("""COMPUTED_VALUE"""),45012)</f>
        <v>45012</v>
      </c>
      <c r="E680" s="74">
        <f ca="1">IFERROR(__xludf.DUMMYFUNCTION("""COMPUTED_VALUE"""),25000)</f>
        <v>25000</v>
      </c>
      <c r="F680" s="72"/>
      <c r="G680" s="75"/>
      <c r="H680" s="59" t="str">
        <f ca="1">IFERROR(__xludf.DUMMYFUNCTION("""COMPUTED_VALUE"""),"UPDATE")</f>
        <v>UPDATE</v>
      </c>
      <c r="I680" s="76" t="str">
        <f ca="1">IFERROR(__xludf.DUMMYFUNCTION("""COMPUTED_VALUE"""),"https://drive.google.com/open?id=1y48ic8LS5EytH0KO2-1soTNQJ8Lgjrrt")</f>
        <v>https://drive.google.com/open?id=1y48ic8LS5EytH0KO2-1soTNQJ8Lgjrrt</v>
      </c>
      <c r="J680" s="59"/>
      <c r="K680" s="59"/>
      <c r="L680" s="59"/>
      <c r="M680" s="59"/>
      <c r="N680" s="59"/>
      <c r="O680" s="59"/>
      <c r="P680" s="59"/>
    </row>
    <row r="681" spans="1:16">
      <c r="A681" s="71">
        <f ca="1">IFERROR(__xludf.DUMMYFUNCTION("""COMPUTED_VALUE"""),45012.5689226273)</f>
        <v>45012.568922627303</v>
      </c>
      <c r="B681" s="59" t="str">
        <f ca="1">IFERROR(__xludf.DUMMYFUNCTION("""COMPUTED_VALUE"""),"Harshil Vanparia")</f>
        <v>Harshil Vanparia</v>
      </c>
      <c r="C681" s="72" t="str">
        <f ca="1">IFERROR(__xludf.DUMMYFUNCTION("""COMPUTED_VALUE"""),"20SDSCE01137")</f>
        <v>20SDSCE01137</v>
      </c>
      <c r="D681" s="73">
        <f ca="1">IFERROR(__xludf.DUMMYFUNCTION("""COMPUTED_VALUE"""),45012)</f>
        <v>45012</v>
      </c>
      <c r="E681" s="74">
        <f ca="1">IFERROR(__xludf.DUMMYFUNCTION("""COMPUTED_VALUE"""),19250)</f>
        <v>19250</v>
      </c>
      <c r="F681" s="72"/>
      <c r="G681" s="75"/>
      <c r="H681" s="59" t="str">
        <f ca="1">IFERROR(__xludf.DUMMYFUNCTION("""COMPUTED_VALUE"""),"UPDATE")</f>
        <v>UPDATE</v>
      </c>
      <c r="I681" s="76" t="str">
        <f ca="1">IFERROR(__xludf.DUMMYFUNCTION("""COMPUTED_VALUE"""),"https://drive.google.com/open?id=1CLcjOFEChBTwweY8bFdZdjAcRdw6Shsf")</f>
        <v>https://drive.google.com/open?id=1CLcjOFEChBTwweY8bFdZdjAcRdw6Shsf</v>
      </c>
      <c r="J681" s="59"/>
      <c r="K681" s="59"/>
      <c r="L681" s="59"/>
      <c r="M681" s="59"/>
      <c r="N681" s="59"/>
      <c r="O681" s="59"/>
      <c r="P681" s="59"/>
    </row>
    <row r="682" spans="1:16">
      <c r="A682" s="71">
        <f ca="1">IFERROR(__xludf.DUMMYFUNCTION("""COMPUTED_VALUE"""),45012.5655840625)</f>
        <v>45012.565584062497</v>
      </c>
      <c r="B682" s="59" t="str">
        <f ca="1">IFERROR(__xludf.DUMMYFUNCTION("""COMPUTED_VALUE"""),"Harshil Vanparia")</f>
        <v>Harshil Vanparia</v>
      </c>
      <c r="C682" s="72" t="str">
        <f ca="1">IFERROR(__xludf.DUMMYFUNCTION("""COMPUTED_VALUE"""),"20SDSCE01137")</f>
        <v>20SDSCE01137</v>
      </c>
      <c r="D682" s="73">
        <f ca="1">IFERROR(__xludf.DUMMYFUNCTION("""COMPUTED_VALUE"""),44907)</f>
        <v>44907</v>
      </c>
      <c r="E682" s="72"/>
      <c r="F682" s="72">
        <f ca="1">IFERROR(__xludf.DUMMYFUNCTION("""COMPUTED_VALUE"""),3750)</f>
        <v>3750</v>
      </c>
      <c r="G682" s="75"/>
      <c r="H682" s="59" t="str">
        <f ca="1">IFERROR(__xludf.DUMMYFUNCTION("""COMPUTED_VALUE"""),"UPDATE")</f>
        <v>UPDATE</v>
      </c>
      <c r="I682" s="76" t="str">
        <f ca="1">IFERROR(__xludf.DUMMYFUNCTION("""COMPUTED_VALUE"""),"https://drive.google.com/open?id=1HvDjCJtBKhjrW-v1KQogO9Yng_LjH6_o")</f>
        <v>https://drive.google.com/open?id=1HvDjCJtBKhjrW-v1KQogO9Yng_LjH6_o</v>
      </c>
      <c r="J682" s="59"/>
      <c r="K682" s="59"/>
      <c r="L682" s="59"/>
      <c r="M682" s="59"/>
      <c r="N682" s="59"/>
      <c r="O682" s="59"/>
      <c r="P682" s="59"/>
    </row>
    <row r="683" spans="1:16">
      <c r="A683" s="71">
        <f ca="1">IFERROR(__xludf.DUMMYFUNCTION("""COMPUTED_VALUE"""),45012.5642850578)</f>
        <v>45012.564285057801</v>
      </c>
      <c r="B683" s="59" t="str">
        <f ca="1">IFERROR(__xludf.DUMMYFUNCTION("""COMPUTED_VALUE"""),"Harsh Patodiya")</f>
        <v>Harsh Patodiya</v>
      </c>
      <c r="C683" s="72" t="str">
        <f ca="1">IFERROR(__xludf.DUMMYFUNCTION("""COMPUTED_VALUE"""),"20SDSCE01088")</f>
        <v>20SDSCE01088</v>
      </c>
      <c r="D683" s="73">
        <f ca="1">IFERROR(__xludf.DUMMYFUNCTION("""COMPUTED_VALUE"""),45012)</f>
        <v>45012</v>
      </c>
      <c r="E683" s="74">
        <f ca="1">IFERROR(__xludf.DUMMYFUNCTION("""COMPUTED_VALUE"""),4750)</f>
        <v>4750</v>
      </c>
      <c r="F683" s="72">
        <f ca="1">IFERROR(__xludf.DUMMYFUNCTION("""COMPUTED_VALUE"""),18750)</f>
        <v>18750</v>
      </c>
      <c r="G683" s="75"/>
      <c r="H683" s="59" t="str">
        <f ca="1">IFERROR(__xludf.DUMMYFUNCTION("""COMPUTED_VALUE"""),"UPDATE")</f>
        <v>UPDATE</v>
      </c>
      <c r="I683" s="76" t="str">
        <f ca="1">IFERROR(__xludf.DUMMYFUNCTION("""COMPUTED_VALUE"""),"https://drive.google.com/open?id=1hiBIfcgSFEcVq3dcuoiQzUynZr-5TWj5")</f>
        <v>https://drive.google.com/open?id=1hiBIfcgSFEcVq3dcuoiQzUynZr-5TWj5</v>
      </c>
      <c r="J683" s="59"/>
      <c r="K683" s="59"/>
      <c r="L683" s="59"/>
      <c r="M683" s="59"/>
      <c r="N683" s="59"/>
      <c r="O683" s="59"/>
      <c r="P683" s="59"/>
    </row>
    <row r="684" spans="1:16">
      <c r="A684" s="71">
        <f ca="1">IFERROR(__xludf.DUMMYFUNCTION("""COMPUTED_VALUE"""),45012.554038912)</f>
        <v>45012.554038912</v>
      </c>
      <c r="B684" s="59" t="str">
        <f ca="1">IFERROR(__xludf.DUMMYFUNCTION("""COMPUTED_VALUE"""),"Hapliya sunny ")</f>
        <v xml:space="preserve">Hapliya sunny </v>
      </c>
      <c r="C684" s="72" t="str">
        <f ca="1">IFERROR(__xludf.DUMMYFUNCTION("""COMPUTED_VALUE"""),"20SDSCE01042")</f>
        <v>20SDSCE01042</v>
      </c>
      <c r="D684" s="73">
        <f ca="1">IFERROR(__xludf.DUMMYFUNCTION("""COMPUTED_VALUE"""),45012)</f>
        <v>45012</v>
      </c>
      <c r="E684" s="72"/>
      <c r="F684" s="72"/>
      <c r="G684" s="75"/>
      <c r="H684" s="59" t="str">
        <f ca="1">IFERROR(__xludf.DUMMYFUNCTION("""COMPUTED_VALUE"""),"UPDATE")</f>
        <v>UPDATE</v>
      </c>
      <c r="I684" s="76" t="str">
        <f ca="1">IFERROR(__xludf.DUMMYFUNCTION("""COMPUTED_VALUE"""),"https://drive.google.com/open?id=1n8YM6Al60lX70AdGTEFH8vmsooUFk9zM")</f>
        <v>https://drive.google.com/open?id=1n8YM6Al60lX70AdGTEFH8vmsooUFk9zM</v>
      </c>
      <c r="J684" s="59"/>
      <c r="K684" s="59"/>
      <c r="L684" s="59"/>
      <c r="M684" s="59"/>
      <c r="N684" s="59"/>
      <c r="O684" s="59"/>
      <c r="P684" s="59"/>
    </row>
    <row r="685" spans="1:16">
      <c r="A685" s="71">
        <f ca="1">IFERROR(__xludf.DUMMYFUNCTION("""COMPUTED_VALUE"""),45012.5443510069)</f>
        <v>45012.544351006902</v>
      </c>
      <c r="B685" s="59" t="str">
        <f ca="1">IFERROR(__xludf.DUMMYFUNCTION("""COMPUTED_VALUE"""),"Adroja akshit damjibhai ")</f>
        <v xml:space="preserve">Adroja akshit damjibhai </v>
      </c>
      <c r="C685" s="72" t="str">
        <f ca="1">IFERROR(__xludf.DUMMYFUNCTION("""COMPUTED_VALUE"""),"20sdsce01002")</f>
        <v>20sdsce01002</v>
      </c>
      <c r="D685" s="73">
        <f ca="1">IFERROR(__xludf.DUMMYFUNCTION("""COMPUTED_VALUE"""),45012)</f>
        <v>45012</v>
      </c>
      <c r="E685" s="72"/>
      <c r="F685" s="72">
        <f ca="1">IFERROR(__xludf.DUMMYFUNCTION("""COMPUTED_VALUE"""),3750)</f>
        <v>3750</v>
      </c>
      <c r="G685" s="75"/>
      <c r="H685" s="59" t="str">
        <f ca="1">IFERROR(__xludf.DUMMYFUNCTION("""COMPUTED_VALUE"""),"UPDATE")</f>
        <v>UPDATE</v>
      </c>
      <c r="I685" s="76" t="str">
        <f ca="1">IFERROR(__xludf.DUMMYFUNCTION("""COMPUTED_VALUE"""),"https://drive.google.com/open?id=17TEG3s_nx4u6tbxrHkMP6I4NSAj7kHme")</f>
        <v>https://drive.google.com/open?id=17TEG3s_nx4u6tbxrHkMP6I4NSAj7kHme</v>
      </c>
      <c r="J685" s="59"/>
      <c r="K685" s="59"/>
      <c r="L685" s="59"/>
      <c r="M685" s="59"/>
      <c r="N685" s="59"/>
      <c r="O685" s="59"/>
      <c r="P685" s="59"/>
    </row>
    <row r="686" spans="1:16">
      <c r="A686" s="71">
        <f ca="1">IFERROR(__xludf.DUMMYFUNCTION("""COMPUTED_VALUE"""),45012.5289190509)</f>
        <v>45012.528919050899</v>
      </c>
      <c r="B686" s="59" t="str">
        <f ca="1">IFERROR(__xludf.DUMMYFUNCTION("""COMPUTED_VALUE"""),"Vadariya Ishva Nileshbhai")</f>
        <v>Vadariya Ishva Nileshbhai</v>
      </c>
      <c r="C686" s="72" t="str">
        <f ca="1">IFERROR(__xludf.DUMMYFUNCTION("""COMPUTED_VALUE"""),"20SDSCE01124")</f>
        <v>20SDSCE01124</v>
      </c>
      <c r="D686" s="73">
        <f ca="1">IFERROR(__xludf.DUMMYFUNCTION("""COMPUTED_VALUE"""),45012)</f>
        <v>45012</v>
      </c>
      <c r="E686" s="74">
        <f ca="1">IFERROR(__xludf.DUMMYFUNCTION("""COMPUTED_VALUE"""),25000)</f>
        <v>25000</v>
      </c>
      <c r="F686" s="72"/>
      <c r="G686" s="75"/>
      <c r="H686" s="59" t="str">
        <f ca="1">IFERROR(__xludf.DUMMYFUNCTION("""COMPUTED_VALUE"""),"UPDATE")</f>
        <v>UPDATE</v>
      </c>
      <c r="I686" s="76" t="str">
        <f ca="1">IFERROR(__xludf.DUMMYFUNCTION("""COMPUTED_VALUE"""),"https://drive.google.com/open?id=1RkY5R8e2IS43MbGCTx0-mx3huVh4uDa9")</f>
        <v>https://drive.google.com/open?id=1RkY5R8e2IS43MbGCTx0-mx3huVh4uDa9</v>
      </c>
      <c r="J686" s="59"/>
      <c r="K686" s="59"/>
      <c r="L686" s="59"/>
      <c r="M686" s="59"/>
      <c r="N686" s="59"/>
      <c r="O686" s="59"/>
      <c r="P686" s="59"/>
    </row>
    <row r="687" spans="1:16">
      <c r="A687" s="71">
        <f ca="1">IFERROR(__xludf.DUMMYFUNCTION("""COMPUTED_VALUE"""),45012.5186596643)</f>
        <v>45012.518659664303</v>
      </c>
      <c r="B687" s="59" t="str">
        <f ca="1">IFERROR(__xludf.DUMMYFUNCTION("""COMPUTED_VALUE"""),"Rupapara Yagnik Maganbhai")</f>
        <v>Rupapara Yagnik Maganbhai</v>
      </c>
      <c r="C687" s="72" t="str">
        <f ca="1">IFERROR(__xludf.DUMMYFUNCTION("""COMPUTED_VALUE"""),"20SDSCE01104")</f>
        <v>20SDSCE01104</v>
      </c>
      <c r="D687" s="73">
        <f ca="1">IFERROR(__xludf.DUMMYFUNCTION("""COMPUTED_VALUE"""),45012)</f>
        <v>45012</v>
      </c>
      <c r="E687" s="74">
        <f ca="1">IFERROR(__xludf.DUMMYFUNCTION("""COMPUTED_VALUE"""),25000)</f>
        <v>25000</v>
      </c>
      <c r="F687" s="72">
        <f ca="1">IFERROR(__xludf.DUMMYFUNCTION("""COMPUTED_VALUE"""),0)</f>
        <v>0</v>
      </c>
      <c r="G687" s="75"/>
      <c r="H687" s="59" t="str">
        <f ca="1">IFERROR(__xludf.DUMMYFUNCTION("""COMPUTED_VALUE"""),"UPDATE")</f>
        <v>UPDATE</v>
      </c>
      <c r="I687" s="76" t="str">
        <f ca="1">IFERROR(__xludf.DUMMYFUNCTION("""COMPUTED_VALUE"""),"https://drive.google.com/open?id=11M9kHV7XrvW6YqKRTXdMndqkC6W2UmVp")</f>
        <v>https://drive.google.com/open?id=11M9kHV7XrvW6YqKRTXdMndqkC6W2UmVp</v>
      </c>
      <c r="J687" s="59"/>
      <c r="K687" s="59"/>
      <c r="L687" s="59"/>
      <c r="M687" s="59"/>
      <c r="N687" s="59"/>
      <c r="O687" s="59"/>
      <c r="P687" s="59"/>
    </row>
    <row r="688" spans="1:16">
      <c r="A688" s="71">
        <f ca="1">IFERROR(__xludf.DUMMYFUNCTION("""COMPUTED_VALUE"""),45012.4991516898)</f>
        <v>45012.499151689801</v>
      </c>
      <c r="B688" s="59" t="str">
        <f ca="1">IFERROR(__xludf.DUMMYFUNCTION("""COMPUTED_VALUE"""),"Keval Shah ")</f>
        <v xml:space="preserve">Keval Shah </v>
      </c>
      <c r="C688" s="72" t="str">
        <f ca="1">IFERROR(__xludf.DUMMYFUNCTION("""COMPUTED_VALUE"""),"20SDSCE01110")</f>
        <v>20SDSCE01110</v>
      </c>
      <c r="D688" s="73">
        <f ca="1">IFERROR(__xludf.DUMMYFUNCTION("""COMPUTED_VALUE"""),45012)</f>
        <v>45012</v>
      </c>
      <c r="E688" s="74">
        <f ca="1">IFERROR(__xludf.DUMMYFUNCTION("""COMPUTED_VALUE"""),18750)</f>
        <v>18750</v>
      </c>
      <c r="F688" s="72">
        <f ca="1">IFERROR(__xludf.DUMMYFUNCTION("""COMPUTED_VALUE"""),3750)</f>
        <v>3750</v>
      </c>
      <c r="G688" s="75"/>
      <c r="H688" s="59" t="str">
        <f ca="1">IFERROR(__xludf.DUMMYFUNCTION("""COMPUTED_VALUE"""),"penalty applicable")</f>
        <v>penalty applicable</v>
      </c>
      <c r="I688" s="76" t="str">
        <f ca="1">IFERROR(__xludf.DUMMYFUNCTION("""COMPUTED_VALUE"""),"https://drive.google.com/open?id=1mS8Dw3ZlEa2Nouwf1m08hD9TATpbhZjm")</f>
        <v>https://drive.google.com/open?id=1mS8Dw3ZlEa2Nouwf1m08hD9TATpbhZjm</v>
      </c>
      <c r="J688" s="59"/>
      <c r="K688" s="59"/>
      <c r="L688" s="59"/>
      <c r="M688" s="59"/>
      <c r="N688" s="59"/>
      <c r="O688" s="59"/>
      <c r="P688" s="59"/>
    </row>
    <row r="689" spans="1:16">
      <c r="A689" s="71">
        <f ca="1">IFERROR(__xludf.DUMMYFUNCTION("""COMPUTED_VALUE"""),45012.4821716435)</f>
        <v>45012.482171643504</v>
      </c>
      <c r="B689" s="59" t="str">
        <f ca="1">IFERROR(__xludf.DUMMYFUNCTION("""COMPUTED_VALUE"""),"Dhruv koladiya Girishbhai ")</f>
        <v xml:space="preserve">Dhruv koladiya Girishbhai </v>
      </c>
      <c r="C689" s="72" t="str">
        <f ca="1">IFERROR(__xludf.DUMMYFUNCTION("""COMPUTED_VALUE"""),"20SDSCE01056")</f>
        <v>20SDSCE01056</v>
      </c>
      <c r="D689" s="73">
        <f ca="1">IFERROR(__xludf.DUMMYFUNCTION("""COMPUTED_VALUE"""),45012)</f>
        <v>45012</v>
      </c>
      <c r="E689" s="74">
        <f ca="1">IFERROR(__xludf.DUMMYFUNCTION("""COMPUTED_VALUE"""),12500)</f>
        <v>12500</v>
      </c>
      <c r="F689" s="72">
        <f ca="1">IFERROR(__xludf.DUMMYFUNCTION("""COMPUTED_VALUE"""),3750)</f>
        <v>3750</v>
      </c>
      <c r="G689" s="75"/>
      <c r="H689" s="59" t="str">
        <f ca="1">IFERROR(__xludf.DUMMYFUNCTION("""COMPUTED_VALUE"""),"UPDATE")</f>
        <v>UPDATE</v>
      </c>
      <c r="I689" s="76" t="str">
        <f ca="1">IFERROR(__xludf.DUMMYFUNCTION("""COMPUTED_VALUE"""),"https://drive.google.com/open?id=1pxJN8ktWNH1JXGheTpoWShgTiT92Tduj")</f>
        <v>https://drive.google.com/open?id=1pxJN8ktWNH1JXGheTpoWShgTiT92Tduj</v>
      </c>
      <c r="J689" s="59"/>
      <c r="K689" s="59"/>
      <c r="L689" s="59"/>
      <c r="M689" s="59"/>
      <c r="N689" s="59"/>
      <c r="O689" s="59"/>
      <c r="P689" s="59"/>
    </row>
    <row r="690" spans="1:16">
      <c r="A690" s="71">
        <f ca="1">IFERROR(__xludf.DUMMYFUNCTION("""COMPUTED_VALUE"""),45012.4812004629)</f>
        <v>45012.481200462898</v>
      </c>
      <c r="B690" s="59" t="str">
        <f ca="1">IFERROR(__xludf.DUMMYFUNCTION("""COMPUTED_VALUE"""),"Dhruv koladiya Girishbhai ")</f>
        <v xml:space="preserve">Dhruv koladiya Girishbhai </v>
      </c>
      <c r="C690" s="72" t="str">
        <f ca="1">IFERROR(__xludf.DUMMYFUNCTION("""COMPUTED_VALUE"""),"20SDSCE01056")</f>
        <v>20SDSCE01056</v>
      </c>
      <c r="D690" s="73">
        <f ca="1">IFERROR(__xludf.DUMMYFUNCTION("""COMPUTED_VALUE"""),45012)</f>
        <v>45012</v>
      </c>
      <c r="E690" s="74">
        <f ca="1">IFERROR(__xludf.DUMMYFUNCTION("""COMPUTED_VALUE"""),12500)</f>
        <v>12500</v>
      </c>
      <c r="F690" s="72">
        <f ca="1">IFERROR(__xludf.DUMMYFUNCTION("""COMPUTED_VALUE"""),3750)</f>
        <v>3750</v>
      </c>
      <c r="G690" s="75"/>
      <c r="H690" s="59" t="str">
        <f ca="1">IFERROR(__xludf.DUMMYFUNCTION("""COMPUTED_VALUE"""),"UPDATE")</f>
        <v>UPDATE</v>
      </c>
      <c r="I690" s="76" t="str">
        <f ca="1">IFERROR(__xludf.DUMMYFUNCTION("""COMPUTED_VALUE"""),"https://drive.google.com/open?id=17VAYKptt6hDZO7kW3bgWTgdbjh-h1Rvf")</f>
        <v>https://drive.google.com/open?id=17VAYKptt6hDZO7kW3bgWTgdbjh-h1Rvf</v>
      </c>
      <c r="J690" s="59"/>
      <c r="K690" s="59"/>
      <c r="L690" s="59"/>
      <c r="M690" s="59"/>
      <c r="N690" s="59"/>
      <c r="O690" s="59"/>
      <c r="P690" s="59"/>
    </row>
    <row r="691" spans="1:16">
      <c r="A691" s="71">
        <f ca="1">IFERROR(__xludf.DUMMYFUNCTION("""COMPUTED_VALUE"""),45012.3948871759)</f>
        <v>45012.394887175898</v>
      </c>
      <c r="B691" s="59" t="str">
        <f ca="1">IFERROR(__xludf.DUMMYFUNCTION("""COMPUTED_VALUE"""),"Sangani Devansh Ashvinbhai")</f>
        <v>Sangani Devansh Ashvinbhai</v>
      </c>
      <c r="C691" s="72" t="str">
        <f ca="1">IFERROR(__xludf.DUMMYFUNCTION("""COMPUTED_VALUE"""),"22SDSCE01187")</f>
        <v>22SDSCE01187</v>
      </c>
      <c r="D691" s="73">
        <f ca="1">IFERROR(__xludf.DUMMYFUNCTION("""COMPUTED_VALUE"""),45009)</f>
        <v>45009</v>
      </c>
      <c r="E691" s="74">
        <f ca="1">IFERROR(__xludf.DUMMYFUNCTION("""COMPUTED_VALUE"""),25000)</f>
        <v>25000</v>
      </c>
      <c r="F691" s="72">
        <f ca="1">IFERROR(__xludf.DUMMYFUNCTION("""COMPUTED_VALUE"""),3000)</f>
        <v>3000</v>
      </c>
      <c r="G691" s="75"/>
      <c r="H691" s="59" t="str">
        <f ca="1">IFERROR(__xludf.DUMMYFUNCTION("""COMPUTED_VALUE"""),"UPDATE")</f>
        <v>UPDATE</v>
      </c>
      <c r="I691" s="76" t="str">
        <f ca="1">IFERROR(__xludf.DUMMYFUNCTION("""COMPUTED_VALUE"""),"https://drive.google.com/open?id=1FPaoDvbvg88Qw5ApAEzOVlxRA_IXKeg5")</f>
        <v>https://drive.google.com/open?id=1FPaoDvbvg88Qw5ApAEzOVlxRA_IXKeg5</v>
      </c>
      <c r="J691" s="59"/>
      <c r="K691" s="59"/>
      <c r="L691" s="59"/>
      <c r="M691" s="59"/>
      <c r="N691" s="59"/>
      <c r="O691" s="59"/>
      <c r="P691" s="59"/>
    </row>
    <row r="692" spans="1:16">
      <c r="A692" s="71">
        <f ca="1">IFERROR(__xludf.DUMMYFUNCTION("""COMPUTED_VALUE"""),45012.3393402083)</f>
        <v>45012.339340208302</v>
      </c>
      <c r="B692" s="59" t="str">
        <f ca="1">IFERROR(__xludf.DUMMYFUNCTION("""COMPUTED_VALUE"""),"Rupapara shubh Mukeshbhia ")</f>
        <v xml:space="preserve">Rupapara shubh Mukeshbhia </v>
      </c>
      <c r="C692" s="72" t="str">
        <f ca="1">IFERROR(__xludf.DUMMYFUNCTION("""COMPUTED_VALUE"""),"20SDSCE01103")</f>
        <v>20SDSCE01103</v>
      </c>
      <c r="D692" s="73">
        <f ca="1">IFERROR(__xludf.DUMMYFUNCTION("""COMPUTED_VALUE"""),45012)</f>
        <v>45012</v>
      </c>
      <c r="E692" s="74">
        <f ca="1">IFERROR(__xludf.DUMMYFUNCTION("""COMPUTED_VALUE"""),25000)</f>
        <v>25000</v>
      </c>
      <c r="F692" s="72">
        <f ca="1">IFERROR(__xludf.DUMMYFUNCTION("""COMPUTED_VALUE"""),0)</f>
        <v>0</v>
      </c>
      <c r="G692" s="75"/>
      <c r="H692" s="59" t="str">
        <f ca="1">IFERROR(__xludf.DUMMYFUNCTION("""COMPUTED_VALUE"""),"UPDATE")</f>
        <v>UPDATE</v>
      </c>
      <c r="I692" s="76" t="str">
        <f ca="1">IFERROR(__xludf.DUMMYFUNCTION("""COMPUTED_VALUE"""),"https://drive.google.com/open?id=1eOZBVhJPJ7OGcwWoRL0loG8gsQB8Vghy")</f>
        <v>https://drive.google.com/open?id=1eOZBVhJPJ7OGcwWoRL0loG8gsQB8Vghy</v>
      </c>
      <c r="J692" s="59"/>
      <c r="K692" s="59"/>
      <c r="L692" s="59"/>
      <c r="M692" s="59"/>
      <c r="N692" s="59"/>
      <c r="O692" s="59"/>
      <c r="P692" s="59"/>
    </row>
    <row r="693" spans="1:16">
      <c r="A693" s="71">
        <f ca="1">IFERROR(__xludf.DUMMYFUNCTION("""COMPUTED_VALUE"""),45012.337505787)</f>
        <v>45012.337505787</v>
      </c>
      <c r="B693" s="59" t="str">
        <f ca="1">IFERROR(__xludf.DUMMYFUNCTION("""COMPUTED_VALUE"""),"Rupapara shubh Mukeshbhia ")</f>
        <v xml:space="preserve">Rupapara shubh Mukeshbhia </v>
      </c>
      <c r="C693" s="72" t="str">
        <f ca="1">IFERROR(__xludf.DUMMYFUNCTION("""COMPUTED_VALUE"""),"20SDSCE01103")</f>
        <v>20SDSCE01103</v>
      </c>
      <c r="D693" s="73">
        <f ca="1">IFERROR(__xludf.DUMMYFUNCTION("""COMPUTED_VALUE"""),45012)</f>
        <v>45012</v>
      </c>
      <c r="E693" s="74">
        <f ca="1">IFERROR(__xludf.DUMMYFUNCTION("""COMPUTED_VALUE"""),25000)</f>
        <v>25000</v>
      </c>
      <c r="F693" s="72">
        <f ca="1">IFERROR(__xludf.DUMMYFUNCTION("""COMPUTED_VALUE"""),0)</f>
        <v>0</v>
      </c>
      <c r="G693" s="75"/>
      <c r="H693" s="59" t="str">
        <f ca="1">IFERROR(__xludf.DUMMYFUNCTION("""COMPUTED_VALUE"""),"UPDATE")</f>
        <v>UPDATE</v>
      </c>
      <c r="I693" s="76" t="str">
        <f ca="1">IFERROR(__xludf.DUMMYFUNCTION("""COMPUTED_VALUE"""),"https://drive.google.com/open?id=1ZQxObEoJhmOIsCzgk3QnDYzfIdphFPsK")</f>
        <v>https://drive.google.com/open?id=1ZQxObEoJhmOIsCzgk3QnDYzfIdphFPsK</v>
      </c>
      <c r="J693" s="59"/>
      <c r="K693" s="59"/>
      <c r="L693" s="59"/>
      <c r="M693" s="59"/>
      <c r="N693" s="59"/>
      <c r="O693" s="59"/>
      <c r="P693" s="59"/>
    </row>
    <row r="694" spans="1:16">
      <c r="A694" s="71">
        <f ca="1">IFERROR(__xludf.DUMMYFUNCTION("""COMPUTED_VALUE"""),45010.9338381944)</f>
        <v>45010.933838194404</v>
      </c>
      <c r="B694" s="59" t="str">
        <f ca="1">IFERROR(__xludf.DUMMYFUNCTION("""COMPUTED_VALUE"""),"Tilwani dhaval ")</f>
        <v xml:space="preserve">Tilwani dhaval </v>
      </c>
      <c r="C694" s="72" t="str">
        <f ca="1">IFERROR(__xludf.DUMMYFUNCTION("""COMPUTED_VALUE"""),"20sdsme01038")</f>
        <v>20sdsme01038</v>
      </c>
      <c r="D694" s="73">
        <f ca="1">IFERROR(__xludf.DUMMYFUNCTION("""COMPUTED_VALUE"""),45010)</f>
        <v>45010</v>
      </c>
      <c r="E694" s="72"/>
      <c r="F694" s="72">
        <f ca="1">IFERROR(__xludf.DUMMYFUNCTION("""COMPUTED_VALUE"""),3750)</f>
        <v>3750</v>
      </c>
      <c r="G694" s="75"/>
      <c r="H694" s="59" t="str">
        <f ca="1">IFERROR(__xludf.DUMMYFUNCTION("""COMPUTED_VALUE"""),"UPDATE")</f>
        <v>UPDATE</v>
      </c>
      <c r="I694" s="76" t="str">
        <f ca="1">IFERROR(__xludf.DUMMYFUNCTION("""COMPUTED_VALUE"""),"https://drive.google.com/open?id=105DQa5GWXtbJYAws88DMP13bguUis2fl")</f>
        <v>https://drive.google.com/open?id=105DQa5GWXtbJYAws88DMP13bguUis2fl</v>
      </c>
      <c r="J694" s="59"/>
      <c r="K694" s="59"/>
      <c r="L694" s="59"/>
      <c r="M694" s="59"/>
      <c r="N694" s="59"/>
      <c r="O694" s="59"/>
      <c r="P694" s="59"/>
    </row>
    <row r="695" spans="1:16">
      <c r="A695" s="71">
        <f ca="1">IFERROR(__xludf.DUMMYFUNCTION("""COMPUTED_VALUE"""),45010.6431178587)</f>
        <v>45010.643117858701</v>
      </c>
      <c r="B695" s="59" t="str">
        <f ca="1">IFERROR(__xludf.DUMMYFUNCTION("""COMPUTED_VALUE"""),"tank umangi ashokbhai")</f>
        <v>tank umangi ashokbhai</v>
      </c>
      <c r="C695" s="72" t="str">
        <f ca="1">IFERROR(__xludf.DUMMYFUNCTION("""COMPUTED_VALUE"""),"20SDSCE01119")</f>
        <v>20SDSCE01119</v>
      </c>
      <c r="D695" s="73">
        <f ca="1">IFERROR(__xludf.DUMMYFUNCTION("""COMPUTED_VALUE"""),45288)</f>
        <v>45288</v>
      </c>
      <c r="E695" s="72"/>
      <c r="F695" s="72">
        <f ca="1">IFERROR(__xludf.DUMMYFUNCTION("""COMPUTED_VALUE"""),3750)</f>
        <v>3750</v>
      </c>
      <c r="G695" s="75"/>
      <c r="H695" s="59" t="str">
        <f ca="1">IFERROR(__xludf.DUMMYFUNCTION("""COMPUTED_VALUE"""),"UPDATE")</f>
        <v>UPDATE</v>
      </c>
      <c r="I695" s="76" t="str">
        <f ca="1">IFERROR(__xludf.DUMMYFUNCTION("""COMPUTED_VALUE"""),"https://drive.google.com/open?id=1VCLKShmM5skHgZstALskhWhfjUpCRViS")</f>
        <v>https://drive.google.com/open?id=1VCLKShmM5skHgZstALskhWhfjUpCRViS</v>
      </c>
      <c r="J695" s="59"/>
      <c r="K695" s="59"/>
      <c r="L695" s="59"/>
      <c r="M695" s="59"/>
      <c r="N695" s="59"/>
      <c r="O695" s="59"/>
      <c r="P695" s="59"/>
    </row>
    <row r="696" spans="1:16">
      <c r="A696" s="71">
        <f ca="1">IFERROR(__xludf.DUMMYFUNCTION("""COMPUTED_VALUE"""),45010.641740706)</f>
        <v>45010.641740706</v>
      </c>
      <c r="B696" s="59" t="str">
        <f ca="1">IFERROR(__xludf.DUMMYFUNCTION("""COMPUTED_VALUE"""),"tank umangi ashokbhai")</f>
        <v>tank umangi ashokbhai</v>
      </c>
      <c r="C696" s="72" t="str">
        <f ca="1">IFERROR(__xludf.DUMMYFUNCTION("""COMPUTED_VALUE"""),"20SDSCE01119")</f>
        <v>20SDSCE01119</v>
      </c>
      <c r="D696" s="73">
        <f ca="1">IFERROR(__xludf.DUMMYFUNCTION("""COMPUTED_VALUE"""),45288)</f>
        <v>45288</v>
      </c>
      <c r="E696" s="74">
        <f ca="1">IFERROR(__xludf.DUMMYFUNCTION("""COMPUTED_VALUE"""),25000)</f>
        <v>25000</v>
      </c>
      <c r="F696" s="72"/>
      <c r="G696" s="75"/>
      <c r="H696" s="59" t="str">
        <f ca="1">IFERROR(__xludf.DUMMYFUNCTION("""COMPUTED_VALUE"""),"UPDATE")</f>
        <v>UPDATE</v>
      </c>
      <c r="I696" s="76" t="str">
        <f ca="1">IFERROR(__xludf.DUMMYFUNCTION("""COMPUTED_VALUE"""),"https://drive.google.com/open?id=1pHypTBjRP6ZNtPY1iXtMQKgV61wFpYlj")</f>
        <v>https://drive.google.com/open?id=1pHypTBjRP6ZNtPY1iXtMQKgV61wFpYlj</v>
      </c>
      <c r="J696" s="59"/>
      <c r="K696" s="59"/>
      <c r="L696" s="59"/>
      <c r="M696" s="59"/>
      <c r="N696" s="59"/>
      <c r="O696" s="59"/>
      <c r="P696" s="59"/>
    </row>
    <row r="697" spans="1:16">
      <c r="A697" s="71">
        <f ca="1">IFERROR(__xludf.DUMMYFUNCTION("""COMPUTED_VALUE"""),45010.6179434259)</f>
        <v>45010.617943425903</v>
      </c>
      <c r="B697" s="59" t="str">
        <f ca="1">IFERROR(__xludf.DUMMYFUNCTION("""COMPUTED_VALUE"""),"Mili Bathani")</f>
        <v>Mili Bathani</v>
      </c>
      <c r="C697" s="72" t="str">
        <f ca="1">IFERROR(__xludf.DUMMYFUNCTION("""COMPUTED_VALUE"""),"20SDSCE01008")</f>
        <v>20SDSCE01008</v>
      </c>
      <c r="D697" s="73">
        <f ca="1">IFERROR(__xludf.DUMMYFUNCTION("""COMPUTED_VALUE"""),44946)</f>
        <v>44946</v>
      </c>
      <c r="E697" s="74">
        <f ca="1">IFERROR(__xludf.DUMMYFUNCTION("""COMPUTED_VALUE"""),25000)</f>
        <v>25000</v>
      </c>
      <c r="F697" s="72">
        <f ca="1">IFERROR(__xludf.DUMMYFUNCTION("""COMPUTED_VALUE"""),3700)</f>
        <v>3700</v>
      </c>
      <c r="G697" s="75"/>
      <c r="H697" s="59" t="str">
        <f ca="1">IFERROR(__xludf.DUMMYFUNCTION("""COMPUTED_VALUE"""),"UPDATE")</f>
        <v>UPDATE</v>
      </c>
      <c r="I697" s="76" t="str">
        <f ca="1">IFERROR(__xludf.DUMMYFUNCTION("""COMPUTED_VALUE"""),"https://drive.google.com/open?id=1miDQEn_V4REfcCefkUBn-Sot1ZNPUvri")</f>
        <v>https://drive.google.com/open?id=1miDQEn_V4REfcCefkUBn-Sot1ZNPUvri</v>
      </c>
      <c r="J697" s="59"/>
      <c r="K697" s="59"/>
      <c r="L697" s="59"/>
      <c r="M697" s="59"/>
      <c r="N697" s="59"/>
      <c r="O697" s="59"/>
      <c r="P697" s="59"/>
    </row>
    <row r="698" spans="1:16">
      <c r="A698" s="71">
        <f ca="1">IFERROR(__xludf.DUMMYFUNCTION("""COMPUTED_VALUE"""),45010.6175231597)</f>
        <v>45010.617523159701</v>
      </c>
      <c r="B698" s="59" t="str">
        <f ca="1">IFERROR(__xludf.DUMMYFUNCTION("""COMPUTED_VALUE"""),"Patoliya Shruti Shyambhai ")</f>
        <v xml:space="preserve">Patoliya Shruti Shyambhai </v>
      </c>
      <c r="C698" s="72" t="str">
        <f ca="1">IFERROR(__xludf.DUMMYFUNCTION("""COMPUTED_VALUE"""),"20SDSCE01089")</f>
        <v>20SDSCE01089</v>
      </c>
      <c r="D698" s="73">
        <f ca="1">IFERROR(__xludf.DUMMYFUNCTION("""COMPUTED_VALUE"""),44965)</f>
        <v>44965</v>
      </c>
      <c r="E698" s="74">
        <f ca="1">IFERROR(__xludf.DUMMYFUNCTION("""COMPUTED_VALUE"""),25000)</f>
        <v>25000</v>
      </c>
      <c r="F698" s="72"/>
      <c r="G698" s="75"/>
      <c r="H698" s="59" t="str">
        <f ca="1">IFERROR(__xludf.DUMMYFUNCTION("""COMPUTED_VALUE"""),"UPDATE")</f>
        <v>UPDATE</v>
      </c>
      <c r="I698" s="76" t="str">
        <f ca="1">IFERROR(__xludf.DUMMYFUNCTION("""COMPUTED_VALUE"""),"https://drive.google.com/open?id=1gQwuxU69U2qOeUhx9OsCVKUi0WYwfEay")</f>
        <v>https://drive.google.com/open?id=1gQwuxU69U2qOeUhx9OsCVKUi0WYwfEay</v>
      </c>
      <c r="J698" s="59"/>
      <c r="K698" s="59"/>
      <c r="L698" s="59"/>
      <c r="M698" s="59"/>
      <c r="N698" s="59"/>
      <c r="O698" s="59"/>
      <c r="P698" s="59"/>
    </row>
    <row r="699" spans="1:16">
      <c r="A699" s="71">
        <f ca="1">IFERROR(__xludf.DUMMYFUNCTION("""COMPUTED_VALUE"""),45010.5962292824)</f>
        <v>45010.596229282397</v>
      </c>
      <c r="B699" s="59" t="str">
        <f ca="1">IFERROR(__xludf.DUMMYFUNCTION("""COMPUTED_VALUE"""),"Kotadiya lalji Rameshbhai ")</f>
        <v xml:space="preserve">Kotadiya lalji Rameshbhai </v>
      </c>
      <c r="C699" s="72" t="str">
        <f ca="1">IFERROR(__xludf.DUMMYFUNCTION("""COMPUTED_VALUE"""),"20sdsme01020 ")</f>
        <v xml:space="preserve">20sdsme01020 </v>
      </c>
      <c r="D699" s="73">
        <f ca="1">IFERROR(__xludf.DUMMYFUNCTION("""COMPUTED_VALUE"""),45006)</f>
        <v>45006</v>
      </c>
      <c r="E699" s="74">
        <f ca="1">IFERROR(__xludf.DUMMYFUNCTION("""COMPUTED_VALUE"""),25000)</f>
        <v>25000</v>
      </c>
      <c r="F699" s="72">
        <f ca="1">IFERROR(__xludf.DUMMYFUNCTION("""COMPUTED_VALUE"""),3700)</f>
        <v>3700</v>
      </c>
      <c r="G699" s="75"/>
      <c r="H699" s="59" t="str">
        <f ca="1">IFERROR(__xludf.DUMMYFUNCTION("""COMPUTED_VALUE"""),"UPDATE")</f>
        <v>UPDATE</v>
      </c>
      <c r="I699" s="76" t="str">
        <f ca="1">IFERROR(__xludf.DUMMYFUNCTION("""COMPUTED_VALUE"""),"https://drive.google.com/open?id=13BGDE0Ud_09WlEFSr6se6o4L2hH15YaP")</f>
        <v>https://drive.google.com/open?id=13BGDE0Ud_09WlEFSr6se6o4L2hH15YaP</v>
      </c>
      <c r="J699" s="59"/>
      <c r="K699" s="59"/>
      <c r="L699" s="59"/>
      <c r="M699" s="59"/>
      <c r="N699" s="59"/>
      <c r="O699" s="59"/>
      <c r="P699" s="59"/>
    </row>
    <row r="700" spans="1:16">
      <c r="A700" s="71">
        <f ca="1">IFERROR(__xludf.DUMMYFUNCTION("""COMPUTED_VALUE"""),45010.5947246064)</f>
        <v>45010.594724606402</v>
      </c>
      <c r="B700" s="59" t="str">
        <f ca="1">IFERROR(__xludf.DUMMYFUNCTION("""COMPUTED_VALUE"""),"Kotadiya lalji Rameshbhai ")</f>
        <v xml:space="preserve">Kotadiya lalji Rameshbhai </v>
      </c>
      <c r="C700" s="72" t="str">
        <f ca="1">IFERROR(__xludf.DUMMYFUNCTION("""COMPUTED_VALUE"""),"20sdsme01020 ")</f>
        <v xml:space="preserve">20sdsme01020 </v>
      </c>
      <c r="D700" s="73">
        <f ca="1">IFERROR(__xludf.DUMMYFUNCTION("""COMPUTED_VALUE"""),44909)</f>
        <v>44909</v>
      </c>
      <c r="E700" s="74">
        <f ca="1">IFERROR(__xludf.DUMMYFUNCTION("""COMPUTED_VALUE"""),25000)</f>
        <v>25000</v>
      </c>
      <c r="F700" s="72">
        <f ca="1">IFERROR(__xludf.DUMMYFUNCTION("""COMPUTED_VALUE"""),3700)</f>
        <v>3700</v>
      </c>
      <c r="G700" s="75"/>
      <c r="H700" s="59" t="str">
        <f ca="1">IFERROR(__xludf.DUMMYFUNCTION("""COMPUTED_VALUE"""),"UPDATE")</f>
        <v>UPDATE</v>
      </c>
      <c r="I700" s="76" t="str">
        <f ca="1">IFERROR(__xludf.DUMMYFUNCTION("""COMPUTED_VALUE"""),"https://drive.google.com/open?id=1l-NbhnrEViWo6CqcvR-onbBbLMaZRKXy")</f>
        <v>https://drive.google.com/open?id=1l-NbhnrEViWo6CqcvR-onbBbLMaZRKXy</v>
      </c>
      <c r="J700" s="59"/>
      <c r="K700" s="59"/>
      <c r="L700" s="59"/>
      <c r="M700" s="59"/>
      <c r="N700" s="59"/>
      <c r="O700" s="59"/>
      <c r="P700" s="59"/>
    </row>
    <row r="701" spans="1:16">
      <c r="A701" s="71">
        <f ca="1">IFERROR(__xludf.DUMMYFUNCTION("""COMPUTED_VALUE"""),45010.5907947569)</f>
        <v>45010.590794756899</v>
      </c>
      <c r="B701" s="59" t="str">
        <f ca="1">IFERROR(__xludf.DUMMYFUNCTION("""COMPUTED_VALUE"""),"Shyam Gajera ")</f>
        <v xml:space="preserve">Shyam Gajera </v>
      </c>
      <c r="C701" s="72" t="str">
        <f ca="1">IFERROR(__xludf.DUMMYFUNCTION("""COMPUTED_VALUE"""),"20SDSME01014")</f>
        <v>20SDSME01014</v>
      </c>
      <c r="D701" s="73">
        <f ca="1">IFERROR(__xludf.DUMMYFUNCTION("""COMPUTED_VALUE"""),44907)</f>
        <v>44907</v>
      </c>
      <c r="E701" s="74">
        <f ca="1">IFERROR(__xludf.DUMMYFUNCTION("""COMPUTED_VALUE"""),25000)</f>
        <v>25000</v>
      </c>
      <c r="F701" s="72">
        <f ca="1">IFERROR(__xludf.DUMMYFUNCTION("""COMPUTED_VALUE"""),3750)</f>
        <v>3750</v>
      </c>
      <c r="G701" s="75"/>
      <c r="H701" s="59" t="str">
        <f ca="1">IFERROR(__xludf.DUMMYFUNCTION("""COMPUTED_VALUE"""),"UPDATE")</f>
        <v>UPDATE</v>
      </c>
      <c r="I701" s="76" t="str">
        <f ca="1">IFERROR(__xludf.DUMMYFUNCTION("""COMPUTED_VALUE"""),"https://drive.google.com/open?id=1Q-6Yyebg36nVeiZ3u3ZmUIO-vgELLsYl")</f>
        <v>https://drive.google.com/open?id=1Q-6Yyebg36nVeiZ3u3ZmUIO-vgELLsYl</v>
      </c>
      <c r="J701" s="59"/>
      <c r="K701" s="59"/>
      <c r="L701" s="59"/>
      <c r="M701" s="59"/>
      <c r="N701" s="59"/>
      <c r="O701" s="59"/>
      <c r="P701" s="59"/>
    </row>
    <row r="702" spans="1:16">
      <c r="A702" s="71">
        <f ca="1">IFERROR(__xludf.DUMMYFUNCTION("""COMPUTED_VALUE"""),45010.4809470833)</f>
        <v>45010.480947083299</v>
      </c>
      <c r="B702" s="59" t="str">
        <f ca="1">IFERROR(__xludf.DUMMYFUNCTION("""COMPUTED_VALUE"""),"Samarth Dadhaniya")</f>
        <v>Samarth Dadhaniya</v>
      </c>
      <c r="C702" s="72" t="str">
        <f ca="1">IFERROR(__xludf.DUMMYFUNCTION("""COMPUTED_VALUE"""),"20SDSCE01023")</f>
        <v>20SDSCE01023</v>
      </c>
      <c r="D702" s="73">
        <f ca="1">IFERROR(__xludf.DUMMYFUNCTION("""COMPUTED_VALUE"""),45010)</f>
        <v>45010</v>
      </c>
      <c r="E702" s="74">
        <f ca="1">IFERROR(__xludf.DUMMYFUNCTION("""COMPUTED_VALUE"""),25000)</f>
        <v>25000</v>
      </c>
      <c r="F702" s="72">
        <f ca="1">IFERROR(__xludf.DUMMYFUNCTION("""COMPUTED_VALUE"""),0)</f>
        <v>0</v>
      </c>
      <c r="G702" s="75"/>
      <c r="H702" s="59" t="str">
        <f ca="1">IFERROR(__xludf.DUMMYFUNCTION("""COMPUTED_VALUE"""),"UPDATE")</f>
        <v>UPDATE</v>
      </c>
      <c r="I702" s="76" t="str">
        <f ca="1">IFERROR(__xludf.DUMMYFUNCTION("""COMPUTED_VALUE"""),"https://drive.google.com/open?id=16aI9v7-yyWKQjQd1WbK-rL7yA0Dxuqek")</f>
        <v>https://drive.google.com/open?id=16aI9v7-yyWKQjQd1WbK-rL7yA0Dxuqek</v>
      </c>
      <c r="J702" s="59"/>
      <c r="K702" s="59"/>
      <c r="L702" s="59"/>
      <c r="M702" s="59"/>
      <c r="N702" s="59"/>
      <c r="O702" s="59"/>
      <c r="P702" s="59"/>
    </row>
    <row r="703" spans="1:16">
      <c r="A703" s="71">
        <f ca="1">IFERROR(__xludf.DUMMYFUNCTION("""COMPUTED_VALUE"""),45009.4200223379)</f>
        <v>45009.420022337901</v>
      </c>
      <c r="B703" s="59" t="str">
        <f ca="1">IFERROR(__xludf.DUMMYFUNCTION("""COMPUTED_VALUE"""),"Ramani Raj ")</f>
        <v xml:space="preserve">Ramani Raj </v>
      </c>
      <c r="C703" s="72" t="str">
        <f ca="1">IFERROR(__xludf.DUMMYFUNCTION("""COMPUTED_VALUE"""),"20SDSCE01093 ")</f>
        <v xml:space="preserve">20SDSCE01093 </v>
      </c>
      <c r="D703" s="73">
        <f ca="1">IFERROR(__xludf.DUMMYFUNCTION("""COMPUTED_VALUE"""),45009)</f>
        <v>45009</v>
      </c>
      <c r="E703" s="74">
        <f ca="1">IFERROR(__xludf.DUMMYFUNCTION("""COMPUTED_VALUE"""),25000)</f>
        <v>25000</v>
      </c>
      <c r="F703" s="72"/>
      <c r="G703" s="75"/>
      <c r="H703" s="59" t="str">
        <f ca="1">IFERROR(__xludf.DUMMYFUNCTION("""COMPUTED_VALUE"""),"UPDATE")</f>
        <v>UPDATE</v>
      </c>
      <c r="I703" s="76" t="str">
        <f ca="1">IFERROR(__xludf.DUMMYFUNCTION("""COMPUTED_VALUE"""),"https://drive.google.com/open?id=1fV5w3qSD7_GiRkgJqvl841sjlVMk1FuZ")</f>
        <v>https://drive.google.com/open?id=1fV5w3qSD7_GiRkgJqvl841sjlVMk1FuZ</v>
      </c>
      <c r="J703" s="59"/>
      <c r="K703" s="59"/>
      <c r="L703" s="59"/>
      <c r="M703" s="59"/>
      <c r="N703" s="59"/>
      <c r="O703" s="59"/>
      <c r="P703" s="59"/>
    </row>
    <row r="704" spans="1:16">
      <c r="A704" s="71">
        <f ca="1">IFERROR(__xludf.DUMMYFUNCTION("""COMPUTED_VALUE"""),45008.7320464699)</f>
        <v>45008.732046469901</v>
      </c>
      <c r="B704" s="59" t="str">
        <f ca="1">IFERROR(__xludf.DUMMYFUNCTION("""COMPUTED_VALUE"""),"Adroja akshit damjibhai ")</f>
        <v xml:space="preserve">Adroja akshit damjibhai </v>
      </c>
      <c r="C704" s="72" t="str">
        <f ca="1">IFERROR(__xludf.DUMMYFUNCTION("""COMPUTED_VALUE"""),"20sdsce01002")</f>
        <v>20sdsce01002</v>
      </c>
      <c r="D704" s="73">
        <f ca="1">IFERROR(__xludf.DUMMYFUNCTION("""COMPUTED_VALUE"""),44910)</f>
        <v>44910</v>
      </c>
      <c r="E704" s="74">
        <f ca="1">IFERROR(__xludf.DUMMYFUNCTION("""COMPUTED_VALUE"""),25000)</f>
        <v>25000</v>
      </c>
      <c r="F704" s="72"/>
      <c r="G704" s="75"/>
      <c r="H704" s="59" t="str">
        <f ca="1">IFERROR(__xludf.DUMMYFUNCTION("""COMPUTED_VALUE"""),"UPDATE")</f>
        <v>UPDATE</v>
      </c>
      <c r="I704" s="76" t="str">
        <f ca="1">IFERROR(__xludf.DUMMYFUNCTION("""COMPUTED_VALUE"""),"https://drive.google.com/open?id=19HyM8fYdAp-bl2ttdptouK9kEP-yL060")</f>
        <v>https://drive.google.com/open?id=19HyM8fYdAp-bl2ttdptouK9kEP-yL060</v>
      </c>
      <c r="J704" s="59"/>
      <c r="K704" s="59"/>
      <c r="L704" s="59"/>
      <c r="M704" s="59"/>
      <c r="N704" s="59"/>
      <c r="O704" s="59"/>
      <c r="P704" s="59"/>
    </row>
    <row r="705" spans="1:16">
      <c r="A705" s="71">
        <f ca="1">IFERROR(__xludf.DUMMYFUNCTION("""COMPUTED_VALUE"""),45008.7303399074)</f>
        <v>45008.730339907401</v>
      </c>
      <c r="B705" s="59" t="str">
        <f ca="1">IFERROR(__xludf.DUMMYFUNCTION("""COMPUTED_VALUE"""),"Adroja akshit damjibhai ")</f>
        <v xml:space="preserve">Adroja akshit damjibhai </v>
      </c>
      <c r="C705" s="72" t="str">
        <f ca="1">IFERROR(__xludf.DUMMYFUNCTION("""COMPUTED_VALUE"""),"20SDSCE01002")</f>
        <v>20SDSCE01002</v>
      </c>
      <c r="D705" s="73">
        <f ca="1">IFERROR(__xludf.DUMMYFUNCTION("""COMPUTED_VALUE"""),44910)</f>
        <v>44910</v>
      </c>
      <c r="E705" s="74">
        <f ca="1">IFERROR(__xludf.DUMMYFUNCTION("""COMPUTED_VALUE"""),25000)</f>
        <v>25000</v>
      </c>
      <c r="F705" s="72"/>
      <c r="G705" s="75"/>
      <c r="H705" s="59" t="str">
        <f ca="1">IFERROR(__xludf.DUMMYFUNCTION("""COMPUTED_VALUE"""),"UPDATE")</f>
        <v>UPDATE</v>
      </c>
      <c r="I705" s="76" t="str">
        <f ca="1">IFERROR(__xludf.DUMMYFUNCTION("""COMPUTED_VALUE"""),"https://drive.google.com/open?id=1eydjaSfMkZuAdfkAJyjkelqvNfOD8e2A")</f>
        <v>https://drive.google.com/open?id=1eydjaSfMkZuAdfkAJyjkelqvNfOD8e2A</v>
      </c>
      <c r="J705" s="59"/>
      <c r="K705" s="59"/>
      <c r="L705" s="59"/>
      <c r="M705" s="59"/>
      <c r="N705" s="59"/>
      <c r="O705" s="59"/>
      <c r="P705" s="59"/>
    </row>
    <row r="706" spans="1:16">
      <c r="A706" s="71">
        <f ca="1">IFERROR(__xludf.DUMMYFUNCTION("""COMPUTED_VALUE"""),45008.5680209722)</f>
        <v>45008.568020972198</v>
      </c>
      <c r="B706" s="59" t="str">
        <f ca="1">IFERROR(__xludf.DUMMYFUNCTION("""COMPUTED_VALUE"""),"Adity makwana ")</f>
        <v xml:space="preserve">Adity makwana </v>
      </c>
      <c r="C706" s="72" t="str">
        <f ca="1">IFERROR(__xludf.DUMMYFUNCTION("""COMPUTED_VALUE"""),"20sdsce01061")</f>
        <v>20sdsce01061</v>
      </c>
      <c r="D706" s="73">
        <f ca="1">IFERROR(__xludf.DUMMYFUNCTION("""COMPUTED_VALUE"""),44901)</f>
        <v>44901</v>
      </c>
      <c r="E706" s="74">
        <f ca="1">IFERROR(__xludf.DUMMYFUNCTION("""COMPUTED_VALUE"""),22000)</f>
        <v>22000</v>
      </c>
      <c r="F706" s="72">
        <f ca="1">IFERROR(__xludf.DUMMYFUNCTION("""COMPUTED_VALUE"""),3750)</f>
        <v>3750</v>
      </c>
      <c r="G706" s="75"/>
      <c r="H706" s="59" t="str">
        <f ca="1">IFERROR(__xludf.DUMMYFUNCTION("""COMPUTED_VALUE"""),"UPDATE")</f>
        <v>UPDATE</v>
      </c>
      <c r="I706" s="76" t="str">
        <f ca="1">IFERROR(__xludf.DUMMYFUNCTION("""COMPUTED_VALUE"""),"https://drive.google.com/open?id=1Clu0HplK-H8LRqUxqKGaXix7pmhwmfaB")</f>
        <v>https://drive.google.com/open?id=1Clu0HplK-H8LRqUxqKGaXix7pmhwmfaB</v>
      </c>
      <c r="J706" s="59"/>
      <c r="K706" s="59"/>
      <c r="L706" s="59"/>
      <c r="M706" s="59"/>
      <c r="N706" s="59"/>
      <c r="O706" s="59"/>
      <c r="P706" s="59"/>
    </row>
    <row r="707" spans="1:16">
      <c r="A707" s="71">
        <f ca="1">IFERROR(__xludf.DUMMYFUNCTION("""COMPUTED_VALUE"""),45008.5670767129)</f>
        <v>45008.567076712898</v>
      </c>
      <c r="B707" s="59" t="str">
        <f ca="1">IFERROR(__xludf.DUMMYFUNCTION("""COMPUTED_VALUE"""),"Adity makwana ")</f>
        <v xml:space="preserve">Adity makwana </v>
      </c>
      <c r="C707" s="72" t="str">
        <f ca="1">IFERROR(__xludf.DUMMYFUNCTION("""COMPUTED_VALUE"""),"20sdsce01061")</f>
        <v>20sdsce01061</v>
      </c>
      <c r="D707" s="73">
        <f ca="1">IFERROR(__xludf.DUMMYFUNCTION("""COMPUTED_VALUE"""),44901)</f>
        <v>44901</v>
      </c>
      <c r="E707" s="74">
        <f ca="1">IFERROR(__xludf.DUMMYFUNCTION("""COMPUTED_VALUE"""),22000)</f>
        <v>22000</v>
      </c>
      <c r="F707" s="72">
        <f ca="1">IFERROR(__xludf.DUMMYFUNCTION("""COMPUTED_VALUE"""),3750)</f>
        <v>3750</v>
      </c>
      <c r="G707" s="75"/>
      <c r="H707" s="59" t="str">
        <f ca="1">IFERROR(__xludf.DUMMYFUNCTION("""COMPUTED_VALUE"""),"UPDATE")</f>
        <v>UPDATE</v>
      </c>
      <c r="I707" s="76" t="str">
        <f ca="1">IFERROR(__xludf.DUMMYFUNCTION("""COMPUTED_VALUE"""),"https://drive.google.com/open?id=1-Bsik6_B67XB6KbHoa2JsgNV_rI6gw3G")</f>
        <v>https://drive.google.com/open?id=1-Bsik6_B67XB6KbHoa2JsgNV_rI6gw3G</v>
      </c>
      <c r="J707" s="59"/>
      <c r="K707" s="59"/>
      <c r="L707" s="59"/>
      <c r="M707" s="59"/>
      <c r="N707" s="59"/>
      <c r="O707" s="59"/>
      <c r="P707" s="59"/>
    </row>
    <row r="708" spans="1:16">
      <c r="A708" s="71">
        <f ca="1">IFERROR(__xludf.DUMMYFUNCTION("""COMPUTED_VALUE"""),45008.5580323495)</f>
        <v>45008.558032349501</v>
      </c>
      <c r="B708" s="59" t="str">
        <f ca="1">IFERROR(__xludf.DUMMYFUNCTION("""COMPUTED_VALUE"""),"Heet kanabar")</f>
        <v>Heet kanabar</v>
      </c>
      <c r="C708" s="72" t="str">
        <f ca="1">IFERROR(__xludf.DUMMYFUNCTION("""COMPUTED_VALUE"""),"20SDSCE01049")</f>
        <v>20SDSCE01049</v>
      </c>
      <c r="D708" s="73">
        <f ca="1">IFERROR(__xludf.DUMMYFUNCTION("""COMPUTED_VALUE"""),44910)</f>
        <v>44910</v>
      </c>
      <c r="E708" s="72"/>
      <c r="F708" s="72">
        <f ca="1">IFERROR(__xludf.DUMMYFUNCTION("""COMPUTED_VALUE"""),3750)</f>
        <v>3750</v>
      </c>
      <c r="G708" s="75"/>
      <c r="H708" s="59" t="str">
        <f ca="1">IFERROR(__xludf.DUMMYFUNCTION("""COMPUTED_VALUE"""),"UPDATE")</f>
        <v>UPDATE</v>
      </c>
      <c r="I708" s="76" t="str">
        <f ca="1">IFERROR(__xludf.DUMMYFUNCTION("""COMPUTED_VALUE"""),"https://drive.google.com/open?id=1azzRAgiYSrK_oCOlLS6j5EoRIM7QCcEQ")</f>
        <v>https://drive.google.com/open?id=1azzRAgiYSrK_oCOlLS6j5EoRIM7QCcEQ</v>
      </c>
      <c r="J708" s="59"/>
      <c r="K708" s="59"/>
      <c r="L708" s="59"/>
      <c r="M708" s="59"/>
      <c r="N708" s="59"/>
      <c r="O708" s="59"/>
      <c r="P708" s="59"/>
    </row>
    <row r="709" spans="1:16">
      <c r="A709" s="71">
        <f ca="1">IFERROR(__xludf.DUMMYFUNCTION("""COMPUTED_VALUE"""),45008.3764693518)</f>
        <v>45008.376469351802</v>
      </c>
      <c r="B709" s="59" t="str">
        <f ca="1">IFERROR(__xludf.DUMMYFUNCTION("""COMPUTED_VALUE"""),"Pansuriya Jay Jigneshbhai ")</f>
        <v xml:space="preserve">Pansuriya Jay Jigneshbhai </v>
      </c>
      <c r="C709" s="72" t="str">
        <f ca="1">IFERROR(__xludf.DUMMYFUNCTION("""COMPUTED_VALUE"""),"20SDSCE01076")</f>
        <v>20SDSCE01076</v>
      </c>
      <c r="D709" s="73">
        <f ca="1">IFERROR(__xludf.DUMMYFUNCTION("""COMPUTED_VALUE"""),45006)</f>
        <v>45006</v>
      </c>
      <c r="E709" s="74">
        <f ca="1">IFERROR(__xludf.DUMMYFUNCTION("""COMPUTED_VALUE"""),25000)</f>
        <v>25000</v>
      </c>
      <c r="F709" s="72"/>
      <c r="G709" s="75"/>
      <c r="H709" s="59" t="str">
        <f ca="1">IFERROR(__xludf.DUMMYFUNCTION("""COMPUTED_VALUE"""),"UPDATE")</f>
        <v>UPDATE</v>
      </c>
      <c r="I709" s="76" t="str">
        <f ca="1">IFERROR(__xludf.DUMMYFUNCTION("""COMPUTED_VALUE"""),"https://drive.google.com/open?id=1imX05LTMvxxXaHl5hfWQufINFkgZYGce")</f>
        <v>https://drive.google.com/open?id=1imX05LTMvxxXaHl5hfWQufINFkgZYGce</v>
      </c>
      <c r="J709" s="59"/>
      <c r="K709" s="59"/>
      <c r="L709" s="59"/>
      <c r="M709" s="59"/>
      <c r="N709" s="59"/>
      <c r="O709" s="59"/>
      <c r="P709" s="59"/>
    </row>
    <row r="710" spans="1:16">
      <c r="A710" s="71">
        <f ca="1">IFERROR(__xludf.DUMMYFUNCTION("""COMPUTED_VALUE"""),45005.5816864814)</f>
        <v>45005.581686481397</v>
      </c>
      <c r="B710" s="59" t="str">
        <f ca="1">IFERROR(__xludf.DUMMYFUNCTION("""COMPUTED_VALUE"""),"Heet kanabar")</f>
        <v>Heet kanabar</v>
      </c>
      <c r="C710" s="72" t="str">
        <f ca="1">IFERROR(__xludf.DUMMYFUNCTION("""COMPUTED_VALUE"""),"20SDSCE01049")</f>
        <v>20SDSCE01049</v>
      </c>
      <c r="D710" s="73">
        <f ca="1">IFERROR(__xludf.DUMMYFUNCTION("""COMPUTED_VALUE"""),45005)</f>
        <v>45005</v>
      </c>
      <c r="E710" s="74">
        <f ca="1">IFERROR(__xludf.DUMMYFUNCTION("""COMPUTED_VALUE"""),25200)</f>
        <v>25200</v>
      </c>
      <c r="F710" s="72"/>
      <c r="G710" s="75"/>
      <c r="H710" s="59" t="str">
        <f ca="1">IFERROR(__xludf.DUMMYFUNCTION("""COMPUTED_VALUE"""),"UPDATE")</f>
        <v>UPDATE</v>
      </c>
      <c r="I710" s="76" t="str">
        <f ca="1">IFERROR(__xludf.DUMMYFUNCTION("""COMPUTED_VALUE"""),"https://drive.google.com/open?id=1kPpDIebysxQdUpHzI5Stj0r-TVsW_fE8")</f>
        <v>https://drive.google.com/open?id=1kPpDIebysxQdUpHzI5Stj0r-TVsW_fE8</v>
      </c>
      <c r="J710" s="59"/>
      <c r="K710" s="59"/>
      <c r="L710" s="59"/>
      <c r="M710" s="59"/>
      <c r="N710" s="59"/>
      <c r="O710" s="59"/>
      <c r="P710" s="59"/>
    </row>
    <row r="711" spans="1:16">
      <c r="A711" s="71">
        <f ca="1">IFERROR(__xludf.DUMMYFUNCTION("""COMPUTED_VALUE"""),45005.5327423032)</f>
        <v>45005.532742303199</v>
      </c>
      <c r="B711" s="59" t="str">
        <f ca="1">IFERROR(__xludf.DUMMYFUNCTION("""COMPUTED_VALUE"""),"Kotadiya lalji Rameshbhai ")</f>
        <v xml:space="preserve">Kotadiya lalji Rameshbhai </v>
      </c>
      <c r="C711" s="72" t="str">
        <f ca="1">IFERROR(__xludf.DUMMYFUNCTION("""COMPUTED_VALUE"""),"20sdsme01020 ")</f>
        <v xml:space="preserve">20sdsme01020 </v>
      </c>
      <c r="D711" s="73">
        <f ca="1">IFERROR(__xludf.DUMMYFUNCTION("""COMPUTED_VALUE"""),45005)</f>
        <v>45005</v>
      </c>
      <c r="E711" s="74">
        <f ca="1">IFERROR(__xludf.DUMMYFUNCTION("""COMPUTED_VALUE"""),25000)</f>
        <v>25000</v>
      </c>
      <c r="F711" s="72">
        <f ca="1">IFERROR(__xludf.DUMMYFUNCTION("""COMPUTED_VALUE"""),3700)</f>
        <v>3700</v>
      </c>
      <c r="G711" s="75"/>
      <c r="H711" s="59" t="str">
        <f ca="1">IFERROR(__xludf.DUMMYFUNCTION("""COMPUTED_VALUE"""),"UPDATE")</f>
        <v>UPDATE</v>
      </c>
      <c r="I711" s="76" t="str">
        <f ca="1">IFERROR(__xludf.DUMMYFUNCTION("""COMPUTED_VALUE"""),"https://drive.google.com/open?id=17NjTmpzndqWfkpaE0dfpxxh__FC5SSwG")</f>
        <v>https://drive.google.com/open?id=17NjTmpzndqWfkpaE0dfpxxh__FC5SSwG</v>
      </c>
      <c r="J711" s="59"/>
      <c r="K711" s="59"/>
      <c r="L711" s="59"/>
      <c r="M711" s="59"/>
      <c r="N711" s="59"/>
      <c r="O711" s="59"/>
      <c r="P711" s="59"/>
    </row>
    <row r="712" spans="1:16">
      <c r="A712" s="71">
        <f ca="1">IFERROR(__xludf.DUMMYFUNCTION("""COMPUTED_VALUE"""),45005.514390243)</f>
        <v>45005.514390242999</v>
      </c>
      <c r="B712" s="59" t="str">
        <f ca="1">IFERROR(__xludf.DUMMYFUNCTION("""COMPUTED_VALUE"""),"Priyank Arvindbhai Harkhani")</f>
        <v>Priyank Arvindbhai Harkhani</v>
      </c>
      <c r="C712" s="72" t="str">
        <f ca="1">IFERROR(__xludf.DUMMYFUNCTION("""COMPUTED_VALUE"""),"20SDSME01016")</f>
        <v>20SDSME01016</v>
      </c>
      <c r="D712" s="73">
        <f ca="1">IFERROR(__xludf.DUMMYFUNCTION("""COMPUTED_VALUE"""),44903)</f>
        <v>44903</v>
      </c>
      <c r="E712" s="72"/>
      <c r="F712" s="72">
        <f ca="1">IFERROR(__xludf.DUMMYFUNCTION("""COMPUTED_VALUE"""),3750)</f>
        <v>3750</v>
      </c>
      <c r="G712" s="75"/>
      <c r="H712" s="59" t="str">
        <f ca="1">IFERROR(__xludf.DUMMYFUNCTION("""COMPUTED_VALUE"""),"UPDATE")</f>
        <v>UPDATE</v>
      </c>
      <c r="I712" s="76" t="str">
        <f ca="1">IFERROR(__xludf.DUMMYFUNCTION("""COMPUTED_VALUE"""),"https://drive.google.com/open?id=1mCpGFeZUN_EIHeW7ph0q3IdbK8Y0EU4Z")</f>
        <v>https://drive.google.com/open?id=1mCpGFeZUN_EIHeW7ph0q3IdbK8Y0EU4Z</v>
      </c>
      <c r="J712" s="59"/>
      <c r="K712" s="59"/>
      <c r="L712" s="59"/>
      <c r="M712" s="59"/>
      <c r="N712" s="59"/>
      <c r="O712" s="59"/>
      <c r="P712" s="59"/>
    </row>
    <row r="713" spans="1:16">
      <c r="A713" s="71">
        <f ca="1">IFERROR(__xludf.DUMMYFUNCTION("""COMPUTED_VALUE"""),45005.3817417708)</f>
        <v>45005.381741770798</v>
      </c>
      <c r="B713" s="59" t="str">
        <f ca="1">IFERROR(__xludf.DUMMYFUNCTION("""COMPUTED_VALUE"""),"AMAN ARVINDBHAI KHUNT ")</f>
        <v xml:space="preserve">AMAN ARVINDBHAI KHUNT </v>
      </c>
      <c r="C713" s="72" t="str">
        <f ca="1">IFERROR(__xludf.DUMMYFUNCTION("""COMPUTED_VALUE"""),"20SDSCE01055")</f>
        <v>20SDSCE01055</v>
      </c>
      <c r="D713" s="73">
        <f ca="1">IFERROR(__xludf.DUMMYFUNCTION("""COMPUTED_VALUE"""),45005)</f>
        <v>45005</v>
      </c>
      <c r="E713" s="74">
        <f ca="1">IFERROR(__xludf.DUMMYFUNCTION("""COMPUTED_VALUE"""),0)</f>
        <v>0</v>
      </c>
      <c r="F713" s="72">
        <f ca="1">IFERROR(__xludf.DUMMYFUNCTION("""COMPUTED_VALUE"""),3750)</f>
        <v>3750</v>
      </c>
      <c r="G713" s="75"/>
      <c r="H713" s="59" t="str">
        <f ca="1">IFERROR(__xludf.DUMMYFUNCTION("""COMPUTED_VALUE"""),"UPDATE")</f>
        <v>UPDATE</v>
      </c>
      <c r="I713" s="76" t="str">
        <f ca="1">IFERROR(__xludf.DUMMYFUNCTION("""COMPUTED_VALUE"""),"https://drive.google.com/open?id=1W_wqTINyy0Ml6sKP7ojsUMNH0-Xo6wL0")</f>
        <v>https://drive.google.com/open?id=1W_wqTINyy0Ml6sKP7ojsUMNH0-Xo6wL0</v>
      </c>
      <c r="J713" s="59"/>
      <c r="K713" s="59"/>
      <c r="L713" s="59"/>
      <c r="M713" s="59"/>
      <c r="N713" s="59"/>
      <c r="O713" s="59"/>
      <c r="P713" s="59"/>
    </row>
    <row r="714" spans="1:16">
      <c r="A714" s="71">
        <f ca="1">IFERROR(__xludf.DUMMYFUNCTION("""COMPUTED_VALUE"""),45005.3635432175)</f>
        <v>45005.3635432175</v>
      </c>
      <c r="B714" s="59" t="str">
        <f ca="1">IFERROR(__xludf.DUMMYFUNCTION("""COMPUTED_VALUE"""),"Mayur dabhi")</f>
        <v>Mayur dabhi</v>
      </c>
      <c r="C714" s="72" t="str">
        <f ca="1">IFERROR(__xludf.DUMMYFUNCTION("""COMPUTED_VALUE"""),"20sdsme01007")</f>
        <v>20sdsme01007</v>
      </c>
      <c r="D714" s="73">
        <f ca="1">IFERROR(__xludf.DUMMYFUNCTION("""COMPUTED_VALUE"""),44907)</f>
        <v>44907</v>
      </c>
      <c r="E714" s="72"/>
      <c r="F714" s="72">
        <f ca="1">IFERROR(__xludf.DUMMYFUNCTION("""COMPUTED_VALUE"""),25000)</f>
        <v>25000</v>
      </c>
      <c r="G714" s="75"/>
      <c r="H714" s="59" t="str">
        <f ca="1">IFERROR(__xludf.DUMMYFUNCTION("""COMPUTED_VALUE"""),"UPDATE")</f>
        <v>UPDATE</v>
      </c>
      <c r="I714" s="76" t="str">
        <f ca="1">IFERROR(__xludf.DUMMYFUNCTION("""COMPUTED_VALUE"""),"https://drive.google.com/open?id=1vMQhh8wIHsbTkB0bCTf6YzSNptVKR51b")</f>
        <v>https://drive.google.com/open?id=1vMQhh8wIHsbTkB0bCTf6YzSNptVKR51b</v>
      </c>
      <c r="J714" s="59"/>
      <c r="K714" s="59"/>
      <c r="L714" s="59"/>
      <c r="M714" s="59"/>
      <c r="N714" s="59"/>
      <c r="O714" s="59"/>
      <c r="P714" s="59"/>
    </row>
    <row r="715" spans="1:16">
      <c r="A715" s="71">
        <f ca="1">IFERROR(__xludf.DUMMYFUNCTION("""COMPUTED_VALUE"""),45005.3624582523)</f>
        <v>45005.362458252297</v>
      </c>
      <c r="B715" s="59" t="str">
        <f ca="1">IFERROR(__xludf.DUMMYFUNCTION("""COMPUTED_VALUE"""),"Mayur dabhi")</f>
        <v>Mayur dabhi</v>
      </c>
      <c r="C715" s="72" t="str">
        <f ca="1">IFERROR(__xludf.DUMMYFUNCTION("""COMPUTED_VALUE"""),"20sdsme01007")</f>
        <v>20sdsme01007</v>
      </c>
      <c r="D715" s="73">
        <f ca="1">IFERROR(__xludf.DUMMYFUNCTION("""COMPUTED_VALUE"""),44907)</f>
        <v>44907</v>
      </c>
      <c r="E715" s="74">
        <f ca="1">IFERROR(__xludf.DUMMYFUNCTION("""COMPUTED_VALUE"""),3750)</f>
        <v>3750</v>
      </c>
      <c r="F715" s="72">
        <f ca="1">IFERROR(__xludf.DUMMYFUNCTION("""COMPUTED_VALUE"""),25000)</f>
        <v>25000</v>
      </c>
      <c r="G715" s="75"/>
      <c r="H715" s="59" t="str">
        <f ca="1">IFERROR(__xludf.DUMMYFUNCTION("""COMPUTED_VALUE"""),"UPDATE")</f>
        <v>UPDATE</v>
      </c>
      <c r="I715" s="76" t="str">
        <f ca="1">IFERROR(__xludf.DUMMYFUNCTION("""COMPUTED_VALUE"""),"https://drive.google.com/open?id=1-bKyXD7YvqPBhWeM1lQV7Ca8cyGnCn2d")</f>
        <v>https://drive.google.com/open?id=1-bKyXD7YvqPBhWeM1lQV7Ca8cyGnCn2d</v>
      </c>
      <c r="J715" s="59"/>
      <c r="K715" s="59"/>
      <c r="L715" s="59"/>
      <c r="M715" s="59"/>
      <c r="N715" s="59"/>
      <c r="O715" s="59"/>
      <c r="P715" s="59"/>
    </row>
    <row r="716" spans="1:16">
      <c r="A716" s="71">
        <f ca="1">IFERROR(__xludf.DUMMYFUNCTION("""COMPUTED_VALUE"""),45005.3363256018)</f>
        <v>45005.336325601798</v>
      </c>
      <c r="B716" s="59" t="str">
        <f ca="1">IFERROR(__xludf.DUMMYFUNCTION("""COMPUTED_VALUE"""),"Shivam paliwal ")</f>
        <v xml:space="preserve">Shivam paliwal </v>
      </c>
      <c r="C716" s="72" t="str">
        <f ca="1">IFERROR(__xludf.DUMMYFUNCTION("""COMPUTED_VALUE"""),"20SDSME01029 ")</f>
        <v xml:space="preserve">20SDSME01029 </v>
      </c>
      <c r="D716" s="73">
        <f ca="1">IFERROR(__xludf.DUMMYFUNCTION("""COMPUTED_VALUE"""),44907)</f>
        <v>44907</v>
      </c>
      <c r="E716" s="72"/>
      <c r="F716" s="72">
        <f ca="1">IFERROR(__xludf.DUMMYFUNCTION("""COMPUTED_VALUE"""),3750)</f>
        <v>3750</v>
      </c>
      <c r="G716" s="75"/>
      <c r="H716" s="59" t="str">
        <f ca="1">IFERROR(__xludf.DUMMYFUNCTION("""COMPUTED_VALUE"""),"UPDATE")</f>
        <v>UPDATE</v>
      </c>
      <c r="I716" s="76" t="str">
        <f ca="1">IFERROR(__xludf.DUMMYFUNCTION("""COMPUTED_VALUE"""),"https://drive.google.com/open?id=1-YnxidPEZtbEMdP2NCfUCrUZCuFhIzvZ")</f>
        <v>https://drive.google.com/open?id=1-YnxidPEZtbEMdP2NCfUCrUZCuFhIzvZ</v>
      </c>
      <c r="J716" s="59"/>
      <c r="K716" s="59"/>
      <c r="L716" s="59"/>
      <c r="M716" s="59"/>
      <c r="N716" s="59"/>
      <c r="O716" s="59"/>
      <c r="P716" s="59"/>
    </row>
    <row r="717" spans="1:16">
      <c r="A717" s="71">
        <f ca="1">IFERROR(__xludf.DUMMYFUNCTION("""COMPUTED_VALUE"""),45005.3351556018)</f>
        <v>45005.335155601802</v>
      </c>
      <c r="B717" s="59" t="str">
        <f ca="1">IFERROR(__xludf.DUMMYFUNCTION("""COMPUTED_VALUE"""),"Shivam paliwal")</f>
        <v>Shivam paliwal</v>
      </c>
      <c r="C717" s="72" t="str">
        <f ca="1">IFERROR(__xludf.DUMMYFUNCTION("""COMPUTED_VALUE"""),"20SDSME01029 ")</f>
        <v xml:space="preserve">20SDSME01029 </v>
      </c>
      <c r="D717" s="73">
        <f ca="1">IFERROR(__xludf.DUMMYFUNCTION("""COMPUTED_VALUE"""),44907)</f>
        <v>44907</v>
      </c>
      <c r="E717" s="74">
        <f ca="1">IFERROR(__xludf.DUMMYFUNCTION("""COMPUTED_VALUE"""),12500)</f>
        <v>12500</v>
      </c>
      <c r="F717" s="72"/>
      <c r="G717" s="75"/>
      <c r="H717" s="59" t="str">
        <f ca="1">IFERROR(__xludf.DUMMYFUNCTION("""COMPUTED_VALUE"""),"UPDATE")</f>
        <v>UPDATE</v>
      </c>
      <c r="I717" s="76" t="str">
        <f ca="1">IFERROR(__xludf.DUMMYFUNCTION("""COMPUTED_VALUE"""),"https://drive.google.com/open?id=1gSn1b1cinBiYULOyvlRlFLSJdNM4tFmA")</f>
        <v>https://drive.google.com/open?id=1gSn1b1cinBiYULOyvlRlFLSJdNM4tFmA</v>
      </c>
      <c r="J717" s="59"/>
      <c r="K717" s="59"/>
      <c r="L717" s="59"/>
      <c r="M717" s="59"/>
      <c r="N717" s="59"/>
      <c r="O717" s="59"/>
      <c r="P717" s="59"/>
    </row>
    <row r="718" spans="1:16">
      <c r="A718" s="71">
        <f ca="1">IFERROR(__xludf.DUMMYFUNCTION("""COMPUTED_VALUE"""),45002.4344580092)</f>
        <v>45002.4344580092</v>
      </c>
      <c r="B718" s="59" t="str">
        <f ca="1">IFERROR(__xludf.DUMMYFUNCTION("""COMPUTED_VALUE"""),"Parmar Kelvin Balubhai ")</f>
        <v xml:space="preserve">Parmar Kelvin Balubhai </v>
      </c>
      <c r="C718" s="72" t="str">
        <f ca="1">IFERROR(__xludf.DUMMYFUNCTION("""COMPUTED_VALUE"""),"20SDSCE01152")</f>
        <v>20SDSCE01152</v>
      </c>
      <c r="D718" s="73">
        <f ca="1">IFERROR(__xludf.DUMMYFUNCTION("""COMPUTED_VALUE"""),44956)</f>
        <v>44956</v>
      </c>
      <c r="E718" s="72"/>
      <c r="F718" s="72">
        <f ca="1">IFERROR(__xludf.DUMMYFUNCTION("""COMPUTED_VALUE"""),3750)</f>
        <v>3750</v>
      </c>
      <c r="G718" s="75"/>
      <c r="H718" s="59" t="str">
        <f ca="1">IFERROR(__xludf.DUMMYFUNCTION("""COMPUTED_VALUE"""),"UPDATE")</f>
        <v>UPDATE</v>
      </c>
      <c r="I718" s="76" t="str">
        <f ca="1">IFERROR(__xludf.DUMMYFUNCTION("""COMPUTED_VALUE"""),"https://drive.google.com/open?id=1tHfMrDeAhg2ayK8oJuWm3JXK1xiCEBt4")</f>
        <v>https://drive.google.com/open?id=1tHfMrDeAhg2ayK8oJuWm3JXK1xiCEBt4</v>
      </c>
      <c r="J718" s="59"/>
      <c r="K718" s="59"/>
      <c r="L718" s="59"/>
      <c r="M718" s="59"/>
      <c r="N718" s="59"/>
      <c r="O718" s="59"/>
      <c r="P718" s="59"/>
    </row>
    <row r="719" spans="1:16">
      <c r="A719" s="71">
        <f ca="1">IFERROR(__xludf.DUMMYFUNCTION("""COMPUTED_VALUE"""),45001.603162037)</f>
        <v>45001.603162036998</v>
      </c>
      <c r="B719" s="59" t="str">
        <f ca="1">IFERROR(__xludf.DUMMYFUNCTION("""COMPUTED_VALUE"""),"Shiv Sagar kohar ")</f>
        <v xml:space="preserve">Shiv Sagar kohar </v>
      </c>
      <c r="C719" s="72" t="str">
        <f ca="1">IFERROR(__xludf.DUMMYFUNCTION("""COMPUTED_VALUE"""),"22SDSCE01625")</f>
        <v>22SDSCE01625</v>
      </c>
      <c r="D719" s="73">
        <f ca="1">IFERROR(__xludf.DUMMYFUNCTION("""COMPUTED_VALUE"""),45001)</f>
        <v>45001</v>
      </c>
      <c r="E719" s="72"/>
      <c r="F719" s="72"/>
      <c r="G719" s="75"/>
      <c r="H719" s="59" t="str">
        <f ca="1">IFERROR(__xludf.DUMMYFUNCTION("""COMPUTED_VALUE"""),"UPDATE")</f>
        <v>UPDATE</v>
      </c>
      <c r="I719" s="76" t="str">
        <f ca="1">IFERROR(__xludf.DUMMYFUNCTION("""COMPUTED_VALUE"""),"https://drive.google.com/open?id=1aqZKakQl-F_VzHZFEchzma9_z6dray6r")</f>
        <v>https://drive.google.com/open?id=1aqZKakQl-F_VzHZFEchzma9_z6dray6r</v>
      </c>
      <c r="J719" s="59"/>
      <c r="K719" s="59"/>
      <c r="L719" s="59"/>
      <c r="M719" s="59"/>
      <c r="N719" s="59"/>
      <c r="O719" s="59"/>
      <c r="P719" s="59"/>
    </row>
    <row r="720" spans="1:16">
      <c r="A720" s="71">
        <f ca="1">IFERROR(__xludf.DUMMYFUNCTION("""COMPUTED_VALUE"""),45001.6018131481)</f>
        <v>45001.601813148103</v>
      </c>
      <c r="B720" s="59" t="str">
        <f ca="1">IFERROR(__xludf.DUMMYFUNCTION("""COMPUTED_VALUE"""),"Shiv Sagar kohar ")</f>
        <v xml:space="preserve">Shiv Sagar kohar </v>
      </c>
      <c r="C720" s="72" t="str">
        <f ca="1">IFERROR(__xludf.DUMMYFUNCTION("""COMPUTED_VALUE"""),"22SDSCE01625")</f>
        <v>22SDSCE01625</v>
      </c>
      <c r="D720" s="73">
        <f ca="1">IFERROR(__xludf.DUMMYFUNCTION("""COMPUTED_VALUE"""),45001)</f>
        <v>45001</v>
      </c>
      <c r="E720" s="72"/>
      <c r="F720" s="72"/>
      <c r="G720" s="75"/>
      <c r="H720" s="59" t="str">
        <f ca="1">IFERROR(__xludf.DUMMYFUNCTION("""COMPUTED_VALUE"""),"UPDATE")</f>
        <v>UPDATE</v>
      </c>
      <c r="I720" s="76" t="str">
        <f ca="1">IFERROR(__xludf.DUMMYFUNCTION("""COMPUTED_VALUE"""),"https://drive.google.com/open?id=1ruRCKO_4UrLKFBv80g_Hg3rEKmOqxv30")</f>
        <v>https://drive.google.com/open?id=1ruRCKO_4UrLKFBv80g_Hg3rEKmOqxv30</v>
      </c>
      <c r="J720" s="59"/>
      <c r="K720" s="59"/>
      <c r="L720" s="59"/>
      <c r="M720" s="59"/>
      <c r="N720" s="59"/>
      <c r="O720" s="59"/>
      <c r="P720" s="59"/>
    </row>
    <row r="721" spans="1:16">
      <c r="A721" s="71">
        <f ca="1">IFERROR(__xludf.DUMMYFUNCTION("""COMPUTED_VALUE"""),45001.3857919907)</f>
        <v>45001.385791990702</v>
      </c>
      <c r="B721" s="59" t="str">
        <f ca="1">IFERROR(__xludf.DUMMYFUNCTION("""COMPUTED_VALUE"""),"Bijay Kumar muraw")</f>
        <v>Bijay Kumar muraw</v>
      </c>
      <c r="C721" s="72" t="str">
        <f ca="1">IFERROR(__xludf.DUMMYFUNCTION("""COMPUTED_VALUE"""),"22SDSCE01610")</f>
        <v>22SDSCE01610</v>
      </c>
      <c r="D721" s="73">
        <f ca="1">IFERROR(__xludf.DUMMYFUNCTION("""COMPUTED_VALUE"""),45001)</f>
        <v>45001</v>
      </c>
      <c r="E721" s="72"/>
      <c r="F721" s="72"/>
      <c r="G721" s="75"/>
      <c r="H721" s="59" t="str">
        <f ca="1">IFERROR(__xludf.DUMMYFUNCTION("""COMPUTED_VALUE"""),"UPDATE")</f>
        <v>UPDATE</v>
      </c>
      <c r="I721" s="76" t="str">
        <f ca="1">IFERROR(__xludf.DUMMYFUNCTION("""COMPUTED_VALUE"""),"https://drive.google.com/open?id=1iRl7QtD6MnyYqfavyM5PoA40TqoiKSsX")</f>
        <v>https://drive.google.com/open?id=1iRl7QtD6MnyYqfavyM5PoA40TqoiKSsX</v>
      </c>
      <c r="J721" s="59"/>
      <c r="K721" s="59"/>
      <c r="L721" s="59"/>
      <c r="M721" s="59"/>
      <c r="N721" s="59"/>
      <c r="O721" s="59"/>
      <c r="P721" s="59"/>
    </row>
    <row r="722" spans="1:16">
      <c r="A722" s="71">
        <f ca="1">IFERROR(__xludf.DUMMYFUNCTION("""COMPUTED_VALUE"""),45000.6855523958)</f>
        <v>45000.6855523958</v>
      </c>
      <c r="B722" s="59" t="str">
        <f ca="1">IFERROR(__xludf.DUMMYFUNCTION("""COMPUTED_VALUE"""),"Dipesh pd patel")</f>
        <v>Dipesh pd patel</v>
      </c>
      <c r="C722" s="72" t="str">
        <f ca="1">IFERROR(__xludf.DUMMYFUNCTION("""COMPUTED_VALUE"""),"22SDSCV01607")</f>
        <v>22SDSCV01607</v>
      </c>
      <c r="D722" s="73">
        <f ca="1">IFERROR(__xludf.DUMMYFUNCTION("""COMPUTED_VALUE"""),45000)</f>
        <v>45000</v>
      </c>
      <c r="E722" s="74">
        <f ca="1">IFERROR(__xludf.DUMMYFUNCTION("""COMPUTED_VALUE"""),40000)</f>
        <v>40000</v>
      </c>
      <c r="F722" s="72"/>
      <c r="G722" s="75"/>
      <c r="H722" s="59" t="str">
        <f ca="1">IFERROR(__xludf.DUMMYFUNCTION("""COMPUTED_VALUE"""),"UPDATE")</f>
        <v>UPDATE</v>
      </c>
      <c r="I722" s="76" t="str">
        <f ca="1">IFERROR(__xludf.DUMMYFUNCTION("""COMPUTED_VALUE"""),"https://drive.google.com/open?id=1SAR_devH1Bxb4inu4g4iWt3bm9KQ_Q3V")</f>
        <v>https://drive.google.com/open?id=1SAR_devH1Bxb4inu4g4iWt3bm9KQ_Q3V</v>
      </c>
      <c r="J722" s="59"/>
      <c r="K722" s="59"/>
      <c r="L722" s="59"/>
      <c r="M722" s="59"/>
      <c r="N722" s="59"/>
      <c r="O722" s="59"/>
      <c r="P722" s="59"/>
    </row>
    <row r="723" spans="1:16">
      <c r="A723" s="71">
        <f ca="1">IFERROR(__xludf.DUMMYFUNCTION("""COMPUTED_VALUE"""),44999.6797501504)</f>
        <v>44999.679750150397</v>
      </c>
      <c r="B723" s="59" t="str">
        <f ca="1">IFERROR(__xludf.DUMMYFUNCTION("""COMPUTED_VALUE"""),"Jitkumar arvindbhai mavani")</f>
        <v>Jitkumar arvindbhai mavani</v>
      </c>
      <c r="C723" s="72" t="str">
        <f ca="1">IFERROR(__xludf.DUMMYFUNCTION("""COMPUTED_VALUE"""),"22SDSCE01172")</f>
        <v>22SDSCE01172</v>
      </c>
      <c r="D723" s="73">
        <f ca="1">IFERROR(__xludf.DUMMYFUNCTION("""COMPUTED_VALUE"""),44983)</f>
        <v>44983</v>
      </c>
      <c r="E723" s="74">
        <f ca="1">IFERROR(__xludf.DUMMYFUNCTION("""COMPUTED_VALUE"""),25000)</f>
        <v>25000</v>
      </c>
      <c r="F723" s="72">
        <f ca="1">IFERROR(__xludf.DUMMYFUNCTION("""COMPUTED_VALUE"""),3000)</f>
        <v>3000</v>
      </c>
      <c r="G723" s="75"/>
      <c r="H723" s="59" t="str">
        <f ca="1">IFERROR(__xludf.DUMMYFUNCTION("""COMPUTED_VALUE"""),"UPDATE")</f>
        <v>UPDATE</v>
      </c>
      <c r="I723" s="76" t="str">
        <f ca="1">IFERROR(__xludf.DUMMYFUNCTION("""COMPUTED_VALUE"""),"https://drive.google.com/open?id=1_sIF3B-bfirbNVNmy9uCkL7C5CShz40N")</f>
        <v>https://drive.google.com/open?id=1_sIF3B-bfirbNVNmy9uCkL7C5CShz40N</v>
      </c>
      <c r="J723" s="59"/>
      <c r="K723" s="59"/>
      <c r="L723" s="59"/>
      <c r="M723" s="59"/>
      <c r="N723" s="59"/>
      <c r="O723" s="59"/>
      <c r="P723" s="59"/>
    </row>
    <row r="724" spans="1:16">
      <c r="A724" s="71">
        <f ca="1">IFERROR(__xludf.DUMMYFUNCTION("""COMPUTED_VALUE"""),44998.6824845833)</f>
        <v>44998.682484583303</v>
      </c>
      <c r="B724" s="59" t="str">
        <f ca="1">IFERROR(__xludf.DUMMYFUNCTION("""COMPUTED_VALUE"""),"Odedara Jaykumar Lilabhai ")</f>
        <v xml:space="preserve">Odedara Jaykumar Lilabhai </v>
      </c>
      <c r="C724" s="72" t="str">
        <f ca="1">IFERROR(__xludf.DUMMYFUNCTION("""COMPUTED_VALUE"""),"22SDSCE01178")</f>
        <v>22SDSCE01178</v>
      </c>
      <c r="D724" s="73">
        <f ca="1">IFERROR(__xludf.DUMMYFUNCTION("""COMPUTED_VALUE"""),44998)</f>
        <v>44998</v>
      </c>
      <c r="E724" s="74">
        <f ca="1">IFERROR(__xludf.DUMMYFUNCTION("""COMPUTED_VALUE"""),25000)</f>
        <v>25000</v>
      </c>
      <c r="F724" s="72">
        <f ca="1">IFERROR(__xludf.DUMMYFUNCTION("""COMPUTED_VALUE"""),3000)</f>
        <v>3000</v>
      </c>
      <c r="G724" s="75"/>
      <c r="H724" s="59" t="str">
        <f ca="1">IFERROR(__xludf.DUMMYFUNCTION("""COMPUTED_VALUE"""),"UPDATE")</f>
        <v>UPDATE</v>
      </c>
      <c r="I724" s="76" t="str">
        <f ca="1">IFERROR(__xludf.DUMMYFUNCTION("""COMPUTED_VALUE"""),"https://drive.google.com/open?id=1bBp_zOHbr6nv37MMN1UGRfBf9Ev32dTd")</f>
        <v>https://drive.google.com/open?id=1bBp_zOHbr6nv37MMN1UGRfBf9Ev32dTd</v>
      </c>
      <c r="J724" s="59"/>
      <c r="K724" s="59"/>
      <c r="L724" s="59"/>
      <c r="M724" s="59"/>
      <c r="N724" s="59"/>
      <c r="O724" s="59"/>
      <c r="P724" s="59"/>
    </row>
    <row r="725" spans="1:16">
      <c r="A725" s="71">
        <f ca="1">IFERROR(__xludf.DUMMYFUNCTION("""COMPUTED_VALUE"""),44998.6137882291)</f>
        <v>44998.6137882291</v>
      </c>
      <c r="B725" s="59" t="str">
        <f ca="1">IFERROR(__xludf.DUMMYFUNCTION("""COMPUTED_VALUE"""),"Priyanka chai")</f>
        <v>Priyanka chai</v>
      </c>
      <c r="C725" s="72" t="str">
        <f ca="1">IFERROR(__xludf.DUMMYFUNCTION("""COMPUTED_VALUE"""),"22SDSCE01613")</f>
        <v>22SDSCE01613</v>
      </c>
      <c r="D725" s="73">
        <f ca="1">IFERROR(__xludf.DUMMYFUNCTION("""COMPUTED_VALUE"""),44998)</f>
        <v>44998</v>
      </c>
      <c r="E725" s="74">
        <f ca="1">IFERROR(__xludf.DUMMYFUNCTION("""COMPUTED_VALUE"""),35000)</f>
        <v>35000</v>
      </c>
      <c r="F725" s="72">
        <f ca="1">IFERROR(__xludf.DUMMYFUNCTION("""COMPUTED_VALUE"""),0)</f>
        <v>0</v>
      </c>
      <c r="G725" s="75"/>
      <c r="H725" s="59" t="str">
        <f ca="1">IFERROR(__xludf.DUMMYFUNCTION("""COMPUTED_VALUE"""),"UPDATE")</f>
        <v>UPDATE</v>
      </c>
      <c r="I725" s="76" t="str">
        <f ca="1">IFERROR(__xludf.DUMMYFUNCTION("""COMPUTED_VALUE"""),"https://drive.google.com/open?id=12oEot8jNAzDSAiRn7H_Y9AHa9Yrtu1Hr")</f>
        <v>https://drive.google.com/open?id=12oEot8jNAzDSAiRn7H_Y9AHa9Yrtu1Hr</v>
      </c>
      <c r="J725" s="59"/>
      <c r="K725" s="59"/>
      <c r="L725" s="59"/>
      <c r="M725" s="59"/>
      <c r="N725" s="59"/>
      <c r="O725" s="59"/>
      <c r="P725" s="59"/>
    </row>
    <row r="726" spans="1:16">
      <c r="A726" s="71">
        <f ca="1">IFERROR(__xludf.DUMMYFUNCTION("""COMPUTED_VALUE"""),44998.5415613773)</f>
        <v>44998.5415613773</v>
      </c>
      <c r="B726" s="59" t="str">
        <f ca="1">IFERROR(__xludf.DUMMYFUNCTION("""COMPUTED_VALUE"""),"Akash kumar chai")</f>
        <v>Akash kumar chai</v>
      </c>
      <c r="C726" s="72" t="str">
        <f ca="1">IFERROR(__xludf.DUMMYFUNCTION("""COMPUTED_VALUE"""),"22Sdscv01603")</f>
        <v>22Sdscv01603</v>
      </c>
      <c r="D726" s="73">
        <f ca="1">IFERROR(__xludf.DUMMYFUNCTION("""COMPUTED_VALUE"""),44998)</f>
        <v>44998</v>
      </c>
      <c r="E726" s="74">
        <f ca="1">IFERROR(__xludf.DUMMYFUNCTION("""COMPUTED_VALUE"""),10000)</f>
        <v>10000</v>
      </c>
      <c r="F726" s="72">
        <f ca="1">IFERROR(__xludf.DUMMYFUNCTION("""COMPUTED_VALUE"""),0)</f>
        <v>0</v>
      </c>
      <c r="G726" s="75"/>
      <c r="H726" s="59" t="str">
        <f ca="1">IFERROR(__xludf.DUMMYFUNCTION("""COMPUTED_VALUE"""),"UPDATE")</f>
        <v>UPDATE</v>
      </c>
      <c r="I726" s="76" t="str">
        <f ca="1">IFERROR(__xludf.DUMMYFUNCTION("""COMPUTED_VALUE"""),"https://drive.google.com/open?id=1A0a1823a4ynWG_aA2HCG6DYcMzbJtKNd")</f>
        <v>https://drive.google.com/open?id=1A0a1823a4ynWG_aA2HCG6DYcMzbJtKNd</v>
      </c>
      <c r="J726" s="59"/>
      <c r="K726" s="59"/>
      <c r="L726" s="59"/>
      <c r="M726" s="59"/>
      <c r="N726" s="59"/>
      <c r="O726" s="59"/>
      <c r="P726" s="59"/>
    </row>
    <row r="727" spans="1:16">
      <c r="A727" s="71">
        <f ca="1">IFERROR(__xludf.DUMMYFUNCTION("""COMPUTED_VALUE"""),44998.5348195601)</f>
        <v>44998.534819560096</v>
      </c>
      <c r="B727" s="59" t="str">
        <f ca="1">IFERROR(__xludf.DUMMYFUNCTION("""COMPUTED_VALUE"""),"Hindocha Kartavya Kalpeshbhai ")</f>
        <v xml:space="preserve">Hindocha Kartavya Kalpeshbhai </v>
      </c>
      <c r="C727" s="72" t="str">
        <f ca="1">IFERROR(__xludf.DUMMYFUNCTION("""COMPUTED_VALUE"""),"22SDSCE01049")</f>
        <v>22SDSCE01049</v>
      </c>
      <c r="D727" s="73">
        <f ca="1">IFERROR(__xludf.DUMMYFUNCTION("""COMPUTED_VALUE"""),44991)</f>
        <v>44991</v>
      </c>
      <c r="E727" s="72"/>
      <c r="F727" s="72">
        <f ca="1">IFERROR(__xludf.DUMMYFUNCTION("""COMPUTED_VALUE"""),3000)</f>
        <v>3000</v>
      </c>
      <c r="G727" s="75"/>
      <c r="H727" s="59" t="str">
        <f ca="1">IFERROR(__xludf.DUMMYFUNCTION("""COMPUTED_VALUE"""),"UPDATE")</f>
        <v>UPDATE</v>
      </c>
      <c r="I727" s="76" t="str">
        <f ca="1">IFERROR(__xludf.DUMMYFUNCTION("""COMPUTED_VALUE"""),"https://drive.google.com/open?id=14C5Z49oNAf5QV6CNhOBtnDLOjORJ9Jgl")</f>
        <v>https://drive.google.com/open?id=14C5Z49oNAf5QV6CNhOBtnDLOjORJ9Jgl</v>
      </c>
      <c r="J727" s="59"/>
      <c r="K727" s="59"/>
      <c r="L727" s="59"/>
      <c r="M727" s="59"/>
      <c r="N727" s="59"/>
      <c r="O727" s="59"/>
      <c r="P727" s="59"/>
    </row>
    <row r="728" spans="1:16">
      <c r="A728" s="71">
        <f ca="1">IFERROR(__xludf.DUMMYFUNCTION("""COMPUTED_VALUE"""),44995.7198647916)</f>
        <v>44995.719864791601</v>
      </c>
      <c r="B728" s="59" t="str">
        <f ca="1">IFERROR(__xludf.DUMMYFUNCTION("""COMPUTED_VALUE"""),"DREAM PATEL ")</f>
        <v xml:space="preserve">DREAM PATEL </v>
      </c>
      <c r="C728" s="72" t="str">
        <f ca="1">IFERROR(__xludf.DUMMYFUNCTION("""COMPUTED_VALUE"""),"21SDSCE01094")</f>
        <v>21SDSCE01094</v>
      </c>
      <c r="D728" s="73">
        <f ca="1">IFERROR(__xludf.DUMMYFUNCTION("""COMPUTED_VALUE"""),44995)</f>
        <v>44995</v>
      </c>
      <c r="E728" s="74">
        <f ca="1">IFERROR(__xludf.DUMMYFUNCTION("""COMPUTED_VALUE"""),25000)</f>
        <v>25000</v>
      </c>
      <c r="F728" s="72"/>
      <c r="G728" s="75"/>
      <c r="H728" s="59" t="str">
        <f ca="1">IFERROR(__xludf.DUMMYFUNCTION("""COMPUTED_VALUE"""),"UPDATE")</f>
        <v>UPDATE</v>
      </c>
      <c r="I728" s="76" t="str">
        <f ca="1">IFERROR(__xludf.DUMMYFUNCTION("""COMPUTED_VALUE"""),"https://drive.google.com/open?id=1J7l7MDy3WFmbdFIvEpHKbbJR99G13O26")</f>
        <v>https://drive.google.com/open?id=1J7l7MDy3WFmbdFIvEpHKbbJR99G13O26</v>
      </c>
      <c r="J728" s="59"/>
      <c r="K728" s="59"/>
      <c r="L728" s="59"/>
      <c r="M728" s="59"/>
      <c r="N728" s="59"/>
      <c r="O728" s="59"/>
      <c r="P728" s="59"/>
    </row>
    <row r="729" spans="1:16">
      <c r="A729" s="71">
        <f ca="1">IFERROR(__xludf.DUMMYFUNCTION("""COMPUTED_VALUE"""),44995.6885796412)</f>
        <v>44995.688579641203</v>
      </c>
      <c r="B729" s="59" t="str">
        <f ca="1">IFERROR(__xludf.DUMMYFUNCTION("""COMPUTED_VALUE"""),"Dhameliya Nirav Pravinbhai ")</f>
        <v xml:space="preserve">Dhameliya Nirav Pravinbhai </v>
      </c>
      <c r="C729" s="72" t="str">
        <f ca="1">IFERROR(__xludf.DUMMYFUNCTION("""COMPUTED_VALUE"""),"22SDSCE01038")</f>
        <v>22SDSCE01038</v>
      </c>
      <c r="D729" s="73">
        <f ca="1">IFERROR(__xludf.DUMMYFUNCTION("""COMPUTED_VALUE"""),44995)</f>
        <v>44995</v>
      </c>
      <c r="E729" s="74">
        <f ca="1">IFERROR(__xludf.DUMMYFUNCTION("""COMPUTED_VALUE"""),28000)</f>
        <v>28000</v>
      </c>
      <c r="F729" s="72">
        <f ca="1">IFERROR(__xludf.DUMMYFUNCTION("""COMPUTED_VALUE"""),28000)</f>
        <v>28000</v>
      </c>
      <c r="G729" s="75"/>
      <c r="H729" s="59" t="str">
        <f ca="1">IFERROR(__xludf.DUMMYFUNCTION("""COMPUTED_VALUE"""),"UPDATE")</f>
        <v>UPDATE</v>
      </c>
      <c r="I729" s="76" t="str">
        <f ca="1">IFERROR(__xludf.DUMMYFUNCTION("""COMPUTED_VALUE"""),"https://drive.google.com/open?id=1cX8BXiFA-jLX1uFHWFf-h7slTojGAqSS")</f>
        <v>https://drive.google.com/open?id=1cX8BXiFA-jLX1uFHWFf-h7slTojGAqSS</v>
      </c>
      <c r="J729" s="59"/>
      <c r="K729" s="59"/>
      <c r="L729" s="59"/>
      <c r="M729" s="59"/>
      <c r="N729" s="59"/>
      <c r="O729" s="59"/>
      <c r="P729" s="59"/>
    </row>
    <row r="730" spans="1:16">
      <c r="A730" s="71">
        <f ca="1">IFERROR(__xludf.DUMMYFUNCTION("""COMPUTED_VALUE"""),44995.681316956)</f>
        <v>44995.681316955997</v>
      </c>
      <c r="B730" s="59" t="str">
        <f ca="1">IFERROR(__xludf.DUMMYFUNCTION("""COMPUTED_VALUE"""),"Dolar priyesh laljibhai")</f>
        <v>Dolar priyesh laljibhai</v>
      </c>
      <c r="C730" s="72" t="str">
        <f ca="1">IFERROR(__xludf.DUMMYFUNCTION("""COMPUTED_VALUE"""),"22SDSCE01146")</f>
        <v>22SDSCE01146</v>
      </c>
      <c r="D730" s="73">
        <f ca="1">IFERROR(__xludf.DUMMYFUNCTION("""COMPUTED_VALUE"""),44995)</f>
        <v>44995</v>
      </c>
      <c r="E730" s="74">
        <f ca="1">IFERROR(__xludf.DUMMYFUNCTION("""COMPUTED_VALUE"""),25000)</f>
        <v>25000</v>
      </c>
      <c r="F730" s="72">
        <f ca="1">IFERROR(__xludf.DUMMYFUNCTION("""COMPUTED_VALUE"""),3000)</f>
        <v>3000</v>
      </c>
      <c r="G730" s="75"/>
      <c r="H730" s="59" t="str">
        <f ca="1">IFERROR(__xludf.DUMMYFUNCTION("""COMPUTED_VALUE"""),"UPDATE")</f>
        <v>UPDATE</v>
      </c>
      <c r="I730" s="76" t="str">
        <f ca="1">IFERROR(__xludf.DUMMYFUNCTION("""COMPUTED_VALUE"""),"https://drive.google.com/open?id=1H3QpJwmlWcy6BcBHUKhMdur4_TVpJaNz")</f>
        <v>https://drive.google.com/open?id=1H3QpJwmlWcy6BcBHUKhMdur4_TVpJaNz</v>
      </c>
      <c r="J730" s="59"/>
      <c r="K730" s="59"/>
      <c r="L730" s="59"/>
      <c r="M730" s="59"/>
      <c r="N730" s="59"/>
      <c r="O730" s="59"/>
      <c r="P730" s="59"/>
    </row>
    <row r="731" spans="1:16">
      <c r="A731" s="71">
        <f ca="1">IFERROR(__xludf.DUMMYFUNCTION("""COMPUTED_VALUE"""),44995.6809345833)</f>
        <v>44995.680934583303</v>
      </c>
      <c r="B731" s="59" t="str">
        <f ca="1">IFERROR(__xludf.DUMMYFUNCTION("""COMPUTED_VALUE"""),"Dolar purvas laljibhai")</f>
        <v>Dolar purvas laljibhai</v>
      </c>
      <c r="C731" s="72" t="str">
        <f ca="1">IFERROR(__xludf.DUMMYFUNCTION("""COMPUTED_VALUE"""),"22SDSCE01147")</f>
        <v>22SDSCE01147</v>
      </c>
      <c r="D731" s="73">
        <f ca="1">IFERROR(__xludf.DUMMYFUNCTION("""COMPUTED_VALUE"""),44995)</f>
        <v>44995</v>
      </c>
      <c r="E731" s="74">
        <f ca="1">IFERROR(__xludf.DUMMYFUNCTION("""COMPUTED_VALUE"""),25000)</f>
        <v>25000</v>
      </c>
      <c r="F731" s="72">
        <f ca="1">IFERROR(__xludf.DUMMYFUNCTION("""COMPUTED_VALUE"""),3000)</f>
        <v>3000</v>
      </c>
      <c r="G731" s="75"/>
      <c r="H731" s="59" t="str">
        <f ca="1">IFERROR(__xludf.DUMMYFUNCTION("""COMPUTED_VALUE"""),"UPDATE")</f>
        <v>UPDATE</v>
      </c>
      <c r="I731" s="76" t="str">
        <f ca="1">IFERROR(__xludf.DUMMYFUNCTION("""COMPUTED_VALUE"""),"https://drive.google.com/open?id=1Llpk0IS_fvz_u6oQ9a_-jsZP6XmIKfgn")</f>
        <v>https://drive.google.com/open?id=1Llpk0IS_fvz_u6oQ9a_-jsZP6XmIKfgn</v>
      </c>
      <c r="J731" s="59"/>
      <c r="K731" s="59"/>
      <c r="L731" s="59"/>
      <c r="M731" s="59"/>
      <c r="N731" s="59"/>
      <c r="O731" s="59"/>
      <c r="P731" s="59"/>
    </row>
    <row r="732" spans="1:16">
      <c r="A732" s="71">
        <f ca="1">IFERROR(__xludf.DUMMYFUNCTION("""COMPUTED_VALUE"""),44994.686407905)</f>
        <v>44994.686407904999</v>
      </c>
      <c r="B732" s="59" t="str">
        <f ca="1">IFERROR(__xludf.DUMMYFUNCTION("""COMPUTED_VALUE"""),"Bhanu Kumar ")</f>
        <v xml:space="preserve">Bhanu Kumar </v>
      </c>
      <c r="C732" s="72" t="str">
        <f ca="1">IFERROR(__xludf.DUMMYFUNCTION("""COMPUTED_VALUE"""),"22SDSCE01227")</f>
        <v>22SDSCE01227</v>
      </c>
      <c r="D732" s="73">
        <f ca="1">IFERROR(__xludf.DUMMYFUNCTION("""COMPUTED_VALUE"""),44963)</f>
        <v>44963</v>
      </c>
      <c r="E732" s="72"/>
      <c r="F732" s="72"/>
      <c r="G732" s="75"/>
      <c r="H732" s="59" t="str">
        <f ca="1">IFERROR(__xludf.DUMMYFUNCTION("""COMPUTED_VALUE"""),"UPDATE")</f>
        <v>UPDATE</v>
      </c>
      <c r="I732" s="76" t="str">
        <f ca="1">IFERROR(__xludf.DUMMYFUNCTION("""COMPUTED_VALUE"""),"https://drive.google.com/open?id=1IepDnkrnEJL1SgFf1BjTS3NujQXgyX8-")</f>
        <v>https://drive.google.com/open?id=1IepDnkrnEJL1SgFf1BjTS3NujQXgyX8-</v>
      </c>
      <c r="J732" s="59"/>
      <c r="K732" s="59"/>
      <c r="L732" s="59"/>
      <c r="M732" s="59"/>
      <c r="N732" s="59"/>
      <c r="O732" s="59"/>
      <c r="P732" s="59"/>
    </row>
    <row r="733" spans="1:16">
      <c r="A733" s="71">
        <f ca="1">IFERROR(__xludf.DUMMYFUNCTION("""COMPUTED_VALUE"""),44992.606708368)</f>
        <v>44992.606708368003</v>
      </c>
      <c r="B733" s="59" t="str">
        <f ca="1">IFERROR(__xludf.DUMMYFUNCTION("""COMPUTED_VALUE"""),"ABHANI MYANK RAJESHBHAI")</f>
        <v>ABHANI MYANK RAJESHBHAI</v>
      </c>
      <c r="C733" s="72" t="str">
        <f ca="1">IFERROR(__xludf.DUMMYFUNCTION("""COMPUTED_VALUE"""),"22SDSME01001")</f>
        <v>22SDSME01001</v>
      </c>
      <c r="D733" s="73">
        <f ca="1">IFERROR(__xludf.DUMMYFUNCTION("""COMPUTED_VALUE"""),44992)</f>
        <v>44992</v>
      </c>
      <c r="E733" s="74">
        <f ca="1">IFERROR(__xludf.DUMMYFUNCTION("""COMPUTED_VALUE"""),12500)</f>
        <v>12500</v>
      </c>
      <c r="F733" s="72">
        <f ca="1">IFERROR(__xludf.DUMMYFUNCTION("""COMPUTED_VALUE"""),3500)</f>
        <v>3500</v>
      </c>
      <c r="G733" s="75"/>
      <c r="H733" s="59" t="str">
        <f ca="1">IFERROR(__xludf.DUMMYFUNCTION("""COMPUTED_VALUE"""),"penalty applicable")</f>
        <v>penalty applicable</v>
      </c>
      <c r="I733" s="76" t="str">
        <f ca="1">IFERROR(__xludf.DUMMYFUNCTION("""COMPUTED_VALUE"""),"https://drive.google.com/open?id=1MZ53pbJto1KWC0ISnqxR5qxbOikWpBdf")</f>
        <v>https://drive.google.com/open?id=1MZ53pbJto1KWC0ISnqxR5qxbOikWpBdf</v>
      </c>
      <c r="J733" s="59"/>
      <c r="K733" s="59"/>
      <c r="L733" s="59"/>
      <c r="M733" s="59"/>
      <c r="N733" s="59"/>
      <c r="O733" s="59"/>
      <c r="P733" s="59"/>
    </row>
    <row r="734" spans="1:16">
      <c r="A734" s="71">
        <f ca="1">IFERROR(__xludf.DUMMYFUNCTION("""COMPUTED_VALUE"""),44989.8692265277)</f>
        <v>44989.869226527699</v>
      </c>
      <c r="B734" s="59" t="str">
        <f ca="1">IFERROR(__xludf.DUMMYFUNCTION("""COMPUTED_VALUE"""),"Romil Hiteshbhai Dobariya")</f>
        <v>Romil Hiteshbhai Dobariya</v>
      </c>
      <c r="C734" s="72" t="str">
        <f ca="1">IFERROR(__xludf.DUMMYFUNCTION("""COMPUTED_VALUE"""),"20SDSCE01029")</f>
        <v>20SDSCE01029</v>
      </c>
      <c r="D734" s="73">
        <f ca="1">IFERROR(__xludf.DUMMYFUNCTION("""COMPUTED_VALUE"""),44989)</f>
        <v>44989</v>
      </c>
      <c r="E734" s="74">
        <f ca="1">IFERROR(__xludf.DUMMYFUNCTION("""COMPUTED_VALUE"""),25000)</f>
        <v>25000</v>
      </c>
      <c r="F734" s="72"/>
      <c r="G734" s="75"/>
      <c r="H734" s="59" t="str">
        <f ca="1">IFERROR(__xludf.DUMMYFUNCTION("""COMPUTED_VALUE"""),"UPDATE")</f>
        <v>UPDATE</v>
      </c>
      <c r="I734" s="76" t="str">
        <f ca="1">IFERROR(__xludf.DUMMYFUNCTION("""COMPUTED_VALUE"""),"https://drive.google.com/open?id=1RRzDktHj1_IiGW5ZCfu1gBZEA9fcBE86")</f>
        <v>https://drive.google.com/open?id=1RRzDktHj1_IiGW5ZCfu1gBZEA9fcBE86</v>
      </c>
      <c r="J734" s="59"/>
      <c r="K734" s="59"/>
      <c r="L734" s="59"/>
      <c r="M734" s="59"/>
      <c r="N734" s="59"/>
      <c r="O734" s="59"/>
      <c r="P734" s="59"/>
    </row>
    <row r="735" spans="1:16">
      <c r="A735" s="71">
        <f ca="1">IFERROR(__xludf.DUMMYFUNCTION("""COMPUTED_VALUE"""),44989.4477175925)</f>
        <v>44989.447717592499</v>
      </c>
      <c r="B735" s="59" t="str">
        <f ca="1">IFERROR(__xludf.DUMMYFUNCTION("""COMPUTED_VALUE"""),"Krupa moliya")</f>
        <v>Krupa moliya</v>
      </c>
      <c r="C735" s="72" t="str">
        <f ca="1">IFERROR(__xludf.DUMMYFUNCTION("""COMPUTED_VALUE"""),"22sdsce01072")</f>
        <v>22sdsce01072</v>
      </c>
      <c r="D735" s="73">
        <f ca="1">IFERROR(__xludf.DUMMYFUNCTION("""COMPUTED_VALUE"""),44986)</f>
        <v>44986</v>
      </c>
      <c r="E735" s="74">
        <f ca="1">IFERROR(__xludf.DUMMYFUNCTION("""COMPUTED_VALUE"""),25400)</f>
        <v>25400</v>
      </c>
      <c r="F735" s="72">
        <f ca="1">IFERROR(__xludf.DUMMYFUNCTION("""COMPUTED_VALUE"""),3000)</f>
        <v>3000</v>
      </c>
      <c r="G735" s="75"/>
      <c r="H735" s="59" t="str">
        <f ca="1">IFERROR(__xludf.DUMMYFUNCTION("""COMPUTED_VALUE"""),"UPDATE")</f>
        <v>UPDATE</v>
      </c>
      <c r="I735" s="76" t="str">
        <f ca="1">IFERROR(__xludf.DUMMYFUNCTION("""COMPUTED_VALUE"""),"https://drive.google.com/open?id=1qeHO-Pz3WQjiaaQsWg_FS4IaD-fsBduD")</f>
        <v>https://drive.google.com/open?id=1qeHO-Pz3WQjiaaQsWg_FS4IaD-fsBduD</v>
      </c>
      <c r="J735" s="59"/>
      <c r="K735" s="59"/>
      <c r="L735" s="59"/>
      <c r="M735" s="59"/>
      <c r="N735" s="59"/>
      <c r="O735" s="59"/>
      <c r="P735" s="59"/>
    </row>
    <row r="736" spans="1:16">
      <c r="A736" s="71">
        <f ca="1">IFERROR(__xludf.DUMMYFUNCTION("""COMPUTED_VALUE"""),44988.6896584837)</f>
        <v>44988.689658483701</v>
      </c>
      <c r="B736" s="59" t="str">
        <f ca="1">IFERROR(__xludf.DUMMYFUNCTION("""COMPUTED_VALUE"""),"Solanki Tushar Natubhai ")</f>
        <v xml:space="preserve">Solanki Tushar Natubhai </v>
      </c>
      <c r="C736" s="72" t="str">
        <f ca="1">IFERROR(__xludf.DUMMYFUNCTION("""COMPUTED_VALUE"""),"22SDSCE01190")</f>
        <v>22SDSCE01190</v>
      </c>
      <c r="D736" s="73">
        <f ca="1">IFERROR(__xludf.DUMMYFUNCTION("""COMPUTED_VALUE"""),44988)</f>
        <v>44988</v>
      </c>
      <c r="E736" s="74">
        <f ca="1">IFERROR(__xludf.DUMMYFUNCTION("""COMPUTED_VALUE"""),25000)</f>
        <v>25000</v>
      </c>
      <c r="F736" s="72">
        <f ca="1">IFERROR(__xludf.DUMMYFUNCTION("""COMPUTED_VALUE"""),3000)</f>
        <v>3000</v>
      </c>
      <c r="G736" s="75"/>
      <c r="H736" s="59" t="str">
        <f ca="1">IFERROR(__xludf.DUMMYFUNCTION("""COMPUTED_VALUE"""),"UPDATE")</f>
        <v>UPDATE</v>
      </c>
      <c r="I736" s="76" t="str">
        <f ca="1">IFERROR(__xludf.DUMMYFUNCTION("""COMPUTED_VALUE"""),"https://drive.google.com/open?id=1Bg6KLBpaT-ldxX4bQAzWgMiDSA5e5Hsw")</f>
        <v>https://drive.google.com/open?id=1Bg6KLBpaT-ldxX4bQAzWgMiDSA5e5Hsw</v>
      </c>
      <c r="J736" s="59"/>
      <c r="K736" s="59"/>
      <c r="L736" s="59"/>
      <c r="M736" s="59"/>
      <c r="N736" s="59"/>
      <c r="O736" s="59"/>
      <c r="P736" s="59"/>
    </row>
    <row r="737" spans="1:16">
      <c r="A737" s="71">
        <f ca="1">IFERROR(__xludf.DUMMYFUNCTION("""COMPUTED_VALUE"""),44988.6852164699)</f>
        <v>44988.685216469901</v>
      </c>
      <c r="B737" s="59" t="str">
        <f ca="1">IFERROR(__xludf.DUMMYFUNCTION("""COMPUTED_VALUE"""),"Solanki Tushar Natubhai ")</f>
        <v xml:space="preserve">Solanki Tushar Natubhai </v>
      </c>
      <c r="C737" s="72" t="str">
        <f ca="1">IFERROR(__xludf.DUMMYFUNCTION("""COMPUTED_VALUE"""),"22SDSCE01190")</f>
        <v>22SDSCE01190</v>
      </c>
      <c r="D737" s="73">
        <f ca="1">IFERROR(__xludf.DUMMYFUNCTION("""COMPUTED_VALUE"""),44988)</f>
        <v>44988</v>
      </c>
      <c r="E737" s="74">
        <f ca="1">IFERROR(__xludf.DUMMYFUNCTION("""COMPUTED_VALUE"""),25000)</f>
        <v>25000</v>
      </c>
      <c r="F737" s="72"/>
      <c r="G737" s="75"/>
      <c r="H737" s="59" t="str">
        <f ca="1">IFERROR(__xludf.DUMMYFUNCTION("""COMPUTED_VALUE"""),"UPDATE")</f>
        <v>UPDATE</v>
      </c>
      <c r="I737" s="76" t="str">
        <f ca="1">IFERROR(__xludf.DUMMYFUNCTION("""COMPUTED_VALUE"""),"https://drive.google.com/open?id=1BWX9iHyzKfueG3_7Ak67U_ZD_-Z0q7sw")</f>
        <v>https://drive.google.com/open?id=1BWX9iHyzKfueG3_7Ak67U_ZD_-Z0q7sw</v>
      </c>
      <c r="J737" s="59"/>
      <c r="K737" s="59"/>
      <c r="L737" s="59"/>
      <c r="M737" s="59"/>
      <c r="N737" s="59"/>
      <c r="O737" s="59"/>
      <c r="P737" s="59"/>
    </row>
    <row r="738" spans="1:16">
      <c r="A738" s="71">
        <f ca="1">IFERROR(__xludf.DUMMYFUNCTION("""COMPUTED_VALUE"""),44988.425085868)</f>
        <v>44988.425085868002</v>
      </c>
      <c r="B738" s="59" t="str">
        <f ca="1">IFERROR(__xludf.DUMMYFUNCTION("""COMPUTED_VALUE"""),"Nasit Aayush ashvinbhai")</f>
        <v>Nasit Aayush ashvinbhai</v>
      </c>
      <c r="C738" s="72" t="str">
        <f ca="1">IFERROR(__xludf.DUMMYFUNCTION("""COMPUTED_VALUE"""),"22sdsce01077")</f>
        <v>22sdsce01077</v>
      </c>
      <c r="D738" s="73">
        <f ca="1">IFERROR(__xludf.DUMMYFUNCTION("""COMPUTED_VALUE"""),44988)</f>
        <v>44988</v>
      </c>
      <c r="E738" s="74">
        <f ca="1">IFERROR(__xludf.DUMMYFUNCTION("""COMPUTED_VALUE"""),12500)</f>
        <v>12500</v>
      </c>
      <c r="F738" s="72">
        <f ca="1">IFERROR(__xludf.DUMMYFUNCTION("""COMPUTED_VALUE"""),3000)</f>
        <v>3000</v>
      </c>
      <c r="G738" s="75"/>
      <c r="H738" s="59" t="str">
        <f ca="1">IFERROR(__xludf.DUMMYFUNCTION("""COMPUTED_VALUE"""),"UPDATE")</f>
        <v>UPDATE</v>
      </c>
      <c r="I738" s="76" t="str">
        <f ca="1">IFERROR(__xludf.DUMMYFUNCTION("""COMPUTED_VALUE"""),"https://drive.google.com/open?id=1NCT3eua27hDko6HniLi3ZZEvegCJdZ9Z")</f>
        <v>https://drive.google.com/open?id=1NCT3eua27hDko6HniLi3ZZEvegCJdZ9Z</v>
      </c>
      <c r="J738" s="59"/>
      <c r="K738" s="59"/>
      <c r="L738" s="59"/>
      <c r="M738" s="59"/>
      <c r="N738" s="59"/>
      <c r="O738" s="59"/>
      <c r="P738" s="59"/>
    </row>
    <row r="739" spans="1:16">
      <c r="A739" s="71">
        <f ca="1">IFERROR(__xludf.DUMMYFUNCTION("""COMPUTED_VALUE"""),44987.5416116898)</f>
        <v>44987.541611689798</v>
      </c>
      <c r="B739" s="59" t="str">
        <f ca="1">IFERROR(__xludf.DUMMYFUNCTION("""COMPUTED_VALUE"""),"Koradiya isha ")</f>
        <v xml:space="preserve">Koradiya isha </v>
      </c>
      <c r="C739" s="72" t="str">
        <f ca="1">IFERROR(__xludf.DUMMYFUNCTION("""COMPUTED_VALUE"""),"21SDSCE01080")</f>
        <v>21SDSCE01080</v>
      </c>
      <c r="D739" s="73">
        <f ca="1">IFERROR(__xludf.DUMMYFUNCTION("""COMPUTED_VALUE"""),44987)</f>
        <v>44987</v>
      </c>
      <c r="E739" s="74">
        <f ca="1">IFERROR(__xludf.DUMMYFUNCTION("""COMPUTED_VALUE"""),25000)</f>
        <v>25000</v>
      </c>
      <c r="F739" s="72"/>
      <c r="G739" s="75"/>
      <c r="H739" s="59" t="str">
        <f ca="1">IFERROR(__xludf.DUMMYFUNCTION("""COMPUTED_VALUE"""),"UPDATE")</f>
        <v>UPDATE</v>
      </c>
      <c r="I739" s="76" t="str">
        <f ca="1">IFERROR(__xludf.DUMMYFUNCTION("""COMPUTED_VALUE"""),"https://drive.google.com/open?id=1T_qBa8i4nTOwQw1-VshzYec-lrGWhZCq")</f>
        <v>https://drive.google.com/open?id=1T_qBa8i4nTOwQw1-VshzYec-lrGWhZCq</v>
      </c>
      <c r="J739" s="59"/>
      <c r="K739" s="59"/>
      <c r="L739" s="59"/>
      <c r="M739" s="59"/>
      <c r="N739" s="59"/>
      <c r="O739" s="59"/>
      <c r="P739" s="59"/>
    </row>
    <row r="740" spans="1:16">
      <c r="A740" s="71">
        <f ca="1">IFERROR(__xludf.DUMMYFUNCTION("""COMPUTED_VALUE"""),44987.3551364699)</f>
        <v>44987.355136469901</v>
      </c>
      <c r="B740" s="59" t="str">
        <f ca="1">IFERROR(__xludf.DUMMYFUNCTION("""COMPUTED_VALUE"""),"Manasi Ghodasara")</f>
        <v>Manasi Ghodasara</v>
      </c>
      <c r="C740" s="72" t="str">
        <f ca="1">IFERROR(__xludf.DUMMYFUNCTION("""COMPUTED_VALUE"""),"22SDSCE01151")</f>
        <v>22SDSCE01151</v>
      </c>
      <c r="D740" s="73">
        <f ca="1">IFERROR(__xludf.DUMMYFUNCTION("""COMPUTED_VALUE"""),44947)</f>
        <v>44947</v>
      </c>
      <c r="E740" s="72"/>
      <c r="F740" s="72">
        <f ca="1">IFERROR(__xludf.DUMMYFUNCTION("""COMPUTED_VALUE"""),3000)</f>
        <v>3000</v>
      </c>
      <c r="G740" s="75"/>
      <c r="H740" s="59" t="str">
        <f ca="1">IFERROR(__xludf.DUMMYFUNCTION("""COMPUTED_VALUE"""),"UPDATE")</f>
        <v>UPDATE</v>
      </c>
      <c r="I740" s="76" t="str">
        <f ca="1">IFERROR(__xludf.DUMMYFUNCTION("""COMPUTED_VALUE"""),"https://drive.google.com/open?id=1Iddt36xBuHj2yc62O53OSfTaaYMNWPoT")</f>
        <v>https://drive.google.com/open?id=1Iddt36xBuHj2yc62O53OSfTaaYMNWPoT</v>
      </c>
      <c r="J740" s="59"/>
      <c r="K740" s="59"/>
      <c r="L740" s="59"/>
      <c r="M740" s="59"/>
      <c r="N740" s="59"/>
      <c r="O740" s="59"/>
      <c r="P740" s="59"/>
    </row>
    <row r="741" spans="1:16">
      <c r="A741" s="71">
        <f ca="1">IFERROR(__xludf.DUMMYFUNCTION("""COMPUTED_VALUE"""),44986.7781243518)</f>
        <v>44986.778124351797</v>
      </c>
      <c r="B741" s="59" t="str">
        <f ca="1">IFERROR(__xludf.DUMMYFUNCTION("""COMPUTED_VALUE"""),"Bhalani tisha Rameshbhai")</f>
        <v>Bhalani tisha Rameshbhai</v>
      </c>
      <c r="C741" s="72" t="str">
        <f ca="1">IFERROR(__xludf.DUMMYFUNCTION("""COMPUTED_VALUE"""),"22SDSCE01016")</f>
        <v>22SDSCE01016</v>
      </c>
      <c r="D741" s="73">
        <f ca="1">IFERROR(__xludf.DUMMYFUNCTION("""COMPUTED_VALUE"""),44985)</f>
        <v>44985</v>
      </c>
      <c r="E741" s="74">
        <f ca="1">IFERROR(__xludf.DUMMYFUNCTION("""COMPUTED_VALUE"""),25000)</f>
        <v>25000</v>
      </c>
      <c r="F741" s="72">
        <f ca="1">IFERROR(__xludf.DUMMYFUNCTION("""COMPUTED_VALUE"""),3000)</f>
        <v>3000</v>
      </c>
      <c r="G741" s="75"/>
      <c r="H741" s="59" t="str">
        <f ca="1">IFERROR(__xludf.DUMMYFUNCTION("""COMPUTED_VALUE"""),"UPDATE")</f>
        <v>UPDATE</v>
      </c>
      <c r="I741" s="76" t="str">
        <f ca="1">IFERROR(__xludf.DUMMYFUNCTION("""COMPUTED_VALUE"""),"https://drive.google.com/open?id=1Si2U18g6fjMm1cK0CflZxCYGWRWQ-Qlj")</f>
        <v>https://drive.google.com/open?id=1Si2U18g6fjMm1cK0CflZxCYGWRWQ-Qlj</v>
      </c>
      <c r="J741" s="59"/>
      <c r="K741" s="59"/>
      <c r="L741" s="59"/>
      <c r="M741" s="59"/>
      <c r="N741" s="59"/>
      <c r="O741" s="59"/>
      <c r="P741" s="59"/>
    </row>
    <row r="742" spans="1:16">
      <c r="A742" s="71">
        <f ca="1">IFERROR(__xludf.DUMMYFUNCTION("""COMPUTED_VALUE"""),44986.6730242592)</f>
        <v>44986.673024259202</v>
      </c>
      <c r="B742" s="59" t="str">
        <f ca="1">IFERROR(__xludf.DUMMYFUNCTION("""COMPUTED_VALUE"""),"Karan garchar")</f>
        <v>Karan garchar</v>
      </c>
      <c r="C742" s="72" t="str">
        <f ca="1">IFERROR(__xludf.DUMMYFUNCTION("""COMPUTED_VALUE"""),"22sdsce01150")</f>
        <v>22sdsce01150</v>
      </c>
      <c r="D742" s="73">
        <f ca="1">IFERROR(__xludf.DUMMYFUNCTION("""COMPUTED_VALUE"""),44986)</f>
        <v>44986</v>
      </c>
      <c r="E742" s="72"/>
      <c r="F742" s="72">
        <f ca="1">IFERROR(__xludf.DUMMYFUNCTION("""COMPUTED_VALUE"""),3200)</f>
        <v>3200</v>
      </c>
      <c r="G742" s="75"/>
      <c r="H742" s="59" t="str">
        <f ca="1">IFERROR(__xludf.DUMMYFUNCTION("""COMPUTED_VALUE"""),"UPDATE")</f>
        <v>UPDATE</v>
      </c>
      <c r="I742" s="76" t="str">
        <f ca="1">IFERROR(__xludf.DUMMYFUNCTION("""COMPUTED_VALUE"""),"https://drive.google.com/open?id=13HIdiB7OFliNIFSNoT4SlrH2W-TdoAp4")</f>
        <v>https://drive.google.com/open?id=13HIdiB7OFliNIFSNoT4SlrH2W-TdoAp4</v>
      </c>
      <c r="J742" s="59"/>
      <c r="K742" s="59"/>
      <c r="L742" s="59"/>
      <c r="M742" s="59"/>
      <c r="N742" s="59"/>
      <c r="O742" s="59"/>
      <c r="P742" s="59"/>
    </row>
    <row r="743" spans="1:16">
      <c r="A743" s="71">
        <f ca="1">IFERROR(__xludf.DUMMYFUNCTION("""COMPUTED_VALUE"""),44986.6714915625)</f>
        <v>44986.671491562498</v>
      </c>
      <c r="B743" s="59" t="str">
        <f ca="1">IFERROR(__xludf.DUMMYFUNCTION("""COMPUTED_VALUE"""),"Het Dobariya ")</f>
        <v xml:space="preserve">Het Dobariya </v>
      </c>
      <c r="C743" s="72" t="str">
        <f ca="1">IFERROR(__xludf.DUMMYFUNCTION("""COMPUTED_VALUE"""),"22sdsce01142")</f>
        <v>22sdsce01142</v>
      </c>
      <c r="D743" s="73">
        <f ca="1">IFERROR(__xludf.DUMMYFUNCTION("""COMPUTED_VALUE"""),44986)</f>
        <v>44986</v>
      </c>
      <c r="E743" s="72"/>
      <c r="F743" s="72">
        <f ca="1">IFERROR(__xludf.DUMMYFUNCTION("""COMPUTED_VALUE"""),3200)</f>
        <v>3200</v>
      </c>
      <c r="G743" s="75"/>
      <c r="H743" s="59" t="str">
        <f ca="1">IFERROR(__xludf.DUMMYFUNCTION("""COMPUTED_VALUE"""),"UPDATE")</f>
        <v>UPDATE</v>
      </c>
      <c r="I743" s="76" t="str">
        <f ca="1">IFERROR(__xludf.DUMMYFUNCTION("""COMPUTED_VALUE"""),"https://drive.google.com/open?id=1MLyHD-jGwZwE9HxoH9VntAXoiPCDl9B8")</f>
        <v>https://drive.google.com/open?id=1MLyHD-jGwZwE9HxoH9VntAXoiPCDl9B8</v>
      </c>
      <c r="J743" s="59"/>
      <c r="K743" s="59"/>
      <c r="L743" s="59"/>
      <c r="M743" s="59"/>
      <c r="N743" s="59"/>
      <c r="O743" s="59"/>
      <c r="P743" s="59"/>
    </row>
    <row r="744" spans="1:16">
      <c r="A744" s="71">
        <f ca="1">IFERROR(__xludf.DUMMYFUNCTION("""COMPUTED_VALUE"""),44986.6030036226)</f>
        <v>44986.6030036226</v>
      </c>
      <c r="B744" s="59" t="str">
        <f ca="1">IFERROR(__xludf.DUMMYFUNCTION("""COMPUTED_VALUE"""),"Parmar Meet Maheshbhai")</f>
        <v>Parmar Meet Maheshbhai</v>
      </c>
      <c r="C744" s="72" t="str">
        <f ca="1">IFERROR(__xludf.DUMMYFUNCTION("""COMPUTED_VALUE"""),"22SDSCE01180")</f>
        <v>22SDSCE01180</v>
      </c>
      <c r="D744" s="73">
        <f ca="1">IFERROR(__xludf.DUMMYFUNCTION("""COMPUTED_VALUE"""),44929)</f>
        <v>44929</v>
      </c>
      <c r="E744" s="74">
        <f ca="1">IFERROR(__xludf.DUMMYFUNCTION("""COMPUTED_VALUE"""),25000)</f>
        <v>25000</v>
      </c>
      <c r="F744" s="72">
        <f ca="1">IFERROR(__xludf.DUMMYFUNCTION("""COMPUTED_VALUE"""),3400)</f>
        <v>3400</v>
      </c>
      <c r="G744" s="75"/>
      <c r="H744" s="59" t="str">
        <f ca="1">IFERROR(__xludf.DUMMYFUNCTION("""COMPUTED_VALUE"""),"UPDATE")</f>
        <v>UPDATE</v>
      </c>
      <c r="I744" s="76" t="str">
        <f ca="1">IFERROR(__xludf.DUMMYFUNCTION("""COMPUTED_VALUE"""),"https://drive.google.com/open?id=16zC1rR-GaaDPBmpmi6hiq1yXRfFSpTDt")</f>
        <v>https://drive.google.com/open?id=16zC1rR-GaaDPBmpmi6hiq1yXRfFSpTDt</v>
      </c>
      <c r="J744" s="59"/>
      <c r="K744" s="59"/>
      <c r="L744" s="59"/>
      <c r="M744" s="59"/>
      <c r="N744" s="59"/>
      <c r="O744" s="59"/>
      <c r="P744" s="59"/>
    </row>
    <row r="745" spans="1:16">
      <c r="A745" s="71">
        <f ca="1">IFERROR(__xludf.DUMMYFUNCTION("""COMPUTED_VALUE"""),44985.705695324)</f>
        <v>44985.705695324003</v>
      </c>
      <c r="B745" s="59" t="str">
        <f ca="1">IFERROR(__xludf.DUMMYFUNCTION("""COMPUTED_VALUE"""),"Mohit Paddhariya")</f>
        <v>Mohit Paddhariya</v>
      </c>
      <c r="C745" s="72" t="str">
        <f ca="1">IFERROR(__xludf.DUMMYFUNCTION("""COMPUTED_VALUE"""),"21SDSCE01038")</f>
        <v>21SDSCE01038</v>
      </c>
      <c r="D745" s="73">
        <f ca="1">IFERROR(__xludf.DUMMYFUNCTION("""COMPUTED_VALUE"""),44985)</f>
        <v>44985</v>
      </c>
      <c r="E745" s="74">
        <f ca="1">IFERROR(__xludf.DUMMYFUNCTION("""COMPUTED_VALUE"""),25000)</f>
        <v>25000</v>
      </c>
      <c r="F745" s="72"/>
      <c r="G745" s="75"/>
      <c r="H745" s="59" t="str">
        <f ca="1">IFERROR(__xludf.DUMMYFUNCTION("""COMPUTED_VALUE"""),"UPDATE")</f>
        <v>UPDATE</v>
      </c>
      <c r="I745" s="76" t="str">
        <f ca="1">IFERROR(__xludf.DUMMYFUNCTION("""COMPUTED_VALUE"""),"https://drive.google.com/open?id=12BHmUffotpv5PTUMioqjAKDFaI97cSTj")</f>
        <v>https://drive.google.com/open?id=12BHmUffotpv5PTUMioqjAKDFaI97cSTj</v>
      </c>
      <c r="J745" s="59"/>
      <c r="K745" s="59"/>
      <c r="L745" s="59"/>
      <c r="M745" s="59"/>
      <c r="N745" s="59"/>
      <c r="O745" s="59"/>
      <c r="P745" s="59"/>
    </row>
    <row r="746" spans="1:16">
      <c r="A746" s="71">
        <f ca="1">IFERROR(__xludf.DUMMYFUNCTION("""COMPUTED_VALUE"""),44985.6815642361)</f>
        <v>44985.681564236103</v>
      </c>
      <c r="B746" s="59" t="str">
        <f ca="1">IFERROR(__xludf.DUMMYFUNCTION("""COMPUTED_VALUE"""),"Panara SmitKumar Sureshbhai ")</f>
        <v xml:space="preserve">Panara SmitKumar Sureshbhai </v>
      </c>
      <c r="C746" s="72" t="str">
        <f ca="1">IFERROR(__xludf.DUMMYFUNCTION("""COMPUTED_VALUE"""),"20SDSCE01074")</f>
        <v>20SDSCE01074</v>
      </c>
      <c r="D746" s="73">
        <f ca="1">IFERROR(__xludf.DUMMYFUNCTION("""COMPUTED_VALUE"""),44985)</f>
        <v>44985</v>
      </c>
      <c r="E746" s="74">
        <f ca="1">IFERROR(__xludf.DUMMYFUNCTION("""COMPUTED_VALUE"""),25000)</f>
        <v>25000</v>
      </c>
      <c r="F746" s="72"/>
      <c r="G746" s="75"/>
      <c r="H746" s="59" t="str">
        <f ca="1">IFERROR(__xludf.DUMMYFUNCTION("""COMPUTED_VALUE"""),"UPDATE")</f>
        <v>UPDATE</v>
      </c>
      <c r="I746" s="76" t="str">
        <f ca="1">IFERROR(__xludf.DUMMYFUNCTION("""COMPUTED_VALUE"""),"https://drive.google.com/open?id=1QwT0SHJXOZbbfe7uGLwYQXGhLE86kokA")</f>
        <v>https://drive.google.com/open?id=1QwT0SHJXOZbbfe7uGLwYQXGhLE86kokA</v>
      </c>
      <c r="J746" s="59"/>
      <c r="K746" s="59"/>
      <c r="L746" s="59"/>
      <c r="M746" s="59"/>
      <c r="N746" s="59"/>
      <c r="O746" s="59"/>
      <c r="P746" s="59"/>
    </row>
    <row r="747" spans="1:16">
      <c r="A747" s="71">
        <f ca="1">IFERROR(__xludf.DUMMYFUNCTION("""COMPUTED_VALUE"""),44985.6776484722)</f>
        <v>44985.6776484722</v>
      </c>
      <c r="B747" s="59" t="str">
        <f ca="1">IFERROR(__xludf.DUMMYFUNCTION("""COMPUTED_VALUE"""),"Khunt krina piyushbhai ")</f>
        <v xml:space="preserve">Khunt krina piyushbhai </v>
      </c>
      <c r="C747" s="72" t="str">
        <f ca="1">IFERROR(__xludf.DUMMYFUNCTION("""COMPUTED_VALUE"""),"22SDSCE01161")</f>
        <v>22SDSCE01161</v>
      </c>
      <c r="D747" s="73">
        <f ca="1">IFERROR(__xludf.DUMMYFUNCTION("""COMPUTED_VALUE"""),44984)</f>
        <v>44984</v>
      </c>
      <c r="E747" s="74">
        <f ca="1">IFERROR(__xludf.DUMMYFUNCTION("""COMPUTED_VALUE"""),25000)</f>
        <v>25000</v>
      </c>
      <c r="F747" s="72">
        <f ca="1">IFERROR(__xludf.DUMMYFUNCTION("""COMPUTED_VALUE"""),3000)</f>
        <v>3000</v>
      </c>
      <c r="G747" s="75"/>
      <c r="H747" s="59" t="str">
        <f ca="1">IFERROR(__xludf.DUMMYFUNCTION("""COMPUTED_VALUE"""),"UPDATE")</f>
        <v>UPDATE</v>
      </c>
      <c r="I747" s="76" t="str">
        <f ca="1">IFERROR(__xludf.DUMMYFUNCTION("""COMPUTED_VALUE"""),"https://drive.google.com/open?id=1hEIQ1Ji8LK9UGe8qONOG00d8IyHcGIGs")</f>
        <v>https://drive.google.com/open?id=1hEIQ1Ji8LK9UGe8qONOG00d8IyHcGIGs</v>
      </c>
      <c r="J747" s="59"/>
      <c r="K747" s="59"/>
      <c r="L747" s="59"/>
      <c r="M747" s="59"/>
      <c r="N747" s="59"/>
      <c r="O747" s="59"/>
      <c r="P747" s="59"/>
    </row>
    <row r="748" spans="1:16">
      <c r="A748" s="71">
        <f ca="1">IFERROR(__xludf.DUMMYFUNCTION("""COMPUTED_VALUE"""),44985.6449525)</f>
        <v>44985.644952499999</v>
      </c>
      <c r="B748" s="59" t="str">
        <f ca="1">IFERROR(__xludf.DUMMYFUNCTION("""COMPUTED_VALUE"""),"Nimavat Hemangi ")</f>
        <v xml:space="preserve">Nimavat Hemangi </v>
      </c>
      <c r="C748" s="72" t="str">
        <f ca="1">IFERROR(__xludf.DUMMYFUNCTION("""COMPUTED_VALUE"""),"22SDSCE01177")</f>
        <v>22SDSCE01177</v>
      </c>
      <c r="D748" s="73">
        <f ca="1">IFERROR(__xludf.DUMMYFUNCTION("""COMPUTED_VALUE"""),44985)</f>
        <v>44985</v>
      </c>
      <c r="E748" s="74">
        <f ca="1">IFERROR(__xludf.DUMMYFUNCTION("""COMPUTED_VALUE"""),25000)</f>
        <v>25000</v>
      </c>
      <c r="F748" s="72">
        <f ca="1">IFERROR(__xludf.DUMMYFUNCTION("""COMPUTED_VALUE"""),3000)</f>
        <v>3000</v>
      </c>
      <c r="G748" s="75"/>
      <c r="H748" s="59" t="str">
        <f ca="1">IFERROR(__xludf.DUMMYFUNCTION("""COMPUTED_VALUE"""),"UPDATE")</f>
        <v>UPDATE</v>
      </c>
      <c r="I748" s="76" t="str">
        <f ca="1">IFERROR(__xludf.DUMMYFUNCTION("""COMPUTED_VALUE"""),"https://drive.google.com/open?id=1TI20cKAc8kfxZXOzz7vl2OgiYhofvwYj")</f>
        <v>https://drive.google.com/open?id=1TI20cKAc8kfxZXOzz7vl2OgiYhofvwYj</v>
      </c>
      <c r="J748" s="59"/>
      <c r="K748" s="59"/>
      <c r="L748" s="59"/>
      <c r="M748" s="59"/>
      <c r="N748" s="59"/>
      <c r="O748" s="59"/>
      <c r="P748" s="59"/>
    </row>
    <row r="749" spans="1:16">
      <c r="A749" s="71">
        <f ca="1">IFERROR(__xludf.DUMMYFUNCTION("""COMPUTED_VALUE"""),44985.6121913194)</f>
        <v>44985.6121913194</v>
      </c>
      <c r="B749" s="59" t="str">
        <f ca="1">IFERROR(__xludf.DUMMYFUNCTION("""COMPUTED_VALUE"""),"Alifiya Sadikot")</f>
        <v>Alifiya Sadikot</v>
      </c>
      <c r="C749" s="72" t="str">
        <f ca="1">IFERROR(__xludf.DUMMYFUNCTION("""COMPUTED_VALUE"""),"22SDSCE01186")</f>
        <v>22SDSCE01186</v>
      </c>
      <c r="D749" s="73">
        <f ca="1">IFERROR(__xludf.DUMMYFUNCTION("""COMPUTED_VALUE"""),44977)</f>
        <v>44977</v>
      </c>
      <c r="E749" s="74">
        <f ca="1">IFERROR(__xludf.DUMMYFUNCTION("""COMPUTED_VALUE"""),25000)</f>
        <v>25000</v>
      </c>
      <c r="F749" s="72"/>
      <c r="G749" s="75"/>
      <c r="H749" s="59" t="str">
        <f ca="1">IFERROR(__xludf.DUMMYFUNCTION("""COMPUTED_VALUE"""),"UPDATE")</f>
        <v>UPDATE</v>
      </c>
      <c r="I749" s="76" t="str">
        <f ca="1">IFERROR(__xludf.DUMMYFUNCTION("""COMPUTED_VALUE"""),"https://drive.google.com/open?id=125fkvrkfVFvR94T2mYj6iDRQ_nZGglYj")</f>
        <v>https://drive.google.com/open?id=125fkvrkfVFvR94T2mYj6iDRQ_nZGglYj</v>
      </c>
      <c r="J749" s="59"/>
      <c r="K749" s="59"/>
      <c r="L749" s="59"/>
      <c r="M749" s="59"/>
      <c r="N749" s="59"/>
      <c r="O749" s="59"/>
      <c r="P749" s="59"/>
    </row>
    <row r="750" spans="1:16">
      <c r="A750" s="71">
        <f ca="1">IFERROR(__xludf.DUMMYFUNCTION("""COMPUTED_VALUE"""),44985.6080170138)</f>
        <v>44985.608017013801</v>
      </c>
      <c r="B750" s="59" t="str">
        <f ca="1">IFERROR(__xludf.DUMMYFUNCTION("""COMPUTED_VALUE"""),"Ratanpara Hetkumar Rajendra ")</f>
        <v xml:space="preserve">Ratanpara Hetkumar Rajendra </v>
      </c>
      <c r="C750" s="72" t="str">
        <f ca="1">IFERROR(__xludf.DUMMYFUNCTION("""COMPUTED_VALUE"""),"20SDSCE01094")</f>
        <v>20SDSCE01094</v>
      </c>
      <c r="D750" s="73">
        <f ca="1">IFERROR(__xludf.DUMMYFUNCTION("""COMPUTED_VALUE"""),44985)</f>
        <v>44985</v>
      </c>
      <c r="E750" s="74">
        <f ca="1">IFERROR(__xludf.DUMMYFUNCTION("""COMPUTED_VALUE"""),25000)</f>
        <v>25000</v>
      </c>
      <c r="F750" s="72">
        <f ca="1">IFERROR(__xludf.DUMMYFUNCTION("""COMPUTED_VALUE"""),0)</f>
        <v>0</v>
      </c>
      <c r="G750" s="75"/>
      <c r="H750" s="59" t="str">
        <f ca="1">IFERROR(__xludf.DUMMYFUNCTION("""COMPUTED_VALUE"""),"UPDATE")</f>
        <v>UPDATE</v>
      </c>
      <c r="I750" s="76" t="str">
        <f ca="1">IFERROR(__xludf.DUMMYFUNCTION("""COMPUTED_VALUE"""),"https://drive.google.com/open?id=1QYRxROlYf9SAM-EA9RJoojHhiQkyurN4")</f>
        <v>https://drive.google.com/open?id=1QYRxROlYf9SAM-EA9RJoojHhiQkyurN4</v>
      </c>
      <c r="J750" s="59"/>
      <c r="K750" s="59"/>
      <c r="L750" s="59"/>
      <c r="M750" s="59"/>
      <c r="N750" s="59"/>
      <c r="O750" s="59"/>
      <c r="P750" s="59"/>
    </row>
    <row r="751" spans="1:16">
      <c r="A751" s="71">
        <f ca="1">IFERROR(__xludf.DUMMYFUNCTION("""COMPUTED_VALUE"""),44985.5801728703)</f>
        <v>44985.580172870301</v>
      </c>
      <c r="B751" s="59" t="str">
        <f ca="1">IFERROR(__xludf.DUMMYFUNCTION("""COMPUTED_VALUE"""),"Mayank Gajera ")</f>
        <v xml:space="preserve">Mayank Gajera </v>
      </c>
      <c r="C751" s="72" t="str">
        <f ca="1">IFERROR(__xludf.DUMMYFUNCTION("""COMPUTED_VALUE"""),"21SDSME01015")</f>
        <v>21SDSME01015</v>
      </c>
      <c r="D751" s="73">
        <f ca="1">IFERROR(__xludf.DUMMYFUNCTION("""COMPUTED_VALUE"""),44965)</f>
        <v>44965</v>
      </c>
      <c r="E751" s="74">
        <f ca="1">IFERROR(__xludf.DUMMYFUNCTION("""COMPUTED_VALUE"""),25000)</f>
        <v>25000</v>
      </c>
      <c r="F751" s="72">
        <f ca="1">IFERROR(__xludf.DUMMYFUNCTION("""COMPUTED_VALUE"""),0)</f>
        <v>0</v>
      </c>
      <c r="G751" s="75"/>
      <c r="H751" s="59" t="str">
        <f ca="1">IFERROR(__xludf.DUMMYFUNCTION("""COMPUTED_VALUE"""),"penalty applicable")</f>
        <v>penalty applicable</v>
      </c>
      <c r="I751" s="76" t="str">
        <f ca="1">IFERROR(__xludf.DUMMYFUNCTION("""COMPUTED_VALUE"""),"https://drive.google.com/open?id=13R9HYDuO0zOw2uzyNMKw7VMYPN_97o1f")</f>
        <v>https://drive.google.com/open?id=13R9HYDuO0zOw2uzyNMKw7VMYPN_97o1f</v>
      </c>
      <c r="J751" s="59"/>
      <c r="K751" s="59"/>
      <c r="L751" s="59"/>
      <c r="M751" s="59"/>
      <c r="N751" s="59"/>
      <c r="O751" s="59"/>
      <c r="P751" s="59"/>
    </row>
    <row r="752" spans="1:16">
      <c r="A752" s="71">
        <f ca="1">IFERROR(__xludf.DUMMYFUNCTION("""COMPUTED_VALUE"""),44985.4998395717)</f>
        <v>44985.499839571698</v>
      </c>
      <c r="B752" s="59" t="str">
        <f ca="1">IFERROR(__xludf.DUMMYFUNCTION("""COMPUTED_VALUE"""),"Undhad om pareshbhai ")</f>
        <v xml:space="preserve">Undhad om pareshbhai </v>
      </c>
      <c r="C752" s="72" t="str">
        <f ca="1">IFERROR(__xludf.DUMMYFUNCTION("""COMPUTED_VALUE"""),"22SDSCE01115")</f>
        <v>22SDSCE01115</v>
      </c>
      <c r="D752" s="73">
        <f ca="1">IFERROR(__xludf.DUMMYFUNCTION("""COMPUTED_VALUE"""),44985)</f>
        <v>44985</v>
      </c>
      <c r="E752" s="74">
        <f ca="1">IFERROR(__xludf.DUMMYFUNCTION("""COMPUTED_VALUE"""),0)</f>
        <v>0</v>
      </c>
      <c r="F752" s="72">
        <f ca="1">IFERROR(__xludf.DUMMYFUNCTION("""COMPUTED_VALUE"""),3200)</f>
        <v>3200</v>
      </c>
      <c r="G752" s="75"/>
      <c r="H752" s="59" t="str">
        <f ca="1">IFERROR(__xludf.DUMMYFUNCTION("""COMPUTED_VALUE"""),"UPDATE")</f>
        <v>UPDATE</v>
      </c>
      <c r="I752" s="76" t="str">
        <f ca="1">IFERROR(__xludf.DUMMYFUNCTION("""COMPUTED_VALUE"""),"https://drive.google.com/open?id=1cxWyqAI21A7tLWLtA5wVK4lKkR-o9g7T")</f>
        <v>https://drive.google.com/open?id=1cxWyqAI21A7tLWLtA5wVK4lKkR-o9g7T</v>
      </c>
      <c r="J752" s="59"/>
      <c r="K752" s="59"/>
      <c r="L752" s="59"/>
      <c r="M752" s="59"/>
      <c r="N752" s="59"/>
      <c r="O752" s="59"/>
      <c r="P752" s="59"/>
    </row>
    <row r="753" spans="1:16">
      <c r="A753" s="71">
        <f ca="1">IFERROR(__xludf.DUMMYFUNCTION("""COMPUTED_VALUE"""),44985.4264103588)</f>
        <v>44985.426410358799</v>
      </c>
      <c r="B753" s="59" t="str">
        <f ca="1">IFERROR(__xludf.DUMMYFUNCTION("""COMPUTED_VALUE"""),"Pambhar Brij Rajeshbhai ")</f>
        <v xml:space="preserve">Pambhar Brij Rajeshbhai </v>
      </c>
      <c r="C753" s="72" t="str">
        <f ca="1">IFERROR(__xludf.DUMMYFUNCTION("""COMPUTED_VALUE"""),"21SDSME01025")</f>
        <v>21SDSME01025</v>
      </c>
      <c r="D753" s="73">
        <f ca="1">IFERROR(__xludf.DUMMYFUNCTION("""COMPUTED_VALUE"""),44985)</f>
        <v>44985</v>
      </c>
      <c r="E753" s="74">
        <f ca="1">IFERROR(__xludf.DUMMYFUNCTION("""COMPUTED_VALUE"""),25000)</f>
        <v>25000</v>
      </c>
      <c r="F753" s="72"/>
      <c r="G753" s="75"/>
      <c r="H753" s="59" t="str">
        <f ca="1">IFERROR(__xludf.DUMMYFUNCTION("""COMPUTED_VALUE"""),"UPDATE")</f>
        <v>UPDATE</v>
      </c>
      <c r="I753" s="76" t="str">
        <f ca="1">IFERROR(__xludf.DUMMYFUNCTION("""COMPUTED_VALUE"""),"https://drive.google.com/open?id=10ZPWz1a99RS654o8jUOyVmHpZaJOcl6_")</f>
        <v>https://drive.google.com/open?id=10ZPWz1a99RS654o8jUOyVmHpZaJOcl6_</v>
      </c>
      <c r="J753" s="59"/>
      <c r="K753" s="59"/>
      <c r="L753" s="59"/>
      <c r="M753" s="59"/>
      <c r="N753" s="59"/>
      <c r="O753" s="59"/>
      <c r="P753" s="59"/>
    </row>
    <row r="754" spans="1:16">
      <c r="A754" s="71">
        <f ca="1">IFERROR(__xludf.DUMMYFUNCTION("""COMPUTED_VALUE"""),44984.9942165625)</f>
        <v>44984.994216562503</v>
      </c>
      <c r="B754" s="59" t="str">
        <f ca="1">IFERROR(__xludf.DUMMYFUNCTION("""COMPUTED_VALUE"""),"shah dhruv mehul ")</f>
        <v xml:space="preserve">shah dhruv mehul </v>
      </c>
      <c r="C754" s="72" t="str">
        <f ca="1">IFERROR(__xludf.DUMMYFUNCTION("""COMPUTED_VALUE"""),"22SDSCE01188")</f>
        <v>22SDSCE01188</v>
      </c>
      <c r="D754" s="73">
        <f ca="1">IFERROR(__xludf.DUMMYFUNCTION("""COMPUTED_VALUE"""),44974)</f>
        <v>44974</v>
      </c>
      <c r="E754" s="74">
        <f ca="1">IFERROR(__xludf.DUMMYFUNCTION("""COMPUTED_VALUE"""),2500)</f>
        <v>2500</v>
      </c>
      <c r="F754" s="72">
        <f ca="1">IFERROR(__xludf.DUMMYFUNCTION("""COMPUTED_VALUE"""),3000)</f>
        <v>3000</v>
      </c>
      <c r="G754" s="75"/>
      <c r="H754" s="59" t="str">
        <f ca="1">IFERROR(__xludf.DUMMYFUNCTION("""COMPUTED_VALUE"""),"UPDATE")</f>
        <v>UPDATE</v>
      </c>
      <c r="I754" s="76" t="str">
        <f ca="1">IFERROR(__xludf.DUMMYFUNCTION("""COMPUTED_VALUE"""),"https://drive.google.com/open?id=1K4lM3JsSaPBsdFGXRapEfsCyNs82eE12")</f>
        <v>https://drive.google.com/open?id=1K4lM3JsSaPBsdFGXRapEfsCyNs82eE12</v>
      </c>
      <c r="J754" s="59"/>
      <c r="K754" s="59"/>
      <c r="L754" s="59"/>
      <c r="M754" s="59"/>
      <c r="N754" s="59"/>
      <c r="O754" s="59"/>
      <c r="P754" s="59"/>
    </row>
    <row r="755" spans="1:16">
      <c r="A755" s="71">
        <f ca="1">IFERROR(__xludf.DUMMYFUNCTION("""COMPUTED_VALUE"""),44984.6870088773)</f>
        <v>44984.687008877299</v>
      </c>
      <c r="B755" s="59" t="str">
        <f ca="1">IFERROR(__xludf.DUMMYFUNCTION("""COMPUTED_VALUE"""),"Khant prince manish bhai")</f>
        <v>Khant prince manish bhai</v>
      </c>
      <c r="C755" s="72" t="str">
        <f ca="1">IFERROR(__xludf.DUMMYFUNCTION("""COMPUTED_VALUE"""),"22SDSCE01160")</f>
        <v>22SDSCE01160</v>
      </c>
      <c r="D755" s="73">
        <f ca="1">IFERROR(__xludf.DUMMYFUNCTION("""COMPUTED_VALUE"""),44979)</f>
        <v>44979</v>
      </c>
      <c r="E755" s="72"/>
      <c r="F755" s="72"/>
      <c r="G755" s="75"/>
      <c r="H755" s="59" t="str">
        <f ca="1">IFERROR(__xludf.DUMMYFUNCTION("""COMPUTED_VALUE"""),"UPDATE")</f>
        <v>UPDATE</v>
      </c>
      <c r="I755" s="76" t="str">
        <f ca="1">IFERROR(__xludf.DUMMYFUNCTION("""COMPUTED_VALUE"""),"https://drive.google.com/open?id=1smxEGXU91Eh97YrxjyHRzPvMz_OP4ddy")</f>
        <v>https://drive.google.com/open?id=1smxEGXU91Eh97YrxjyHRzPvMz_OP4ddy</v>
      </c>
      <c r="J755" s="59"/>
      <c r="K755" s="59"/>
      <c r="L755" s="59"/>
      <c r="M755" s="59"/>
      <c r="N755" s="59"/>
      <c r="O755" s="59"/>
      <c r="P755" s="59"/>
    </row>
    <row r="756" spans="1:16">
      <c r="A756" s="71">
        <f ca="1">IFERROR(__xludf.DUMMYFUNCTION("""COMPUTED_VALUE"""),44984.6839090161)</f>
        <v>44984.683909016101</v>
      </c>
      <c r="B756" s="59" t="str">
        <f ca="1">IFERROR(__xludf.DUMMYFUNCTION("""COMPUTED_VALUE"""),"Deep kundaliya ")</f>
        <v xml:space="preserve">Deep kundaliya </v>
      </c>
      <c r="C756" s="72" t="str">
        <f ca="1">IFERROR(__xludf.DUMMYFUNCTION("""COMPUTED_VALUE"""),"22SDSCE01164")</f>
        <v>22SDSCE01164</v>
      </c>
      <c r="D756" s="73">
        <f ca="1">IFERROR(__xludf.DUMMYFUNCTION("""COMPUTED_VALUE"""),44977)</f>
        <v>44977</v>
      </c>
      <c r="E756" s="72"/>
      <c r="F756" s="72"/>
      <c r="G756" s="75"/>
      <c r="H756" s="59" t="str">
        <f ca="1">IFERROR(__xludf.DUMMYFUNCTION("""COMPUTED_VALUE"""),"UPDATE")</f>
        <v>UPDATE</v>
      </c>
      <c r="I756" s="76" t="str">
        <f ca="1">IFERROR(__xludf.DUMMYFUNCTION("""COMPUTED_VALUE"""),"https://drive.google.com/open?id=16WPTUaQPtpyHhJXlW_VTbcuBrTABA76C")</f>
        <v>https://drive.google.com/open?id=16WPTUaQPtpyHhJXlW_VTbcuBrTABA76C</v>
      </c>
      <c r="J756" s="59"/>
      <c r="K756" s="59"/>
      <c r="L756" s="59"/>
      <c r="M756" s="59"/>
      <c r="N756" s="59"/>
      <c r="O756" s="59"/>
      <c r="P756" s="59"/>
    </row>
    <row r="757" spans="1:16">
      <c r="A757" s="71">
        <f ca="1">IFERROR(__xludf.DUMMYFUNCTION("""COMPUTED_VALUE"""),44984.6826700925)</f>
        <v>44984.682670092501</v>
      </c>
      <c r="B757" s="59" t="str">
        <f ca="1">IFERROR(__xludf.DUMMYFUNCTION("""COMPUTED_VALUE"""),"Deep kundaliya ")</f>
        <v xml:space="preserve">Deep kundaliya </v>
      </c>
      <c r="C757" s="72" t="str">
        <f ca="1">IFERROR(__xludf.DUMMYFUNCTION("""COMPUTED_VALUE"""),"22SDSCE01164")</f>
        <v>22SDSCE01164</v>
      </c>
      <c r="D757" s="73">
        <f ca="1">IFERROR(__xludf.DUMMYFUNCTION("""COMPUTED_VALUE"""),44977)</f>
        <v>44977</v>
      </c>
      <c r="E757" s="72"/>
      <c r="F757" s="72"/>
      <c r="G757" s="75"/>
      <c r="H757" s="59" t="str">
        <f ca="1">IFERROR(__xludf.DUMMYFUNCTION("""COMPUTED_VALUE"""),"UPDATE")</f>
        <v>UPDATE</v>
      </c>
      <c r="I757" s="76" t="str">
        <f ca="1">IFERROR(__xludf.DUMMYFUNCTION("""COMPUTED_VALUE"""),"https://drive.google.com/open?id=1bxu7Q_LGxbnndKDrgwBYxaISp6mcw5RU")</f>
        <v>https://drive.google.com/open?id=1bxu7Q_LGxbnndKDrgwBYxaISp6mcw5RU</v>
      </c>
      <c r="J757" s="59"/>
      <c r="K757" s="59"/>
      <c r="L757" s="59"/>
      <c r="M757" s="59"/>
      <c r="N757" s="59"/>
      <c r="O757" s="59"/>
      <c r="P757" s="59"/>
    </row>
    <row r="758" spans="1:16">
      <c r="A758" s="71">
        <f ca="1">IFERROR(__xludf.DUMMYFUNCTION("""COMPUTED_VALUE"""),44984.6684103356)</f>
        <v>44984.668410335602</v>
      </c>
      <c r="B758" s="59" t="str">
        <f ca="1">IFERROR(__xludf.DUMMYFUNCTION("""COMPUTED_VALUE"""),"Param.N.vyas")</f>
        <v>Param.N.vyas</v>
      </c>
      <c r="C758" s="72" t="str">
        <f ca="1">IFERROR(__xludf.DUMMYFUNCTION("""COMPUTED_VALUE"""),"22SDSCE01127")</f>
        <v>22SDSCE01127</v>
      </c>
      <c r="D758" s="73">
        <f ca="1">IFERROR(__xludf.DUMMYFUNCTION("""COMPUTED_VALUE"""),44973)</f>
        <v>44973</v>
      </c>
      <c r="E758" s="74">
        <f ca="1">IFERROR(__xludf.DUMMYFUNCTION("""COMPUTED_VALUE"""),12000)</f>
        <v>12000</v>
      </c>
      <c r="F758" s="72">
        <f ca="1">IFERROR(__xludf.DUMMYFUNCTION("""COMPUTED_VALUE"""),3000)</f>
        <v>3000</v>
      </c>
      <c r="G758" s="75"/>
      <c r="H758" s="59" t="str">
        <f ca="1">IFERROR(__xludf.DUMMYFUNCTION("""COMPUTED_VALUE"""),"UPDATE")</f>
        <v>UPDATE</v>
      </c>
      <c r="I758" s="76" t="str">
        <f ca="1">IFERROR(__xludf.DUMMYFUNCTION("""COMPUTED_VALUE"""),"https://drive.google.com/open?id=1HOv2F1CdaRbVVkr37ZiBJNL2Qthz7ZjB")</f>
        <v>https://drive.google.com/open?id=1HOv2F1CdaRbVVkr37ZiBJNL2Qthz7ZjB</v>
      </c>
      <c r="J758" s="59"/>
      <c r="K758" s="59"/>
      <c r="L758" s="59"/>
      <c r="M758" s="59"/>
      <c r="N758" s="59"/>
      <c r="O758" s="59"/>
      <c r="P758" s="59"/>
    </row>
    <row r="759" spans="1:16">
      <c r="A759" s="71">
        <f ca="1">IFERROR(__xludf.DUMMYFUNCTION("""COMPUTED_VALUE"""),44984.54973603)</f>
        <v>44984.54973603</v>
      </c>
      <c r="B759" s="59" t="str">
        <f ca="1">IFERROR(__xludf.DUMMYFUNCTION("""COMPUTED_VALUE"""),"Maraviya Sohil Yunusbhai")</f>
        <v>Maraviya Sohil Yunusbhai</v>
      </c>
      <c r="C759" s="72" t="str">
        <f ca="1">IFERROR(__xludf.DUMMYFUNCTION("""COMPUTED_VALUE"""),"22SDSCE01068")</f>
        <v>22SDSCE01068</v>
      </c>
      <c r="D759" s="73">
        <f ca="1">IFERROR(__xludf.DUMMYFUNCTION("""COMPUTED_VALUE"""),44984)</f>
        <v>44984</v>
      </c>
      <c r="E759" s="74">
        <f ca="1">IFERROR(__xludf.DUMMYFUNCTION("""COMPUTED_VALUE"""),25000)</f>
        <v>25000</v>
      </c>
      <c r="F759" s="72">
        <f ca="1">IFERROR(__xludf.DUMMYFUNCTION("""COMPUTED_VALUE"""),3000)</f>
        <v>3000</v>
      </c>
      <c r="G759" s="75"/>
      <c r="H759" s="59" t="str">
        <f ca="1">IFERROR(__xludf.DUMMYFUNCTION("""COMPUTED_VALUE"""),"UPDATE")</f>
        <v>UPDATE</v>
      </c>
      <c r="I759" s="76" t="str">
        <f ca="1">IFERROR(__xludf.DUMMYFUNCTION("""COMPUTED_VALUE"""),"https://drive.google.com/open?id=1eX-R2RSQFMf7E6Coa6qgTLifZ49MX525")</f>
        <v>https://drive.google.com/open?id=1eX-R2RSQFMf7E6Coa6qgTLifZ49MX525</v>
      </c>
      <c r="J759" s="59"/>
      <c r="K759" s="59"/>
      <c r="L759" s="59"/>
      <c r="M759" s="59"/>
      <c r="N759" s="59"/>
      <c r="O759" s="59"/>
      <c r="P759" s="59"/>
    </row>
    <row r="760" spans="1:16">
      <c r="A760" s="71">
        <f ca="1">IFERROR(__xludf.DUMMYFUNCTION("""COMPUTED_VALUE"""),44984.5306984953)</f>
        <v>44984.530698495299</v>
      </c>
      <c r="B760" s="59" t="str">
        <f ca="1">IFERROR(__xludf.DUMMYFUNCTION("""COMPUTED_VALUE"""),"Shah Dhruv")</f>
        <v>Shah Dhruv</v>
      </c>
      <c r="C760" s="72" t="str">
        <f ca="1">IFERROR(__xludf.DUMMYFUNCTION("""COMPUTED_VALUE"""),"22SDSCE01188")</f>
        <v>22SDSCE01188</v>
      </c>
      <c r="D760" s="73">
        <f ca="1">IFERROR(__xludf.DUMMYFUNCTION("""COMPUTED_VALUE"""),44974)</f>
        <v>44974</v>
      </c>
      <c r="E760" s="74">
        <f ca="1">IFERROR(__xludf.DUMMYFUNCTION("""COMPUTED_VALUE"""),25000)</f>
        <v>25000</v>
      </c>
      <c r="F760" s="72">
        <f ca="1">IFERROR(__xludf.DUMMYFUNCTION("""COMPUTED_VALUE"""),3000)</f>
        <v>3000</v>
      </c>
      <c r="G760" s="75"/>
      <c r="H760" s="59" t="str">
        <f ca="1">IFERROR(__xludf.DUMMYFUNCTION("""COMPUTED_VALUE"""),"UPDATE")</f>
        <v>UPDATE</v>
      </c>
      <c r="I760" s="76" t="str">
        <f ca="1">IFERROR(__xludf.DUMMYFUNCTION("""COMPUTED_VALUE"""),"https://drive.google.com/open?id=1vlj3fZeBvLmXF6sjucaSrdZU1TBgrP58")</f>
        <v>https://drive.google.com/open?id=1vlj3fZeBvLmXF6sjucaSrdZU1TBgrP58</v>
      </c>
      <c r="J760" s="59"/>
      <c r="K760" s="59"/>
      <c r="L760" s="59"/>
      <c r="M760" s="59"/>
      <c r="N760" s="59"/>
      <c r="O760" s="59"/>
      <c r="P760" s="59"/>
    </row>
    <row r="761" spans="1:16">
      <c r="A761" s="71">
        <f ca="1">IFERROR(__xludf.DUMMYFUNCTION("""COMPUTED_VALUE"""),44984.5019581713)</f>
        <v>44984.501958171299</v>
      </c>
      <c r="B761" s="59" t="str">
        <f ca="1">IFERROR(__xludf.DUMMYFUNCTION("""COMPUTED_VALUE"""),"Dobariya Sujal Sureshbhai")</f>
        <v>Dobariya Sujal Sureshbhai</v>
      </c>
      <c r="C761" s="72" t="str">
        <f ca="1">IFERROR(__xludf.DUMMYFUNCTION("""COMPUTED_VALUE"""),"22SDSCE01144")</f>
        <v>22SDSCE01144</v>
      </c>
      <c r="D761" s="73">
        <f ca="1">IFERROR(__xludf.DUMMYFUNCTION("""COMPUTED_VALUE"""),44984)</f>
        <v>44984</v>
      </c>
      <c r="E761" s="74">
        <f ca="1">IFERROR(__xludf.DUMMYFUNCTION("""COMPUTED_VALUE"""),25000)</f>
        <v>25000</v>
      </c>
      <c r="F761" s="72">
        <f ca="1">IFERROR(__xludf.DUMMYFUNCTION("""COMPUTED_VALUE"""),0)</f>
        <v>0</v>
      </c>
      <c r="G761" s="75"/>
      <c r="H761" s="59" t="str">
        <f ca="1">IFERROR(__xludf.DUMMYFUNCTION("""COMPUTED_VALUE"""),"UPDATE")</f>
        <v>UPDATE</v>
      </c>
      <c r="I761" s="76" t="str">
        <f ca="1">IFERROR(__xludf.DUMMYFUNCTION("""COMPUTED_VALUE"""),"https://drive.google.com/open?id=1bLuo-Xzt6JUjzxuRfS1zjfmT7PbGpmAr")</f>
        <v>https://drive.google.com/open?id=1bLuo-Xzt6JUjzxuRfS1zjfmT7PbGpmAr</v>
      </c>
      <c r="J761" s="59"/>
      <c r="K761" s="59"/>
      <c r="L761" s="59"/>
      <c r="M761" s="59"/>
      <c r="N761" s="59"/>
      <c r="O761" s="59"/>
      <c r="P761" s="59"/>
    </row>
    <row r="762" spans="1:16">
      <c r="A762" s="71">
        <f ca="1">IFERROR(__xludf.DUMMYFUNCTION("""COMPUTED_VALUE"""),44984.4102724768)</f>
        <v>44984.410272476802</v>
      </c>
      <c r="B762" s="59" t="str">
        <f ca="1">IFERROR(__xludf.DUMMYFUNCTION("""COMPUTED_VALUE"""),"Vegad vivek dipak bhai ")</f>
        <v xml:space="preserve">Vegad vivek dipak bhai </v>
      </c>
      <c r="C762" s="72" t="str">
        <f ca="1">IFERROR(__xludf.DUMMYFUNCTION("""COMPUTED_VALUE"""),"22SDSCE01197")</f>
        <v>22SDSCE01197</v>
      </c>
      <c r="D762" s="73">
        <f ca="1">IFERROR(__xludf.DUMMYFUNCTION("""COMPUTED_VALUE"""),44984)</f>
        <v>44984</v>
      </c>
      <c r="E762" s="72"/>
      <c r="F762" s="72"/>
      <c r="G762" s="75"/>
      <c r="H762" s="59" t="str">
        <f ca="1">IFERROR(__xludf.DUMMYFUNCTION("""COMPUTED_VALUE"""),"UPDATE")</f>
        <v>UPDATE</v>
      </c>
      <c r="I762" s="76" t="str">
        <f ca="1">IFERROR(__xludf.DUMMYFUNCTION("""COMPUTED_VALUE"""),"https://drive.google.com/open?id=1b4xfz5LKCaBXBUXyQlVMVWrLPAMgBXSN")</f>
        <v>https://drive.google.com/open?id=1b4xfz5LKCaBXBUXyQlVMVWrLPAMgBXSN</v>
      </c>
      <c r="J762" s="59"/>
      <c r="K762" s="59"/>
      <c r="L762" s="59"/>
      <c r="M762" s="59"/>
      <c r="N762" s="59"/>
      <c r="O762" s="59"/>
      <c r="P762" s="59"/>
    </row>
    <row r="763" spans="1:16">
      <c r="A763" s="71">
        <f ca="1">IFERROR(__xludf.DUMMYFUNCTION("""COMPUTED_VALUE"""),44984.4085093055)</f>
        <v>44984.408509305496</v>
      </c>
      <c r="B763" s="59" t="str">
        <f ca="1">IFERROR(__xludf.DUMMYFUNCTION("""COMPUTED_VALUE"""),"Vegad vivek dipak bhai")</f>
        <v>Vegad vivek dipak bhai</v>
      </c>
      <c r="C763" s="72" t="str">
        <f ca="1">IFERROR(__xludf.DUMMYFUNCTION("""COMPUTED_VALUE"""),"22SDSCE01197")</f>
        <v>22SDSCE01197</v>
      </c>
      <c r="D763" s="73">
        <f ca="1">IFERROR(__xludf.DUMMYFUNCTION("""COMPUTED_VALUE"""),44984)</f>
        <v>44984</v>
      </c>
      <c r="E763" s="74">
        <f ca="1">IFERROR(__xludf.DUMMYFUNCTION("""COMPUTED_VALUE"""),25000)</f>
        <v>25000</v>
      </c>
      <c r="F763" s="72">
        <f ca="1">IFERROR(__xludf.DUMMYFUNCTION("""COMPUTED_VALUE"""),3000)</f>
        <v>3000</v>
      </c>
      <c r="G763" s="75"/>
      <c r="H763" s="59" t="str">
        <f ca="1">IFERROR(__xludf.DUMMYFUNCTION("""COMPUTED_VALUE"""),"UPDATE")</f>
        <v>UPDATE</v>
      </c>
      <c r="I763" s="76" t="str">
        <f ca="1">IFERROR(__xludf.DUMMYFUNCTION("""COMPUTED_VALUE"""),"https://drive.google.com/open?id=1bwm0qt5f0Guh2m8gHtJ_hebTlFHxTo7z")</f>
        <v>https://drive.google.com/open?id=1bwm0qt5f0Guh2m8gHtJ_hebTlFHxTo7z</v>
      </c>
      <c r="J763" s="59"/>
      <c r="K763" s="59"/>
      <c r="L763" s="59"/>
      <c r="M763" s="59"/>
      <c r="N763" s="59"/>
      <c r="O763" s="59"/>
      <c r="P763" s="59"/>
    </row>
    <row r="764" spans="1:16">
      <c r="A764" s="71">
        <f ca="1">IFERROR(__xludf.DUMMYFUNCTION("""COMPUTED_VALUE"""),44983.7735828703)</f>
        <v>44983.773582870301</v>
      </c>
      <c r="B764" s="59" t="str">
        <f ca="1">IFERROR(__xludf.DUMMYFUNCTION("""COMPUTED_VALUE"""),"Mandanka Vansh Laljibhai")</f>
        <v>Mandanka Vansh Laljibhai</v>
      </c>
      <c r="C764" s="72" t="str">
        <f ca="1">IFERROR(__xludf.DUMMYFUNCTION("""COMPUTED_VALUE"""),"22SDSCE01067")</f>
        <v>22SDSCE01067</v>
      </c>
      <c r="D764" s="73">
        <f ca="1">IFERROR(__xludf.DUMMYFUNCTION("""COMPUTED_VALUE"""),44983)</f>
        <v>44983</v>
      </c>
      <c r="E764" s="74">
        <f ca="1">IFERROR(__xludf.DUMMYFUNCTION("""COMPUTED_VALUE"""),0)</f>
        <v>0</v>
      </c>
      <c r="F764" s="72">
        <f ca="1">IFERROR(__xludf.DUMMYFUNCTION("""COMPUTED_VALUE"""),3000)</f>
        <v>3000</v>
      </c>
      <c r="G764" s="75"/>
      <c r="H764" s="59" t="str">
        <f ca="1">IFERROR(__xludf.DUMMYFUNCTION("""COMPUTED_VALUE"""),"UPDATE")</f>
        <v>UPDATE</v>
      </c>
      <c r="I764" s="76" t="str">
        <f ca="1">IFERROR(__xludf.DUMMYFUNCTION("""COMPUTED_VALUE"""),"https://drive.google.com/open?id=1rFrJQ3Z_g4drnY6jDUpRSgX_99zlSSGH")</f>
        <v>https://drive.google.com/open?id=1rFrJQ3Z_g4drnY6jDUpRSgX_99zlSSGH</v>
      </c>
      <c r="J764" s="59"/>
      <c r="K764" s="59"/>
      <c r="L764" s="59"/>
      <c r="M764" s="59"/>
      <c r="N764" s="59"/>
      <c r="O764" s="59"/>
      <c r="P764" s="59"/>
    </row>
    <row r="765" spans="1:16">
      <c r="A765" s="71">
        <f ca="1">IFERROR(__xludf.DUMMYFUNCTION("""COMPUTED_VALUE"""),44983.7627339583)</f>
        <v>44983.762733958298</v>
      </c>
      <c r="B765" s="59" t="str">
        <f ca="1">IFERROR(__xludf.DUMMYFUNCTION("""COMPUTED_VALUE"""),"Rank Shubh Chhagan Bhai ")</f>
        <v xml:space="preserve">Rank Shubh Chhagan Bhai </v>
      </c>
      <c r="C765" s="72" t="str">
        <f ca="1">IFERROR(__xludf.DUMMYFUNCTION("""COMPUTED_VALUE"""),"22SDSCE01096")</f>
        <v>22SDSCE01096</v>
      </c>
      <c r="D765" s="73">
        <f ca="1">IFERROR(__xludf.DUMMYFUNCTION("""COMPUTED_VALUE"""),44983)</f>
        <v>44983</v>
      </c>
      <c r="E765" s="74">
        <f ca="1">IFERROR(__xludf.DUMMYFUNCTION("""COMPUTED_VALUE"""),0)</f>
        <v>0</v>
      </c>
      <c r="F765" s="72">
        <f ca="1">IFERROR(__xludf.DUMMYFUNCTION("""COMPUTED_VALUE"""),3000)</f>
        <v>3000</v>
      </c>
      <c r="G765" s="75"/>
      <c r="H765" s="59" t="str">
        <f ca="1">IFERROR(__xludf.DUMMYFUNCTION("""COMPUTED_VALUE"""),"UPDATE")</f>
        <v>UPDATE</v>
      </c>
      <c r="I765" s="76" t="str">
        <f ca="1">IFERROR(__xludf.DUMMYFUNCTION("""COMPUTED_VALUE"""),"https://drive.google.com/open?id=1XEEt6K3eIkupLzjyNaYP0XNV9Z67Bd7s")</f>
        <v>https://drive.google.com/open?id=1XEEt6K3eIkupLzjyNaYP0XNV9Z67Bd7s</v>
      </c>
      <c r="J765" s="59"/>
      <c r="K765" s="59"/>
      <c r="L765" s="59"/>
      <c r="M765" s="59"/>
      <c r="N765" s="59"/>
      <c r="O765" s="59"/>
      <c r="P765" s="59"/>
    </row>
    <row r="766" spans="1:16">
      <c r="A766" s="71">
        <f ca="1">IFERROR(__xludf.DUMMYFUNCTION("""COMPUTED_VALUE"""),44981.9709511458)</f>
        <v>44981.970951145799</v>
      </c>
      <c r="B766" s="59" t="str">
        <f ca="1">IFERROR(__xludf.DUMMYFUNCTION("""COMPUTED_VALUE"""),"Dhaduk Sarthak Sanjaybhai")</f>
        <v>Dhaduk Sarthak Sanjaybhai</v>
      </c>
      <c r="C766" s="72" t="str">
        <f ca="1">IFERROR(__xludf.DUMMYFUNCTION("""COMPUTED_VALUE"""),"20SDSCE01027")</f>
        <v>20SDSCE01027</v>
      </c>
      <c r="D766" s="73">
        <f ca="1">IFERROR(__xludf.DUMMYFUNCTION("""COMPUTED_VALUE"""),44981)</f>
        <v>44981</v>
      </c>
      <c r="E766" s="74">
        <f ca="1">IFERROR(__xludf.DUMMYFUNCTION("""COMPUTED_VALUE"""),25000)</f>
        <v>25000</v>
      </c>
      <c r="F766" s="72">
        <f ca="1">IFERROR(__xludf.DUMMYFUNCTION("""COMPUTED_VALUE"""),0)</f>
        <v>0</v>
      </c>
      <c r="G766" s="75"/>
      <c r="H766" s="59" t="str">
        <f ca="1">IFERROR(__xludf.DUMMYFUNCTION("""COMPUTED_VALUE"""),"UPDATE")</f>
        <v>UPDATE</v>
      </c>
      <c r="I766" s="76" t="str">
        <f ca="1">IFERROR(__xludf.DUMMYFUNCTION("""COMPUTED_VALUE"""),"https://drive.google.com/open?id=1AfsyGKuH5rjsb6QoPwXKNyo1N9CmW0Df")</f>
        <v>https://drive.google.com/open?id=1AfsyGKuH5rjsb6QoPwXKNyo1N9CmW0Df</v>
      </c>
      <c r="J766" s="59"/>
      <c r="K766" s="59"/>
      <c r="L766" s="59"/>
      <c r="M766" s="59"/>
      <c r="N766" s="59"/>
      <c r="O766" s="59"/>
      <c r="P766" s="59"/>
    </row>
    <row r="767" spans="1:16">
      <c r="A767" s="71">
        <f ca="1">IFERROR(__xludf.DUMMYFUNCTION("""COMPUTED_VALUE"""),44981.673053368)</f>
        <v>44981.673053368002</v>
      </c>
      <c r="B767" s="59" t="str">
        <f ca="1">IFERROR(__xludf.DUMMYFUNCTION("""COMPUTED_VALUE"""),"Chavda Nikunj Jagdishbhai ")</f>
        <v xml:space="preserve">Chavda Nikunj Jagdishbhai </v>
      </c>
      <c r="C767" s="72" t="str">
        <f ca="1">IFERROR(__xludf.DUMMYFUNCTION("""COMPUTED_VALUE"""),"22SDSCE01138")</f>
        <v>22SDSCE01138</v>
      </c>
      <c r="D767" s="73">
        <f ca="1">IFERROR(__xludf.DUMMYFUNCTION("""COMPUTED_VALUE"""),44981)</f>
        <v>44981</v>
      </c>
      <c r="E767" s="72"/>
      <c r="F767" s="72">
        <f ca="1">IFERROR(__xludf.DUMMYFUNCTION("""COMPUTED_VALUE"""),3200)</f>
        <v>3200</v>
      </c>
      <c r="G767" s="75"/>
      <c r="H767" s="59" t="str">
        <f ca="1">IFERROR(__xludf.DUMMYFUNCTION("""COMPUTED_VALUE"""),"UPDATE")</f>
        <v>UPDATE</v>
      </c>
      <c r="I767" s="76" t="str">
        <f ca="1">IFERROR(__xludf.DUMMYFUNCTION("""COMPUTED_VALUE"""),"https://drive.google.com/open?id=1Rc1yLq9xAvFSFKORgx-i_YA3aGpDoZcI")</f>
        <v>https://drive.google.com/open?id=1Rc1yLq9xAvFSFKORgx-i_YA3aGpDoZcI</v>
      </c>
      <c r="J767" s="59"/>
      <c r="K767" s="59"/>
      <c r="L767" s="59"/>
      <c r="M767" s="59"/>
      <c r="N767" s="59"/>
      <c r="O767" s="59"/>
      <c r="P767" s="59"/>
    </row>
    <row r="768" spans="1:16">
      <c r="A768" s="71">
        <f ca="1">IFERROR(__xludf.DUMMYFUNCTION("""COMPUTED_VALUE"""),44981.4958483449)</f>
        <v>44981.495848344901</v>
      </c>
      <c r="B768" s="59" t="str">
        <f ca="1">IFERROR(__xludf.DUMMYFUNCTION("""COMPUTED_VALUE"""),"Parakhiya bhaktiben bipinkumar")</f>
        <v>Parakhiya bhaktiben bipinkumar</v>
      </c>
      <c r="C768" s="72" t="str">
        <f ca="1">IFERROR(__xludf.DUMMYFUNCTION("""COMPUTED_VALUE"""),"22SDSCE01179")</f>
        <v>22SDSCE01179</v>
      </c>
      <c r="D768" s="73">
        <f ca="1">IFERROR(__xludf.DUMMYFUNCTION("""COMPUTED_VALUE"""),44981)</f>
        <v>44981</v>
      </c>
      <c r="E768" s="72"/>
      <c r="F768" s="72">
        <f ca="1">IFERROR(__xludf.DUMMYFUNCTION("""COMPUTED_VALUE"""),3000)</f>
        <v>3000</v>
      </c>
      <c r="G768" s="75"/>
      <c r="H768" s="59" t="str">
        <f ca="1">IFERROR(__xludf.DUMMYFUNCTION("""COMPUTED_VALUE"""),"UPDATE")</f>
        <v>UPDATE</v>
      </c>
      <c r="I768" s="76" t="str">
        <f ca="1">IFERROR(__xludf.DUMMYFUNCTION("""COMPUTED_VALUE"""),"https://drive.google.com/open?id=1ppm-olp-Fi20k1t_hwCrzHCZDdCGcUGh")</f>
        <v>https://drive.google.com/open?id=1ppm-olp-Fi20k1t_hwCrzHCZDdCGcUGh</v>
      </c>
      <c r="J768" s="59"/>
      <c r="K768" s="59"/>
      <c r="L768" s="59"/>
      <c r="M768" s="59"/>
      <c r="N768" s="59"/>
      <c r="O768" s="59"/>
      <c r="P768" s="59"/>
    </row>
    <row r="769" spans="1:16">
      <c r="A769" s="71">
        <f ca="1">IFERROR(__xludf.DUMMYFUNCTION("""COMPUTED_VALUE"""),44981.4011123148)</f>
        <v>44981.401112314801</v>
      </c>
      <c r="B769" s="59" t="str">
        <f ca="1">IFERROR(__xludf.DUMMYFUNCTION("""COMPUTED_VALUE"""),"Parmar devendrashih")</f>
        <v>Parmar devendrashih</v>
      </c>
      <c r="C769" s="72" t="str">
        <f ca="1">IFERROR(__xludf.DUMMYFUNCTION("""COMPUTED_VALUE"""),"22SDSCE01087")</f>
        <v>22SDSCE01087</v>
      </c>
      <c r="D769" s="73">
        <f ca="1">IFERROR(__xludf.DUMMYFUNCTION("""COMPUTED_VALUE"""),44981)</f>
        <v>44981</v>
      </c>
      <c r="E769" s="74">
        <f ca="1">IFERROR(__xludf.DUMMYFUNCTION("""COMPUTED_VALUE"""),0)</f>
        <v>0</v>
      </c>
      <c r="F769" s="72">
        <f ca="1">IFERROR(__xludf.DUMMYFUNCTION("""COMPUTED_VALUE"""),0)</f>
        <v>0</v>
      </c>
      <c r="G769" s="75"/>
      <c r="H769" s="59" t="str">
        <f ca="1">IFERROR(__xludf.DUMMYFUNCTION("""COMPUTED_VALUE"""),"UPDATE")</f>
        <v>UPDATE</v>
      </c>
      <c r="I769" s="76" t="str">
        <f ca="1">IFERROR(__xludf.DUMMYFUNCTION("""COMPUTED_VALUE"""),"https://drive.google.com/open?id=1Zaassb2kCR-dLTBKcBb4lqqdpVzI_UOd")</f>
        <v>https://drive.google.com/open?id=1Zaassb2kCR-dLTBKcBb4lqqdpVzI_UOd</v>
      </c>
      <c r="J769" s="59"/>
      <c r="K769" s="59"/>
      <c r="L769" s="59"/>
      <c r="M769" s="59"/>
      <c r="N769" s="59"/>
      <c r="O769" s="59"/>
      <c r="P769" s="59"/>
    </row>
    <row r="770" spans="1:16">
      <c r="A770" s="71">
        <f ca="1">IFERROR(__xludf.DUMMYFUNCTION("""COMPUTED_VALUE"""),44980.71227625)</f>
        <v>44980.71227625</v>
      </c>
      <c r="B770" s="59" t="str">
        <f ca="1">IFERROR(__xludf.DUMMYFUNCTION("""COMPUTED_VALUE"""),"Vaja vansh Atulkumar")</f>
        <v>Vaja vansh Atulkumar</v>
      </c>
      <c r="C770" s="72" t="str">
        <f ca="1">IFERROR(__xludf.DUMMYFUNCTION("""COMPUTED_VALUE"""),"22SDSCE01195")</f>
        <v>22SDSCE01195</v>
      </c>
      <c r="D770" s="73">
        <f ca="1">IFERROR(__xludf.DUMMYFUNCTION("""COMPUTED_VALUE"""),44980)</f>
        <v>44980</v>
      </c>
      <c r="E770" s="74">
        <f ca="1">IFERROR(__xludf.DUMMYFUNCTION("""COMPUTED_VALUE"""),25000)</f>
        <v>25000</v>
      </c>
      <c r="F770" s="72">
        <f ca="1">IFERROR(__xludf.DUMMYFUNCTION("""COMPUTED_VALUE"""),3000)</f>
        <v>3000</v>
      </c>
      <c r="G770" s="75"/>
      <c r="H770" s="59" t="str">
        <f ca="1">IFERROR(__xludf.DUMMYFUNCTION("""COMPUTED_VALUE"""),"UPDATE")</f>
        <v>UPDATE</v>
      </c>
      <c r="I770" s="76" t="str">
        <f ca="1">IFERROR(__xludf.DUMMYFUNCTION("""COMPUTED_VALUE"""),"https://drive.google.com/open?id=1rqEChxNhmtqmmdV0PgxpOnN0iRN_1WxS")</f>
        <v>https://drive.google.com/open?id=1rqEChxNhmtqmmdV0PgxpOnN0iRN_1WxS</v>
      </c>
      <c r="J770" s="59"/>
      <c r="K770" s="59"/>
      <c r="L770" s="59"/>
      <c r="M770" s="59"/>
      <c r="N770" s="59"/>
      <c r="O770" s="59"/>
      <c r="P770" s="59"/>
    </row>
    <row r="771" spans="1:16">
      <c r="A771" s="71">
        <f ca="1">IFERROR(__xludf.DUMMYFUNCTION("""COMPUTED_VALUE"""),44980.7042156828)</f>
        <v>44980.704215682803</v>
      </c>
      <c r="B771" s="59" t="str">
        <f ca="1">IFERROR(__xludf.DUMMYFUNCTION("""COMPUTED_VALUE"""),"Vaja vansh ATULKUMAR ")</f>
        <v xml:space="preserve">Vaja vansh ATULKUMAR </v>
      </c>
      <c r="C771" s="72" t="str">
        <f ca="1">IFERROR(__xludf.DUMMYFUNCTION("""COMPUTED_VALUE"""),"22SDSCE01195")</f>
        <v>22SDSCE01195</v>
      </c>
      <c r="D771" s="73">
        <f ca="1">IFERROR(__xludf.DUMMYFUNCTION("""COMPUTED_VALUE"""),44977)</f>
        <v>44977</v>
      </c>
      <c r="E771" s="74">
        <f ca="1">IFERROR(__xludf.DUMMYFUNCTION("""COMPUTED_VALUE"""),25000)</f>
        <v>25000</v>
      </c>
      <c r="F771" s="72">
        <f ca="1">IFERROR(__xludf.DUMMYFUNCTION("""COMPUTED_VALUE"""),3000)</f>
        <v>3000</v>
      </c>
      <c r="G771" s="75"/>
      <c r="H771" s="59" t="str">
        <f ca="1">IFERROR(__xludf.DUMMYFUNCTION("""COMPUTED_VALUE"""),"UPDATE")</f>
        <v>UPDATE</v>
      </c>
      <c r="I771" s="76" t="str">
        <f ca="1">IFERROR(__xludf.DUMMYFUNCTION("""COMPUTED_VALUE"""),"https://drive.google.com/open?id=1ACk2KD59Zfh6-ORjorUwFL_ce8e1k3JL")</f>
        <v>https://drive.google.com/open?id=1ACk2KD59Zfh6-ORjorUwFL_ce8e1k3JL</v>
      </c>
      <c r="J771" s="59"/>
      <c r="K771" s="59"/>
      <c r="L771" s="59"/>
      <c r="M771" s="59"/>
      <c r="N771" s="59"/>
      <c r="O771" s="59"/>
      <c r="P771" s="59"/>
    </row>
    <row r="772" spans="1:16">
      <c r="A772" s="71">
        <f ca="1">IFERROR(__xludf.DUMMYFUNCTION("""COMPUTED_VALUE"""),44979.5276815972)</f>
        <v>44979.527681597203</v>
      </c>
      <c r="B772" s="59" t="str">
        <f ca="1">IFERROR(__xludf.DUMMYFUNCTION("""COMPUTED_VALUE"""),"Kardani Tirth Chimanbhai")</f>
        <v>Kardani Tirth Chimanbhai</v>
      </c>
      <c r="C772" s="72" t="str">
        <f ca="1">IFERROR(__xludf.DUMMYFUNCTION("""COMPUTED_VALUE"""),"22SDSCE01156")</f>
        <v>22SDSCE01156</v>
      </c>
      <c r="D772" s="73">
        <f ca="1">IFERROR(__xludf.DUMMYFUNCTION("""COMPUTED_VALUE"""),44979)</f>
        <v>44979</v>
      </c>
      <c r="E772" s="74">
        <f ca="1">IFERROR(__xludf.DUMMYFUNCTION("""COMPUTED_VALUE"""),25000)</f>
        <v>25000</v>
      </c>
      <c r="F772" s="72">
        <f ca="1">IFERROR(__xludf.DUMMYFUNCTION("""COMPUTED_VALUE"""),3200)</f>
        <v>3200</v>
      </c>
      <c r="G772" s="75"/>
      <c r="H772" s="59" t="str">
        <f ca="1">IFERROR(__xludf.DUMMYFUNCTION("""COMPUTED_VALUE"""),"UPDATE")</f>
        <v>UPDATE</v>
      </c>
      <c r="I772" s="76" t="str">
        <f ca="1">IFERROR(__xludf.DUMMYFUNCTION("""COMPUTED_VALUE"""),"https://drive.google.com/open?id=1WW86h-J1Q0lEqUeQuzf8TLgUeunR5t8N")</f>
        <v>https://drive.google.com/open?id=1WW86h-J1Q0lEqUeQuzf8TLgUeunR5t8N</v>
      </c>
      <c r="J772" s="59"/>
      <c r="K772" s="59"/>
      <c r="L772" s="59"/>
      <c r="M772" s="59"/>
      <c r="N772" s="59"/>
      <c r="O772" s="59"/>
      <c r="P772" s="59"/>
    </row>
    <row r="773" spans="1:16">
      <c r="A773" s="71">
        <f ca="1">IFERROR(__xludf.DUMMYFUNCTION("""COMPUTED_VALUE"""),44979.403671331)</f>
        <v>44979.403671330998</v>
      </c>
      <c r="B773" s="59" t="str">
        <f ca="1">IFERROR(__xludf.DUMMYFUNCTION("""COMPUTED_VALUE"""),"Pansuriya Jay Jigneshbhai ")</f>
        <v xml:space="preserve">Pansuriya Jay Jigneshbhai </v>
      </c>
      <c r="C773" s="72" t="str">
        <f ca="1">IFERROR(__xludf.DUMMYFUNCTION("""COMPUTED_VALUE"""),"20SDSCE01076")</f>
        <v>20SDSCE01076</v>
      </c>
      <c r="D773" s="73">
        <f ca="1">IFERROR(__xludf.DUMMYFUNCTION("""COMPUTED_VALUE"""),44907)</f>
        <v>44907</v>
      </c>
      <c r="E773" s="72"/>
      <c r="F773" s="72">
        <f ca="1">IFERROR(__xludf.DUMMYFUNCTION("""COMPUTED_VALUE"""),3750)</f>
        <v>3750</v>
      </c>
      <c r="G773" s="75"/>
      <c r="H773" s="59" t="str">
        <f ca="1">IFERROR(__xludf.DUMMYFUNCTION("""COMPUTED_VALUE"""),"UPDATE")</f>
        <v>UPDATE</v>
      </c>
      <c r="I773" s="76" t="str">
        <f ca="1">IFERROR(__xludf.DUMMYFUNCTION("""COMPUTED_VALUE"""),"https://drive.google.com/open?id=1Dd4v7xm0tVRJcQ7UqL64h_sjC3y-yxjl")</f>
        <v>https://drive.google.com/open?id=1Dd4v7xm0tVRJcQ7UqL64h_sjC3y-yxjl</v>
      </c>
      <c r="J773" s="59"/>
      <c r="K773" s="59"/>
      <c r="L773" s="59"/>
      <c r="M773" s="59"/>
      <c r="N773" s="59"/>
      <c r="O773" s="59"/>
      <c r="P773" s="59"/>
    </row>
    <row r="774" spans="1:16">
      <c r="A774" s="71">
        <f ca="1">IFERROR(__xludf.DUMMYFUNCTION("""COMPUTED_VALUE"""),44978.4990963194)</f>
        <v>44978.4990963194</v>
      </c>
      <c r="B774" s="59" t="str">
        <f ca="1">IFERROR(__xludf.DUMMYFUNCTION("""COMPUTED_VALUE"""),"Bhimani bhargav manishbhai ")</f>
        <v xml:space="preserve">Bhimani bhargav manishbhai </v>
      </c>
      <c r="C774" s="72" t="str">
        <f ca="1">IFERROR(__xludf.DUMMYFUNCTION("""COMPUTED_VALUE"""),"20sdsce01012")</f>
        <v>20sdsce01012</v>
      </c>
      <c r="D774" s="73">
        <f ca="1">IFERROR(__xludf.DUMMYFUNCTION("""COMPUTED_VALUE"""),44954)</f>
        <v>44954</v>
      </c>
      <c r="E774" s="72"/>
      <c r="F774" s="72">
        <f ca="1">IFERROR(__xludf.DUMMYFUNCTION("""COMPUTED_VALUE"""),2500)</f>
        <v>2500</v>
      </c>
      <c r="G774" s="75"/>
      <c r="H774" s="59" t="str">
        <f ca="1">IFERROR(__xludf.DUMMYFUNCTION("""COMPUTED_VALUE"""),"UPDATE")</f>
        <v>UPDATE</v>
      </c>
      <c r="I774" s="76" t="str">
        <f ca="1">IFERROR(__xludf.DUMMYFUNCTION("""COMPUTED_VALUE"""),"https://drive.google.com/open?id=1uEt3gx_SR8929zAo8Uvw9VPccPLjJMy_")</f>
        <v>https://drive.google.com/open?id=1uEt3gx_SR8929zAo8Uvw9VPccPLjJMy_</v>
      </c>
      <c r="J774" s="59"/>
      <c r="K774" s="59"/>
      <c r="L774" s="59"/>
      <c r="M774" s="59"/>
      <c r="N774" s="59"/>
      <c r="O774" s="59"/>
      <c r="P774" s="59"/>
    </row>
    <row r="775" spans="1:16">
      <c r="A775" s="71">
        <f ca="1">IFERROR(__xludf.DUMMYFUNCTION("""COMPUTED_VALUE"""),44978.4977392476)</f>
        <v>44978.497739247599</v>
      </c>
      <c r="B775" s="59" t="str">
        <f ca="1">IFERROR(__xludf.DUMMYFUNCTION("""COMPUTED_VALUE"""),"Shruti Lakhani")</f>
        <v>Shruti Lakhani</v>
      </c>
      <c r="C775" s="72" t="str">
        <f ca="1">IFERROR(__xludf.DUMMYFUNCTION("""COMPUTED_VALUE"""),"22SDSCE01166")</f>
        <v>22SDSCE01166</v>
      </c>
      <c r="D775" s="73">
        <f ca="1">IFERROR(__xludf.DUMMYFUNCTION("""COMPUTED_VALUE"""),44977)</f>
        <v>44977</v>
      </c>
      <c r="E775" s="74">
        <f ca="1">IFERROR(__xludf.DUMMYFUNCTION("""COMPUTED_VALUE"""),25000)</f>
        <v>25000</v>
      </c>
      <c r="F775" s="72">
        <f ca="1">IFERROR(__xludf.DUMMYFUNCTION("""COMPUTED_VALUE"""),3000)</f>
        <v>3000</v>
      </c>
      <c r="G775" s="75"/>
      <c r="H775" s="59" t="str">
        <f ca="1">IFERROR(__xludf.DUMMYFUNCTION("""COMPUTED_VALUE"""),"UPDATE")</f>
        <v>UPDATE</v>
      </c>
      <c r="I775" s="76" t="str">
        <f ca="1">IFERROR(__xludf.DUMMYFUNCTION("""COMPUTED_VALUE"""),"https://drive.google.com/open?id=1qm1EfuCuEtKYvqmKHULH9xe-6-F8epqE")</f>
        <v>https://drive.google.com/open?id=1qm1EfuCuEtKYvqmKHULH9xe-6-F8epqE</v>
      </c>
      <c r="J775" s="59"/>
      <c r="K775" s="59"/>
      <c r="L775" s="59"/>
      <c r="M775" s="59"/>
      <c r="N775" s="59"/>
      <c r="O775" s="59"/>
      <c r="P775" s="59"/>
    </row>
    <row r="776" spans="1:16">
      <c r="A776" s="71">
        <f ca="1">IFERROR(__xludf.DUMMYFUNCTION("""COMPUTED_VALUE"""),44978.497698449)</f>
        <v>44978.497698448999</v>
      </c>
      <c r="B776" s="59" t="str">
        <f ca="1">IFERROR(__xludf.DUMMYFUNCTION("""COMPUTED_VALUE"""),"Heet kanabar rajeshbhai")</f>
        <v>Heet kanabar rajeshbhai</v>
      </c>
      <c r="C776" s="72" t="str">
        <f ca="1">IFERROR(__xludf.DUMMYFUNCTION("""COMPUTED_VALUE"""),"20SDSCE01049")</f>
        <v>20SDSCE01049</v>
      </c>
      <c r="D776" s="73">
        <f ca="1">IFERROR(__xludf.DUMMYFUNCTION("""COMPUTED_VALUE"""),44910)</f>
        <v>44910</v>
      </c>
      <c r="E776" s="72"/>
      <c r="F776" s="72">
        <f ca="1">IFERROR(__xludf.DUMMYFUNCTION("""COMPUTED_VALUE"""),3750)</f>
        <v>3750</v>
      </c>
      <c r="G776" s="75"/>
      <c r="H776" s="59" t="str">
        <f ca="1">IFERROR(__xludf.DUMMYFUNCTION("""COMPUTED_VALUE"""),"penalty applicable")</f>
        <v>penalty applicable</v>
      </c>
      <c r="I776" s="76" t="str">
        <f ca="1">IFERROR(__xludf.DUMMYFUNCTION("""COMPUTED_VALUE"""),"https://drive.google.com/open?id=1o3LArPBMC53qm1PRi3TdRtlDcgG26ipp")</f>
        <v>https://drive.google.com/open?id=1o3LArPBMC53qm1PRi3TdRtlDcgG26ipp</v>
      </c>
      <c r="J776" s="59"/>
      <c r="K776" s="59"/>
      <c r="L776" s="59"/>
      <c r="M776" s="59"/>
      <c r="N776" s="59"/>
      <c r="O776" s="59"/>
      <c r="P776" s="59"/>
    </row>
    <row r="777" spans="1:16">
      <c r="A777" s="71">
        <f ca="1">IFERROR(__xludf.DUMMYFUNCTION("""COMPUTED_VALUE"""),44978.4736806713)</f>
        <v>44978.473680671297</v>
      </c>
      <c r="B777" s="59" t="str">
        <f ca="1">IFERROR(__xludf.DUMMYFUNCTION("""COMPUTED_VALUE"""),"RAJ_ATKOTIYA")</f>
        <v>RAJ_ATKOTIYA</v>
      </c>
      <c r="C777" s="72" t="str">
        <f ca="1">IFERROR(__xludf.DUMMYFUNCTION("""COMPUTED_VALUE"""),"20SDSCE01005")</f>
        <v>20SDSCE01005</v>
      </c>
      <c r="D777" s="73">
        <f ca="1">IFERROR(__xludf.DUMMYFUNCTION("""COMPUTED_VALUE"""),44906)</f>
        <v>44906</v>
      </c>
      <c r="E777" s="72"/>
      <c r="F777" s="72">
        <f ca="1">IFERROR(__xludf.DUMMYFUNCTION("""COMPUTED_VALUE"""),3750)</f>
        <v>3750</v>
      </c>
      <c r="G777" s="75"/>
      <c r="H777" s="59" t="str">
        <f ca="1">IFERROR(__xludf.DUMMYFUNCTION("""COMPUTED_VALUE"""),"UPDATE")</f>
        <v>UPDATE</v>
      </c>
      <c r="I777" s="76" t="str">
        <f ca="1">IFERROR(__xludf.DUMMYFUNCTION("""COMPUTED_VALUE"""),"https://drive.google.com/open?id=1KZxmQvW0JLOW3muP_0iI6X2wyCOj_og6")</f>
        <v>https://drive.google.com/open?id=1KZxmQvW0JLOW3muP_0iI6X2wyCOj_og6</v>
      </c>
      <c r="J777" s="59"/>
      <c r="K777" s="59"/>
      <c r="L777" s="59"/>
      <c r="M777" s="59"/>
      <c r="N777" s="59"/>
      <c r="O777" s="59"/>
      <c r="P777" s="59"/>
    </row>
    <row r="778" spans="1:16">
      <c r="A778" s="71">
        <f ca="1">IFERROR(__xludf.DUMMYFUNCTION("""COMPUTED_VALUE"""),44977.9071766435)</f>
        <v>44977.907176643501</v>
      </c>
      <c r="B778" s="59" t="str">
        <f ca="1">IFERROR(__xludf.DUMMYFUNCTION("""COMPUTED_VALUE"""),"Tanna kishan dilipbhai ")</f>
        <v xml:space="preserve">Tanna kishan dilipbhai </v>
      </c>
      <c r="C778" s="72" t="str">
        <f ca="1">IFERROR(__xludf.DUMMYFUNCTION("""COMPUTED_VALUE"""),"20SDSME01037")</f>
        <v>20SDSME01037</v>
      </c>
      <c r="D778" s="73">
        <f ca="1">IFERROR(__xludf.DUMMYFUNCTION("""COMPUTED_VALUE"""),44977)</f>
        <v>44977</v>
      </c>
      <c r="E778" s="74">
        <f ca="1">IFERROR(__xludf.DUMMYFUNCTION("""COMPUTED_VALUE"""),25000)</f>
        <v>25000</v>
      </c>
      <c r="F778" s="72"/>
      <c r="G778" s="75"/>
      <c r="H778" s="59" t="str">
        <f ca="1">IFERROR(__xludf.DUMMYFUNCTION("""COMPUTED_VALUE"""),"UPDATE")</f>
        <v>UPDATE</v>
      </c>
      <c r="I778" s="76" t="str">
        <f ca="1">IFERROR(__xludf.DUMMYFUNCTION("""COMPUTED_VALUE"""),"https://drive.google.com/open?id=1b9Izc0jliTNOTAjG2D1XlPiW23AR_U6u")</f>
        <v>https://drive.google.com/open?id=1b9Izc0jliTNOTAjG2D1XlPiW23AR_U6u</v>
      </c>
      <c r="J778" s="59"/>
      <c r="K778" s="59"/>
      <c r="L778" s="59"/>
      <c r="M778" s="59"/>
      <c r="N778" s="59"/>
      <c r="O778" s="59"/>
      <c r="P778" s="59"/>
    </row>
    <row r="779" spans="1:16">
      <c r="A779" s="71">
        <f ca="1">IFERROR(__xludf.DUMMYFUNCTION("""COMPUTED_VALUE"""),44977.7701087847)</f>
        <v>44977.770108784702</v>
      </c>
      <c r="B779" s="59" t="str">
        <f ca="1">IFERROR(__xludf.DUMMYFUNCTION("""COMPUTED_VALUE"""),"Jeet Chudasama ")</f>
        <v xml:space="preserve">Jeet Chudasama </v>
      </c>
      <c r="C779" s="72" t="str">
        <f ca="1">IFERROR(__xludf.DUMMYFUNCTION("""COMPUTED_VALUE"""),"22SDSCE01032")</f>
        <v>22SDSCE01032</v>
      </c>
      <c r="D779" s="73">
        <f ca="1">IFERROR(__xludf.DUMMYFUNCTION("""COMPUTED_VALUE"""),44977)</f>
        <v>44977</v>
      </c>
      <c r="E779" s="72"/>
      <c r="F779" s="72">
        <f ca="1">IFERROR(__xludf.DUMMYFUNCTION("""COMPUTED_VALUE"""),3000)</f>
        <v>3000</v>
      </c>
      <c r="G779" s="75"/>
      <c r="H779" s="59" t="str">
        <f ca="1">IFERROR(__xludf.DUMMYFUNCTION("""COMPUTED_VALUE"""),"UPDATE")</f>
        <v>UPDATE</v>
      </c>
      <c r="I779" s="76" t="str">
        <f ca="1">IFERROR(__xludf.DUMMYFUNCTION("""COMPUTED_VALUE"""),"https://drive.google.com/open?id=1Qhiq8mqlpGGt5oKWr1-P-_pXN95ael_c")</f>
        <v>https://drive.google.com/open?id=1Qhiq8mqlpGGt5oKWr1-P-_pXN95ael_c</v>
      </c>
      <c r="J779" s="59"/>
      <c r="K779" s="59"/>
      <c r="L779" s="59"/>
      <c r="M779" s="59"/>
      <c r="N779" s="59"/>
      <c r="O779" s="59"/>
      <c r="P779" s="59"/>
    </row>
    <row r="780" spans="1:16">
      <c r="A780" s="71">
        <f ca="1">IFERROR(__xludf.DUMMYFUNCTION("""COMPUTED_VALUE"""),44977.6677786689)</f>
        <v>44977.667778668903</v>
      </c>
      <c r="B780" s="59" t="str">
        <f ca="1">IFERROR(__xludf.DUMMYFUNCTION("""COMPUTED_VALUE"""),"Amit Gohel")</f>
        <v>Amit Gohel</v>
      </c>
      <c r="C780" s="72" t="str">
        <f ca="1">IFERROR(__xludf.DUMMYFUNCTION("""COMPUTED_VALUE"""),"22SDSEE01007")</f>
        <v>22SDSEE01007</v>
      </c>
      <c r="D780" s="73">
        <f ca="1">IFERROR(__xludf.DUMMYFUNCTION("""COMPUTED_VALUE"""),44977)</f>
        <v>44977</v>
      </c>
      <c r="E780" s="74">
        <f ca="1">IFERROR(__xludf.DUMMYFUNCTION("""COMPUTED_VALUE"""),0)</f>
        <v>0</v>
      </c>
      <c r="F780" s="72">
        <f ca="1">IFERROR(__xludf.DUMMYFUNCTION("""COMPUTED_VALUE"""),3000)</f>
        <v>3000</v>
      </c>
      <c r="G780" s="75"/>
      <c r="H780" s="59" t="str">
        <f ca="1">IFERROR(__xludf.DUMMYFUNCTION("""COMPUTED_VALUE"""),"UPDATE")</f>
        <v>UPDATE</v>
      </c>
      <c r="I780" s="76" t="str">
        <f ca="1">IFERROR(__xludf.DUMMYFUNCTION("""COMPUTED_VALUE"""),"https://drive.google.com/open?id=1s-2k96JSO5uXzNtpAdyBxqrSBBqe4Syp")</f>
        <v>https://drive.google.com/open?id=1s-2k96JSO5uXzNtpAdyBxqrSBBqe4Syp</v>
      </c>
      <c r="J780" s="59"/>
      <c r="K780" s="59"/>
      <c r="L780" s="59"/>
      <c r="M780" s="59"/>
      <c r="N780" s="59"/>
      <c r="O780" s="59"/>
      <c r="P780" s="59"/>
    </row>
    <row r="781" spans="1:16">
      <c r="A781" s="71">
        <f ca="1">IFERROR(__xludf.DUMMYFUNCTION("""COMPUTED_VALUE"""),44977.6665655787)</f>
        <v>44977.6665655787</v>
      </c>
      <c r="B781" s="59" t="str">
        <f ca="1">IFERROR(__xludf.DUMMYFUNCTION("""COMPUTED_VALUE"""),"Amit Gohel")</f>
        <v>Amit Gohel</v>
      </c>
      <c r="C781" s="72" t="str">
        <f ca="1">IFERROR(__xludf.DUMMYFUNCTION("""COMPUTED_VALUE"""),"22SDSEE01007")</f>
        <v>22SDSEE01007</v>
      </c>
      <c r="D781" s="73">
        <f ca="1">IFERROR(__xludf.DUMMYFUNCTION("""COMPUTED_VALUE"""),44977)</f>
        <v>44977</v>
      </c>
      <c r="E781" s="74">
        <f ca="1">IFERROR(__xludf.DUMMYFUNCTION("""COMPUTED_VALUE"""),25000)</f>
        <v>25000</v>
      </c>
      <c r="F781" s="72">
        <f ca="1">IFERROR(__xludf.DUMMYFUNCTION("""COMPUTED_VALUE"""),0)</f>
        <v>0</v>
      </c>
      <c r="G781" s="75"/>
      <c r="H781" s="59" t="str">
        <f ca="1">IFERROR(__xludf.DUMMYFUNCTION("""COMPUTED_VALUE"""),"UPDATE")</f>
        <v>UPDATE</v>
      </c>
      <c r="I781" s="76" t="str">
        <f ca="1">IFERROR(__xludf.DUMMYFUNCTION("""COMPUTED_VALUE"""),"https://drive.google.com/open?id=1O85meO5m5B8WUH9Ral9iDcMSOWQffnPm")</f>
        <v>https://drive.google.com/open?id=1O85meO5m5B8WUH9Ral9iDcMSOWQffnPm</v>
      </c>
      <c r="J781" s="59"/>
      <c r="K781" s="59"/>
      <c r="L781" s="59"/>
      <c r="M781" s="59"/>
      <c r="N781" s="59"/>
      <c r="O781" s="59"/>
      <c r="P781" s="59"/>
    </row>
    <row r="782" spans="1:16">
      <c r="A782" s="71">
        <f ca="1">IFERROR(__xludf.DUMMYFUNCTION("""COMPUTED_VALUE"""),44977.6116503356)</f>
        <v>44977.611650335602</v>
      </c>
      <c r="B782" s="59" t="str">
        <f ca="1">IFERROR(__xludf.DUMMYFUNCTION("""COMPUTED_VALUE"""),"Bhalani Dhruvi dharmendrabhai")</f>
        <v>Bhalani Dhruvi dharmendrabhai</v>
      </c>
      <c r="C782" s="72" t="str">
        <f ca="1">IFERROR(__xludf.DUMMYFUNCTION("""COMPUTED_VALUE"""),"22SDSCE01015")</f>
        <v>22SDSCE01015</v>
      </c>
      <c r="D782" s="73">
        <f ca="1">IFERROR(__xludf.DUMMYFUNCTION("""COMPUTED_VALUE"""),44974)</f>
        <v>44974</v>
      </c>
      <c r="E782" s="72"/>
      <c r="F782" s="72">
        <f ca="1">IFERROR(__xludf.DUMMYFUNCTION("""COMPUTED_VALUE"""),3000)</f>
        <v>3000</v>
      </c>
      <c r="G782" s="75"/>
      <c r="H782" s="59" t="str">
        <f ca="1">IFERROR(__xludf.DUMMYFUNCTION("""COMPUTED_VALUE"""),"UPDATE")</f>
        <v>UPDATE</v>
      </c>
      <c r="I782" s="76" t="str">
        <f ca="1">IFERROR(__xludf.DUMMYFUNCTION("""COMPUTED_VALUE"""),"https://drive.google.com/open?id=1qZbUwonk3qLBXjoyEXZWVkxzaRvzmWrk")</f>
        <v>https://drive.google.com/open?id=1qZbUwonk3qLBXjoyEXZWVkxzaRvzmWrk</v>
      </c>
      <c r="J782" s="59"/>
      <c r="K782" s="59"/>
      <c r="L782" s="59"/>
      <c r="M782" s="59"/>
      <c r="N782" s="59"/>
      <c r="O782" s="59"/>
      <c r="P782" s="59"/>
    </row>
    <row r="783" spans="1:16">
      <c r="A783" s="71">
        <f ca="1">IFERROR(__xludf.DUMMYFUNCTION("""COMPUTED_VALUE"""),44977.6095713773)</f>
        <v>44977.609571377303</v>
      </c>
      <c r="B783" s="59" t="str">
        <f ca="1">IFERROR(__xludf.DUMMYFUNCTION("""COMPUTED_VALUE"""),"Bhalani Dhruvi dharmendrabhai")</f>
        <v>Bhalani Dhruvi dharmendrabhai</v>
      </c>
      <c r="C783" s="72" t="str">
        <f ca="1">IFERROR(__xludf.DUMMYFUNCTION("""COMPUTED_VALUE"""),"22SDSCE01015")</f>
        <v>22SDSCE01015</v>
      </c>
      <c r="D783" s="73">
        <f ca="1">IFERROR(__xludf.DUMMYFUNCTION("""COMPUTED_VALUE"""),44974)</f>
        <v>44974</v>
      </c>
      <c r="E783" s="72"/>
      <c r="F783" s="72">
        <f ca="1">IFERROR(__xludf.DUMMYFUNCTION("""COMPUTED_VALUE"""),3000)</f>
        <v>3000</v>
      </c>
      <c r="G783" s="75"/>
      <c r="H783" s="59" t="str">
        <f ca="1">IFERROR(__xludf.DUMMYFUNCTION("""COMPUTED_VALUE"""),"UPDATE")</f>
        <v>UPDATE</v>
      </c>
      <c r="I783" s="76" t="str">
        <f ca="1">IFERROR(__xludf.DUMMYFUNCTION("""COMPUTED_VALUE"""),"https://drive.google.com/open?id=1dztdjAIaEe51-olLU5iSzXf77AvEIQkH")</f>
        <v>https://drive.google.com/open?id=1dztdjAIaEe51-olLU5iSzXf77AvEIQkH</v>
      </c>
      <c r="J783" s="59"/>
      <c r="K783" s="59"/>
      <c r="L783" s="59"/>
      <c r="M783" s="59"/>
      <c r="N783" s="59"/>
      <c r="O783" s="59"/>
      <c r="P783" s="59"/>
    </row>
    <row r="784" spans="1:16">
      <c r="A784" s="71">
        <f ca="1">IFERROR(__xludf.DUMMYFUNCTION("""COMPUTED_VALUE"""),44977.557253125)</f>
        <v>44977.557253125</v>
      </c>
      <c r="B784" s="59" t="str">
        <f ca="1">IFERROR(__xludf.DUMMYFUNCTION("""COMPUTED_VALUE"""),"Dhaduk jeet karshanbhai ")</f>
        <v xml:space="preserve">Dhaduk jeet karshanbhai </v>
      </c>
      <c r="C784" s="72" t="str">
        <f ca="1">IFERROR(__xludf.DUMMYFUNCTION("""COMPUTED_VALUE"""),"22SDSCE01139")</f>
        <v>22SDSCE01139</v>
      </c>
      <c r="D784" s="73">
        <f ca="1">IFERROR(__xludf.DUMMYFUNCTION("""COMPUTED_VALUE"""),44977)</f>
        <v>44977</v>
      </c>
      <c r="E784" s="74">
        <f ca="1">IFERROR(__xludf.DUMMYFUNCTION("""COMPUTED_VALUE"""),25000)</f>
        <v>25000</v>
      </c>
      <c r="F784" s="72">
        <f ca="1">IFERROR(__xludf.DUMMYFUNCTION("""COMPUTED_VALUE"""),3000)</f>
        <v>3000</v>
      </c>
      <c r="G784" s="75"/>
      <c r="H784" s="59" t="str">
        <f ca="1">IFERROR(__xludf.DUMMYFUNCTION("""COMPUTED_VALUE"""),"UPDATE")</f>
        <v>UPDATE</v>
      </c>
      <c r="I784" s="76" t="str">
        <f ca="1">IFERROR(__xludf.DUMMYFUNCTION("""COMPUTED_VALUE"""),"https://drive.google.com/open?id=1sQ54T_rDXFjRZrwwBcpJIAuBLgwaFpPK")</f>
        <v>https://drive.google.com/open?id=1sQ54T_rDXFjRZrwwBcpJIAuBLgwaFpPK</v>
      </c>
      <c r="J784" s="59"/>
      <c r="K784" s="59"/>
      <c r="L784" s="59"/>
      <c r="M784" s="59"/>
      <c r="N784" s="59"/>
      <c r="O784" s="59"/>
      <c r="P784" s="59"/>
    </row>
    <row r="785" spans="1:16">
      <c r="A785" s="71">
        <f ca="1">IFERROR(__xludf.DUMMYFUNCTION("""COMPUTED_VALUE"""),44977.5340998726)</f>
        <v>44977.534099872602</v>
      </c>
      <c r="B785" s="59" t="str">
        <f ca="1">IFERROR(__xludf.DUMMYFUNCTION("""COMPUTED_VALUE"""),"Zeel mukeshbhai ladani ")</f>
        <v xml:space="preserve">Zeel mukeshbhai ladani </v>
      </c>
      <c r="C785" s="72" t="str">
        <f ca="1">IFERROR(__xludf.DUMMYFUNCTION("""COMPUTED_VALUE"""),"22SDSEE01014")</f>
        <v>22SDSEE01014</v>
      </c>
      <c r="D785" s="73">
        <f ca="1">IFERROR(__xludf.DUMMYFUNCTION("""COMPUTED_VALUE"""),44977)</f>
        <v>44977</v>
      </c>
      <c r="E785" s="74">
        <f ca="1">IFERROR(__xludf.DUMMYFUNCTION("""COMPUTED_VALUE"""),0)</f>
        <v>0</v>
      </c>
      <c r="F785" s="72">
        <f ca="1">IFERROR(__xludf.DUMMYFUNCTION("""COMPUTED_VALUE"""),3000)</f>
        <v>3000</v>
      </c>
      <c r="G785" s="75"/>
      <c r="H785" s="59" t="str">
        <f ca="1">IFERROR(__xludf.DUMMYFUNCTION("""COMPUTED_VALUE"""),"UPDATE")</f>
        <v>UPDATE</v>
      </c>
      <c r="I785" s="76" t="str">
        <f ca="1">IFERROR(__xludf.DUMMYFUNCTION("""COMPUTED_VALUE"""),"https://drive.google.com/open?id=1vhLnzmwHQ59CDBuWrtJvfaJDs-jJHJCC")</f>
        <v>https://drive.google.com/open?id=1vhLnzmwHQ59CDBuWrtJvfaJDs-jJHJCC</v>
      </c>
      <c r="J785" s="59"/>
      <c r="K785" s="59"/>
      <c r="L785" s="59"/>
      <c r="M785" s="59"/>
      <c r="N785" s="59"/>
      <c r="O785" s="59"/>
      <c r="P785" s="59"/>
    </row>
    <row r="786" spans="1:16">
      <c r="A786" s="71">
        <f ca="1">IFERROR(__xludf.DUMMYFUNCTION("""COMPUTED_VALUE"""),44977.5330679398)</f>
        <v>44977.533067939803</v>
      </c>
      <c r="B786" s="59" t="str">
        <f ca="1">IFERROR(__xludf.DUMMYFUNCTION("""COMPUTED_VALUE"""),"Zeel Mukeshbhai ladani")</f>
        <v>Zeel Mukeshbhai ladani</v>
      </c>
      <c r="C786" s="72" t="str">
        <f ca="1">IFERROR(__xludf.DUMMYFUNCTION("""COMPUTED_VALUE"""),"22SDSEE01014")</f>
        <v>22SDSEE01014</v>
      </c>
      <c r="D786" s="73">
        <f ca="1">IFERROR(__xludf.DUMMYFUNCTION("""COMPUTED_VALUE"""),44977)</f>
        <v>44977</v>
      </c>
      <c r="E786" s="74">
        <f ca="1">IFERROR(__xludf.DUMMYFUNCTION("""COMPUTED_VALUE"""),25000)</f>
        <v>25000</v>
      </c>
      <c r="F786" s="72">
        <f ca="1">IFERROR(__xludf.DUMMYFUNCTION("""COMPUTED_VALUE"""),3000)</f>
        <v>3000</v>
      </c>
      <c r="G786" s="75"/>
      <c r="H786" s="59" t="str">
        <f ca="1">IFERROR(__xludf.DUMMYFUNCTION("""COMPUTED_VALUE"""),"UPDATE")</f>
        <v>UPDATE</v>
      </c>
      <c r="I786" s="76" t="str">
        <f ca="1">IFERROR(__xludf.DUMMYFUNCTION("""COMPUTED_VALUE"""),"https://drive.google.com/open?id=1KwYVIL40W6sL4yLwswRt5753YZFsDExK")</f>
        <v>https://drive.google.com/open?id=1KwYVIL40W6sL4yLwswRt5753YZFsDExK</v>
      </c>
      <c r="J786" s="59"/>
      <c r="K786" s="59"/>
      <c r="L786" s="59"/>
      <c r="M786" s="59"/>
      <c r="N786" s="59"/>
      <c r="O786" s="59"/>
      <c r="P786" s="59"/>
    </row>
    <row r="787" spans="1:16">
      <c r="A787" s="71">
        <f ca="1">IFERROR(__xludf.DUMMYFUNCTION("""COMPUTED_VALUE"""),44977.4940541435)</f>
        <v>44977.494054143499</v>
      </c>
      <c r="B787" s="59" t="str">
        <f ca="1">IFERROR(__xludf.DUMMYFUNCTION("""COMPUTED_VALUE"""),"RAMANI UTTAM RAJESHBHAI")</f>
        <v>RAMANI UTTAM RAJESHBHAI</v>
      </c>
      <c r="C787" s="72" t="str">
        <f ca="1">IFERROR(__xludf.DUMMYFUNCTION("""COMPUTED_VALUE"""),"22SDSCE01060")</f>
        <v>22SDSCE01060</v>
      </c>
      <c r="D787" s="73">
        <f ca="1">IFERROR(__xludf.DUMMYFUNCTION("""COMPUTED_VALUE"""),44977)</f>
        <v>44977</v>
      </c>
      <c r="E787" s="72"/>
      <c r="F787" s="72">
        <f ca="1">IFERROR(__xludf.DUMMYFUNCTION("""COMPUTED_VALUE"""),3000)</f>
        <v>3000</v>
      </c>
      <c r="G787" s="75"/>
      <c r="H787" s="59" t="str">
        <f ca="1">IFERROR(__xludf.DUMMYFUNCTION("""COMPUTED_VALUE"""),"UPDATE")</f>
        <v>UPDATE</v>
      </c>
      <c r="I787" s="76" t="str">
        <f ca="1">IFERROR(__xludf.DUMMYFUNCTION("""COMPUTED_VALUE"""),"https://drive.google.com/open?id=1FAySdBG6Bdjqj51N6XFRlTuil5WXg1I8")</f>
        <v>https://drive.google.com/open?id=1FAySdBG6Bdjqj51N6XFRlTuil5WXg1I8</v>
      </c>
      <c r="J787" s="59"/>
      <c r="K787" s="59"/>
      <c r="L787" s="59"/>
      <c r="M787" s="59"/>
      <c r="N787" s="59"/>
      <c r="O787" s="59"/>
      <c r="P787" s="59"/>
    </row>
    <row r="788" spans="1:16">
      <c r="A788" s="71">
        <f ca="1">IFERROR(__xludf.DUMMYFUNCTION("""COMPUTED_VALUE"""),44977.4830136342)</f>
        <v>44977.483013634199</v>
      </c>
      <c r="B788" s="59" t="str">
        <f ca="1">IFERROR(__xludf.DUMMYFUNCTION("""COMPUTED_VALUE"""),"Bhakhar kunj Nitinkumar")</f>
        <v>Bhakhar kunj Nitinkumar</v>
      </c>
      <c r="C788" s="72" t="str">
        <f ca="1">IFERROR(__xludf.DUMMYFUNCTION("""COMPUTED_VALUE"""),"22SDSCE01014")</f>
        <v>22SDSCE01014</v>
      </c>
      <c r="D788" s="73">
        <f ca="1">IFERROR(__xludf.DUMMYFUNCTION("""COMPUTED_VALUE"""),44977)</f>
        <v>44977</v>
      </c>
      <c r="E788" s="74">
        <f ca="1">IFERROR(__xludf.DUMMYFUNCTION("""COMPUTED_VALUE"""),3000)</f>
        <v>3000</v>
      </c>
      <c r="F788" s="72"/>
      <c r="G788" s="75"/>
      <c r="H788" s="59" t="str">
        <f ca="1">IFERROR(__xludf.DUMMYFUNCTION("""COMPUTED_VALUE"""),"UPDATE")</f>
        <v>UPDATE</v>
      </c>
      <c r="I788" s="76" t="str">
        <f ca="1">IFERROR(__xludf.DUMMYFUNCTION("""COMPUTED_VALUE"""),"https://drive.google.com/open?id=1uJgpfcV0hBMmOpq59HRK-RU9JUBX5le8")</f>
        <v>https://drive.google.com/open?id=1uJgpfcV0hBMmOpq59HRK-RU9JUBX5le8</v>
      </c>
      <c r="J788" s="59"/>
      <c r="K788" s="59"/>
      <c r="L788" s="59"/>
      <c r="M788" s="59"/>
      <c r="N788" s="59"/>
      <c r="O788" s="59"/>
      <c r="P788" s="59"/>
    </row>
    <row r="789" spans="1:16">
      <c r="A789" s="71">
        <f ca="1">IFERROR(__xludf.DUMMYFUNCTION("""COMPUTED_VALUE"""),44977.3802813078)</f>
        <v>44977.3802813078</v>
      </c>
      <c r="B789" s="59" t="str">
        <f ca="1">IFERROR(__xludf.DUMMYFUNCTION("""COMPUTED_VALUE"""),"Ramani Abhi")</f>
        <v>Ramani Abhi</v>
      </c>
      <c r="C789" s="72" t="str">
        <f ca="1">IFERROR(__xludf.DUMMYFUNCTION("""COMPUTED_VALUE"""),"22SDSME01012")</f>
        <v>22SDSME01012</v>
      </c>
      <c r="D789" s="73">
        <f ca="1">IFERROR(__xludf.DUMMYFUNCTION("""COMPUTED_VALUE"""),38260)</f>
        <v>38260</v>
      </c>
      <c r="E789" s="74">
        <f ca="1">IFERROR(__xludf.DUMMYFUNCTION("""COMPUTED_VALUE"""),25000)</f>
        <v>25000</v>
      </c>
      <c r="F789" s="72">
        <f ca="1">IFERROR(__xludf.DUMMYFUNCTION("""COMPUTED_VALUE"""),3000)</f>
        <v>3000</v>
      </c>
      <c r="G789" s="75"/>
      <c r="H789" s="59" t="str">
        <f ca="1">IFERROR(__xludf.DUMMYFUNCTION("""COMPUTED_VALUE"""),"UPDATE")</f>
        <v>UPDATE</v>
      </c>
      <c r="I789" s="76" t="str">
        <f ca="1">IFERROR(__xludf.DUMMYFUNCTION("""COMPUTED_VALUE"""),"https://drive.google.com/open?id=1mmZx2EN_r9XUt4mOVCRLdBjoYycneQ5T")</f>
        <v>https://drive.google.com/open?id=1mmZx2EN_r9XUt4mOVCRLdBjoYycneQ5T</v>
      </c>
      <c r="J789" s="59"/>
      <c r="K789" s="59"/>
      <c r="L789" s="59"/>
      <c r="M789" s="59"/>
      <c r="N789" s="59"/>
      <c r="O789" s="59"/>
      <c r="P789" s="59"/>
    </row>
    <row r="790" spans="1:16">
      <c r="A790" s="71">
        <f ca="1">IFERROR(__xludf.DUMMYFUNCTION("""COMPUTED_VALUE"""),44976.8682642939)</f>
        <v>44976.868264293902</v>
      </c>
      <c r="B790" s="59" t="str">
        <f ca="1">IFERROR(__xludf.DUMMYFUNCTION("""COMPUTED_VALUE"""),"Pritesh bharadwa")</f>
        <v>Pritesh bharadwa</v>
      </c>
      <c r="C790" s="72" t="str">
        <f ca="1">IFERROR(__xludf.DUMMYFUNCTION("""COMPUTED_VALUE"""),"22SDSCE01133")</f>
        <v>22SDSCE01133</v>
      </c>
      <c r="D790" s="73">
        <f ca="1">IFERROR(__xludf.DUMMYFUNCTION("""COMPUTED_VALUE"""),44976)</f>
        <v>44976</v>
      </c>
      <c r="E790" s="74">
        <f ca="1">IFERROR(__xludf.DUMMYFUNCTION("""COMPUTED_VALUE"""),3000)</f>
        <v>3000</v>
      </c>
      <c r="F790" s="72">
        <f ca="1">IFERROR(__xludf.DUMMYFUNCTION("""COMPUTED_VALUE"""),25000)</f>
        <v>25000</v>
      </c>
      <c r="G790" s="75"/>
      <c r="H790" s="59" t="str">
        <f ca="1">IFERROR(__xludf.DUMMYFUNCTION("""COMPUTED_VALUE"""),"UPDATE")</f>
        <v>UPDATE</v>
      </c>
      <c r="I790" s="76" t="str">
        <f ca="1">IFERROR(__xludf.DUMMYFUNCTION("""COMPUTED_VALUE"""),"https://drive.google.com/open?id=1I8Q-9anuO4iH_5M8CvmLB-y7DvVOsD7B")</f>
        <v>https://drive.google.com/open?id=1I8Q-9anuO4iH_5M8CvmLB-y7DvVOsD7B</v>
      </c>
      <c r="J790" s="59"/>
      <c r="K790" s="59"/>
      <c r="L790" s="59"/>
      <c r="M790" s="59"/>
      <c r="N790" s="59"/>
      <c r="O790" s="59"/>
      <c r="P790" s="59"/>
    </row>
    <row r="791" spans="1:16">
      <c r="A791" s="71">
        <f ca="1">IFERROR(__xludf.DUMMYFUNCTION("""COMPUTED_VALUE"""),44976.5586681713)</f>
        <v>44976.558668171303</v>
      </c>
      <c r="B791" s="59" t="str">
        <f ca="1">IFERROR(__xludf.DUMMYFUNCTION("""COMPUTED_VALUE"""),"Baraiya mohit Shamji bhai ")</f>
        <v xml:space="preserve">Baraiya mohit Shamji bhai </v>
      </c>
      <c r="C791" s="72" t="str">
        <f ca="1">IFERROR(__xludf.DUMMYFUNCTION("""COMPUTED_VALUE"""),"22SDSCE01011")</f>
        <v>22SDSCE01011</v>
      </c>
      <c r="D791" s="73">
        <f ca="1">IFERROR(__xludf.DUMMYFUNCTION("""COMPUTED_VALUE"""),44976)</f>
        <v>44976</v>
      </c>
      <c r="E791" s="74">
        <f ca="1">IFERROR(__xludf.DUMMYFUNCTION("""COMPUTED_VALUE"""),0)</f>
        <v>0</v>
      </c>
      <c r="F791" s="72">
        <f ca="1">IFERROR(__xludf.DUMMYFUNCTION("""COMPUTED_VALUE"""),3000)</f>
        <v>3000</v>
      </c>
      <c r="G791" s="75"/>
      <c r="H791" s="59" t="str">
        <f ca="1">IFERROR(__xludf.DUMMYFUNCTION("""COMPUTED_VALUE"""),"UPDATE")</f>
        <v>UPDATE</v>
      </c>
      <c r="I791" s="76" t="str">
        <f ca="1">IFERROR(__xludf.DUMMYFUNCTION("""COMPUTED_VALUE"""),"https://drive.google.com/open?id=1hCujVqJW_zqYHAVNJofP4tr55JjTt_u8")</f>
        <v>https://drive.google.com/open?id=1hCujVqJW_zqYHAVNJofP4tr55JjTt_u8</v>
      </c>
      <c r="J791" s="59"/>
      <c r="K791" s="59"/>
      <c r="L791" s="59"/>
      <c r="M791" s="59"/>
      <c r="N791" s="59"/>
      <c r="O791" s="59"/>
      <c r="P791" s="59"/>
    </row>
    <row r="792" spans="1:16">
      <c r="A792" s="71">
        <f ca="1">IFERROR(__xludf.DUMMYFUNCTION("""COMPUTED_VALUE"""),44975.4542019791)</f>
        <v>44975.454201979097</v>
      </c>
      <c r="B792" s="59" t="str">
        <f ca="1">IFERROR(__xludf.DUMMYFUNCTION("""COMPUTED_VALUE"""),"BHIMANI MAHIBEN ASHOKBHAI")</f>
        <v>BHIMANI MAHIBEN ASHOKBHAI</v>
      </c>
      <c r="C792" s="72" t="str">
        <f ca="1">IFERROR(__xludf.DUMMYFUNCTION("""COMPUTED_VALUE"""),"22SDSCE01134")</f>
        <v>22SDSCE01134</v>
      </c>
      <c r="D792" s="73">
        <f ca="1">IFERROR(__xludf.DUMMYFUNCTION("""COMPUTED_VALUE"""),44975)</f>
        <v>44975</v>
      </c>
      <c r="E792" s="74">
        <f ca="1">IFERROR(__xludf.DUMMYFUNCTION("""COMPUTED_VALUE"""),0)</f>
        <v>0</v>
      </c>
      <c r="F792" s="72">
        <f ca="1">IFERROR(__xludf.DUMMYFUNCTION("""COMPUTED_VALUE"""),3000)</f>
        <v>3000</v>
      </c>
      <c r="G792" s="75"/>
      <c r="H792" s="59" t="str">
        <f ca="1">IFERROR(__xludf.DUMMYFUNCTION("""COMPUTED_VALUE"""),"UPDATE")</f>
        <v>UPDATE</v>
      </c>
      <c r="I792" s="76" t="str">
        <f ca="1">IFERROR(__xludf.DUMMYFUNCTION("""COMPUTED_VALUE"""),"https://drive.google.com/open?id=1UAbe3kesHQIzZE78G0T-Q6ul66ag-VAI")</f>
        <v>https://drive.google.com/open?id=1UAbe3kesHQIzZE78G0T-Q6ul66ag-VAI</v>
      </c>
      <c r="J792" s="59"/>
      <c r="K792" s="59"/>
      <c r="L792" s="59"/>
      <c r="M792" s="59"/>
      <c r="N792" s="59"/>
      <c r="O792" s="59"/>
      <c r="P792" s="59"/>
    </row>
    <row r="793" spans="1:16">
      <c r="A793" s="71">
        <f ca="1">IFERROR(__xludf.DUMMYFUNCTION("""COMPUTED_VALUE"""),44974.9323780439)</f>
        <v>44974.932378043901</v>
      </c>
      <c r="B793" s="59" t="str">
        <f ca="1">IFERROR(__xludf.DUMMYFUNCTION("""COMPUTED_VALUE"""),"Dhriti Ambasana")</f>
        <v>Dhriti Ambasana</v>
      </c>
      <c r="C793" s="72" t="str">
        <f ca="1">IFERROR(__xludf.DUMMYFUNCTION("""COMPUTED_VALUE"""),"22SDSCE01005")</f>
        <v>22SDSCE01005</v>
      </c>
      <c r="D793" s="73">
        <f ca="1">IFERROR(__xludf.DUMMYFUNCTION("""COMPUTED_VALUE"""),44974)</f>
        <v>44974</v>
      </c>
      <c r="E793" s="72"/>
      <c r="F793" s="72">
        <f ca="1">IFERROR(__xludf.DUMMYFUNCTION("""COMPUTED_VALUE"""),3000)</f>
        <v>3000</v>
      </c>
      <c r="G793" s="75"/>
      <c r="H793" s="59" t="str">
        <f ca="1">IFERROR(__xludf.DUMMYFUNCTION("""COMPUTED_VALUE"""),"UPDATE")</f>
        <v>UPDATE</v>
      </c>
      <c r="I793" s="76" t="str">
        <f ca="1">IFERROR(__xludf.DUMMYFUNCTION("""COMPUTED_VALUE"""),"https://drive.google.com/open?id=1kgfqTY3PsbJk9pmbMdf8GupulOA7m6fY")</f>
        <v>https://drive.google.com/open?id=1kgfqTY3PsbJk9pmbMdf8GupulOA7m6fY</v>
      </c>
      <c r="J793" s="59"/>
      <c r="K793" s="59"/>
      <c r="L793" s="59"/>
      <c r="M793" s="59"/>
      <c r="N793" s="59"/>
      <c r="O793" s="59"/>
      <c r="P793" s="59"/>
    </row>
    <row r="794" spans="1:16">
      <c r="A794" s="71">
        <f ca="1">IFERROR(__xludf.DUMMYFUNCTION("""COMPUTED_VALUE"""),44974.7258869328)</f>
        <v>44974.7258869328</v>
      </c>
      <c r="B794" s="59" t="str">
        <f ca="1">IFERROR(__xludf.DUMMYFUNCTION("""COMPUTED_VALUE"""),"Vekariya devanshi Arvindbhai ")</f>
        <v xml:space="preserve">Vekariya devanshi Arvindbhai </v>
      </c>
      <c r="C794" s="72" t="str">
        <f ca="1">IFERROR(__xludf.DUMMYFUNCTION("""COMPUTED_VALUE"""),"20SDSCE01139")</f>
        <v>20SDSCE01139</v>
      </c>
      <c r="D794" s="73">
        <f ca="1">IFERROR(__xludf.DUMMYFUNCTION("""COMPUTED_VALUE"""),44974)</f>
        <v>44974</v>
      </c>
      <c r="E794" s="72"/>
      <c r="F794" s="72">
        <f ca="1">IFERROR(__xludf.DUMMYFUNCTION("""COMPUTED_VALUE"""),25000)</f>
        <v>25000</v>
      </c>
      <c r="G794" s="75"/>
      <c r="H794" s="59" t="str">
        <f ca="1">IFERROR(__xludf.DUMMYFUNCTION("""COMPUTED_VALUE"""),"UPDATE")</f>
        <v>UPDATE</v>
      </c>
      <c r="I794" s="76" t="str">
        <f ca="1">IFERROR(__xludf.DUMMYFUNCTION("""COMPUTED_VALUE"""),"https://drive.google.com/open?id=1uAOSHidYveHE4_CZjVvXzxBA4W0BrtCv")</f>
        <v>https://drive.google.com/open?id=1uAOSHidYveHE4_CZjVvXzxBA4W0BrtCv</v>
      </c>
      <c r="J794" s="59"/>
      <c r="K794" s="59"/>
      <c r="L794" s="59"/>
      <c r="M794" s="59"/>
      <c r="N794" s="59"/>
      <c r="O794" s="59"/>
      <c r="P794" s="59"/>
    </row>
    <row r="795" spans="1:16">
      <c r="A795" s="71">
        <f ca="1">IFERROR(__xludf.DUMMYFUNCTION("""COMPUTED_VALUE"""),44974.7143537268)</f>
        <v>44974.714353726798</v>
      </c>
      <c r="B795" s="59" t="str">
        <f ca="1">IFERROR(__xludf.DUMMYFUNCTION("""COMPUTED_VALUE"""),"Bhut Milap Bharatbhai")</f>
        <v>Bhut Milap Bharatbhai</v>
      </c>
      <c r="C795" s="72" t="str">
        <f ca="1">IFERROR(__xludf.DUMMYFUNCTION("""COMPUTED_VALUE"""),"22SDSCE01135")</f>
        <v>22SDSCE01135</v>
      </c>
      <c r="D795" s="73">
        <f ca="1">IFERROR(__xludf.DUMMYFUNCTION("""COMPUTED_VALUE"""),44974)</f>
        <v>44974</v>
      </c>
      <c r="E795" s="72"/>
      <c r="F795" s="72">
        <f ca="1">IFERROR(__xludf.DUMMYFUNCTION("""COMPUTED_VALUE"""),3000)</f>
        <v>3000</v>
      </c>
      <c r="G795" s="75"/>
      <c r="H795" s="59" t="str">
        <f ca="1">IFERROR(__xludf.DUMMYFUNCTION("""COMPUTED_VALUE"""),"UPDATE")</f>
        <v>UPDATE</v>
      </c>
      <c r="I795" s="76" t="str">
        <f ca="1">IFERROR(__xludf.DUMMYFUNCTION("""COMPUTED_VALUE"""),"https://drive.google.com/open?id=1jxq0IXcTCNkBgO1KQk6X41NJgdT24JS7")</f>
        <v>https://drive.google.com/open?id=1jxq0IXcTCNkBgO1KQk6X41NJgdT24JS7</v>
      </c>
      <c r="J795" s="59"/>
      <c r="K795" s="59"/>
      <c r="L795" s="59"/>
      <c r="M795" s="59"/>
      <c r="N795" s="59"/>
      <c r="O795" s="59"/>
      <c r="P795" s="59"/>
    </row>
    <row r="796" spans="1:16">
      <c r="A796" s="71">
        <f ca="1">IFERROR(__xludf.DUMMYFUNCTION("""COMPUTED_VALUE"""),44974.5681628472)</f>
        <v>44974.568162847201</v>
      </c>
      <c r="B796" s="59" t="str">
        <f ca="1">IFERROR(__xludf.DUMMYFUNCTION("""COMPUTED_VALUE"""),"Moradiya Moksh Mehulkumar ")</f>
        <v xml:space="preserve">Moradiya Moksh Mehulkumar </v>
      </c>
      <c r="C796" s="72" t="str">
        <f ca="1">IFERROR(__xludf.DUMMYFUNCTION("""COMPUTED_VALUE"""),"22SDSCE01073")</f>
        <v>22SDSCE01073</v>
      </c>
      <c r="D796" s="73">
        <f ca="1">IFERROR(__xludf.DUMMYFUNCTION("""COMPUTED_VALUE"""),44974)</f>
        <v>44974</v>
      </c>
      <c r="E796" s="72"/>
      <c r="F796" s="72">
        <f ca="1">IFERROR(__xludf.DUMMYFUNCTION("""COMPUTED_VALUE"""),3000)</f>
        <v>3000</v>
      </c>
      <c r="G796" s="75"/>
      <c r="H796" s="59" t="str">
        <f ca="1">IFERROR(__xludf.DUMMYFUNCTION("""COMPUTED_VALUE"""),"UPDATE")</f>
        <v>UPDATE</v>
      </c>
      <c r="I796" s="76" t="str">
        <f ca="1">IFERROR(__xludf.DUMMYFUNCTION("""COMPUTED_VALUE"""),"https://drive.google.com/open?id=1_fCdCcLFX6TkKQKb63wkEqiKGQ1ZVw6B")</f>
        <v>https://drive.google.com/open?id=1_fCdCcLFX6TkKQKb63wkEqiKGQ1ZVw6B</v>
      </c>
      <c r="J796" s="59"/>
      <c r="K796" s="59"/>
      <c r="L796" s="59"/>
      <c r="M796" s="59"/>
      <c r="N796" s="59"/>
      <c r="O796" s="59"/>
      <c r="P796" s="59"/>
    </row>
    <row r="797" spans="1:16">
      <c r="A797" s="71">
        <f ca="1">IFERROR(__xludf.DUMMYFUNCTION("""COMPUTED_VALUE"""),44974.4985284606)</f>
        <v>44974.498528460601</v>
      </c>
      <c r="B797" s="59" t="str">
        <f ca="1">IFERROR(__xludf.DUMMYFUNCTION("""COMPUTED_VALUE"""),"Javiya krisha prakashbhai ")</f>
        <v xml:space="preserve">Javiya krisha prakashbhai </v>
      </c>
      <c r="C797" s="72" t="str">
        <f ca="1">IFERROR(__xludf.DUMMYFUNCTION("""COMPUTED_VALUE"""),"22SDSCE01154")</f>
        <v>22SDSCE01154</v>
      </c>
      <c r="D797" s="73">
        <f ca="1">IFERROR(__xludf.DUMMYFUNCTION("""COMPUTED_VALUE"""),44974)</f>
        <v>44974</v>
      </c>
      <c r="E797" s="72"/>
      <c r="F797" s="72">
        <f ca="1">IFERROR(__xludf.DUMMYFUNCTION("""COMPUTED_VALUE"""),3000)</f>
        <v>3000</v>
      </c>
      <c r="G797" s="75"/>
      <c r="H797" s="59" t="str">
        <f ca="1">IFERROR(__xludf.DUMMYFUNCTION("""COMPUTED_VALUE"""),"UPDATE")</f>
        <v>UPDATE</v>
      </c>
      <c r="I797" s="76" t="str">
        <f ca="1">IFERROR(__xludf.DUMMYFUNCTION("""COMPUTED_VALUE"""),"https://drive.google.com/open?id=1PgXsk7pG2t_7Q-CQcIzC7J569bmoeNBy")</f>
        <v>https://drive.google.com/open?id=1PgXsk7pG2t_7Q-CQcIzC7J569bmoeNBy</v>
      </c>
      <c r="J797" s="59"/>
      <c r="K797" s="59"/>
      <c r="L797" s="59"/>
      <c r="M797" s="59"/>
      <c r="N797" s="59"/>
      <c r="O797" s="59"/>
      <c r="P797" s="59"/>
    </row>
    <row r="798" spans="1:16">
      <c r="A798" s="71">
        <f ca="1">IFERROR(__xludf.DUMMYFUNCTION("""COMPUTED_VALUE"""),44973.7161453356)</f>
        <v>44973.716145335602</v>
      </c>
      <c r="B798" s="59" t="str">
        <f ca="1">IFERROR(__xludf.DUMMYFUNCTION("""COMPUTED_VALUE"""),"Hapliya sunny")</f>
        <v>Hapliya sunny</v>
      </c>
      <c r="C798" s="72" t="str">
        <f ca="1">IFERROR(__xludf.DUMMYFUNCTION("""COMPUTED_VALUE"""),"20SDSCE01042")</f>
        <v>20SDSCE01042</v>
      </c>
      <c r="D798" s="73">
        <f ca="1">IFERROR(__xludf.DUMMYFUNCTION("""COMPUTED_VALUE"""),44973)</f>
        <v>44973</v>
      </c>
      <c r="E798" s="74">
        <f ca="1">IFERROR(__xludf.DUMMYFUNCTION("""COMPUTED_VALUE"""),12500)</f>
        <v>12500</v>
      </c>
      <c r="F798" s="72">
        <f ca="1">IFERROR(__xludf.DUMMYFUNCTION("""COMPUTED_VALUE"""),3750)</f>
        <v>3750</v>
      </c>
      <c r="G798" s="75"/>
      <c r="H798" s="59" t="str">
        <f ca="1">IFERROR(__xludf.DUMMYFUNCTION("""COMPUTED_VALUE"""),"UPDATE")</f>
        <v>UPDATE</v>
      </c>
      <c r="I798" s="76" t="str">
        <f ca="1">IFERROR(__xludf.DUMMYFUNCTION("""COMPUTED_VALUE"""),"https://drive.google.com/open?id=1UYkjOcweJT2q4qVyOm3cFO6U279QIm3l")</f>
        <v>https://drive.google.com/open?id=1UYkjOcweJT2q4qVyOm3cFO6U279QIm3l</v>
      </c>
      <c r="J798" s="59"/>
      <c r="K798" s="59"/>
      <c r="L798" s="59"/>
      <c r="M798" s="59"/>
      <c r="N798" s="59"/>
      <c r="O798" s="59"/>
      <c r="P798" s="59"/>
    </row>
    <row r="799" spans="1:16">
      <c r="A799" s="71">
        <f ca="1">IFERROR(__xludf.DUMMYFUNCTION("""COMPUTED_VALUE"""),44973.6812464814)</f>
        <v>44973.681246481399</v>
      </c>
      <c r="B799" s="59" t="str">
        <f ca="1">IFERROR(__xludf.DUMMYFUNCTION("""COMPUTED_VALUE"""),"Sitapara foram Hirenbhai")</f>
        <v>Sitapara foram Hirenbhai</v>
      </c>
      <c r="C799" s="72" t="str">
        <f ca="1">IFERROR(__xludf.DUMMYFUNCTION("""COMPUTED_VALUE"""),"22SDSCE01189")</f>
        <v>22SDSCE01189</v>
      </c>
      <c r="D799" s="73">
        <f ca="1">IFERROR(__xludf.DUMMYFUNCTION("""COMPUTED_VALUE"""),44973)</f>
        <v>44973</v>
      </c>
      <c r="E799" s="72"/>
      <c r="F799" s="72">
        <f ca="1">IFERROR(__xludf.DUMMYFUNCTION("""COMPUTED_VALUE"""),3000)</f>
        <v>3000</v>
      </c>
      <c r="G799" s="75"/>
      <c r="H799" s="59" t="str">
        <f ca="1">IFERROR(__xludf.DUMMYFUNCTION("""COMPUTED_VALUE"""),"UPDATE")</f>
        <v>UPDATE</v>
      </c>
      <c r="I799" s="76" t="str">
        <f ca="1">IFERROR(__xludf.DUMMYFUNCTION("""COMPUTED_VALUE"""),"https://drive.google.com/open?id=17scFejkRAOdU2tHNq3Mjk0U08pzMZ1Pm")</f>
        <v>https://drive.google.com/open?id=17scFejkRAOdU2tHNq3Mjk0U08pzMZ1Pm</v>
      </c>
      <c r="J799" s="59"/>
      <c r="K799" s="59"/>
      <c r="L799" s="59"/>
      <c r="M799" s="59"/>
      <c r="N799" s="59"/>
      <c r="O799" s="59"/>
      <c r="P799" s="59"/>
    </row>
    <row r="800" spans="1:16">
      <c r="A800" s="71">
        <f ca="1">IFERROR(__xludf.DUMMYFUNCTION("""COMPUTED_VALUE"""),44972.6150692245)</f>
        <v>44972.615069224499</v>
      </c>
      <c r="B800" s="59" t="str">
        <f ca="1">IFERROR(__xludf.DUMMYFUNCTION("""COMPUTED_VALUE"""),"Navin Kumar Gupta ")</f>
        <v xml:space="preserve">Navin Kumar Gupta </v>
      </c>
      <c r="C800" s="72" t="str">
        <f ca="1">IFERROR(__xludf.DUMMYFUNCTION("""COMPUTED_VALUE"""),"22SDSEE01029")</f>
        <v>22SDSEE01029</v>
      </c>
      <c r="D800" s="73">
        <f ca="1">IFERROR(__xludf.DUMMYFUNCTION("""COMPUTED_VALUE"""),44972)</f>
        <v>44972</v>
      </c>
      <c r="E800" s="74">
        <f ca="1">IFERROR(__xludf.DUMMYFUNCTION("""COMPUTED_VALUE"""),72500)</f>
        <v>72500</v>
      </c>
      <c r="F800" s="72">
        <f ca="1">IFERROR(__xludf.DUMMYFUNCTION("""COMPUTED_VALUE"""),0)</f>
        <v>0</v>
      </c>
      <c r="G800" s="75"/>
      <c r="H800" s="59" t="str">
        <f ca="1">IFERROR(__xludf.DUMMYFUNCTION("""COMPUTED_VALUE"""),"UPDATE")</f>
        <v>UPDATE</v>
      </c>
      <c r="I800" s="76" t="str">
        <f ca="1">IFERROR(__xludf.DUMMYFUNCTION("""COMPUTED_VALUE"""),"https://drive.google.com/open?id=1dHhx7muxmxYM6XwH_u5ppyBvYUbQ4Hui")</f>
        <v>https://drive.google.com/open?id=1dHhx7muxmxYM6XwH_u5ppyBvYUbQ4Hui</v>
      </c>
      <c r="J800" s="59"/>
      <c r="K800" s="59"/>
      <c r="L800" s="59"/>
      <c r="M800" s="59"/>
      <c r="N800" s="59"/>
      <c r="O800" s="59"/>
      <c r="P800" s="59"/>
    </row>
    <row r="801" spans="1:16">
      <c r="A801" s="71">
        <f ca="1">IFERROR(__xludf.DUMMYFUNCTION("""COMPUTED_VALUE"""),44972.613121331)</f>
        <v>44972.613121331</v>
      </c>
      <c r="B801" s="59" t="str">
        <f ca="1">IFERROR(__xludf.DUMMYFUNCTION("""COMPUTED_VALUE"""),"Navin kumar gupta")</f>
        <v>Navin kumar gupta</v>
      </c>
      <c r="C801" s="72" t="str">
        <f ca="1">IFERROR(__xludf.DUMMYFUNCTION("""COMPUTED_VALUE"""),"22SDSEE01029")</f>
        <v>22SDSEE01029</v>
      </c>
      <c r="D801" s="73">
        <f ca="1">IFERROR(__xludf.DUMMYFUNCTION("""COMPUTED_VALUE"""),44972)</f>
        <v>44972</v>
      </c>
      <c r="E801" s="74">
        <f ca="1">IFERROR(__xludf.DUMMYFUNCTION("""COMPUTED_VALUE"""),72500)</f>
        <v>72500</v>
      </c>
      <c r="F801" s="72">
        <f ca="1">IFERROR(__xludf.DUMMYFUNCTION("""COMPUTED_VALUE"""),0)</f>
        <v>0</v>
      </c>
      <c r="G801" s="75"/>
      <c r="H801" s="59" t="str">
        <f ca="1">IFERROR(__xludf.DUMMYFUNCTION("""COMPUTED_VALUE"""),"UPDATE")</f>
        <v>UPDATE</v>
      </c>
      <c r="I801" s="76" t="str">
        <f ca="1">IFERROR(__xludf.DUMMYFUNCTION("""COMPUTED_VALUE"""),"https://drive.google.com/open?id=1sA2DnBmbfhuvoGQHKPCqNQmZZqGKcG1U")</f>
        <v>https://drive.google.com/open?id=1sA2DnBmbfhuvoGQHKPCqNQmZZqGKcG1U</v>
      </c>
      <c r="J801" s="59"/>
      <c r="K801" s="59"/>
      <c r="L801" s="59"/>
      <c r="M801" s="59"/>
      <c r="N801" s="59"/>
      <c r="O801" s="59"/>
      <c r="P801" s="59"/>
    </row>
    <row r="802" spans="1:16">
      <c r="A802" s="71">
        <f ca="1">IFERROR(__xludf.DUMMYFUNCTION("""COMPUTED_VALUE"""),44972.602473449)</f>
        <v>44972.602473448998</v>
      </c>
      <c r="B802" s="59" t="str">
        <f ca="1">IFERROR(__xludf.DUMMYFUNCTION("""COMPUTED_VALUE"""),"Pratham Kumar")</f>
        <v>Pratham Kumar</v>
      </c>
      <c r="C802" s="72" t="str">
        <f ca="1">IFERROR(__xludf.DUMMYFUNCTION("""COMPUTED_VALUE"""),"22SDSCE01207")</f>
        <v>22SDSCE01207</v>
      </c>
      <c r="D802" s="73">
        <f ca="1">IFERROR(__xludf.DUMMYFUNCTION("""COMPUTED_VALUE"""),44972)</f>
        <v>44972</v>
      </c>
      <c r="E802" s="74">
        <f ca="1">IFERROR(__xludf.DUMMYFUNCTION("""COMPUTED_VALUE"""),25000)</f>
        <v>25000</v>
      </c>
      <c r="F802" s="72">
        <f ca="1">IFERROR(__xludf.DUMMYFUNCTION("""COMPUTED_VALUE"""),3000)</f>
        <v>3000</v>
      </c>
      <c r="G802" s="75"/>
      <c r="H802" s="59" t="str">
        <f ca="1">IFERROR(__xludf.DUMMYFUNCTION("""COMPUTED_VALUE"""),"UPDATE")</f>
        <v>UPDATE</v>
      </c>
      <c r="I802" s="76" t="str">
        <f ca="1">IFERROR(__xludf.DUMMYFUNCTION("""COMPUTED_VALUE"""),"https://drive.google.com/open?id=1ioGJa27Q8WxBpXQu8rFkHN-mmW00B5wd")</f>
        <v>https://drive.google.com/open?id=1ioGJa27Q8WxBpXQu8rFkHN-mmW00B5wd</v>
      </c>
      <c r="J802" s="59"/>
      <c r="K802" s="59"/>
      <c r="L802" s="59"/>
      <c r="M802" s="59"/>
      <c r="N802" s="59"/>
      <c r="O802" s="59"/>
      <c r="P802" s="59"/>
    </row>
    <row r="803" spans="1:16">
      <c r="A803" s="71">
        <f ca="1">IFERROR(__xludf.DUMMYFUNCTION("""COMPUTED_VALUE"""),44971.5942176273)</f>
        <v>44971.594217627302</v>
      </c>
      <c r="B803" s="59" t="str">
        <f ca="1">IFERROR(__xludf.DUMMYFUNCTION("""COMPUTED_VALUE"""),"Harshil Dinesh bhudiya ")</f>
        <v xml:space="preserve">Harshil Dinesh bhudiya </v>
      </c>
      <c r="C803" s="72" t="str">
        <f ca="1">IFERROR(__xludf.DUMMYFUNCTION("""COMPUTED_VALUE"""),"22SDSCE01021")</f>
        <v>22SDSCE01021</v>
      </c>
      <c r="D803" s="73">
        <f ca="1">IFERROR(__xludf.DUMMYFUNCTION("""COMPUTED_VALUE"""),44971)</f>
        <v>44971</v>
      </c>
      <c r="E803" s="74">
        <f ca="1">IFERROR(__xludf.DUMMYFUNCTION("""COMPUTED_VALUE"""),25000)</f>
        <v>25000</v>
      </c>
      <c r="F803" s="72">
        <f ca="1">IFERROR(__xludf.DUMMYFUNCTION("""COMPUTED_VALUE"""),3000)</f>
        <v>3000</v>
      </c>
      <c r="G803" s="75"/>
      <c r="H803" s="59" t="str">
        <f ca="1">IFERROR(__xludf.DUMMYFUNCTION("""COMPUTED_VALUE"""),"UPDATE")</f>
        <v>UPDATE</v>
      </c>
      <c r="I803" s="76" t="str">
        <f ca="1">IFERROR(__xludf.DUMMYFUNCTION("""COMPUTED_VALUE"""),"https://drive.google.com/open?id=1c7A6hOItd5uqmiEw4PiKJVKe2T2Vlgza")</f>
        <v>https://drive.google.com/open?id=1c7A6hOItd5uqmiEw4PiKJVKe2T2Vlgza</v>
      </c>
      <c r="J803" s="59"/>
      <c r="K803" s="59"/>
      <c r="L803" s="59"/>
      <c r="M803" s="59"/>
      <c r="N803" s="59"/>
      <c r="O803" s="59"/>
      <c r="P803" s="59"/>
    </row>
    <row r="804" spans="1:16">
      <c r="A804" s="71">
        <f ca="1">IFERROR(__xludf.DUMMYFUNCTION("""COMPUTED_VALUE"""),44971.4527797106)</f>
        <v>44971.452779710598</v>
      </c>
      <c r="B804" s="59" t="str">
        <f ca="1">IFERROR(__xludf.DUMMYFUNCTION("""COMPUTED_VALUE"""),"Bhargav Vipulbhai bhatt")</f>
        <v>Bhargav Vipulbhai bhatt</v>
      </c>
      <c r="C804" s="72" t="str">
        <f ca="1">IFERROR(__xludf.DUMMYFUNCTION("""COMPUTED_VALUE"""),"22sdsce01198")</f>
        <v>22sdsce01198</v>
      </c>
      <c r="D804" s="73">
        <f ca="1">IFERROR(__xludf.DUMMYFUNCTION("""COMPUTED_VALUE"""),44522)</f>
        <v>44522</v>
      </c>
      <c r="E804" s="72"/>
      <c r="F804" s="72"/>
      <c r="G804" s="75"/>
      <c r="H804" s="59" t="str">
        <f ca="1">IFERROR(__xludf.DUMMYFUNCTION("""COMPUTED_VALUE"""),"UPDATE")</f>
        <v>UPDATE</v>
      </c>
      <c r="I804" s="76" t="str">
        <f ca="1">IFERROR(__xludf.DUMMYFUNCTION("""COMPUTED_VALUE"""),"https://drive.google.com/open?id=10K4G5b9PndRJhVNbYlO1PigYKlm15JJT")</f>
        <v>https://drive.google.com/open?id=10K4G5b9PndRJhVNbYlO1PigYKlm15JJT</v>
      </c>
      <c r="J804" s="59"/>
      <c r="K804" s="59"/>
      <c r="L804" s="59"/>
      <c r="M804" s="59"/>
      <c r="N804" s="59"/>
      <c r="O804" s="59"/>
      <c r="P804" s="59"/>
    </row>
    <row r="805" spans="1:16">
      <c r="A805" s="71">
        <f ca="1">IFERROR(__xludf.DUMMYFUNCTION("""COMPUTED_VALUE"""),44970.7059380324)</f>
        <v>44970.705938032399</v>
      </c>
      <c r="B805" s="59" t="str">
        <f ca="1">IFERROR(__xludf.DUMMYFUNCTION("""COMPUTED_VALUE"""),"ASODARIYA DHRUVIL JAGDISHBHAI")</f>
        <v>ASODARIYA DHRUVIL JAGDISHBHAI</v>
      </c>
      <c r="C805" s="72" t="str">
        <f ca="1">IFERROR(__xludf.DUMMYFUNCTION("""COMPUTED_VALUE"""),"22SDSCE01128")</f>
        <v>22SDSCE01128</v>
      </c>
      <c r="D805" s="73">
        <f ca="1">IFERROR(__xludf.DUMMYFUNCTION("""COMPUTED_VALUE"""),44970)</f>
        <v>44970</v>
      </c>
      <c r="E805" s="74">
        <f ca="1">IFERROR(__xludf.DUMMYFUNCTION("""COMPUTED_VALUE"""),0)</f>
        <v>0</v>
      </c>
      <c r="F805" s="72">
        <f ca="1">IFERROR(__xludf.DUMMYFUNCTION("""COMPUTED_VALUE"""),3000)</f>
        <v>3000</v>
      </c>
      <c r="G805" s="75"/>
      <c r="H805" s="59" t="str">
        <f ca="1">IFERROR(__xludf.DUMMYFUNCTION("""COMPUTED_VALUE"""),"UPDATE")</f>
        <v>UPDATE</v>
      </c>
      <c r="I805" s="76" t="str">
        <f ca="1">IFERROR(__xludf.DUMMYFUNCTION("""COMPUTED_VALUE"""),"https://drive.google.com/open?id=1c9bYeLAKM2sRaDixbPtLEybF7ORZm08Q")</f>
        <v>https://drive.google.com/open?id=1c9bYeLAKM2sRaDixbPtLEybF7ORZm08Q</v>
      </c>
      <c r="J805" s="59"/>
      <c r="K805" s="59"/>
      <c r="L805" s="59"/>
      <c r="M805" s="59"/>
      <c r="N805" s="59"/>
      <c r="O805" s="59"/>
      <c r="P805" s="59"/>
    </row>
    <row r="806" spans="1:16">
      <c r="A806" s="71">
        <f ca="1">IFERROR(__xludf.DUMMYFUNCTION("""COMPUTED_VALUE"""),44969.8887728703)</f>
        <v>44969.888772870298</v>
      </c>
      <c r="B806" s="59" t="str">
        <f ca="1">IFERROR(__xludf.DUMMYFUNCTION("""COMPUTED_VALUE"""),"Mayank Gajera ")</f>
        <v xml:space="preserve">Mayank Gajera </v>
      </c>
      <c r="C806" s="72" t="str">
        <f ca="1">IFERROR(__xludf.DUMMYFUNCTION("""COMPUTED_VALUE"""),"21SDSME01015")</f>
        <v>21SDSME01015</v>
      </c>
      <c r="D806" s="73">
        <f ca="1">IFERROR(__xludf.DUMMYFUNCTION("""COMPUTED_VALUE"""),44965)</f>
        <v>44965</v>
      </c>
      <c r="E806" s="74">
        <f ca="1">IFERROR(__xludf.DUMMYFUNCTION("""COMPUTED_VALUE"""),0)</f>
        <v>0</v>
      </c>
      <c r="F806" s="72">
        <f ca="1">IFERROR(__xludf.DUMMYFUNCTION("""COMPUTED_VALUE"""),2500)</f>
        <v>2500</v>
      </c>
      <c r="G806" s="75"/>
      <c r="H806" s="59" t="str">
        <f ca="1">IFERROR(__xludf.DUMMYFUNCTION("""COMPUTED_VALUE"""),"UPDATE")</f>
        <v>UPDATE</v>
      </c>
      <c r="I806" s="76" t="str">
        <f ca="1">IFERROR(__xludf.DUMMYFUNCTION("""COMPUTED_VALUE"""),"https://drive.google.com/open?id=1nVItOh8ngj6w_UQiTpybgsEJDH8VJiQD")</f>
        <v>https://drive.google.com/open?id=1nVItOh8ngj6w_UQiTpybgsEJDH8VJiQD</v>
      </c>
      <c r="J806" s="59"/>
      <c r="K806" s="59"/>
      <c r="L806" s="59"/>
      <c r="M806" s="59"/>
      <c r="N806" s="59"/>
      <c r="O806" s="59"/>
      <c r="P806" s="59"/>
    </row>
    <row r="807" spans="1:16">
      <c r="A807" s="71">
        <f ca="1">IFERROR(__xludf.DUMMYFUNCTION("""COMPUTED_VALUE"""),44969.8871965856)</f>
        <v>44969.887196585601</v>
      </c>
      <c r="B807" s="59" t="str">
        <f ca="1">IFERROR(__xludf.DUMMYFUNCTION("""COMPUTED_VALUE"""),"Mayank Gajera ")</f>
        <v xml:space="preserve">Mayank Gajera </v>
      </c>
      <c r="C807" s="72" t="str">
        <f ca="1">IFERROR(__xludf.DUMMYFUNCTION("""COMPUTED_VALUE"""),"21SDSME01015")</f>
        <v>21SDSME01015</v>
      </c>
      <c r="D807" s="73">
        <f ca="1">IFERROR(__xludf.DUMMYFUNCTION("""COMPUTED_VALUE"""),44965)</f>
        <v>44965</v>
      </c>
      <c r="E807" s="74">
        <f ca="1">IFERROR(__xludf.DUMMYFUNCTION("""COMPUTED_VALUE"""),25000)</f>
        <v>25000</v>
      </c>
      <c r="F807" s="72">
        <f ca="1">IFERROR(__xludf.DUMMYFUNCTION("""COMPUTED_VALUE"""),0)</f>
        <v>0</v>
      </c>
      <c r="G807" s="75"/>
      <c r="H807" s="59" t="str">
        <f ca="1">IFERROR(__xludf.DUMMYFUNCTION("""COMPUTED_VALUE"""),"UPDATE")</f>
        <v>UPDATE</v>
      </c>
      <c r="I807" s="76" t="str">
        <f ca="1">IFERROR(__xludf.DUMMYFUNCTION("""COMPUTED_VALUE"""),"https://drive.google.com/open?id=1UA1Jjl6uW3zz4-CDtY_L6QbieDUNgXvg")</f>
        <v>https://drive.google.com/open?id=1UA1Jjl6uW3zz4-CDtY_L6QbieDUNgXvg</v>
      </c>
      <c r="J807" s="59"/>
      <c r="K807" s="59"/>
      <c r="L807" s="59"/>
      <c r="M807" s="59"/>
      <c r="N807" s="59"/>
      <c r="O807" s="59"/>
      <c r="P807" s="59"/>
    </row>
    <row r="808" spans="1:16">
      <c r="A808" s="71">
        <f ca="1">IFERROR(__xludf.DUMMYFUNCTION("""COMPUTED_VALUE"""),44968.452051956)</f>
        <v>44968.452051956003</v>
      </c>
      <c r="B808" s="59" t="str">
        <f ca="1">IFERROR(__xludf.DUMMYFUNCTION("""COMPUTED_VALUE"""),"BHATT RUTVA VIMALBHAI")</f>
        <v>BHATT RUTVA VIMALBHAI</v>
      </c>
      <c r="C808" s="72" t="str">
        <f ca="1">IFERROR(__xludf.DUMMYFUNCTION("""COMPUTED_VALUE"""),"22SDSCE01019")</f>
        <v>22SDSCE01019</v>
      </c>
      <c r="D808" s="73">
        <f ca="1">IFERROR(__xludf.DUMMYFUNCTION("""COMPUTED_VALUE"""),44968)</f>
        <v>44968</v>
      </c>
      <c r="E808" s="74">
        <f ca="1">IFERROR(__xludf.DUMMYFUNCTION("""COMPUTED_VALUE"""),12500)</f>
        <v>12500</v>
      </c>
      <c r="F808" s="72">
        <f ca="1">IFERROR(__xludf.DUMMYFUNCTION("""COMPUTED_VALUE"""),3000)</f>
        <v>3000</v>
      </c>
      <c r="G808" s="75"/>
      <c r="H808" s="59" t="str">
        <f ca="1">IFERROR(__xludf.DUMMYFUNCTION("""COMPUTED_VALUE"""),"UPDATE")</f>
        <v>UPDATE</v>
      </c>
      <c r="I808" s="76" t="str">
        <f ca="1">IFERROR(__xludf.DUMMYFUNCTION("""COMPUTED_VALUE"""),"https://drive.google.com/open?id=1cwryxR0pjz7YlV2KuCUUWB7XG7T5Y7pI")</f>
        <v>https://drive.google.com/open?id=1cwryxR0pjz7YlV2KuCUUWB7XG7T5Y7pI</v>
      </c>
      <c r="J808" s="59"/>
      <c r="K808" s="59"/>
      <c r="L808" s="59"/>
      <c r="M808" s="59"/>
      <c r="N808" s="59"/>
      <c r="O808" s="59"/>
      <c r="P808" s="59"/>
    </row>
    <row r="809" spans="1:16">
      <c r="A809" s="71">
        <f ca="1">IFERROR(__xludf.DUMMYFUNCTION("""COMPUTED_VALUE"""),44967.4287936458)</f>
        <v>44967.428793645799</v>
      </c>
      <c r="B809" s="59" t="str">
        <f ca="1">IFERROR(__xludf.DUMMYFUNCTION("""COMPUTED_VALUE"""),"Solanki Nisha ")</f>
        <v xml:space="preserve">Solanki Nisha </v>
      </c>
      <c r="C809" s="72" t="str">
        <f ca="1">IFERROR(__xludf.DUMMYFUNCTION("""COMPUTED_VALUE"""),"21SDSCE01051")</f>
        <v>21SDSCE01051</v>
      </c>
      <c r="D809" s="73">
        <f ca="1">IFERROR(__xludf.DUMMYFUNCTION("""COMPUTED_VALUE"""),44967)</f>
        <v>44967</v>
      </c>
      <c r="E809" s="72"/>
      <c r="F809" s="72"/>
      <c r="G809" s="75"/>
      <c r="H809" s="59" t="str">
        <f ca="1">IFERROR(__xludf.DUMMYFUNCTION("""COMPUTED_VALUE"""),"UPDATE")</f>
        <v>UPDATE</v>
      </c>
      <c r="I809" s="76" t="str">
        <f ca="1">IFERROR(__xludf.DUMMYFUNCTION("""COMPUTED_VALUE"""),"https://drive.google.com/open?id=1KkPqKimwHmcWWVKe7DDewX3hJsQZLvex")</f>
        <v>https://drive.google.com/open?id=1KkPqKimwHmcWWVKe7DDewX3hJsQZLvex</v>
      </c>
      <c r="J809" s="59"/>
      <c r="K809" s="59"/>
      <c r="L809" s="59"/>
      <c r="M809" s="59"/>
      <c r="N809" s="59"/>
      <c r="O809" s="59"/>
      <c r="P809" s="59"/>
    </row>
    <row r="810" spans="1:16">
      <c r="A810" s="71">
        <f ca="1">IFERROR(__xludf.DUMMYFUNCTION("""COMPUTED_VALUE"""),44966.5682907986)</f>
        <v>44966.568290798597</v>
      </c>
      <c r="B810" s="59" t="str">
        <f ca="1">IFERROR(__xludf.DUMMYFUNCTION("""COMPUTED_VALUE"""),"Sidapara yashvi Sanjay Bhai ")</f>
        <v xml:space="preserve">Sidapara yashvi Sanjay Bhai </v>
      </c>
      <c r="C810" s="72" t="str">
        <f ca="1">IFERROR(__xludf.DUMMYFUNCTION("""COMPUTED_VALUE"""),"21sdsce01149")</f>
        <v>21sdsce01149</v>
      </c>
      <c r="D810" s="73">
        <f ca="1">IFERROR(__xludf.DUMMYFUNCTION("""COMPUTED_VALUE"""),44965)</f>
        <v>44965</v>
      </c>
      <c r="E810" s="74">
        <f ca="1">IFERROR(__xludf.DUMMYFUNCTION("""COMPUTED_VALUE"""),0)</f>
        <v>0</v>
      </c>
      <c r="F810" s="72">
        <f ca="1">IFERROR(__xludf.DUMMYFUNCTION("""COMPUTED_VALUE"""),2500)</f>
        <v>2500</v>
      </c>
      <c r="G810" s="75"/>
      <c r="H810" s="59" t="str">
        <f ca="1">IFERROR(__xludf.DUMMYFUNCTION("""COMPUTED_VALUE"""),"UPDATE")</f>
        <v>UPDATE</v>
      </c>
      <c r="I810" s="76" t="str">
        <f ca="1">IFERROR(__xludf.DUMMYFUNCTION("""COMPUTED_VALUE"""),"https://drive.google.com/open?id=1gEKMyUjJVSUHlwihFqeg0Q1N76BzcsUV")</f>
        <v>https://drive.google.com/open?id=1gEKMyUjJVSUHlwihFqeg0Q1N76BzcsUV</v>
      </c>
      <c r="J810" s="59"/>
      <c r="K810" s="59"/>
      <c r="L810" s="59"/>
      <c r="M810" s="59"/>
      <c r="N810" s="59"/>
      <c r="O810" s="59"/>
      <c r="P810" s="59"/>
    </row>
    <row r="811" spans="1:16">
      <c r="A811" s="71">
        <f ca="1">IFERROR(__xludf.DUMMYFUNCTION("""COMPUTED_VALUE"""),44965.7408642361)</f>
        <v>44965.740864236097</v>
      </c>
      <c r="B811" s="59" t="str">
        <f ca="1">IFERROR(__xludf.DUMMYFUNCTION("""COMPUTED_VALUE"""),"Asodariya keyur  hareshbhai ")</f>
        <v xml:space="preserve">Asodariya keyur  hareshbhai </v>
      </c>
      <c r="C811" s="72" t="str">
        <f ca="1">IFERROR(__xludf.DUMMYFUNCTION("""COMPUTED_VALUE"""),"20SDSEE01003")</f>
        <v>20SDSEE01003</v>
      </c>
      <c r="D811" s="73">
        <f ca="1">IFERROR(__xludf.DUMMYFUNCTION("""COMPUTED_VALUE"""),44965)</f>
        <v>44965</v>
      </c>
      <c r="E811" s="74">
        <f ca="1">IFERROR(__xludf.DUMMYFUNCTION("""COMPUTED_VALUE"""),25000)</f>
        <v>25000</v>
      </c>
      <c r="F811" s="72"/>
      <c r="G811" s="75"/>
      <c r="H811" s="59" t="str">
        <f ca="1">IFERROR(__xludf.DUMMYFUNCTION("""COMPUTED_VALUE"""),"UPDATE")</f>
        <v>UPDATE</v>
      </c>
      <c r="I811" s="76" t="str">
        <f ca="1">IFERROR(__xludf.DUMMYFUNCTION("""COMPUTED_VALUE"""),"https://drive.google.com/open?id=1q-2szdA_RPfrAAq8HBDLTYt8QLtbsPGs")</f>
        <v>https://drive.google.com/open?id=1q-2szdA_RPfrAAq8HBDLTYt8QLtbsPGs</v>
      </c>
      <c r="J811" s="59"/>
      <c r="K811" s="59"/>
      <c r="L811" s="59"/>
      <c r="M811" s="59"/>
      <c r="N811" s="59"/>
      <c r="O811" s="59"/>
      <c r="P811" s="59"/>
    </row>
    <row r="812" spans="1:16">
      <c r="A812" s="71">
        <f ca="1">IFERROR(__xludf.DUMMYFUNCTION("""COMPUTED_VALUE"""),44965.6756215625)</f>
        <v>44965.675621562499</v>
      </c>
      <c r="B812" s="59" t="str">
        <f ca="1">IFERROR(__xludf.DUMMYFUNCTION("""COMPUTED_VALUE"""),"Nancy khakhriya ")</f>
        <v xml:space="preserve">Nancy khakhriya </v>
      </c>
      <c r="C812" s="72" t="str">
        <f ca="1">IFERROR(__xludf.DUMMYFUNCTION("""COMPUTED_VALUE"""),"21SDSCE01028")</f>
        <v>21SDSCE01028</v>
      </c>
      <c r="D812" s="73">
        <f ca="1">IFERROR(__xludf.DUMMYFUNCTION("""COMPUTED_VALUE"""),44965)</f>
        <v>44965</v>
      </c>
      <c r="E812" s="72"/>
      <c r="F812" s="72">
        <f ca="1">IFERROR(__xludf.DUMMYFUNCTION("""COMPUTED_VALUE"""),19750)</f>
        <v>19750</v>
      </c>
      <c r="G812" s="75"/>
      <c r="H812" s="59" t="str">
        <f ca="1">IFERROR(__xludf.DUMMYFUNCTION("""COMPUTED_VALUE"""),"UPDATE")</f>
        <v>UPDATE</v>
      </c>
      <c r="I812" s="76" t="str">
        <f ca="1">IFERROR(__xludf.DUMMYFUNCTION("""COMPUTED_VALUE"""),"https://drive.google.com/open?id=1hL93zlOH_XE6UZEKJ9QbnyfM9fMP_wmp")</f>
        <v>https://drive.google.com/open?id=1hL93zlOH_XE6UZEKJ9QbnyfM9fMP_wmp</v>
      </c>
      <c r="J812" s="59"/>
      <c r="K812" s="59"/>
      <c r="L812" s="59"/>
      <c r="M812" s="59"/>
      <c r="N812" s="59"/>
      <c r="O812" s="59"/>
      <c r="P812" s="59"/>
    </row>
    <row r="813" spans="1:16">
      <c r="A813" s="71">
        <f ca="1">IFERROR(__xludf.DUMMYFUNCTION("""COMPUTED_VALUE"""),44965.5951578472)</f>
        <v>44965.595157847201</v>
      </c>
      <c r="B813" s="59" t="str">
        <f ca="1">IFERROR(__xludf.DUMMYFUNCTION("""COMPUTED_VALUE"""),"Nancy khakhriya ")</f>
        <v xml:space="preserve">Nancy khakhriya </v>
      </c>
      <c r="C813" s="72" t="str">
        <f ca="1">IFERROR(__xludf.DUMMYFUNCTION("""COMPUTED_VALUE"""),"21SDSCE07028")</f>
        <v>21SDSCE07028</v>
      </c>
      <c r="D813" s="73">
        <f ca="1">IFERROR(__xludf.DUMMYFUNCTION("""COMPUTED_VALUE"""),44936)</f>
        <v>44936</v>
      </c>
      <c r="E813" s="72"/>
      <c r="F813" s="72">
        <f ca="1">IFERROR(__xludf.DUMMYFUNCTION("""COMPUTED_VALUE"""),2500)</f>
        <v>2500</v>
      </c>
      <c r="G813" s="75"/>
      <c r="H813" s="59" t="str">
        <f ca="1">IFERROR(__xludf.DUMMYFUNCTION("""COMPUTED_VALUE"""),"UPDATE")</f>
        <v>UPDATE</v>
      </c>
      <c r="I813" s="76" t="str">
        <f ca="1">IFERROR(__xludf.DUMMYFUNCTION("""COMPUTED_VALUE"""),"https://drive.google.com/open?id=1lX58tIiCS0NL5LJtHE_XmT6-3dvY-gjZ")</f>
        <v>https://drive.google.com/open?id=1lX58tIiCS0NL5LJtHE_XmT6-3dvY-gjZ</v>
      </c>
      <c r="J813" s="59"/>
      <c r="K813" s="59"/>
      <c r="L813" s="59"/>
      <c r="M813" s="59"/>
      <c r="N813" s="59"/>
      <c r="O813" s="59"/>
      <c r="P813" s="59"/>
    </row>
    <row r="814" spans="1:16">
      <c r="A814" s="71">
        <f ca="1">IFERROR(__xludf.DUMMYFUNCTION("""COMPUTED_VALUE"""),44965.5940789699)</f>
        <v>44965.594078969902</v>
      </c>
      <c r="B814" s="59" t="str">
        <f ca="1">IFERROR(__xludf.DUMMYFUNCTION("""COMPUTED_VALUE"""),"Nancy khakhriya ")</f>
        <v xml:space="preserve">Nancy khakhriya </v>
      </c>
      <c r="C814" s="72" t="str">
        <f ca="1">IFERROR(__xludf.DUMMYFUNCTION("""COMPUTED_VALUE"""),"21SDSCE01028")</f>
        <v>21SDSCE01028</v>
      </c>
      <c r="D814" s="73">
        <f ca="1">IFERROR(__xludf.DUMMYFUNCTION("""COMPUTED_VALUE"""),44936)</f>
        <v>44936</v>
      </c>
      <c r="E814" s="72"/>
      <c r="F814" s="72">
        <f ca="1">IFERROR(__xludf.DUMMYFUNCTION("""COMPUTED_VALUE"""),2500)</f>
        <v>2500</v>
      </c>
      <c r="G814" s="75"/>
      <c r="H814" s="59" t="str">
        <f ca="1">IFERROR(__xludf.DUMMYFUNCTION("""COMPUTED_VALUE"""),"UPDATE")</f>
        <v>UPDATE</v>
      </c>
      <c r="I814" s="76" t="str">
        <f ca="1">IFERROR(__xludf.DUMMYFUNCTION("""COMPUTED_VALUE"""),"https://drive.google.com/open?id=1Fi9Z-wDYMT1gxXwLsGEdESbOce4LbZkE")</f>
        <v>https://drive.google.com/open?id=1Fi9Z-wDYMT1gxXwLsGEdESbOce4LbZkE</v>
      </c>
      <c r="J814" s="59"/>
      <c r="K814" s="59"/>
      <c r="L814" s="59"/>
      <c r="M814" s="59"/>
      <c r="N814" s="59"/>
      <c r="O814" s="59"/>
      <c r="P814" s="59"/>
    </row>
    <row r="815" spans="1:16">
      <c r="A815" s="71">
        <f ca="1">IFERROR(__xludf.DUMMYFUNCTION("""COMPUTED_VALUE"""),44965.3488072222)</f>
        <v>44965.348807222203</v>
      </c>
      <c r="B815" s="59" t="str">
        <f ca="1">IFERROR(__xludf.DUMMYFUNCTION("""COMPUTED_VALUE"""),"Bamta Bhargavi B.")</f>
        <v>Bamta Bhargavi B.</v>
      </c>
      <c r="C815" s="72" t="str">
        <f ca="1">IFERROR(__xludf.DUMMYFUNCTION("""COMPUTED_VALUE"""),"21SDSCE01003")</f>
        <v>21SDSCE01003</v>
      </c>
      <c r="D815" s="73">
        <f ca="1">IFERROR(__xludf.DUMMYFUNCTION("""COMPUTED_VALUE"""),44927)</f>
        <v>44927</v>
      </c>
      <c r="E815" s="72"/>
      <c r="F815" s="72">
        <f ca="1">IFERROR(__xludf.DUMMYFUNCTION("""COMPUTED_VALUE"""),2500)</f>
        <v>2500</v>
      </c>
      <c r="G815" s="75"/>
      <c r="H815" s="59" t="str">
        <f ca="1">IFERROR(__xludf.DUMMYFUNCTION("""COMPUTED_VALUE"""),"UPDATE")</f>
        <v>UPDATE</v>
      </c>
      <c r="I815" s="76" t="str">
        <f ca="1">IFERROR(__xludf.DUMMYFUNCTION("""COMPUTED_VALUE"""),"https://drive.google.com/open?id=18vHaHs1vZvOcElNNUHyNsV5w6a0k1Qxh")</f>
        <v>https://drive.google.com/open?id=18vHaHs1vZvOcElNNUHyNsV5w6a0k1Qxh</v>
      </c>
      <c r="J815" s="59"/>
      <c r="K815" s="59"/>
      <c r="L815" s="59"/>
      <c r="M815" s="59"/>
      <c r="N815" s="59"/>
      <c r="O815" s="59"/>
      <c r="P815" s="59"/>
    </row>
    <row r="816" spans="1:16">
      <c r="A816" s="71">
        <f ca="1">IFERROR(__xludf.DUMMYFUNCTION("""COMPUTED_VALUE"""),44964.7360272106)</f>
        <v>44964.736027210602</v>
      </c>
      <c r="B816" s="59" t="str">
        <f ca="1">IFERROR(__xludf.DUMMYFUNCTION("""COMPUTED_VALUE"""),"Nikhil varia ")</f>
        <v xml:space="preserve">Nikhil varia </v>
      </c>
      <c r="C816" s="72" t="str">
        <f ca="1">IFERROR(__xludf.DUMMYFUNCTION("""COMPUTED_VALUE"""),"21SDSEE01008")</f>
        <v>21SDSEE01008</v>
      </c>
      <c r="D816" s="73">
        <f ca="1">IFERROR(__xludf.DUMMYFUNCTION("""COMPUTED_VALUE"""),44963)</f>
        <v>44963</v>
      </c>
      <c r="E816" s="72"/>
      <c r="F816" s="72">
        <f ca="1">IFERROR(__xludf.DUMMYFUNCTION("""COMPUTED_VALUE"""),2500)</f>
        <v>2500</v>
      </c>
      <c r="G816" s="75"/>
      <c r="H816" s="59" t="str">
        <f ca="1">IFERROR(__xludf.DUMMYFUNCTION("""COMPUTED_VALUE"""),"UPDATE")</f>
        <v>UPDATE</v>
      </c>
      <c r="I816" s="76" t="str">
        <f ca="1">IFERROR(__xludf.DUMMYFUNCTION("""COMPUTED_VALUE"""),"https://drive.google.com/open?id=1GE6BNxAww4qRWebFisnIoGg1zi0DY2Kc")</f>
        <v>https://drive.google.com/open?id=1GE6BNxAww4qRWebFisnIoGg1zi0DY2Kc</v>
      </c>
      <c r="J816" s="59"/>
      <c r="K816" s="59"/>
      <c r="L816" s="59"/>
      <c r="M816" s="59"/>
      <c r="N816" s="59"/>
      <c r="O816" s="59"/>
      <c r="P816" s="59"/>
    </row>
    <row r="817" spans="1:16">
      <c r="A817" s="71">
        <f ca="1">IFERROR(__xludf.DUMMYFUNCTION("""COMPUTED_VALUE"""),44964.7341455671)</f>
        <v>44964.734145567098</v>
      </c>
      <c r="B817" s="59" t="str">
        <f ca="1">IFERROR(__xludf.DUMMYFUNCTION("""COMPUTED_VALUE"""),"Nikhil varia ")</f>
        <v xml:space="preserve">Nikhil varia </v>
      </c>
      <c r="C817" s="72" t="str">
        <f ca="1">IFERROR(__xludf.DUMMYFUNCTION("""COMPUTED_VALUE"""),"21SDSEE01008")</f>
        <v>21SDSEE01008</v>
      </c>
      <c r="D817" s="73">
        <f ca="1">IFERROR(__xludf.DUMMYFUNCTION("""COMPUTED_VALUE"""),44963)</f>
        <v>44963</v>
      </c>
      <c r="E817" s="72"/>
      <c r="F817" s="72">
        <f ca="1">IFERROR(__xludf.DUMMYFUNCTION("""COMPUTED_VALUE"""),12500)</f>
        <v>12500</v>
      </c>
      <c r="G817" s="75"/>
      <c r="H817" s="59" t="str">
        <f ca="1">IFERROR(__xludf.DUMMYFUNCTION("""COMPUTED_VALUE"""),"UPDATE")</f>
        <v>UPDATE</v>
      </c>
      <c r="I817" s="76" t="str">
        <f ca="1">IFERROR(__xludf.DUMMYFUNCTION("""COMPUTED_VALUE"""),"https://drive.google.com/open?id=1rGQ5JPnZs2mfCp9hwMSzVovVKmpWJ9YF")</f>
        <v>https://drive.google.com/open?id=1rGQ5JPnZs2mfCp9hwMSzVovVKmpWJ9YF</v>
      </c>
      <c r="J817" s="59"/>
      <c r="K817" s="59"/>
      <c r="L817" s="59"/>
      <c r="M817" s="59"/>
      <c r="N817" s="59"/>
      <c r="O817" s="59"/>
      <c r="P817" s="59"/>
    </row>
    <row r="818" spans="1:16">
      <c r="A818" s="71">
        <f ca="1">IFERROR(__xludf.DUMMYFUNCTION("""COMPUTED_VALUE"""),44959.8335166435)</f>
        <v>44959.833516643499</v>
      </c>
      <c r="B818" s="59" t="str">
        <f ca="1">IFERROR(__xludf.DUMMYFUNCTION("""COMPUTED_VALUE"""),"Karan harijan")</f>
        <v>Karan harijan</v>
      </c>
      <c r="C818" s="72" t="str">
        <f ca="1">IFERROR(__xludf.DUMMYFUNCTION("""COMPUTED_VALUE"""),"20SDSCE01157")</f>
        <v>20SDSCE01157</v>
      </c>
      <c r="D818" s="73">
        <f ca="1">IFERROR(__xludf.DUMMYFUNCTION("""COMPUTED_VALUE"""),44959)</f>
        <v>44959</v>
      </c>
      <c r="E818" s="72"/>
      <c r="F818" s="72">
        <f ca="1">IFERROR(__xludf.DUMMYFUNCTION("""COMPUTED_VALUE"""),32500)</f>
        <v>32500</v>
      </c>
      <c r="G818" s="75"/>
      <c r="H818" s="59" t="str">
        <f ca="1">IFERROR(__xludf.DUMMYFUNCTION("""COMPUTED_VALUE"""),"penalty applicable")</f>
        <v>penalty applicable</v>
      </c>
      <c r="I818" s="76" t="str">
        <f ca="1">IFERROR(__xludf.DUMMYFUNCTION("""COMPUTED_VALUE"""),"https://drive.google.com/open?id=1LGIRYsT1PpNXcFWcZ3yd0OCw1RBs-piR")</f>
        <v>https://drive.google.com/open?id=1LGIRYsT1PpNXcFWcZ3yd0OCw1RBs-piR</v>
      </c>
      <c r="J818" s="59"/>
      <c r="K818" s="59"/>
      <c r="L818" s="59"/>
      <c r="M818" s="59"/>
      <c r="N818" s="59"/>
      <c r="O818" s="59"/>
      <c r="P818" s="59"/>
    </row>
    <row r="819" spans="1:16">
      <c r="A819" s="71">
        <f ca="1">IFERROR(__xludf.DUMMYFUNCTION("""COMPUTED_VALUE"""),44959.8136970601)</f>
        <v>44959.813697060097</v>
      </c>
      <c r="B819" s="59" t="str">
        <f ca="1">IFERROR(__xludf.DUMMYFUNCTION("""COMPUTED_VALUE"""),"Jagani Nayan Suresh Bhai ")</f>
        <v xml:space="preserve">Jagani Nayan Suresh Bhai </v>
      </c>
      <c r="C819" s="72" t="str">
        <f ca="1">IFERROR(__xludf.DUMMYFUNCTION("""COMPUTED_VALUE"""),"20SDSEE01011")</f>
        <v>20SDSEE01011</v>
      </c>
      <c r="D819" s="73">
        <f ca="1">IFERROR(__xludf.DUMMYFUNCTION("""COMPUTED_VALUE"""),44959)</f>
        <v>44959</v>
      </c>
      <c r="E819" s="74">
        <f ca="1">IFERROR(__xludf.DUMMYFUNCTION("""COMPUTED_VALUE"""),25000)</f>
        <v>25000</v>
      </c>
      <c r="F819" s="72"/>
      <c r="G819" s="75"/>
      <c r="H819" s="59" t="str">
        <f ca="1">IFERROR(__xludf.DUMMYFUNCTION("""COMPUTED_VALUE"""),"UPDATE")</f>
        <v>UPDATE</v>
      </c>
      <c r="I819" s="76" t="str">
        <f ca="1">IFERROR(__xludf.DUMMYFUNCTION("""COMPUTED_VALUE"""),"https://drive.google.com/open?id=1wVIIPUYSRyFsLBvJHlPzQrrDt8fRm2MK")</f>
        <v>https://drive.google.com/open?id=1wVIIPUYSRyFsLBvJHlPzQrrDt8fRm2MK</v>
      </c>
      <c r="J819" s="59"/>
      <c r="K819" s="59"/>
      <c r="L819" s="59"/>
      <c r="M819" s="59"/>
      <c r="N819" s="59"/>
      <c r="O819" s="59"/>
      <c r="P819" s="59"/>
    </row>
    <row r="820" spans="1:16">
      <c r="A820" s="71">
        <f ca="1">IFERROR(__xludf.DUMMYFUNCTION("""COMPUTED_VALUE"""),44957.812508993)</f>
        <v>44957.812508993004</v>
      </c>
      <c r="B820" s="59" t="str">
        <f ca="1">IFERROR(__xludf.DUMMYFUNCTION("""COMPUTED_VALUE"""),"Thummar meet mukeshbhai ")</f>
        <v xml:space="preserve">Thummar meet mukeshbhai </v>
      </c>
      <c r="C820" s="72" t="str">
        <f ca="1">IFERROR(__xludf.DUMMYFUNCTION("""COMPUTED_VALUE"""),"20SDSEE01026")</f>
        <v>20SDSEE01026</v>
      </c>
      <c r="D820" s="73">
        <f ca="1">IFERROR(__xludf.DUMMYFUNCTION("""COMPUTED_VALUE"""),44957)</f>
        <v>44957</v>
      </c>
      <c r="E820" s="74">
        <f ca="1">IFERROR(__xludf.DUMMYFUNCTION("""COMPUTED_VALUE"""),20000)</f>
        <v>20000</v>
      </c>
      <c r="F820" s="72"/>
      <c r="G820" s="75"/>
      <c r="H820" s="59" t="str">
        <f ca="1">IFERROR(__xludf.DUMMYFUNCTION("""COMPUTED_VALUE"""),"UPDATE")</f>
        <v>UPDATE</v>
      </c>
      <c r="I820" s="76" t="str">
        <f ca="1">IFERROR(__xludf.DUMMYFUNCTION("""COMPUTED_VALUE"""),"https://drive.google.com/open?id=1LzQRuDhG4lKMc7nSoYK2n7ZC6AHMRBgj")</f>
        <v>https://drive.google.com/open?id=1LzQRuDhG4lKMc7nSoYK2n7ZC6AHMRBgj</v>
      </c>
      <c r="J820" s="59"/>
      <c r="K820" s="59"/>
      <c r="L820" s="59"/>
      <c r="M820" s="59"/>
      <c r="N820" s="59"/>
      <c r="O820" s="59"/>
      <c r="P820" s="59"/>
    </row>
    <row r="821" spans="1:16">
      <c r="A821" s="71">
        <f ca="1">IFERROR(__xludf.DUMMYFUNCTION("""COMPUTED_VALUE"""),44957.8096374652)</f>
        <v>44957.809637465201</v>
      </c>
      <c r="B821" s="59" t="str">
        <f ca="1">IFERROR(__xludf.DUMMYFUNCTION("""COMPUTED_VALUE"""),"Thummar meet mukeshbhai")</f>
        <v>Thummar meet mukeshbhai</v>
      </c>
      <c r="C821" s="72" t="str">
        <f ca="1">IFERROR(__xludf.DUMMYFUNCTION("""COMPUTED_VALUE"""),"20SDSEE01026")</f>
        <v>20SDSEE01026</v>
      </c>
      <c r="D821" s="73">
        <f ca="1">IFERROR(__xludf.DUMMYFUNCTION("""COMPUTED_VALUE"""),44957)</f>
        <v>44957</v>
      </c>
      <c r="E821" s="72"/>
      <c r="F821" s="72">
        <f ca="1">IFERROR(__xludf.DUMMYFUNCTION("""COMPUTED_VALUE"""),3750)</f>
        <v>3750</v>
      </c>
      <c r="G821" s="75"/>
      <c r="H821" s="59" t="str">
        <f ca="1">IFERROR(__xludf.DUMMYFUNCTION("""COMPUTED_VALUE"""),"UPDATE")</f>
        <v>UPDATE</v>
      </c>
      <c r="I821" s="76" t="str">
        <f ca="1">IFERROR(__xludf.DUMMYFUNCTION("""COMPUTED_VALUE"""),"https://drive.google.com/open?id=1GvcO9S4twqkyJDUSjkguTuS0M18YQmjY")</f>
        <v>https://drive.google.com/open?id=1GvcO9S4twqkyJDUSjkguTuS0M18YQmjY</v>
      </c>
      <c r="J821" s="59"/>
      <c r="K821" s="59"/>
      <c r="L821" s="59"/>
      <c r="M821" s="59"/>
      <c r="N821" s="59"/>
      <c r="O821" s="59"/>
      <c r="P821" s="59"/>
    </row>
    <row r="822" spans="1:16">
      <c r="A822" s="71">
        <f ca="1">IFERROR(__xludf.DUMMYFUNCTION("""COMPUTED_VALUE"""),44957.3676106365)</f>
        <v>44957.367610636502</v>
      </c>
      <c r="B822" s="59" t="str">
        <f ca="1">IFERROR(__xludf.DUMMYFUNCTION("""COMPUTED_VALUE"""),"Patel Nishant Manishbhai ")</f>
        <v xml:space="preserve">Patel Nishant Manishbhai </v>
      </c>
      <c r="C822" s="72" t="str">
        <f ca="1">IFERROR(__xludf.DUMMYFUNCTION("""COMPUTED_VALUE"""),"20SDSCE01087")</f>
        <v>20SDSCE01087</v>
      </c>
      <c r="D822" s="73">
        <f ca="1">IFERROR(__xludf.DUMMYFUNCTION("""COMPUTED_VALUE"""),44954)</f>
        <v>44954</v>
      </c>
      <c r="E822" s="72"/>
      <c r="F822" s="72">
        <f ca="1">IFERROR(__xludf.DUMMYFUNCTION("""COMPUTED_VALUE"""),3750)</f>
        <v>3750</v>
      </c>
      <c r="G822" s="75"/>
      <c r="H822" s="59" t="str">
        <f ca="1">IFERROR(__xludf.DUMMYFUNCTION("""COMPUTED_VALUE"""),"UPDATE")</f>
        <v>UPDATE</v>
      </c>
      <c r="I822" s="76" t="str">
        <f ca="1">IFERROR(__xludf.DUMMYFUNCTION("""COMPUTED_VALUE"""),"https://drive.google.com/open?id=17heaGRntE70sg7vwg7Yb1OiYnXQ4MX3I")</f>
        <v>https://drive.google.com/open?id=17heaGRntE70sg7vwg7Yb1OiYnXQ4MX3I</v>
      </c>
      <c r="J822" s="59"/>
      <c r="K822" s="59"/>
      <c r="L822" s="59"/>
      <c r="M822" s="59"/>
      <c r="N822" s="59"/>
      <c r="O822" s="59"/>
      <c r="P822" s="59"/>
    </row>
    <row r="823" spans="1:16">
      <c r="A823" s="71">
        <f ca="1">IFERROR(__xludf.DUMMYFUNCTION("""COMPUTED_VALUE"""),44957.3666193287)</f>
        <v>44957.366619328699</v>
      </c>
      <c r="B823" s="59" t="str">
        <f ca="1">IFERROR(__xludf.DUMMYFUNCTION("""COMPUTED_VALUE"""),"Patel Nishant Manishbhai ")</f>
        <v xml:space="preserve">Patel Nishant Manishbhai </v>
      </c>
      <c r="C823" s="72" t="str">
        <f ca="1">IFERROR(__xludf.DUMMYFUNCTION("""COMPUTED_VALUE"""),"20SDSCE01087")</f>
        <v>20SDSCE01087</v>
      </c>
      <c r="D823" s="73">
        <f ca="1">IFERROR(__xludf.DUMMYFUNCTION("""COMPUTED_VALUE"""),44954)</f>
        <v>44954</v>
      </c>
      <c r="E823" s="74">
        <f ca="1">IFERROR(__xludf.DUMMYFUNCTION("""COMPUTED_VALUE"""),25000)</f>
        <v>25000</v>
      </c>
      <c r="F823" s="72"/>
      <c r="G823" s="75"/>
      <c r="H823" s="59" t="str">
        <f ca="1">IFERROR(__xludf.DUMMYFUNCTION("""COMPUTED_VALUE"""),"UPDATE")</f>
        <v>UPDATE</v>
      </c>
      <c r="I823" s="76" t="str">
        <f ca="1">IFERROR(__xludf.DUMMYFUNCTION("""COMPUTED_VALUE"""),"https://drive.google.com/open?id=13NWvJiVcnto2L9Y4cbiYgoi_TOJ8hFSu")</f>
        <v>https://drive.google.com/open?id=13NWvJiVcnto2L9Y4cbiYgoi_TOJ8hFSu</v>
      </c>
      <c r="J823" s="59"/>
      <c r="K823" s="59"/>
      <c r="L823" s="59"/>
      <c r="M823" s="59"/>
      <c r="N823" s="59"/>
      <c r="O823" s="59"/>
      <c r="P823" s="59"/>
    </row>
    <row r="824" spans="1:16">
      <c r="A824" s="71">
        <f ca="1">IFERROR(__xludf.DUMMYFUNCTION("""COMPUTED_VALUE"""),44956.6723386342)</f>
        <v>44956.672338634198</v>
      </c>
      <c r="B824" s="59" t="str">
        <f ca="1">IFERROR(__xludf.DUMMYFUNCTION("""COMPUTED_VALUE"""),"Gajjar Harshil")</f>
        <v>Gajjar Harshil</v>
      </c>
      <c r="C824" s="72" t="str">
        <f ca="1">IFERROR(__xludf.DUMMYFUNCTION("""COMPUTED_VALUE"""),"20SDSCE01036")</f>
        <v>20SDSCE01036</v>
      </c>
      <c r="D824" s="73">
        <f ca="1">IFERROR(__xludf.DUMMYFUNCTION("""COMPUTED_VALUE"""),44956)</f>
        <v>44956</v>
      </c>
      <c r="E824" s="72"/>
      <c r="F824" s="72"/>
      <c r="G824" s="75"/>
      <c r="H824" s="59" t="str">
        <f ca="1">IFERROR(__xludf.DUMMYFUNCTION("""COMPUTED_VALUE"""),"UPDATE")</f>
        <v>UPDATE</v>
      </c>
      <c r="I824" s="76" t="str">
        <f ca="1">IFERROR(__xludf.DUMMYFUNCTION("""COMPUTED_VALUE"""),"https://drive.google.com/open?id=1NCseDJVdQ-DHANB2JlN_Z7BUXoiMjhtf")</f>
        <v>https://drive.google.com/open?id=1NCseDJVdQ-DHANB2JlN_Z7BUXoiMjhtf</v>
      </c>
      <c r="J824" s="59"/>
      <c r="K824" s="59"/>
      <c r="L824" s="59"/>
      <c r="M824" s="59"/>
      <c r="N824" s="59"/>
      <c r="O824" s="59"/>
      <c r="P824" s="59"/>
    </row>
    <row r="825" spans="1:16">
      <c r="A825" s="71">
        <f ca="1">IFERROR(__xludf.DUMMYFUNCTION("""COMPUTED_VALUE"""),44946.6259602083)</f>
        <v>44946.625960208301</v>
      </c>
      <c r="B825" s="59" t="str">
        <f ca="1">IFERROR(__xludf.DUMMYFUNCTION("""COMPUTED_VALUE"""),"Mili Bathani")</f>
        <v>Mili Bathani</v>
      </c>
      <c r="C825" s="72" t="str">
        <f ca="1">IFERROR(__xludf.DUMMYFUNCTION("""COMPUTED_VALUE"""),"20SDSCE01008")</f>
        <v>20SDSCE01008</v>
      </c>
      <c r="D825" s="73">
        <f ca="1">IFERROR(__xludf.DUMMYFUNCTION("""COMPUTED_VALUE"""),44946)</f>
        <v>44946</v>
      </c>
      <c r="E825" s="74">
        <f ca="1">IFERROR(__xludf.DUMMYFUNCTION("""COMPUTED_VALUE"""),25000)</f>
        <v>25000</v>
      </c>
      <c r="F825" s="72">
        <f ca="1">IFERROR(__xludf.DUMMYFUNCTION("""COMPUTED_VALUE"""),3750)</f>
        <v>3750</v>
      </c>
      <c r="G825" s="75"/>
      <c r="H825" s="59" t="str">
        <f ca="1">IFERROR(__xludf.DUMMYFUNCTION("""COMPUTED_VALUE"""),"UPDATE")</f>
        <v>UPDATE</v>
      </c>
      <c r="I825" s="76" t="str">
        <f ca="1">IFERROR(__xludf.DUMMYFUNCTION("""COMPUTED_VALUE"""),"https://drive.google.com/open?id=1Yy-F2a6snPG0m0P2G6zRdkvAH4O88URr")</f>
        <v>https://drive.google.com/open?id=1Yy-F2a6snPG0m0P2G6zRdkvAH4O88URr</v>
      </c>
      <c r="J825" s="59"/>
      <c r="K825" s="59"/>
      <c r="L825" s="59"/>
      <c r="M825" s="59"/>
      <c r="N825" s="59"/>
      <c r="O825" s="59"/>
      <c r="P825" s="59"/>
    </row>
    <row r="826" spans="1:16">
      <c r="A826" s="71">
        <f ca="1">IFERROR(__xludf.DUMMYFUNCTION("""COMPUTED_VALUE"""),44945.6701892361)</f>
        <v>44945.670189236102</v>
      </c>
      <c r="B826" s="59" t="str">
        <f ca="1">IFERROR(__xludf.DUMMYFUNCTION("""COMPUTED_VALUE"""),"Manoj Kewat ")</f>
        <v xml:space="preserve">Manoj Kewat </v>
      </c>
      <c r="C826" s="72" t="str">
        <f ca="1">IFERROR(__xludf.DUMMYFUNCTION("""COMPUTED_VALUE"""),"22SDSCE01616")</f>
        <v>22SDSCE01616</v>
      </c>
      <c r="D826" s="73">
        <f ca="1">IFERROR(__xludf.DUMMYFUNCTION("""COMPUTED_VALUE"""),44945)</f>
        <v>44945</v>
      </c>
      <c r="E826" s="72"/>
      <c r="F826" s="72"/>
      <c r="G826" s="75"/>
      <c r="H826" s="59" t="str">
        <f ca="1">IFERROR(__xludf.DUMMYFUNCTION("""COMPUTED_VALUE"""),"UPDATE")</f>
        <v>UPDATE</v>
      </c>
      <c r="I826" s="76" t="str">
        <f ca="1">IFERROR(__xludf.DUMMYFUNCTION("""COMPUTED_VALUE"""),"https://drive.google.com/open?id=1qjxZfqhxc1jZzEirPythvUpJxYT7kFQs")</f>
        <v>https://drive.google.com/open?id=1qjxZfqhxc1jZzEirPythvUpJxYT7kFQs</v>
      </c>
      <c r="J826" s="59"/>
      <c r="K826" s="59"/>
      <c r="L826" s="59"/>
      <c r="M826" s="59"/>
      <c r="N826" s="59"/>
      <c r="O826" s="59"/>
      <c r="P826" s="59"/>
    </row>
    <row r="827" spans="1:16">
      <c r="A827" s="71">
        <f ca="1">IFERROR(__xludf.DUMMYFUNCTION("""COMPUTED_VALUE"""),44945.5460065509)</f>
        <v>44945.546006550903</v>
      </c>
      <c r="B827" s="59" t="str">
        <f ca="1">IFERROR(__xludf.DUMMYFUNCTION("""COMPUTED_VALUE"""),"Tilakram Lodh")</f>
        <v>Tilakram Lodh</v>
      </c>
      <c r="C827" s="72" t="str">
        <f ca="1">IFERROR(__xludf.DUMMYFUNCTION("""COMPUTED_VALUE"""),"22SDSCE01618")</f>
        <v>22SDSCE01618</v>
      </c>
      <c r="D827" s="73">
        <f ca="1">IFERROR(__xludf.DUMMYFUNCTION("""COMPUTED_VALUE"""),44945)</f>
        <v>44945</v>
      </c>
      <c r="E827" s="74">
        <f ca="1">IFERROR(__xludf.DUMMYFUNCTION("""COMPUTED_VALUE"""),50000)</f>
        <v>50000</v>
      </c>
      <c r="F827" s="72">
        <f ca="1">IFERROR(__xludf.DUMMYFUNCTION("""COMPUTED_VALUE"""),0)</f>
        <v>0</v>
      </c>
      <c r="G827" s="75"/>
      <c r="H827" s="59" t="str">
        <f ca="1">IFERROR(__xludf.DUMMYFUNCTION("""COMPUTED_VALUE"""),"UPDATE")</f>
        <v>UPDATE</v>
      </c>
      <c r="I827" s="76" t="str">
        <f ca="1">IFERROR(__xludf.DUMMYFUNCTION("""COMPUTED_VALUE"""),"https://drive.google.com/open?id=186l59ONkbH1h5PPrBkq9sMp12ySxhSJs")</f>
        <v>https://drive.google.com/open?id=186l59ONkbH1h5PPrBkq9sMp12ySxhSJs</v>
      </c>
      <c r="J827" s="59"/>
      <c r="K827" s="59"/>
      <c r="L827" s="59"/>
      <c r="M827" s="59"/>
      <c r="N827" s="59"/>
      <c r="O827" s="59"/>
      <c r="P827" s="59"/>
    </row>
    <row r="828" spans="1:16">
      <c r="A828" s="71">
        <f ca="1">IFERROR(__xludf.DUMMYFUNCTION("""COMPUTED_VALUE"""),44945.5448408333)</f>
        <v>44945.544840833303</v>
      </c>
      <c r="B828" s="59" t="str">
        <f ca="1">IFERROR(__xludf.DUMMYFUNCTION("""COMPUTED_VALUE"""),"Tilakram Lodh")</f>
        <v>Tilakram Lodh</v>
      </c>
      <c r="C828" s="72" t="str">
        <f ca="1">IFERROR(__xludf.DUMMYFUNCTION("""COMPUTED_VALUE"""),"22SDSCE01618")</f>
        <v>22SDSCE01618</v>
      </c>
      <c r="D828" s="73">
        <f ca="1">IFERROR(__xludf.DUMMYFUNCTION("""COMPUTED_VALUE"""),44945)</f>
        <v>44945</v>
      </c>
      <c r="E828" s="74">
        <f ca="1">IFERROR(__xludf.DUMMYFUNCTION("""COMPUTED_VALUE"""),50000)</f>
        <v>50000</v>
      </c>
      <c r="F828" s="72">
        <f ca="1">IFERROR(__xludf.DUMMYFUNCTION("""COMPUTED_VALUE"""),0)</f>
        <v>0</v>
      </c>
      <c r="G828" s="75"/>
      <c r="H828" s="59" t="str">
        <f ca="1">IFERROR(__xludf.DUMMYFUNCTION("""COMPUTED_VALUE"""),"UPDATE")</f>
        <v>UPDATE</v>
      </c>
      <c r="I828" s="76" t="str">
        <f ca="1">IFERROR(__xludf.DUMMYFUNCTION("""COMPUTED_VALUE"""),"https://drive.google.com/open?id=1G8b7HYvXR__DNHpMgt-WYrmRNFoDaC5q")</f>
        <v>https://drive.google.com/open?id=1G8b7HYvXR__DNHpMgt-WYrmRNFoDaC5q</v>
      </c>
      <c r="J828" s="59"/>
      <c r="K828" s="59"/>
      <c r="L828" s="59"/>
      <c r="M828" s="59"/>
      <c r="N828" s="59"/>
      <c r="O828" s="59"/>
      <c r="P828" s="59"/>
    </row>
    <row r="829" spans="1:16">
      <c r="A829" s="71">
        <f ca="1">IFERROR(__xludf.DUMMYFUNCTION("""COMPUTED_VALUE"""),44944.5558205092)</f>
        <v>44944.555820509202</v>
      </c>
      <c r="B829" s="59" t="str">
        <f ca="1">IFERROR(__xludf.DUMMYFUNCTION("""COMPUTED_VALUE"""),"Rajesh Kumar mandal ")</f>
        <v xml:space="preserve">Rajesh Kumar mandal </v>
      </c>
      <c r="C829" s="72" t="str">
        <f ca="1">IFERROR(__xludf.DUMMYFUNCTION("""COMPUTED_VALUE"""),"22SDSCV01606")</f>
        <v>22SDSCV01606</v>
      </c>
      <c r="D829" s="73">
        <f ca="1">IFERROR(__xludf.DUMMYFUNCTION("""COMPUTED_VALUE"""),44944)</f>
        <v>44944</v>
      </c>
      <c r="E829" s="74">
        <f ca="1">IFERROR(__xludf.DUMMYFUNCTION("""COMPUTED_VALUE"""),39000)</f>
        <v>39000</v>
      </c>
      <c r="F829" s="72">
        <f ca="1">IFERROR(__xludf.DUMMYFUNCTION("""COMPUTED_VALUE"""),0)</f>
        <v>0</v>
      </c>
      <c r="G829" s="75"/>
      <c r="H829" s="59" t="str">
        <f ca="1">IFERROR(__xludf.DUMMYFUNCTION("""COMPUTED_VALUE"""),"UPDATE")</f>
        <v>UPDATE</v>
      </c>
      <c r="I829" s="76" t="str">
        <f ca="1">IFERROR(__xludf.DUMMYFUNCTION("""COMPUTED_VALUE"""),"https://drive.google.com/open?id=1q1eGHCh14MIM9NeNHDqknP1Bn8CQQkof")</f>
        <v>https://drive.google.com/open?id=1q1eGHCh14MIM9NeNHDqknP1Bn8CQQkof</v>
      </c>
      <c r="J829" s="59"/>
      <c r="K829" s="59"/>
      <c r="L829" s="59"/>
      <c r="M829" s="59"/>
      <c r="N829" s="59"/>
      <c r="O829" s="59"/>
      <c r="P829" s="59"/>
    </row>
    <row r="830" spans="1:16">
      <c r="A830" s="71">
        <f ca="1">IFERROR(__xludf.DUMMYFUNCTION("""COMPUTED_VALUE"""),44944.5452502314)</f>
        <v>44944.5452502314</v>
      </c>
      <c r="B830" s="59" t="str">
        <f ca="1">IFERROR(__xludf.DUMMYFUNCTION("""COMPUTED_VALUE"""),"Kava Mitesh rajeshbhai")</f>
        <v>Kava Mitesh rajeshbhai</v>
      </c>
      <c r="C830" s="72" t="str">
        <f ca="1">IFERROR(__xludf.DUMMYFUNCTION("""COMPUTED_VALUE"""),"22SDSCE01203")</f>
        <v>22SDSCE01203</v>
      </c>
      <c r="D830" s="73">
        <f ca="1">IFERROR(__xludf.DUMMYFUNCTION("""COMPUTED_VALUE"""),44944)</f>
        <v>44944</v>
      </c>
      <c r="E830" s="74">
        <f ca="1">IFERROR(__xludf.DUMMYFUNCTION("""COMPUTED_VALUE"""),0)</f>
        <v>0</v>
      </c>
      <c r="F830" s="72">
        <f ca="1">IFERROR(__xludf.DUMMYFUNCTION("""COMPUTED_VALUE"""),13500)</f>
        <v>13500</v>
      </c>
      <c r="G830" s="75"/>
      <c r="H830" s="59" t="str">
        <f ca="1">IFERROR(__xludf.DUMMYFUNCTION("""COMPUTED_VALUE"""),"UPDATE")</f>
        <v>UPDATE</v>
      </c>
      <c r="I830" s="76" t="str">
        <f ca="1">IFERROR(__xludf.DUMMYFUNCTION("""COMPUTED_VALUE"""),"https://drive.google.com/open?id=1MizaZ0o9poU1ZF3ZKvvhA02SVRwo_KsD")</f>
        <v>https://drive.google.com/open?id=1MizaZ0o9poU1ZF3ZKvvhA02SVRwo_KsD</v>
      </c>
      <c r="J830" s="59"/>
      <c r="K830" s="59"/>
      <c r="L830" s="59"/>
      <c r="M830" s="59"/>
      <c r="N830" s="59"/>
      <c r="O830" s="59"/>
      <c r="P830" s="59"/>
    </row>
    <row r="831" spans="1:16">
      <c r="A831" s="71">
        <f ca="1">IFERROR(__xludf.DUMMYFUNCTION("""COMPUTED_VALUE"""),44943.5129538194)</f>
        <v>44943.512953819401</v>
      </c>
      <c r="B831" s="59" t="str">
        <f ca="1">IFERROR(__xludf.DUMMYFUNCTION("""COMPUTED_VALUE"""),"Pruthvizankat")</f>
        <v>Pruthvizankat</v>
      </c>
      <c r="C831" s="72" t="str">
        <f ca="1">IFERROR(__xludf.DUMMYFUNCTION("""COMPUTED_VALUE"""),"22SDSCV01018")</f>
        <v>22SDSCV01018</v>
      </c>
      <c r="D831" s="73">
        <f ca="1">IFERROR(__xludf.DUMMYFUNCTION("""COMPUTED_VALUE"""),44943)</f>
        <v>44943</v>
      </c>
      <c r="E831" s="74">
        <f ca="1">IFERROR(__xludf.DUMMYFUNCTION("""COMPUTED_VALUE"""),25000)</f>
        <v>25000</v>
      </c>
      <c r="F831" s="72">
        <f ca="1">IFERROR(__xludf.DUMMYFUNCTION("""COMPUTED_VALUE"""),13500)</f>
        <v>13500</v>
      </c>
      <c r="G831" s="75"/>
      <c r="H831" s="59" t="str">
        <f ca="1">IFERROR(__xludf.DUMMYFUNCTION("""COMPUTED_VALUE"""),"UPDATE")</f>
        <v>UPDATE</v>
      </c>
      <c r="I831" s="76" t="str">
        <f ca="1">IFERROR(__xludf.DUMMYFUNCTION("""COMPUTED_VALUE"""),"https://drive.google.com/open?id=1y4LYBti7sknMN2Oo0epyGLEji2lY41lS")</f>
        <v>https://drive.google.com/open?id=1y4LYBti7sknMN2Oo0epyGLEji2lY41lS</v>
      </c>
      <c r="J831" s="59"/>
      <c r="K831" s="59"/>
      <c r="L831" s="59"/>
      <c r="M831" s="59"/>
      <c r="N831" s="59"/>
      <c r="O831" s="59"/>
      <c r="P831" s="59"/>
    </row>
    <row r="832" spans="1:16">
      <c r="A832" s="71">
        <f ca="1">IFERROR(__xludf.DUMMYFUNCTION("""COMPUTED_VALUE"""),44943.4227823611)</f>
        <v>44943.4227823611</v>
      </c>
      <c r="B832" s="59" t="str">
        <f ca="1">IFERROR(__xludf.DUMMYFUNCTION("""COMPUTED_VALUE"""),"Chavda Karan Babubhai")</f>
        <v>Chavda Karan Babubhai</v>
      </c>
      <c r="C832" s="72" t="str">
        <f ca="1">IFERROR(__xludf.DUMMYFUNCTION("""COMPUTED_VALUE"""),"22SDSCE01199")</f>
        <v>22SDSCE01199</v>
      </c>
      <c r="D832" s="73">
        <f ca="1">IFERROR(__xludf.DUMMYFUNCTION("""COMPUTED_VALUE"""),44942)</f>
        <v>44942</v>
      </c>
      <c r="E832" s="74">
        <f ca="1">IFERROR(__xludf.DUMMYFUNCTION("""COMPUTED_VALUE"""),25000)</f>
        <v>25000</v>
      </c>
      <c r="F832" s="72"/>
      <c r="G832" s="75"/>
      <c r="H832" s="59" t="str">
        <f ca="1">IFERROR(__xludf.DUMMYFUNCTION("""COMPUTED_VALUE"""),"UPDATE")</f>
        <v>UPDATE</v>
      </c>
      <c r="I832" s="76" t="str">
        <f ca="1">IFERROR(__xludf.DUMMYFUNCTION("""COMPUTED_VALUE"""),"https://drive.google.com/open?id=15c_nRdcdddDzQbg8ImK-26kknAZIfjwB")</f>
        <v>https://drive.google.com/open?id=15c_nRdcdddDzQbg8ImK-26kknAZIfjwB</v>
      </c>
      <c r="J832" s="59"/>
      <c r="K832" s="59"/>
      <c r="L832" s="59"/>
      <c r="M832" s="59"/>
      <c r="N832" s="59"/>
      <c r="O832" s="59"/>
      <c r="P832" s="59"/>
    </row>
    <row r="833" spans="1:16">
      <c r="A833" s="71">
        <f ca="1">IFERROR(__xludf.DUMMYFUNCTION("""COMPUTED_VALUE"""),44942.5680753587)</f>
        <v>44942.5680753587</v>
      </c>
      <c r="B833" s="59" t="str">
        <f ca="1">IFERROR(__xludf.DUMMYFUNCTION("""COMPUTED_VALUE"""),"Vaghela hiren mohan bhai ")</f>
        <v xml:space="preserve">Vaghela hiren mohan bhai </v>
      </c>
      <c r="C833" s="72" t="str">
        <f ca="1">IFERROR(__xludf.DUMMYFUNCTION("""COMPUTED_VALUE"""),"22SDSCV01014")</f>
        <v>22SDSCV01014</v>
      </c>
      <c r="D833" s="73">
        <f ca="1">IFERROR(__xludf.DUMMYFUNCTION("""COMPUTED_VALUE"""),44942)</f>
        <v>44942</v>
      </c>
      <c r="E833" s="74">
        <f ca="1">IFERROR(__xludf.DUMMYFUNCTION("""COMPUTED_VALUE"""),25000)</f>
        <v>25000</v>
      </c>
      <c r="F833" s="72">
        <f ca="1">IFERROR(__xludf.DUMMYFUNCTION("""COMPUTED_VALUE"""),13500)</f>
        <v>13500</v>
      </c>
      <c r="G833" s="75"/>
      <c r="H833" s="59" t="str">
        <f ca="1">IFERROR(__xludf.DUMMYFUNCTION("""COMPUTED_VALUE"""),"UPDATE")</f>
        <v>UPDATE</v>
      </c>
      <c r="I833" s="76" t="str">
        <f ca="1">IFERROR(__xludf.DUMMYFUNCTION("""COMPUTED_VALUE"""),"https://drive.google.com/open?id=1KFYSaNtNxV9pTXOTCRyde25bT7otswY6")</f>
        <v>https://drive.google.com/open?id=1KFYSaNtNxV9pTXOTCRyde25bT7otswY6</v>
      </c>
      <c r="J833" s="59"/>
      <c r="K833" s="59"/>
      <c r="L833" s="59"/>
      <c r="M833" s="59"/>
      <c r="N833" s="59"/>
      <c r="O833" s="59"/>
      <c r="P833" s="59"/>
    </row>
    <row r="834" spans="1:16">
      <c r="A834" s="71">
        <f ca="1">IFERROR(__xludf.DUMMYFUNCTION("""COMPUTED_VALUE"""),44942.5069927777)</f>
        <v>44942.5069927777</v>
      </c>
      <c r="B834" s="59" t="str">
        <f ca="1">IFERROR(__xludf.DUMMYFUNCTION("""COMPUTED_VALUE"""),"VALA KRISHRAJSINH SHAKTISINH")</f>
        <v>VALA KRISHRAJSINH SHAKTISINH</v>
      </c>
      <c r="C834" s="72" t="str">
        <f ca="1">IFERROR(__xludf.DUMMYFUNCTION("""COMPUTED_VALUE"""),"22SDSCV01015")</f>
        <v>22SDSCV01015</v>
      </c>
      <c r="D834" s="73">
        <f ca="1">IFERROR(__xludf.DUMMYFUNCTION("""COMPUTED_VALUE"""),44942)</f>
        <v>44942</v>
      </c>
      <c r="E834" s="74">
        <f ca="1">IFERROR(__xludf.DUMMYFUNCTION("""COMPUTED_VALUE"""),25000)</f>
        <v>25000</v>
      </c>
      <c r="F834" s="72">
        <f ca="1">IFERROR(__xludf.DUMMYFUNCTION("""COMPUTED_VALUE"""),13500)</f>
        <v>13500</v>
      </c>
      <c r="G834" s="75"/>
      <c r="H834" s="59" t="str">
        <f ca="1">IFERROR(__xludf.DUMMYFUNCTION("""COMPUTED_VALUE"""),"UPDATE")</f>
        <v>UPDATE</v>
      </c>
      <c r="I834" s="76" t="str">
        <f ca="1">IFERROR(__xludf.DUMMYFUNCTION("""COMPUTED_VALUE"""),"https://drive.google.com/open?id=13IJ9g5xsiggbWtsrUpU7P7lEs9J3ZS8J")</f>
        <v>https://drive.google.com/open?id=13IJ9g5xsiggbWtsrUpU7P7lEs9J3ZS8J</v>
      </c>
      <c r="J834" s="59"/>
      <c r="K834" s="59"/>
      <c r="L834" s="59"/>
      <c r="M834" s="59"/>
      <c r="N834" s="59"/>
      <c r="O834" s="59"/>
      <c r="P834" s="59"/>
    </row>
    <row r="835" spans="1:16">
      <c r="A835" s="71">
        <f ca="1">IFERROR(__xludf.DUMMYFUNCTION("""COMPUTED_VALUE"""),44942.4026890277)</f>
        <v>44942.402689027702</v>
      </c>
      <c r="B835" s="59" t="str">
        <f ca="1">IFERROR(__xludf.DUMMYFUNCTION("""COMPUTED_VALUE"""),"Manoj kewat")</f>
        <v>Manoj kewat</v>
      </c>
      <c r="C835" s="72" t="str">
        <f ca="1">IFERROR(__xludf.DUMMYFUNCTION("""COMPUTED_VALUE"""),"22SDSCE01616")</f>
        <v>22SDSCE01616</v>
      </c>
      <c r="D835" s="73">
        <f ca="1">IFERROR(__xludf.DUMMYFUNCTION("""COMPUTED_VALUE"""),44935)</f>
        <v>44935</v>
      </c>
      <c r="E835" s="72"/>
      <c r="F835" s="72"/>
      <c r="G835" s="75"/>
      <c r="H835" s="59" t="str">
        <f ca="1">IFERROR(__xludf.DUMMYFUNCTION("""COMPUTED_VALUE"""),"UPDATE")</f>
        <v>UPDATE</v>
      </c>
      <c r="I835" s="76" t="str">
        <f ca="1">IFERROR(__xludf.DUMMYFUNCTION("""COMPUTED_VALUE"""),"https://drive.google.com/open?id=1AIpeIyvcJmyNEiI6g1QlvR3Y0d-PE2M3")</f>
        <v>https://drive.google.com/open?id=1AIpeIyvcJmyNEiI6g1QlvR3Y0d-PE2M3</v>
      </c>
      <c r="J835" s="59"/>
      <c r="K835" s="59"/>
      <c r="L835" s="59"/>
      <c r="M835" s="59"/>
      <c r="N835" s="59"/>
      <c r="O835" s="59"/>
      <c r="P835" s="59"/>
    </row>
    <row r="836" spans="1:16">
      <c r="A836" s="71">
        <f ca="1">IFERROR(__xludf.DUMMYFUNCTION("""COMPUTED_VALUE"""),44940.518773449)</f>
        <v>44940.518773449003</v>
      </c>
      <c r="B836" s="59" t="str">
        <f ca="1">IFERROR(__xludf.DUMMYFUNCTION("""COMPUTED_VALUE"""),"Ajay Kumar yadav ")</f>
        <v xml:space="preserve">Ajay Kumar yadav </v>
      </c>
      <c r="C836" s="72" t="str">
        <f ca="1">IFERROR(__xludf.DUMMYFUNCTION("""COMPUTED_VALUE"""),"21SDSCV01606")</f>
        <v>21SDSCV01606</v>
      </c>
      <c r="D836" s="73">
        <f ca="1">IFERROR(__xludf.DUMMYFUNCTION("""COMPUTED_VALUE"""),44940)</f>
        <v>44940</v>
      </c>
      <c r="E836" s="72"/>
      <c r="F836" s="72"/>
      <c r="G836" s="75"/>
      <c r="H836" s="59" t="str">
        <f ca="1">IFERROR(__xludf.DUMMYFUNCTION("""COMPUTED_VALUE"""),"UPDATE")</f>
        <v>UPDATE</v>
      </c>
      <c r="I836" s="76" t="str">
        <f ca="1">IFERROR(__xludf.DUMMYFUNCTION("""COMPUTED_VALUE"""),"https://drive.google.com/open?id=14xf_LUfS6V1sWPDt9eUmvmydDVWFUeCa")</f>
        <v>https://drive.google.com/open?id=14xf_LUfS6V1sWPDt9eUmvmydDVWFUeCa</v>
      </c>
      <c r="J836" s="59"/>
      <c r="K836" s="59"/>
      <c r="L836" s="59"/>
      <c r="M836" s="59"/>
      <c r="N836" s="59"/>
      <c r="O836" s="59"/>
      <c r="P836" s="59"/>
    </row>
    <row r="837" spans="1:16">
      <c r="A837" s="71">
        <f ca="1">IFERROR(__xludf.DUMMYFUNCTION("""COMPUTED_VALUE"""),44939.6252435763)</f>
        <v>44939.625243576302</v>
      </c>
      <c r="B837" s="59" t="str">
        <f ca="1">IFERROR(__xludf.DUMMYFUNCTION("""COMPUTED_VALUE"""),"Hemil jayeshvhai jani")</f>
        <v>Hemil jayeshvhai jani</v>
      </c>
      <c r="C837" s="72" t="str">
        <f ca="1">IFERROR(__xludf.DUMMYFUNCTION("""COMPUTED_VALUE"""),"22SDSME01053")</f>
        <v>22SDSME01053</v>
      </c>
      <c r="D837" s="73">
        <f ca="1">IFERROR(__xludf.DUMMYFUNCTION("""COMPUTED_VALUE"""),44939)</f>
        <v>44939</v>
      </c>
      <c r="E837" s="74">
        <f ca="1">IFERROR(__xludf.DUMMYFUNCTION("""COMPUTED_VALUE"""),25000)</f>
        <v>25000</v>
      </c>
      <c r="F837" s="72"/>
      <c r="G837" s="75"/>
      <c r="H837" s="59" t="str">
        <f ca="1">IFERROR(__xludf.DUMMYFUNCTION("""COMPUTED_VALUE"""),"UPDATE")</f>
        <v>UPDATE</v>
      </c>
      <c r="I837" s="76" t="str">
        <f ca="1">IFERROR(__xludf.DUMMYFUNCTION("""COMPUTED_VALUE"""),"https://drive.google.com/open?id=1G87x4BwnunRkriaAnjhVW-S3EnEyIiH1")</f>
        <v>https://drive.google.com/open?id=1G87x4BwnunRkriaAnjhVW-S3EnEyIiH1</v>
      </c>
      <c r="J837" s="59"/>
      <c r="K837" s="59"/>
      <c r="L837" s="59"/>
      <c r="M837" s="59"/>
      <c r="N837" s="59"/>
      <c r="O837" s="59"/>
      <c r="P837" s="59"/>
    </row>
    <row r="838" spans="1:16">
      <c r="A838" s="71">
        <f ca="1">IFERROR(__xludf.DUMMYFUNCTION("""COMPUTED_VALUE"""),44939.5063960648)</f>
        <v>44939.506396064797</v>
      </c>
      <c r="B838" s="59" t="str">
        <f ca="1">IFERROR(__xludf.DUMMYFUNCTION("""COMPUTED_VALUE"""),"Amit Gohel")</f>
        <v>Amit Gohel</v>
      </c>
      <c r="C838" s="72" t="str">
        <f ca="1">IFERROR(__xludf.DUMMYFUNCTION("""COMPUTED_VALUE"""),"22SDSEE01007")</f>
        <v>22SDSEE01007</v>
      </c>
      <c r="D838" s="73">
        <f ca="1">IFERROR(__xludf.DUMMYFUNCTION("""COMPUTED_VALUE"""),44939)</f>
        <v>44939</v>
      </c>
      <c r="E838" s="74">
        <f ca="1">IFERROR(__xludf.DUMMYFUNCTION("""COMPUTED_VALUE"""),25000)</f>
        <v>25000</v>
      </c>
      <c r="F838" s="72">
        <f ca="1">IFERROR(__xludf.DUMMYFUNCTION("""COMPUTED_VALUE"""),13500)</f>
        <v>13500</v>
      </c>
      <c r="G838" s="75"/>
      <c r="H838" s="59" t="str">
        <f ca="1">IFERROR(__xludf.DUMMYFUNCTION("""COMPUTED_VALUE"""),"UPDATE")</f>
        <v>UPDATE</v>
      </c>
      <c r="I838" s="76" t="str">
        <f ca="1">IFERROR(__xludf.DUMMYFUNCTION("""COMPUTED_VALUE"""),"https://drive.google.com/open?id=1IE3DzgSO8zn08pDSeg0PutTPAaRKoPw6")</f>
        <v>https://drive.google.com/open?id=1IE3DzgSO8zn08pDSeg0PutTPAaRKoPw6</v>
      </c>
      <c r="J838" s="59"/>
      <c r="K838" s="59"/>
      <c r="L838" s="59"/>
      <c r="M838" s="59"/>
      <c r="N838" s="59"/>
      <c r="O838" s="59"/>
      <c r="P838" s="59"/>
    </row>
    <row r="839" spans="1:16">
      <c r="A839" s="71">
        <f ca="1">IFERROR(__xludf.DUMMYFUNCTION("""COMPUTED_VALUE"""),44938.6895970949)</f>
        <v>44938.689597094897</v>
      </c>
      <c r="B839" s="59" t="str">
        <f ca="1">IFERROR(__xludf.DUMMYFUNCTION("""COMPUTED_VALUE"""),"sanjay teli ")</f>
        <v xml:space="preserve">sanjay teli </v>
      </c>
      <c r="C839" s="72" t="str">
        <f ca="1">IFERROR(__xludf.DUMMYFUNCTION("""COMPUTED_VALUE"""),"21SDSCE01615")</f>
        <v>21SDSCE01615</v>
      </c>
      <c r="D839" s="73">
        <f ca="1">IFERROR(__xludf.DUMMYFUNCTION("""COMPUTED_VALUE"""),44938)</f>
        <v>44938</v>
      </c>
      <c r="E839" s="72"/>
      <c r="F839" s="72"/>
      <c r="G839" s="75"/>
      <c r="H839" s="59" t="str">
        <f ca="1">IFERROR(__xludf.DUMMYFUNCTION("""COMPUTED_VALUE"""),"UPDATE")</f>
        <v>UPDATE</v>
      </c>
      <c r="I839" s="76" t="str">
        <f ca="1">IFERROR(__xludf.DUMMYFUNCTION("""COMPUTED_VALUE"""),"https://drive.google.com/open?id=1wg7sDpGn71OvXXBitdjHSHvTtzdR4WbX")</f>
        <v>https://drive.google.com/open?id=1wg7sDpGn71OvXXBitdjHSHvTtzdR4WbX</v>
      </c>
      <c r="J839" s="59"/>
      <c r="K839" s="59"/>
      <c r="L839" s="59"/>
      <c r="M839" s="59"/>
      <c r="N839" s="59"/>
      <c r="O839" s="59"/>
      <c r="P839" s="59"/>
    </row>
    <row r="840" spans="1:16">
      <c r="A840" s="71">
        <f ca="1">IFERROR(__xludf.DUMMYFUNCTION("""COMPUTED_VALUE"""),44938.5162258449)</f>
        <v>44938.516225844898</v>
      </c>
      <c r="B840" s="59" t="str">
        <f ca="1">IFERROR(__xludf.DUMMYFUNCTION("""COMPUTED_VALUE"""),"Ramani Abhi")</f>
        <v>Ramani Abhi</v>
      </c>
      <c r="C840" s="72" t="str">
        <f ca="1">IFERROR(__xludf.DUMMYFUNCTION("""COMPUTED_VALUE"""),"22SDSME01012")</f>
        <v>22SDSME01012</v>
      </c>
      <c r="D840" s="73">
        <f ca="1">IFERROR(__xludf.DUMMYFUNCTION("""COMPUTED_VALUE"""),45231)</f>
        <v>45231</v>
      </c>
      <c r="E840" s="74">
        <f ca="1">IFERROR(__xludf.DUMMYFUNCTION("""COMPUTED_VALUE"""),25000)</f>
        <v>25000</v>
      </c>
      <c r="F840" s="72"/>
      <c r="G840" s="75"/>
      <c r="H840" s="59" t="str">
        <f ca="1">IFERROR(__xludf.DUMMYFUNCTION("""COMPUTED_VALUE"""),"UPDATE")</f>
        <v>UPDATE</v>
      </c>
      <c r="I840" s="76" t="str">
        <f ca="1">IFERROR(__xludf.DUMMYFUNCTION("""COMPUTED_VALUE"""),"https://drive.google.com/open?id=1ErQOajdgkgvu-Ljq6F33q2tVwxsyhZwg")</f>
        <v>https://drive.google.com/open?id=1ErQOajdgkgvu-Ljq6F33q2tVwxsyhZwg</v>
      </c>
      <c r="J840" s="59"/>
      <c r="K840" s="59"/>
      <c r="L840" s="59"/>
      <c r="M840" s="59"/>
      <c r="N840" s="59"/>
      <c r="O840" s="59"/>
      <c r="P840" s="59"/>
    </row>
    <row r="841" spans="1:16">
      <c r="A841" s="71">
        <f ca="1">IFERROR(__xludf.DUMMYFUNCTION("""COMPUTED_VALUE"""),44938.5132493055)</f>
        <v>44938.513249305499</v>
      </c>
      <c r="B841" s="59" t="str">
        <f ca="1">IFERROR(__xludf.DUMMYFUNCTION("""COMPUTED_VALUE"""),"Abhi ramani")</f>
        <v>Abhi ramani</v>
      </c>
      <c r="C841" s="72" t="str">
        <f ca="1">IFERROR(__xludf.DUMMYFUNCTION("""COMPUTED_VALUE"""),"22SDSME01012")</f>
        <v>22SDSME01012</v>
      </c>
      <c r="D841" s="73">
        <f ca="1">IFERROR(__xludf.DUMMYFUNCTION("""COMPUTED_VALUE"""),45231)</f>
        <v>45231</v>
      </c>
      <c r="E841" s="74">
        <f ca="1">IFERROR(__xludf.DUMMYFUNCTION("""COMPUTED_VALUE"""),25000)</f>
        <v>25000</v>
      </c>
      <c r="F841" s="72"/>
      <c r="G841" s="75"/>
      <c r="H841" s="59" t="str">
        <f ca="1">IFERROR(__xludf.DUMMYFUNCTION("""COMPUTED_VALUE"""),"UPDATE")</f>
        <v>UPDATE</v>
      </c>
      <c r="I841" s="76" t="str">
        <f ca="1">IFERROR(__xludf.DUMMYFUNCTION("""COMPUTED_VALUE"""),"https://drive.google.com/open?id=195AZSRE2QxlqLmTk9dN2r40MPRM_6xmW")</f>
        <v>https://drive.google.com/open?id=195AZSRE2QxlqLmTk9dN2r40MPRM_6xmW</v>
      </c>
      <c r="J841" s="59"/>
      <c r="K841" s="59"/>
      <c r="L841" s="59"/>
      <c r="M841" s="59"/>
      <c r="N841" s="59"/>
      <c r="O841" s="59"/>
      <c r="P841" s="59"/>
    </row>
    <row r="842" spans="1:16">
      <c r="A842" s="71">
        <f ca="1">IFERROR(__xludf.DUMMYFUNCTION("""COMPUTED_VALUE"""),44936.3490714351)</f>
        <v>44936.349071435099</v>
      </c>
      <c r="B842" s="59" t="str">
        <f ca="1">IFERROR(__xludf.DUMMYFUNCTION("""COMPUTED_VALUE"""),"Chauhan Chirag Ashokbhai ")</f>
        <v xml:space="preserve">Chauhan Chirag Ashokbhai </v>
      </c>
      <c r="C842" s="72" t="str">
        <f ca="1">IFERROR(__xludf.DUMMYFUNCTION("""COMPUTED_VALUE"""),"21SDSME01007")</f>
        <v>21SDSME01007</v>
      </c>
      <c r="D842" s="73">
        <f ca="1">IFERROR(__xludf.DUMMYFUNCTION("""COMPUTED_VALUE"""),44931)</f>
        <v>44931</v>
      </c>
      <c r="E842" s="74">
        <f ca="1">IFERROR(__xludf.DUMMYFUNCTION("""COMPUTED_VALUE"""),12500)</f>
        <v>12500</v>
      </c>
      <c r="F842" s="72">
        <f ca="1">IFERROR(__xludf.DUMMYFUNCTION("""COMPUTED_VALUE"""),2500)</f>
        <v>2500</v>
      </c>
      <c r="G842" s="75"/>
      <c r="H842" s="59" t="str">
        <f ca="1">IFERROR(__xludf.DUMMYFUNCTION("""COMPUTED_VALUE"""),"UPDATE")</f>
        <v>UPDATE</v>
      </c>
      <c r="I842" s="76" t="str">
        <f ca="1">IFERROR(__xludf.DUMMYFUNCTION("""COMPUTED_VALUE"""),"https://drive.google.com/open?id=18oZk-VTtmwi7EVWTeN39WljDupqLNCyK")</f>
        <v>https://drive.google.com/open?id=18oZk-VTtmwi7EVWTeN39WljDupqLNCyK</v>
      </c>
      <c r="J842" s="59"/>
      <c r="K842" s="59"/>
      <c r="L842" s="59"/>
      <c r="M842" s="59"/>
      <c r="N842" s="59"/>
      <c r="O842" s="59"/>
      <c r="P842" s="59"/>
    </row>
    <row r="843" spans="1:16">
      <c r="A843" s="71">
        <f ca="1">IFERROR(__xludf.DUMMYFUNCTION("""COMPUTED_VALUE"""),44935.4148985648)</f>
        <v>44935.414898564799</v>
      </c>
      <c r="B843" s="59" t="str">
        <f ca="1">IFERROR(__xludf.DUMMYFUNCTION("""COMPUTED_VALUE"""),"Amipara parth")</f>
        <v>Amipara parth</v>
      </c>
      <c r="C843" s="72" t="str">
        <f ca="1">IFERROR(__xludf.DUMMYFUNCTION("""COMPUTED_VALUE"""),"21SDSCE01114")</f>
        <v>21SDSCE01114</v>
      </c>
      <c r="D843" s="73">
        <f ca="1">IFERROR(__xludf.DUMMYFUNCTION("""COMPUTED_VALUE"""),44931)</f>
        <v>44931</v>
      </c>
      <c r="E843" s="74">
        <f ca="1">IFERROR(__xludf.DUMMYFUNCTION("""COMPUTED_VALUE"""),25000)</f>
        <v>25000</v>
      </c>
      <c r="F843" s="72">
        <f ca="1">IFERROR(__xludf.DUMMYFUNCTION("""COMPUTED_VALUE"""),2500)</f>
        <v>2500</v>
      </c>
      <c r="G843" s="75"/>
      <c r="H843" s="59" t="str">
        <f ca="1">IFERROR(__xludf.DUMMYFUNCTION("""COMPUTED_VALUE"""),"UPDATE")</f>
        <v>UPDATE</v>
      </c>
      <c r="I843" s="76" t="str">
        <f ca="1">IFERROR(__xludf.DUMMYFUNCTION("""COMPUTED_VALUE"""),"https://drive.google.com/open?id=103TI7Z51tWveq2XDYCbiVlvxYkfwheci")</f>
        <v>https://drive.google.com/open?id=103TI7Z51tWveq2XDYCbiVlvxYkfwheci</v>
      </c>
      <c r="J843" s="59"/>
      <c r="K843" s="59"/>
      <c r="L843" s="59"/>
      <c r="M843" s="59"/>
      <c r="N843" s="59"/>
      <c r="O843" s="59"/>
      <c r="P843" s="59"/>
    </row>
    <row r="844" spans="1:16">
      <c r="A844" s="71">
        <f ca="1">IFERROR(__xludf.DUMMYFUNCTION("""COMPUTED_VALUE"""),44934.8876122685)</f>
        <v>44934.887612268503</v>
      </c>
      <c r="B844" s="59" t="str">
        <f ca="1">IFERROR(__xludf.DUMMYFUNCTION("""COMPUTED_VALUE"""),"MOHAMMAD AMJAD HUSAIN")</f>
        <v>MOHAMMAD AMJAD HUSAIN</v>
      </c>
      <c r="C844" s="72" t="str">
        <f ca="1">IFERROR(__xludf.DUMMYFUNCTION("""COMPUTED_VALUE"""),"21SDSCE01605")</f>
        <v>21SDSCE01605</v>
      </c>
      <c r="D844" s="73">
        <f ca="1">IFERROR(__xludf.DUMMYFUNCTION("""COMPUTED_VALUE"""),44934)</f>
        <v>44934</v>
      </c>
      <c r="E844" s="74">
        <f ca="1">IFERROR(__xludf.DUMMYFUNCTION("""COMPUTED_VALUE"""),35000)</f>
        <v>35000</v>
      </c>
      <c r="F844" s="72">
        <f ca="1">IFERROR(__xludf.DUMMYFUNCTION("""COMPUTED_VALUE"""),35000)</f>
        <v>35000</v>
      </c>
      <c r="G844" s="75"/>
      <c r="H844" s="59" t="str">
        <f ca="1">IFERROR(__xludf.DUMMYFUNCTION("""COMPUTED_VALUE"""),"UPDATE")</f>
        <v>UPDATE</v>
      </c>
      <c r="I844" s="76" t="str">
        <f ca="1">IFERROR(__xludf.DUMMYFUNCTION("""COMPUTED_VALUE"""),"https://drive.google.com/open?id=1Vnj4jYgaPCjEq1SIoMMaCGuIKC5kPk7z")</f>
        <v>https://drive.google.com/open?id=1Vnj4jYgaPCjEq1SIoMMaCGuIKC5kPk7z</v>
      </c>
      <c r="J844" s="59"/>
      <c r="K844" s="59"/>
      <c r="L844" s="59"/>
      <c r="M844" s="59"/>
      <c r="N844" s="59"/>
      <c r="O844" s="59"/>
      <c r="P844" s="59"/>
    </row>
    <row r="845" spans="1:16">
      <c r="A845" s="71">
        <f ca="1">IFERROR(__xludf.DUMMYFUNCTION("""COMPUTED_VALUE"""),44933.6223492824)</f>
        <v>44933.622349282399</v>
      </c>
      <c r="B845" s="59" t="str">
        <f ca="1">IFERROR(__xludf.DUMMYFUNCTION("""COMPUTED_VALUE"""),"Chandan Yadav ")</f>
        <v xml:space="preserve">Chandan Yadav </v>
      </c>
      <c r="C845" s="72" t="str">
        <f ca="1">IFERROR(__xludf.DUMMYFUNCTION("""COMPUTED_VALUE"""),"21SDSCV01605")</f>
        <v>21SDSCV01605</v>
      </c>
      <c r="D845" s="73">
        <f ca="1">IFERROR(__xludf.DUMMYFUNCTION("""COMPUTED_VALUE"""),44932)</f>
        <v>44932</v>
      </c>
      <c r="E845" s="74">
        <f ca="1">IFERROR(__xludf.DUMMYFUNCTION("""COMPUTED_VALUE"""),0)</f>
        <v>0</v>
      </c>
      <c r="F845" s="72">
        <f ca="1">IFERROR(__xludf.DUMMYFUNCTION("""COMPUTED_VALUE"""),0)</f>
        <v>0</v>
      </c>
      <c r="G845" s="75"/>
      <c r="H845" s="59" t="str">
        <f ca="1">IFERROR(__xludf.DUMMYFUNCTION("""COMPUTED_VALUE"""),"UPDATE")</f>
        <v>UPDATE</v>
      </c>
      <c r="I845" s="76" t="str">
        <f ca="1">IFERROR(__xludf.DUMMYFUNCTION("""COMPUTED_VALUE"""),"https://drive.google.com/open?id=1ffTT_6vKbknp-2StdMxzlSHdraskUdDd")</f>
        <v>https://drive.google.com/open?id=1ffTT_6vKbknp-2StdMxzlSHdraskUdDd</v>
      </c>
      <c r="J845" s="59"/>
      <c r="K845" s="59"/>
      <c r="L845" s="59"/>
      <c r="M845" s="59"/>
      <c r="N845" s="59"/>
      <c r="O845" s="59"/>
      <c r="P845" s="59"/>
    </row>
    <row r="846" spans="1:16">
      <c r="A846" s="71">
        <f ca="1">IFERROR(__xludf.DUMMYFUNCTION("""COMPUTED_VALUE"""),44930.6842650578)</f>
        <v>44930.684265057796</v>
      </c>
      <c r="B846" s="59" t="str">
        <f ca="1">IFERROR(__xludf.DUMMYFUNCTION("""COMPUTED_VALUE"""),"Kapuriya kevin")</f>
        <v>Kapuriya kevin</v>
      </c>
      <c r="C846" s="72" t="str">
        <f ca="1">IFERROR(__xludf.DUMMYFUNCTION("""COMPUTED_VALUE"""),"21sdsme01019")</f>
        <v>21sdsme01019</v>
      </c>
      <c r="D846" s="73">
        <f ca="1">IFERROR(__xludf.DUMMYFUNCTION("""COMPUTED_VALUE"""),44928)</f>
        <v>44928</v>
      </c>
      <c r="E846" s="74">
        <f ca="1">IFERROR(__xludf.DUMMYFUNCTION("""COMPUTED_VALUE"""),25000)</f>
        <v>25000</v>
      </c>
      <c r="F846" s="72">
        <f ca="1">IFERROR(__xludf.DUMMYFUNCTION("""COMPUTED_VALUE"""),2500)</f>
        <v>2500</v>
      </c>
      <c r="G846" s="75"/>
      <c r="H846" s="59" t="str">
        <f ca="1">IFERROR(__xludf.DUMMYFUNCTION("""COMPUTED_VALUE"""),"UPDATE")</f>
        <v>UPDATE</v>
      </c>
      <c r="I846" s="76" t="str">
        <f ca="1">IFERROR(__xludf.DUMMYFUNCTION("""COMPUTED_VALUE"""),"https://drive.google.com/open?id=1LITywtHFkHgzGQjkYWU9lgqd7q9hTksw")</f>
        <v>https://drive.google.com/open?id=1LITywtHFkHgzGQjkYWU9lgqd7q9hTksw</v>
      </c>
      <c r="J846" s="59"/>
      <c r="K846" s="59"/>
      <c r="L846" s="59"/>
      <c r="M846" s="59"/>
      <c r="N846" s="59"/>
      <c r="O846" s="59"/>
      <c r="P846" s="59"/>
    </row>
    <row r="847" spans="1:16">
      <c r="A847" s="71">
        <f ca="1">IFERROR(__xludf.DUMMYFUNCTION("""COMPUTED_VALUE"""),44930.5787017013)</f>
        <v>44930.578701701299</v>
      </c>
      <c r="B847" s="59" t="str">
        <f ca="1">IFERROR(__xludf.DUMMYFUNCTION("""COMPUTED_VALUE"""),"Bhambhi rudra pratapbhai")</f>
        <v>Bhambhi rudra pratapbhai</v>
      </c>
      <c r="C847" s="72" t="str">
        <f ca="1">IFERROR(__xludf.DUMMYFUNCTION("""COMPUTED_VALUE"""),"21SDSME01004")</f>
        <v>21SDSME01004</v>
      </c>
      <c r="D847" s="73">
        <f ca="1">IFERROR(__xludf.DUMMYFUNCTION("""COMPUTED_VALUE"""),44928)</f>
        <v>44928</v>
      </c>
      <c r="E847" s="74">
        <f ca="1">IFERROR(__xludf.DUMMYFUNCTION("""COMPUTED_VALUE"""),25000)</f>
        <v>25000</v>
      </c>
      <c r="F847" s="72">
        <f ca="1">IFERROR(__xludf.DUMMYFUNCTION("""COMPUTED_VALUE"""),2500)</f>
        <v>2500</v>
      </c>
      <c r="G847" s="75"/>
      <c r="H847" s="59" t="str">
        <f ca="1">IFERROR(__xludf.DUMMYFUNCTION("""COMPUTED_VALUE"""),"UPDATE")</f>
        <v>UPDATE</v>
      </c>
      <c r="I847" s="76" t="str">
        <f ca="1">IFERROR(__xludf.DUMMYFUNCTION("""COMPUTED_VALUE"""),"https://drive.google.com/open?id=195VpoqtSIveJeafh1k12Ayvea8R6rQ1S2ZzgBVIBYMo")</f>
        <v>https://drive.google.com/open?id=195VpoqtSIveJeafh1k12Ayvea8R6rQ1S2ZzgBVIBYMo</v>
      </c>
      <c r="J847" s="59"/>
      <c r="K847" s="59"/>
      <c r="L847" s="59"/>
      <c r="M847" s="59"/>
      <c r="N847" s="59"/>
      <c r="O847" s="59"/>
      <c r="P847" s="59"/>
    </row>
    <row r="848" spans="1:16">
      <c r="A848" s="71">
        <f ca="1">IFERROR(__xludf.DUMMYFUNCTION("""COMPUTED_VALUE"""),44930.5012342476)</f>
        <v>44930.501234247597</v>
      </c>
      <c r="B848" s="59" t="str">
        <f ca="1">IFERROR(__xludf.DUMMYFUNCTION("""COMPUTED_VALUE"""),"HIMANSHU JAGDISHBHAI KODALA")</f>
        <v>HIMANSHU JAGDISHBHAI KODALA</v>
      </c>
      <c r="C848" s="72" t="str">
        <f ca="1">IFERROR(__xludf.DUMMYFUNCTION("""COMPUTED_VALUE"""),"21SDSCE01132")</f>
        <v>21SDSCE01132</v>
      </c>
      <c r="D848" s="73">
        <f ca="1">IFERROR(__xludf.DUMMYFUNCTION("""COMPUTED_VALUE"""),44924)</f>
        <v>44924</v>
      </c>
      <c r="E848" s="74">
        <f ca="1">IFERROR(__xludf.DUMMYFUNCTION("""COMPUTED_VALUE"""),12500)</f>
        <v>12500</v>
      </c>
      <c r="F848" s="72">
        <f ca="1">IFERROR(__xludf.DUMMYFUNCTION("""COMPUTED_VALUE"""),2500)</f>
        <v>2500</v>
      </c>
      <c r="G848" s="75"/>
      <c r="H848" s="59" t="str">
        <f ca="1">IFERROR(__xludf.DUMMYFUNCTION("""COMPUTED_VALUE"""),"UPDATE")</f>
        <v>UPDATE</v>
      </c>
      <c r="I848" s="76" t="str">
        <f ca="1">IFERROR(__xludf.DUMMYFUNCTION("""COMPUTED_VALUE"""),"https://drive.google.com/open?id=1izL7hYE0oeSZ7muWPEhq3rsfClUvWr7o")</f>
        <v>https://drive.google.com/open?id=1izL7hYE0oeSZ7muWPEhq3rsfClUvWr7o</v>
      </c>
      <c r="J848" s="59"/>
      <c r="K848" s="59"/>
      <c r="L848" s="59"/>
      <c r="M848" s="59"/>
      <c r="N848" s="59"/>
      <c r="O848" s="59"/>
      <c r="P848" s="59"/>
    </row>
    <row r="849" spans="1:16">
      <c r="A849" s="71">
        <f ca="1">IFERROR(__xludf.DUMMYFUNCTION("""COMPUTED_VALUE"""),44930.4756412268)</f>
        <v>44930.475641226803</v>
      </c>
      <c r="B849" s="59" t="str">
        <f ca="1">IFERROR(__xludf.DUMMYFUNCTION("""COMPUTED_VALUE"""),"Tala preet ketanbhai")</f>
        <v>Tala preet ketanbhai</v>
      </c>
      <c r="C849" s="72" t="str">
        <f ca="1">IFERROR(__xludf.DUMMYFUNCTION("""COMPUTED_VALUE"""),"21SDSCV01020")</f>
        <v>21SDSCV01020</v>
      </c>
      <c r="D849" s="73">
        <f ca="1">IFERROR(__xludf.DUMMYFUNCTION("""COMPUTED_VALUE"""),44930)</f>
        <v>44930</v>
      </c>
      <c r="E849" s="72"/>
      <c r="F849" s="72">
        <f ca="1">IFERROR(__xludf.DUMMYFUNCTION("""COMPUTED_VALUE"""),2500)</f>
        <v>2500</v>
      </c>
      <c r="G849" s="75"/>
      <c r="H849" s="59" t="str">
        <f ca="1">IFERROR(__xludf.DUMMYFUNCTION("""COMPUTED_VALUE"""),"UPDATE")</f>
        <v>UPDATE</v>
      </c>
      <c r="I849" s="76" t="str">
        <f ca="1">IFERROR(__xludf.DUMMYFUNCTION("""COMPUTED_VALUE"""),"https://drive.google.com/open?id=1TGo24VvtntJR1M4TobYiE_f8G7VJsqE6")</f>
        <v>https://drive.google.com/open?id=1TGo24VvtntJR1M4TobYiE_f8G7VJsqE6</v>
      </c>
      <c r="J849" s="59"/>
      <c r="K849" s="59"/>
      <c r="L849" s="59"/>
      <c r="M849" s="59"/>
      <c r="N849" s="59"/>
      <c r="O849" s="59"/>
      <c r="P849" s="59"/>
    </row>
    <row r="850" spans="1:16">
      <c r="A850" s="71">
        <f ca="1">IFERROR(__xludf.DUMMYFUNCTION("""COMPUTED_VALUE"""),44930.4699308101)</f>
        <v>44930.469930810097</v>
      </c>
      <c r="B850" s="59" t="str">
        <f ca="1">IFERROR(__xludf.DUMMYFUNCTION("""COMPUTED_VALUE"""),"Shingala darshan dineshbhai")</f>
        <v>Shingala darshan dineshbhai</v>
      </c>
      <c r="C850" s="72" t="str">
        <f ca="1">IFERROR(__xludf.DUMMYFUNCTION("""COMPUTED_VALUE"""),"21SDSME01033")</f>
        <v>21SDSME01033</v>
      </c>
      <c r="D850" s="73">
        <f ca="1">IFERROR(__xludf.DUMMYFUNCTION("""COMPUTED_VALUE"""),44930)</f>
        <v>44930</v>
      </c>
      <c r="E850" s="74">
        <f ca="1">IFERROR(__xludf.DUMMYFUNCTION("""COMPUTED_VALUE"""),25000)</f>
        <v>25000</v>
      </c>
      <c r="F850" s="72">
        <f ca="1">IFERROR(__xludf.DUMMYFUNCTION("""COMPUTED_VALUE"""),2500)</f>
        <v>2500</v>
      </c>
      <c r="G850" s="75"/>
      <c r="H850" s="59" t="str">
        <f ca="1">IFERROR(__xludf.DUMMYFUNCTION("""COMPUTED_VALUE"""),"UPDATE")</f>
        <v>UPDATE</v>
      </c>
      <c r="I850" s="76" t="str">
        <f ca="1">IFERROR(__xludf.DUMMYFUNCTION("""COMPUTED_VALUE"""),"https://drive.google.com/open?id=1qdHrDn2lmGkYhOE7JW5YH7PbAC5aZ2im")</f>
        <v>https://drive.google.com/open?id=1qdHrDn2lmGkYhOE7JW5YH7PbAC5aZ2im</v>
      </c>
      <c r="J850" s="59"/>
      <c r="K850" s="59"/>
      <c r="L850" s="59"/>
      <c r="M850" s="59"/>
      <c r="N850" s="59"/>
      <c r="O850" s="59"/>
      <c r="P850" s="59"/>
    </row>
    <row r="851" spans="1:16">
      <c r="A851" s="71">
        <f ca="1">IFERROR(__xludf.DUMMYFUNCTION("""COMPUTED_VALUE"""),44929.7787478819)</f>
        <v>44929.778747881901</v>
      </c>
      <c r="B851" s="59" t="str">
        <f ca="1">IFERROR(__xludf.DUMMYFUNCTION("""COMPUTED_VALUE"""),"Rathod Aman Ashwinbhai ")</f>
        <v xml:space="preserve">Rathod Aman Ashwinbhai </v>
      </c>
      <c r="C851" s="72" t="str">
        <f ca="1">IFERROR(__xludf.DUMMYFUNCTION("""COMPUTED_VALUE"""),"21SDSME01029 ")</f>
        <v xml:space="preserve">21SDSME01029 </v>
      </c>
      <c r="D851" s="73">
        <f ca="1">IFERROR(__xludf.DUMMYFUNCTION("""COMPUTED_VALUE"""),44929)</f>
        <v>44929</v>
      </c>
      <c r="E851" s="74">
        <f ca="1">IFERROR(__xludf.DUMMYFUNCTION("""COMPUTED_VALUE"""),12500)</f>
        <v>12500</v>
      </c>
      <c r="F851" s="72">
        <f ca="1">IFERROR(__xludf.DUMMYFUNCTION("""COMPUTED_VALUE"""),2500)</f>
        <v>2500</v>
      </c>
      <c r="G851" s="75"/>
      <c r="H851" s="59" t="str">
        <f ca="1">IFERROR(__xludf.DUMMYFUNCTION("""COMPUTED_VALUE"""),"UPDATE")</f>
        <v>UPDATE</v>
      </c>
      <c r="I851" s="76" t="str">
        <f ca="1">IFERROR(__xludf.DUMMYFUNCTION("""COMPUTED_VALUE"""),"https://drive.google.com/open?id=1zqS1rF0UnPYcWHf9YOfdKtsJ88HsCHdU")</f>
        <v>https://drive.google.com/open?id=1zqS1rF0UnPYcWHf9YOfdKtsJ88HsCHdU</v>
      </c>
      <c r="J851" s="59"/>
      <c r="K851" s="59"/>
      <c r="L851" s="59"/>
      <c r="M851" s="59"/>
      <c r="N851" s="59"/>
      <c r="O851" s="59"/>
      <c r="P851" s="59"/>
    </row>
    <row r="852" spans="1:16">
      <c r="A852" s="71">
        <f ca="1">IFERROR(__xludf.DUMMYFUNCTION("""COMPUTED_VALUE"""),44929.502542905)</f>
        <v>44929.502542905</v>
      </c>
      <c r="B852" s="59" t="str">
        <f ca="1">IFERROR(__xludf.DUMMYFUNCTION("""COMPUTED_VALUE"""),"Panchani tirth paresh bhai")</f>
        <v>Panchani tirth paresh bhai</v>
      </c>
      <c r="C852" s="72" t="str">
        <f ca="1">IFERROR(__xludf.DUMMYFUNCTION("""COMPUTED_VALUE"""),"21SDSCE01087")</f>
        <v>21SDSCE01087</v>
      </c>
      <c r="D852" s="73">
        <f ca="1">IFERROR(__xludf.DUMMYFUNCTION("""COMPUTED_VALUE"""),44928)</f>
        <v>44928</v>
      </c>
      <c r="E852" s="72"/>
      <c r="F852" s="72">
        <f ca="1">IFERROR(__xludf.DUMMYFUNCTION("""COMPUTED_VALUE"""),2500)</f>
        <v>2500</v>
      </c>
      <c r="G852" s="75"/>
      <c r="H852" s="59" t="str">
        <f ca="1">IFERROR(__xludf.DUMMYFUNCTION("""COMPUTED_VALUE"""),"UPDATE")</f>
        <v>UPDATE</v>
      </c>
      <c r="I852" s="76" t="str">
        <f ca="1">IFERROR(__xludf.DUMMYFUNCTION("""COMPUTED_VALUE"""),"https://drive.google.com/open?id=1GpC95UMa4oe7EA41YBcMO9TxQUOH1dFb")</f>
        <v>https://drive.google.com/open?id=1GpC95UMa4oe7EA41YBcMO9TxQUOH1dFb</v>
      </c>
      <c r="J852" s="59"/>
      <c r="K852" s="59"/>
      <c r="L852" s="59"/>
      <c r="M852" s="59"/>
      <c r="N852" s="59"/>
      <c r="O852" s="59"/>
      <c r="P852" s="59"/>
    </row>
    <row r="853" spans="1:16">
      <c r="A853" s="71">
        <f ca="1">IFERROR(__xludf.DUMMYFUNCTION("""COMPUTED_VALUE"""),44929.5013529513)</f>
        <v>44929.501352951302</v>
      </c>
      <c r="B853" s="59" t="str">
        <f ca="1">IFERROR(__xludf.DUMMYFUNCTION("""COMPUTED_VALUE"""),"panchani tirth paresh bhai")</f>
        <v>panchani tirth paresh bhai</v>
      </c>
      <c r="C853" s="72" t="str">
        <f ca="1">IFERROR(__xludf.DUMMYFUNCTION("""COMPUTED_VALUE"""),"21SDSCE01087")</f>
        <v>21SDSCE01087</v>
      </c>
      <c r="D853" s="73">
        <f ca="1">IFERROR(__xludf.DUMMYFUNCTION("""COMPUTED_VALUE"""),44928)</f>
        <v>44928</v>
      </c>
      <c r="E853" s="74">
        <f ca="1">IFERROR(__xludf.DUMMYFUNCTION("""COMPUTED_VALUE"""),25000)</f>
        <v>25000</v>
      </c>
      <c r="F853" s="72"/>
      <c r="G853" s="75"/>
      <c r="H853" s="59" t="str">
        <f ca="1">IFERROR(__xludf.DUMMYFUNCTION("""COMPUTED_VALUE"""),"UPDATE")</f>
        <v>UPDATE</v>
      </c>
      <c r="I853" s="76" t="str">
        <f ca="1">IFERROR(__xludf.DUMMYFUNCTION("""COMPUTED_VALUE"""),"https://drive.google.com/open?id=1Wx5_Y5bFIpaY_K9S2KJ71yqJQquwZpP1")</f>
        <v>https://drive.google.com/open?id=1Wx5_Y5bFIpaY_K9S2KJ71yqJQquwZpP1</v>
      </c>
      <c r="J853" s="59"/>
      <c r="K853" s="59"/>
      <c r="L853" s="59"/>
      <c r="M853" s="59"/>
      <c r="N853" s="59"/>
      <c r="O853" s="59"/>
      <c r="P853" s="59"/>
    </row>
    <row r="854" spans="1:16">
      <c r="A854" s="71">
        <f ca="1">IFERROR(__xludf.DUMMYFUNCTION("""COMPUTED_VALUE"""),44929.4150716782)</f>
        <v>44929.415071678202</v>
      </c>
      <c r="B854" s="59" t="str">
        <f ca="1">IFERROR(__xludf.DUMMYFUNCTION("""COMPUTED_VALUE"""),"Dev donga")</f>
        <v>Dev donga</v>
      </c>
      <c r="C854" s="72" t="str">
        <f ca="1">IFERROR(__xludf.DUMMYFUNCTION("""COMPUTED_VALUE"""),"21SDSME01012")</f>
        <v>21SDSME01012</v>
      </c>
      <c r="D854" s="73">
        <f ca="1">IFERROR(__xludf.DUMMYFUNCTION("""COMPUTED_VALUE"""),44928)</f>
        <v>44928</v>
      </c>
      <c r="E854" s="74">
        <f ca="1">IFERROR(__xludf.DUMMYFUNCTION("""COMPUTED_VALUE"""),27500)</f>
        <v>27500</v>
      </c>
      <c r="F854" s="72"/>
      <c r="G854" s="75"/>
      <c r="H854" s="59" t="str">
        <f ca="1">IFERROR(__xludf.DUMMYFUNCTION("""COMPUTED_VALUE"""),"UPDATE")</f>
        <v>UPDATE</v>
      </c>
      <c r="I854" s="76" t="str">
        <f ca="1">IFERROR(__xludf.DUMMYFUNCTION("""COMPUTED_VALUE"""),"https://drive.google.com/open?id=1hlqxJ6f-DgGBiRpTTOzRVyrkqhC6CIJv")</f>
        <v>https://drive.google.com/open?id=1hlqxJ6f-DgGBiRpTTOzRVyrkqhC6CIJv</v>
      </c>
      <c r="J854" s="59"/>
      <c r="K854" s="59"/>
      <c r="L854" s="59"/>
      <c r="M854" s="59"/>
      <c r="N854" s="59"/>
      <c r="O854" s="59"/>
      <c r="P854" s="59"/>
    </row>
    <row r="855" spans="1:16">
      <c r="A855" s="71">
        <f ca="1">IFERROR(__xludf.DUMMYFUNCTION("""COMPUTED_VALUE"""),44929.4150596064)</f>
        <v>44929.415059606399</v>
      </c>
      <c r="B855" s="59" t="str">
        <f ca="1">IFERROR(__xludf.DUMMYFUNCTION("""COMPUTED_VALUE"""),"Makwana Natasha ")</f>
        <v xml:space="preserve">Makwana Natasha </v>
      </c>
      <c r="C855" s="72" t="str">
        <f ca="1">IFERROR(__xludf.DUMMYFUNCTION("""COMPUTED_VALUE"""),"19sdsce01030")</f>
        <v>19sdsce01030</v>
      </c>
      <c r="D855" s="73">
        <f ca="1">IFERROR(__xludf.DUMMYFUNCTION("""COMPUTED_VALUE"""),44928)</f>
        <v>44928</v>
      </c>
      <c r="E855" s="74">
        <f ca="1">IFERROR(__xludf.DUMMYFUNCTION("""COMPUTED_VALUE"""),52000)</f>
        <v>52000</v>
      </c>
      <c r="F855" s="72"/>
      <c r="G855" s="75"/>
      <c r="H855" s="59" t="str">
        <f ca="1">IFERROR(__xludf.DUMMYFUNCTION("""COMPUTED_VALUE"""),"UPDATE")</f>
        <v>UPDATE</v>
      </c>
      <c r="I855" s="76" t="str">
        <f ca="1">IFERROR(__xludf.DUMMYFUNCTION("""COMPUTED_VALUE"""),"https://drive.google.com/open?id=12eeBgM1TvXjZALQYnnd5aHFBBi0n8hFx")</f>
        <v>https://drive.google.com/open?id=12eeBgM1TvXjZALQYnnd5aHFBBi0n8hFx</v>
      </c>
      <c r="J855" s="59"/>
      <c r="K855" s="59"/>
      <c r="L855" s="59"/>
      <c r="M855" s="59"/>
      <c r="N855" s="59"/>
      <c r="O855" s="59"/>
      <c r="P855" s="59"/>
    </row>
    <row r="856" spans="1:16">
      <c r="A856" s="71">
        <f ca="1">IFERROR(__xludf.DUMMYFUNCTION("""COMPUTED_VALUE"""),44928.7779290046)</f>
        <v>44928.777929004602</v>
      </c>
      <c r="B856" s="59" t="str">
        <f ca="1">IFERROR(__xludf.DUMMYFUNCTION("""COMPUTED_VALUE"""),"Panchani prutha Bharatbhai ")</f>
        <v xml:space="preserve">Panchani prutha Bharatbhai </v>
      </c>
      <c r="C856" s="72" t="str">
        <f ca="1">IFERROR(__xludf.DUMMYFUNCTION("""COMPUTED_VALUE"""),"21SDSCE01086")</f>
        <v>21SDSCE01086</v>
      </c>
      <c r="D856" s="73">
        <f ca="1">IFERROR(__xludf.DUMMYFUNCTION("""COMPUTED_VALUE"""),44928)</f>
        <v>44928</v>
      </c>
      <c r="E856" s="72"/>
      <c r="F856" s="72">
        <f ca="1">IFERROR(__xludf.DUMMYFUNCTION("""COMPUTED_VALUE"""),2500)</f>
        <v>2500</v>
      </c>
      <c r="G856" s="75"/>
      <c r="H856" s="59" t="str">
        <f ca="1">IFERROR(__xludf.DUMMYFUNCTION("""COMPUTED_VALUE"""),"UPDATE")</f>
        <v>UPDATE</v>
      </c>
      <c r="I856" s="76" t="str">
        <f ca="1">IFERROR(__xludf.DUMMYFUNCTION("""COMPUTED_VALUE"""),"https://drive.google.com/open?id=1Uf935gaW9_2LqkDtbMFt3aKdqeRBODUb")</f>
        <v>https://drive.google.com/open?id=1Uf935gaW9_2LqkDtbMFt3aKdqeRBODUb</v>
      </c>
      <c r="J856" s="59"/>
      <c r="K856" s="59"/>
      <c r="L856" s="59"/>
      <c r="M856" s="59"/>
      <c r="N856" s="59"/>
      <c r="O856" s="59"/>
      <c r="P856" s="59"/>
    </row>
    <row r="857" spans="1:16">
      <c r="A857" s="71">
        <f ca="1">IFERROR(__xludf.DUMMYFUNCTION("""COMPUTED_VALUE"""),44928.7761412962)</f>
        <v>44928.776141296199</v>
      </c>
      <c r="B857" s="59" t="str">
        <f ca="1">IFERROR(__xludf.DUMMYFUNCTION("""COMPUTED_VALUE"""),"Panchani prutha Bharatbhai ")</f>
        <v xml:space="preserve">Panchani prutha Bharatbhai </v>
      </c>
      <c r="C857" s="72" t="str">
        <f ca="1">IFERROR(__xludf.DUMMYFUNCTION("""COMPUTED_VALUE"""),"21SDSCE01086")</f>
        <v>21SDSCE01086</v>
      </c>
      <c r="D857" s="73">
        <f ca="1">IFERROR(__xludf.DUMMYFUNCTION("""COMPUTED_VALUE"""),44928)</f>
        <v>44928</v>
      </c>
      <c r="E857" s="74">
        <f ca="1">IFERROR(__xludf.DUMMYFUNCTION("""COMPUTED_VALUE"""),25000)</f>
        <v>25000</v>
      </c>
      <c r="F857" s="72"/>
      <c r="G857" s="75"/>
      <c r="H857" s="59" t="str">
        <f ca="1">IFERROR(__xludf.DUMMYFUNCTION("""COMPUTED_VALUE"""),"UPDATE")</f>
        <v>UPDATE</v>
      </c>
      <c r="I857" s="76" t="str">
        <f ca="1">IFERROR(__xludf.DUMMYFUNCTION("""COMPUTED_VALUE"""),"https://drive.google.com/open?id=1tjL2NIkLhIJAlN0I-bmFnnSNAZKQnOq0")</f>
        <v>https://drive.google.com/open?id=1tjL2NIkLhIJAlN0I-bmFnnSNAZKQnOq0</v>
      </c>
      <c r="J857" s="59"/>
      <c r="K857" s="59"/>
      <c r="L857" s="59"/>
      <c r="M857" s="59"/>
      <c r="N857" s="59"/>
      <c r="O857" s="59"/>
      <c r="P857" s="59"/>
    </row>
    <row r="858" spans="1:16">
      <c r="A858" s="71">
        <f ca="1">IFERROR(__xludf.DUMMYFUNCTION("""COMPUTED_VALUE"""),44928.7717214583)</f>
        <v>44928.771721458303</v>
      </c>
      <c r="B858" s="59" t="str">
        <f ca="1">IFERROR(__xludf.DUMMYFUNCTION("""COMPUTED_VALUE"""),"Bhadaliya Krishil ")</f>
        <v xml:space="preserve">Bhadaliya Krishil </v>
      </c>
      <c r="C858" s="72" t="str">
        <f ca="1">IFERROR(__xludf.DUMMYFUNCTION("""COMPUTED_VALUE"""),"21SDSCE01005")</f>
        <v>21SDSCE01005</v>
      </c>
      <c r="D858" s="73">
        <f ca="1">IFERROR(__xludf.DUMMYFUNCTION("""COMPUTED_VALUE"""),44928)</f>
        <v>44928</v>
      </c>
      <c r="E858" s="72"/>
      <c r="F858" s="72">
        <f ca="1">IFERROR(__xludf.DUMMYFUNCTION("""COMPUTED_VALUE"""),2500)</f>
        <v>2500</v>
      </c>
      <c r="G858" s="75"/>
      <c r="H858" s="59" t="str">
        <f ca="1">IFERROR(__xludf.DUMMYFUNCTION("""COMPUTED_VALUE"""),"UPDATE")</f>
        <v>UPDATE</v>
      </c>
      <c r="I858" s="76" t="str">
        <f ca="1">IFERROR(__xludf.DUMMYFUNCTION("""COMPUTED_VALUE"""),"https://drive.google.com/open?id=10LYR-CVJxP4EHrERUBlXYU0kzgxrlDt_")</f>
        <v>https://drive.google.com/open?id=10LYR-CVJxP4EHrERUBlXYU0kzgxrlDt_</v>
      </c>
      <c r="J858" s="59"/>
      <c r="K858" s="59"/>
      <c r="L858" s="59"/>
      <c r="M858" s="59"/>
      <c r="N858" s="59"/>
      <c r="O858" s="59"/>
      <c r="P858" s="59"/>
    </row>
    <row r="859" spans="1:16">
      <c r="A859" s="71">
        <f ca="1">IFERROR(__xludf.DUMMYFUNCTION("""COMPUTED_VALUE"""),44928.7705037152)</f>
        <v>44928.770503715197</v>
      </c>
      <c r="B859" s="59" t="str">
        <f ca="1">IFERROR(__xludf.DUMMYFUNCTION("""COMPUTED_VALUE"""),"Bhadaliya Krishil")</f>
        <v>Bhadaliya Krishil</v>
      </c>
      <c r="C859" s="72" t="str">
        <f ca="1">IFERROR(__xludf.DUMMYFUNCTION("""COMPUTED_VALUE"""),"21SDSCE01005")</f>
        <v>21SDSCE01005</v>
      </c>
      <c r="D859" s="73">
        <f ca="1">IFERROR(__xludf.DUMMYFUNCTION("""COMPUTED_VALUE"""),44928)</f>
        <v>44928</v>
      </c>
      <c r="E859" s="74">
        <f ca="1">IFERROR(__xludf.DUMMYFUNCTION("""COMPUTED_VALUE"""),12500)</f>
        <v>12500</v>
      </c>
      <c r="F859" s="72"/>
      <c r="G859" s="75"/>
      <c r="H859" s="59" t="str">
        <f ca="1">IFERROR(__xludf.DUMMYFUNCTION("""COMPUTED_VALUE"""),"UPDATE")</f>
        <v>UPDATE</v>
      </c>
      <c r="I859" s="76" t="str">
        <f ca="1">IFERROR(__xludf.DUMMYFUNCTION("""COMPUTED_VALUE"""),"https://drive.google.com/open?id=1WmWU1NhBCjGV4rJQOMepzPmu3C9biEjl")</f>
        <v>https://drive.google.com/open?id=1WmWU1NhBCjGV4rJQOMepzPmu3C9biEjl</v>
      </c>
      <c r="J859" s="59"/>
      <c r="K859" s="59"/>
      <c r="L859" s="59"/>
      <c r="M859" s="59"/>
      <c r="N859" s="59"/>
      <c r="O859" s="59"/>
      <c r="P859" s="59"/>
    </row>
    <row r="860" spans="1:16">
      <c r="A860" s="71">
        <f ca="1">IFERROR(__xludf.DUMMYFUNCTION("""COMPUTED_VALUE"""),44928.5966294097)</f>
        <v>44928.596629409702</v>
      </c>
      <c r="B860" s="59" t="str">
        <f ca="1">IFERROR(__xludf.DUMMYFUNCTION("""COMPUTED_VALUE"""),"Om Vaghasiya")</f>
        <v>Om Vaghasiya</v>
      </c>
      <c r="C860" s="72" t="str">
        <f ca="1">IFERROR(__xludf.DUMMYFUNCTION("""COMPUTED_VALUE"""),"21SDSCE01157")</f>
        <v>21SDSCE01157</v>
      </c>
      <c r="D860" s="73">
        <f ca="1">IFERROR(__xludf.DUMMYFUNCTION("""COMPUTED_VALUE"""),44928)</f>
        <v>44928</v>
      </c>
      <c r="E860" s="74">
        <f ca="1">IFERROR(__xludf.DUMMYFUNCTION("""COMPUTED_VALUE"""),0)</f>
        <v>0</v>
      </c>
      <c r="F860" s="72">
        <f ca="1">IFERROR(__xludf.DUMMYFUNCTION("""COMPUTED_VALUE"""),2500)</f>
        <v>2500</v>
      </c>
      <c r="G860" s="75"/>
      <c r="H860" s="59" t="str">
        <f ca="1">IFERROR(__xludf.DUMMYFUNCTION("""COMPUTED_VALUE"""),"UPDATE")</f>
        <v>UPDATE</v>
      </c>
      <c r="I860" s="76" t="str">
        <f ca="1">IFERROR(__xludf.DUMMYFUNCTION("""COMPUTED_VALUE"""),"https://drive.google.com/open?id=18QFVMaoKvJtwoTTYuCEyzScdyoz7Is-t")</f>
        <v>https://drive.google.com/open?id=18QFVMaoKvJtwoTTYuCEyzScdyoz7Is-t</v>
      </c>
      <c r="J860" s="59"/>
      <c r="K860" s="59"/>
      <c r="L860" s="59"/>
      <c r="M860" s="59"/>
      <c r="N860" s="59"/>
      <c r="O860" s="59"/>
      <c r="P860" s="59"/>
    </row>
    <row r="861" spans="1:16">
      <c r="A861" s="71">
        <f ca="1">IFERROR(__xludf.DUMMYFUNCTION("""COMPUTED_VALUE"""),44928.591800162)</f>
        <v>44928.591800162001</v>
      </c>
      <c r="B861" s="59" t="str">
        <f ca="1">IFERROR(__xludf.DUMMYFUNCTION("""COMPUTED_VALUE"""),"Bhambhi rudra Pratapbhai ")</f>
        <v xml:space="preserve">Bhambhi rudra Pratapbhai </v>
      </c>
      <c r="C861" s="72" t="str">
        <f ca="1">IFERROR(__xludf.DUMMYFUNCTION("""COMPUTED_VALUE"""),"21SDSME01004")</f>
        <v>21SDSME01004</v>
      </c>
      <c r="D861" s="73">
        <f ca="1">IFERROR(__xludf.DUMMYFUNCTION("""COMPUTED_VALUE"""),44928)</f>
        <v>44928</v>
      </c>
      <c r="E861" s="74">
        <f ca="1">IFERROR(__xludf.DUMMYFUNCTION("""COMPUTED_VALUE"""),25000)</f>
        <v>25000</v>
      </c>
      <c r="F861" s="72">
        <f ca="1">IFERROR(__xludf.DUMMYFUNCTION("""COMPUTED_VALUE"""),2500)</f>
        <v>2500</v>
      </c>
      <c r="G861" s="75"/>
      <c r="H861" s="59" t="str">
        <f ca="1">IFERROR(__xludf.DUMMYFUNCTION("""COMPUTED_VALUE"""),"UPDATE")</f>
        <v>UPDATE</v>
      </c>
      <c r="I861" s="76" t="str">
        <f ca="1">IFERROR(__xludf.DUMMYFUNCTION("""COMPUTED_VALUE"""),"https://drive.google.com/open?id=1tUmcK9HfmC9svpoSxf4iIMj4CCSCXgBa")</f>
        <v>https://drive.google.com/open?id=1tUmcK9HfmC9svpoSxf4iIMj4CCSCXgBa</v>
      </c>
      <c r="J861" s="59"/>
      <c r="K861" s="59"/>
      <c r="L861" s="59"/>
      <c r="M861" s="59"/>
      <c r="N861" s="59"/>
      <c r="O861" s="59"/>
      <c r="P861" s="59"/>
    </row>
    <row r="862" spans="1:16">
      <c r="A862" s="71">
        <f ca="1">IFERROR(__xludf.DUMMYFUNCTION("""COMPUTED_VALUE"""),44928.5909266782)</f>
        <v>44928.590926678196</v>
      </c>
      <c r="B862" s="59" t="str">
        <f ca="1">IFERROR(__xludf.DUMMYFUNCTION("""COMPUTED_VALUE"""),"Bhambhi rudra Pratapbhai")</f>
        <v>Bhambhi rudra Pratapbhai</v>
      </c>
      <c r="C862" s="72" t="str">
        <f ca="1">IFERROR(__xludf.DUMMYFUNCTION("""COMPUTED_VALUE"""),"21SDSME01004")</f>
        <v>21SDSME01004</v>
      </c>
      <c r="D862" s="73">
        <f ca="1">IFERROR(__xludf.DUMMYFUNCTION("""COMPUTED_VALUE"""),44928)</f>
        <v>44928</v>
      </c>
      <c r="E862" s="74">
        <f ca="1">IFERROR(__xludf.DUMMYFUNCTION("""COMPUTED_VALUE"""),25000)</f>
        <v>25000</v>
      </c>
      <c r="F862" s="72">
        <f ca="1">IFERROR(__xludf.DUMMYFUNCTION("""COMPUTED_VALUE"""),2500)</f>
        <v>2500</v>
      </c>
      <c r="G862" s="75"/>
      <c r="H862" s="59" t="str">
        <f ca="1">IFERROR(__xludf.DUMMYFUNCTION("""COMPUTED_VALUE"""),"UPDATE")</f>
        <v>UPDATE</v>
      </c>
      <c r="I862" s="76" t="str">
        <f ca="1">IFERROR(__xludf.DUMMYFUNCTION("""COMPUTED_VALUE"""),"https://drive.google.com/open?id=1NuFZnUjiprAZimPT_89HyMDbe-vvNPTL")</f>
        <v>https://drive.google.com/open?id=1NuFZnUjiprAZimPT_89HyMDbe-vvNPTL</v>
      </c>
      <c r="J862" s="59"/>
      <c r="K862" s="59"/>
      <c r="L862" s="59"/>
      <c r="M862" s="59"/>
      <c r="N862" s="59"/>
      <c r="O862" s="59"/>
      <c r="P862" s="59"/>
    </row>
    <row r="863" spans="1:16">
      <c r="A863" s="71">
        <f ca="1">IFERROR(__xludf.DUMMYFUNCTION("""COMPUTED_VALUE"""),44928.5897291666)</f>
        <v>44928.589729166597</v>
      </c>
      <c r="B863" s="59" t="str">
        <f ca="1">IFERROR(__xludf.DUMMYFUNCTION("""COMPUTED_VALUE"""),"AGRAVAT DEEP DINESHBHAI ")</f>
        <v xml:space="preserve">AGRAVAT DEEP DINESHBHAI </v>
      </c>
      <c r="C863" s="72" t="str">
        <f ca="1">IFERROR(__xludf.DUMMYFUNCTION("""COMPUTED_VALUE"""),"21SDSME01002")</f>
        <v>21SDSME01002</v>
      </c>
      <c r="D863" s="73">
        <f ca="1">IFERROR(__xludf.DUMMYFUNCTION("""COMPUTED_VALUE"""),44928)</f>
        <v>44928</v>
      </c>
      <c r="E863" s="74">
        <f ca="1">IFERROR(__xludf.DUMMYFUNCTION("""COMPUTED_VALUE"""),0)</f>
        <v>0</v>
      </c>
      <c r="F863" s="72">
        <f ca="1">IFERROR(__xludf.DUMMYFUNCTION("""COMPUTED_VALUE"""),2500)</f>
        <v>2500</v>
      </c>
      <c r="G863" s="75"/>
      <c r="H863" s="59" t="str">
        <f ca="1">IFERROR(__xludf.DUMMYFUNCTION("""COMPUTED_VALUE"""),"UPDATE")</f>
        <v>UPDATE</v>
      </c>
      <c r="I863" s="76" t="str">
        <f ca="1">IFERROR(__xludf.DUMMYFUNCTION("""COMPUTED_VALUE"""),"https://drive.google.com/open?id=1e_5A2O8_wiWtQdmnoDAYzx8IWLZe2BeE")</f>
        <v>https://drive.google.com/open?id=1e_5A2O8_wiWtQdmnoDAYzx8IWLZe2BeE</v>
      </c>
      <c r="J863" s="59"/>
      <c r="K863" s="59"/>
      <c r="L863" s="59"/>
      <c r="M863" s="59"/>
      <c r="N863" s="59"/>
      <c r="O863" s="59"/>
      <c r="P863" s="59"/>
    </row>
    <row r="864" spans="1:16">
      <c r="A864" s="71">
        <f ca="1">IFERROR(__xludf.DUMMYFUNCTION("""COMPUTED_VALUE"""),44928.5165098263)</f>
        <v>44928.516509826302</v>
      </c>
      <c r="B864" s="59" t="str">
        <f ca="1">IFERROR(__xludf.DUMMYFUNCTION("""COMPUTED_VALUE"""),"Dhinoja Nevil Hitenbhai ")</f>
        <v xml:space="preserve">Dhinoja Nevil Hitenbhai </v>
      </c>
      <c r="C864" s="72" t="str">
        <f ca="1">IFERROR(__xludf.DUMMYFUNCTION("""COMPUTED_VALUE"""),"21SDSCE01015 ")</f>
        <v xml:space="preserve">21SDSCE01015 </v>
      </c>
      <c r="D864" s="73">
        <f ca="1">IFERROR(__xludf.DUMMYFUNCTION("""COMPUTED_VALUE"""),44928)</f>
        <v>44928</v>
      </c>
      <c r="E864" s="74">
        <f ca="1">IFERROR(__xludf.DUMMYFUNCTION("""COMPUTED_VALUE"""),0)</f>
        <v>0</v>
      </c>
      <c r="F864" s="72">
        <f ca="1">IFERROR(__xludf.DUMMYFUNCTION("""COMPUTED_VALUE"""),2500)</f>
        <v>2500</v>
      </c>
      <c r="G864" s="75"/>
      <c r="H864" s="59" t="str">
        <f ca="1">IFERROR(__xludf.DUMMYFUNCTION("""COMPUTED_VALUE"""),"UPDATE")</f>
        <v>UPDATE</v>
      </c>
      <c r="I864" s="76" t="str">
        <f ca="1">IFERROR(__xludf.DUMMYFUNCTION("""COMPUTED_VALUE"""),"https://drive.google.com/open?id=1cnsGnb6zAn0rh2srH_Vn-0HgAExPEDyE")</f>
        <v>https://drive.google.com/open?id=1cnsGnb6zAn0rh2srH_Vn-0HgAExPEDyE</v>
      </c>
      <c r="J864" s="59"/>
      <c r="K864" s="59"/>
      <c r="L864" s="59"/>
      <c r="M864" s="59"/>
      <c r="N864" s="59"/>
      <c r="O864" s="59"/>
      <c r="P864" s="59"/>
    </row>
    <row r="865" spans="1:16">
      <c r="A865" s="71">
        <f ca="1">IFERROR(__xludf.DUMMYFUNCTION("""COMPUTED_VALUE"""),44928.2899279629)</f>
        <v>44928.289927962898</v>
      </c>
      <c r="B865" s="59" t="str">
        <f ca="1">IFERROR(__xludf.DUMMYFUNCTION("""COMPUTED_VALUE"""),"Kunjal thakkkar")</f>
        <v>Kunjal thakkkar</v>
      </c>
      <c r="C865" s="72" t="str">
        <f ca="1">IFERROR(__xludf.DUMMYFUNCTION("""COMPUTED_VALUE"""),"21SDSCE01052")</f>
        <v>21SDSCE01052</v>
      </c>
      <c r="D865" s="73">
        <f ca="1">IFERROR(__xludf.DUMMYFUNCTION("""COMPUTED_VALUE"""),44928)</f>
        <v>44928</v>
      </c>
      <c r="E865" s="72"/>
      <c r="F865" s="72"/>
      <c r="G865" s="75"/>
      <c r="H865" s="59" t="str">
        <f ca="1">IFERROR(__xludf.DUMMYFUNCTION("""COMPUTED_VALUE"""),"UPDATE")</f>
        <v>UPDATE</v>
      </c>
      <c r="I865" s="76" t="str">
        <f ca="1">IFERROR(__xludf.DUMMYFUNCTION("""COMPUTED_VALUE"""),"https://drive.google.com/open?id=1lZAbgjoOigkVmTg9KSQJ67MV0Bnv3v8H")</f>
        <v>https://drive.google.com/open?id=1lZAbgjoOigkVmTg9KSQJ67MV0Bnv3v8H</v>
      </c>
      <c r="J865" s="59"/>
      <c r="K865" s="59"/>
      <c r="L865" s="59"/>
      <c r="M865" s="59"/>
      <c r="N865" s="59"/>
      <c r="O865" s="59"/>
      <c r="P865" s="59"/>
    </row>
    <row r="866" spans="1:16">
      <c r="A866" s="71">
        <f ca="1">IFERROR(__xludf.DUMMYFUNCTION("""COMPUTED_VALUE"""),44927.8143477199)</f>
        <v>44927.814347719897</v>
      </c>
      <c r="B866" s="59" t="str">
        <f ca="1">IFERROR(__xludf.DUMMYFUNCTION("""COMPUTED_VALUE"""),"Kandarp vyas")</f>
        <v>Kandarp vyas</v>
      </c>
      <c r="C866" s="72" t="str">
        <f ca="1">IFERROR(__xludf.DUMMYFUNCTION("""COMPUTED_VALUE"""),"21SDSCE01054")</f>
        <v>21SDSCE01054</v>
      </c>
      <c r="D866" s="73">
        <f ca="1">IFERROR(__xludf.DUMMYFUNCTION("""COMPUTED_VALUE"""),44926)</f>
        <v>44926</v>
      </c>
      <c r="E866" s="74">
        <f ca="1">IFERROR(__xludf.DUMMYFUNCTION("""COMPUTED_VALUE"""),25000)</f>
        <v>25000</v>
      </c>
      <c r="F866" s="72">
        <f ca="1">IFERROR(__xludf.DUMMYFUNCTION("""COMPUTED_VALUE"""),2500)</f>
        <v>2500</v>
      </c>
      <c r="G866" s="75"/>
      <c r="H866" s="59" t="str">
        <f ca="1">IFERROR(__xludf.DUMMYFUNCTION("""COMPUTED_VALUE"""),"UPDATE")</f>
        <v>UPDATE</v>
      </c>
      <c r="I866" s="76" t="str">
        <f ca="1">IFERROR(__xludf.DUMMYFUNCTION("""COMPUTED_VALUE"""),"https://drive.google.com/open?id=18C6wDWl0EdUTnUoe1lz4PpxJUoMSFFJp")</f>
        <v>https://drive.google.com/open?id=18C6wDWl0EdUTnUoe1lz4PpxJUoMSFFJp</v>
      </c>
      <c r="J866" s="59"/>
      <c r="K866" s="59"/>
      <c r="L866" s="59"/>
      <c r="M866" s="59"/>
      <c r="N866" s="59"/>
      <c r="O866" s="59"/>
      <c r="P866" s="59"/>
    </row>
    <row r="867" spans="1:16">
      <c r="A867" s="71">
        <f ca="1">IFERROR(__xludf.DUMMYFUNCTION("""COMPUTED_VALUE"""),44925.6113222916)</f>
        <v>44925.611322291603</v>
      </c>
      <c r="B867" s="59" t="str">
        <f ca="1">IFERROR(__xludf.DUMMYFUNCTION("""COMPUTED_VALUE"""),"ABHAY KUMAR GUPTA ")</f>
        <v xml:space="preserve">ABHAY KUMAR GUPTA </v>
      </c>
      <c r="C867" s="72" t="str">
        <f ca="1">IFERROR(__xludf.DUMMYFUNCTION("""COMPUTED_VALUE"""),"21sdsce01603 ")</f>
        <v xml:space="preserve">21sdsce01603 </v>
      </c>
      <c r="D867" s="73">
        <f ca="1">IFERROR(__xludf.DUMMYFUNCTION("""COMPUTED_VALUE"""),44925)</f>
        <v>44925</v>
      </c>
      <c r="E867" s="72"/>
      <c r="F867" s="72">
        <f ca="1">IFERROR(__xludf.DUMMYFUNCTION("""COMPUTED_VALUE"""),5000)</f>
        <v>5000</v>
      </c>
      <c r="G867" s="75"/>
      <c r="H867" s="59" t="str">
        <f ca="1">IFERROR(__xludf.DUMMYFUNCTION("""COMPUTED_VALUE"""),"UPDATE")</f>
        <v>UPDATE</v>
      </c>
      <c r="I867" s="76" t="str">
        <f ca="1">IFERROR(__xludf.DUMMYFUNCTION("""COMPUTED_VALUE"""),"https://drive.google.com/open?id=1s9eruVASk-_ftlYI_dh9mgxmhM5pFKWa")</f>
        <v>https://drive.google.com/open?id=1s9eruVASk-_ftlYI_dh9mgxmhM5pFKWa</v>
      </c>
      <c r="J867" s="59"/>
      <c r="K867" s="59"/>
      <c r="L867" s="59"/>
      <c r="M867" s="59"/>
      <c r="N867" s="59"/>
      <c r="O867" s="59"/>
      <c r="P867" s="59"/>
    </row>
    <row r="868" spans="1:16">
      <c r="A868" s="71">
        <f ca="1">IFERROR(__xludf.DUMMYFUNCTION("""COMPUTED_VALUE"""),44925.6003614583)</f>
        <v>44925.600361458302</v>
      </c>
      <c r="B868" s="59" t="str">
        <f ca="1">IFERROR(__xludf.DUMMYFUNCTION("""COMPUTED_VALUE"""),"Aghera deep maganbhai")</f>
        <v>Aghera deep maganbhai</v>
      </c>
      <c r="C868" s="72" t="str">
        <f ca="1">IFERROR(__xludf.DUMMYFUNCTION("""COMPUTED_VALUE"""),"21SDSCE01055")</f>
        <v>21SDSCE01055</v>
      </c>
      <c r="D868" s="73">
        <f ca="1">IFERROR(__xludf.DUMMYFUNCTION("""COMPUTED_VALUE"""),44924)</f>
        <v>44924</v>
      </c>
      <c r="E868" s="74">
        <f ca="1">IFERROR(__xludf.DUMMYFUNCTION("""COMPUTED_VALUE"""),25000)</f>
        <v>25000</v>
      </c>
      <c r="F868" s="72">
        <f ca="1">IFERROR(__xludf.DUMMYFUNCTION("""COMPUTED_VALUE"""),2500)</f>
        <v>2500</v>
      </c>
      <c r="G868" s="75"/>
      <c r="H868" s="59" t="str">
        <f ca="1">IFERROR(__xludf.DUMMYFUNCTION("""COMPUTED_VALUE"""),"UPDATE")</f>
        <v>UPDATE</v>
      </c>
      <c r="I868" s="76" t="str">
        <f ca="1">IFERROR(__xludf.DUMMYFUNCTION("""COMPUTED_VALUE"""),"https://drive.google.com/open?id=1OKlAB9dUPUzGwwQB-ilo2HV2FM0T89eD")</f>
        <v>https://drive.google.com/open?id=1OKlAB9dUPUzGwwQB-ilo2HV2FM0T89eD</v>
      </c>
      <c r="J868" s="59"/>
      <c r="K868" s="59"/>
      <c r="L868" s="59"/>
      <c r="M868" s="59"/>
      <c r="N868" s="59"/>
      <c r="O868" s="59"/>
      <c r="P868" s="59"/>
    </row>
    <row r="869" spans="1:16">
      <c r="A869" s="71">
        <f ca="1">IFERROR(__xludf.DUMMYFUNCTION("""COMPUTED_VALUE"""),44924.679870949)</f>
        <v>44924.679870949003</v>
      </c>
      <c r="B869" s="59" t="str">
        <f ca="1">IFERROR(__xludf.DUMMYFUNCTION("""COMPUTED_VALUE"""),"Krishnu Gupta")</f>
        <v>Krishnu Gupta</v>
      </c>
      <c r="C869" s="72" t="str">
        <f ca="1">IFERROR(__xludf.DUMMYFUNCTION("""COMPUTED_VALUE"""),"21SDSCE01604")</f>
        <v>21SDSCE01604</v>
      </c>
      <c r="D869" s="73">
        <f ca="1">IFERROR(__xludf.DUMMYFUNCTION("""COMPUTED_VALUE"""),44924)</f>
        <v>44924</v>
      </c>
      <c r="E869" s="74">
        <f ca="1">IFERROR(__xludf.DUMMYFUNCTION("""COMPUTED_VALUE"""),35000)</f>
        <v>35000</v>
      </c>
      <c r="F869" s="72"/>
      <c r="G869" s="75"/>
      <c r="H869" s="59" t="str">
        <f ca="1">IFERROR(__xludf.DUMMYFUNCTION("""COMPUTED_VALUE"""),"UPDATE")</f>
        <v>UPDATE</v>
      </c>
      <c r="I869" s="76" t="str">
        <f ca="1">IFERROR(__xludf.DUMMYFUNCTION("""COMPUTED_VALUE"""),"https://drive.google.com/open?id=1YNNg6VJ4nskMXEW2QCe3gnLC3WH8q-4l")</f>
        <v>https://drive.google.com/open?id=1YNNg6VJ4nskMXEW2QCe3gnLC3WH8q-4l</v>
      </c>
      <c r="J869" s="59"/>
      <c r="K869" s="59"/>
      <c r="L869" s="59"/>
      <c r="M869" s="59"/>
      <c r="N869" s="59"/>
      <c r="O869" s="59"/>
      <c r="P869" s="59"/>
    </row>
    <row r="870" spans="1:16">
      <c r="A870" s="71">
        <f ca="1">IFERROR(__xludf.DUMMYFUNCTION("""COMPUTED_VALUE"""),44923.6972607176)</f>
        <v>44923.697260717599</v>
      </c>
      <c r="B870" s="59" t="str">
        <f ca="1">IFERROR(__xludf.DUMMYFUNCTION("""COMPUTED_VALUE"""),"DREAM PATEL ")</f>
        <v xml:space="preserve">DREAM PATEL </v>
      </c>
      <c r="C870" s="72" t="str">
        <f ca="1">IFERROR(__xludf.DUMMYFUNCTION("""COMPUTED_VALUE"""),"21SDSCE01094")</f>
        <v>21SDSCE01094</v>
      </c>
      <c r="D870" s="73">
        <f ca="1">IFERROR(__xludf.DUMMYFUNCTION("""COMPUTED_VALUE"""),44923)</f>
        <v>44923</v>
      </c>
      <c r="E870" s="72"/>
      <c r="F870" s="72">
        <f ca="1">IFERROR(__xludf.DUMMYFUNCTION("""COMPUTED_VALUE"""),2500)</f>
        <v>2500</v>
      </c>
      <c r="G870" s="75"/>
      <c r="H870" s="59" t="str">
        <f ca="1">IFERROR(__xludf.DUMMYFUNCTION("""COMPUTED_VALUE"""),"UPDATE")</f>
        <v>UPDATE</v>
      </c>
      <c r="I870" s="76" t="str">
        <f ca="1">IFERROR(__xludf.DUMMYFUNCTION("""COMPUTED_VALUE"""),"https://drive.google.com/open?id=1oXRGgT5WenMJL2PqkycqU0lr9EKX7rGE")</f>
        <v>https://drive.google.com/open?id=1oXRGgT5WenMJL2PqkycqU0lr9EKX7rGE</v>
      </c>
      <c r="J870" s="59"/>
      <c r="K870" s="59"/>
      <c r="L870" s="59"/>
      <c r="M870" s="59"/>
      <c r="N870" s="59"/>
      <c r="O870" s="59"/>
      <c r="P870" s="59"/>
    </row>
    <row r="871" spans="1:16">
      <c r="A871" s="71">
        <f ca="1">IFERROR(__xludf.DUMMYFUNCTION("""COMPUTED_VALUE"""),44923.4886680671)</f>
        <v>44923.488668067097</v>
      </c>
      <c r="B871" s="59" t="str">
        <f ca="1">IFERROR(__xludf.DUMMYFUNCTION("""COMPUTED_VALUE"""),"Gorasiya Bhoomin ramji")</f>
        <v>Gorasiya Bhoomin ramji</v>
      </c>
      <c r="C871" s="72" t="str">
        <f ca="1">IFERROR(__xludf.DUMMYFUNCTION("""COMPUTED_VALUE"""),"21SDSCE01019")</f>
        <v>21SDSCE01019</v>
      </c>
      <c r="D871" s="73">
        <f ca="1">IFERROR(__xludf.DUMMYFUNCTION("""COMPUTED_VALUE"""),44923)</f>
        <v>44923</v>
      </c>
      <c r="E871" s="74">
        <f ca="1">IFERROR(__xludf.DUMMYFUNCTION("""COMPUTED_VALUE"""),25000)</f>
        <v>25000</v>
      </c>
      <c r="F871" s="72">
        <f ca="1">IFERROR(__xludf.DUMMYFUNCTION("""COMPUTED_VALUE"""),2500)</f>
        <v>2500</v>
      </c>
      <c r="G871" s="75"/>
      <c r="H871" s="59" t="str">
        <f ca="1">IFERROR(__xludf.DUMMYFUNCTION("""COMPUTED_VALUE"""),"UPDATE")</f>
        <v>UPDATE</v>
      </c>
      <c r="I871" s="76" t="str">
        <f ca="1">IFERROR(__xludf.DUMMYFUNCTION("""COMPUTED_VALUE"""),"https://drive.google.com/open?id=1KRS4TW83MDdUwAupe797PnSNt6-2_uLT")</f>
        <v>https://drive.google.com/open?id=1KRS4TW83MDdUwAupe797PnSNt6-2_uLT</v>
      </c>
      <c r="J871" s="59"/>
      <c r="K871" s="59"/>
      <c r="L871" s="59"/>
      <c r="M871" s="59"/>
      <c r="N871" s="59"/>
      <c r="O871" s="59"/>
      <c r="P871" s="59"/>
    </row>
    <row r="872" spans="1:16">
      <c r="A872" s="71">
        <f ca="1">IFERROR(__xludf.DUMMYFUNCTION("""COMPUTED_VALUE"""),44922.9747863657)</f>
        <v>44922.974786365703</v>
      </c>
      <c r="B872" s="59" t="str">
        <f ca="1">IFERROR(__xludf.DUMMYFUNCTION("""COMPUTED_VALUE"""),"DEEP KATESHIYA")</f>
        <v>DEEP KATESHIYA</v>
      </c>
      <c r="C872" s="72" t="str">
        <f ca="1">IFERROR(__xludf.DUMMYFUNCTION("""COMPUTED_VALUE"""),"20SDSME01018")</f>
        <v>20SDSME01018</v>
      </c>
      <c r="D872" s="73">
        <f ca="1">IFERROR(__xludf.DUMMYFUNCTION("""COMPUTED_VALUE"""),44907)</f>
        <v>44907</v>
      </c>
      <c r="E872" s="74">
        <f ca="1">IFERROR(__xludf.DUMMYFUNCTION("""COMPUTED_VALUE"""),0)</f>
        <v>0</v>
      </c>
      <c r="F872" s="72">
        <f ca="1">IFERROR(__xludf.DUMMYFUNCTION("""COMPUTED_VALUE"""),3750)</f>
        <v>3750</v>
      </c>
      <c r="G872" s="75"/>
      <c r="H872" s="59" t="str">
        <f ca="1">IFERROR(__xludf.DUMMYFUNCTION("""COMPUTED_VALUE"""),"UPDATE")</f>
        <v>UPDATE</v>
      </c>
      <c r="I872" s="76" t="str">
        <f ca="1">IFERROR(__xludf.DUMMYFUNCTION("""COMPUTED_VALUE"""),"https://drive.google.com/open?id=1_LrpvssnOHv2_Oed1v_41pT99VEf69Ve")</f>
        <v>https://drive.google.com/open?id=1_LrpvssnOHv2_Oed1v_41pT99VEf69Ve</v>
      </c>
      <c r="J872" s="59"/>
      <c r="K872" s="59"/>
      <c r="L872" s="59"/>
      <c r="M872" s="59"/>
      <c r="N872" s="59"/>
      <c r="O872" s="59"/>
      <c r="P872" s="59"/>
    </row>
    <row r="873" spans="1:16">
      <c r="A873" s="71">
        <f ca="1">IFERROR(__xludf.DUMMYFUNCTION("""COMPUTED_VALUE"""),44922.8644799652)</f>
        <v>44922.864479965203</v>
      </c>
      <c r="B873" s="59" t="str">
        <f ca="1">IFERROR(__xludf.DUMMYFUNCTION("""COMPUTED_VALUE"""),"Haraniya Divya harasadBhai ")</f>
        <v xml:space="preserve">Haraniya Divya harasadBhai </v>
      </c>
      <c r="C873" s="72" t="str">
        <f ca="1">IFERROR(__xludf.DUMMYFUNCTION("""COMPUTED_VALUE"""),"21SDSCE01020")</f>
        <v>21SDSCE01020</v>
      </c>
      <c r="D873" s="73">
        <f ca="1">IFERROR(__xludf.DUMMYFUNCTION("""COMPUTED_VALUE"""),44822)</f>
        <v>44822</v>
      </c>
      <c r="E873" s="74">
        <f ca="1">IFERROR(__xludf.DUMMYFUNCTION("""COMPUTED_VALUE"""),12500)</f>
        <v>12500</v>
      </c>
      <c r="F873" s="72">
        <f ca="1">IFERROR(__xludf.DUMMYFUNCTION("""COMPUTED_VALUE"""),2500)</f>
        <v>2500</v>
      </c>
      <c r="G873" s="75"/>
      <c r="H873" s="59" t="str">
        <f ca="1">IFERROR(__xludf.DUMMYFUNCTION("""COMPUTED_VALUE"""),"UPDATE")</f>
        <v>UPDATE</v>
      </c>
      <c r="I873" s="76" t="str">
        <f ca="1">IFERROR(__xludf.DUMMYFUNCTION("""COMPUTED_VALUE"""),"https://drive.google.com/open?id=1hQTlc1knExHvBndQ-KWZ-vVVy7YtWkw7")</f>
        <v>https://drive.google.com/open?id=1hQTlc1knExHvBndQ-KWZ-vVVy7YtWkw7</v>
      </c>
      <c r="J873" s="59"/>
      <c r="K873" s="59"/>
      <c r="L873" s="59"/>
      <c r="M873" s="59"/>
      <c r="N873" s="59"/>
      <c r="O873" s="59"/>
      <c r="P873" s="59"/>
    </row>
    <row r="874" spans="1:16">
      <c r="A874" s="71">
        <f ca="1">IFERROR(__xludf.DUMMYFUNCTION("""COMPUTED_VALUE"""),44922.8628520949)</f>
        <v>44922.862852094899</v>
      </c>
      <c r="B874" s="59" t="str">
        <f ca="1">IFERROR(__xludf.DUMMYFUNCTION("""COMPUTED_VALUE"""),"Haraniya Divya harasadBhai ")</f>
        <v xml:space="preserve">Haraniya Divya harasadBhai </v>
      </c>
      <c r="C874" s="72" t="str">
        <f ca="1">IFERROR(__xludf.DUMMYFUNCTION("""COMPUTED_VALUE"""),"21SDSCE01020")</f>
        <v>21SDSCE01020</v>
      </c>
      <c r="D874" s="73">
        <f ca="1">IFERROR(__xludf.DUMMYFUNCTION("""COMPUTED_VALUE"""),44822)</f>
        <v>44822</v>
      </c>
      <c r="E874" s="74">
        <f ca="1">IFERROR(__xludf.DUMMYFUNCTION("""COMPUTED_VALUE"""),12500)</f>
        <v>12500</v>
      </c>
      <c r="F874" s="72">
        <f ca="1">IFERROR(__xludf.DUMMYFUNCTION("""COMPUTED_VALUE"""),2500)</f>
        <v>2500</v>
      </c>
      <c r="G874" s="75"/>
      <c r="H874" s="59" t="str">
        <f ca="1">IFERROR(__xludf.DUMMYFUNCTION("""COMPUTED_VALUE"""),"UPDATE")</f>
        <v>UPDATE</v>
      </c>
      <c r="I874" s="76" t="str">
        <f ca="1">IFERROR(__xludf.DUMMYFUNCTION("""COMPUTED_VALUE"""),"https://drive.google.com/open?id=1vehKWeHo55XaRMX0DDWptS2qaF0z6Q7h")</f>
        <v>https://drive.google.com/open?id=1vehKWeHo55XaRMX0DDWptS2qaF0z6Q7h</v>
      </c>
      <c r="J874" s="59"/>
      <c r="K874" s="59"/>
      <c r="L874" s="59"/>
      <c r="M874" s="59"/>
      <c r="N874" s="59"/>
      <c r="O874" s="59"/>
      <c r="P874" s="59"/>
    </row>
    <row r="875" spans="1:16">
      <c r="A875" s="71">
        <f ca="1">IFERROR(__xludf.DUMMYFUNCTION("""COMPUTED_VALUE"""),44922.86002103)</f>
        <v>44922.860021029999</v>
      </c>
      <c r="B875" s="59" t="str">
        <f ca="1">IFERROR(__xludf.DUMMYFUNCTION("""COMPUTED_VALUE"""),"Haraniya Divya harasadBhai ")</f>
        <v xml:space="preserve">Haraniya Divya harasadBhai </v>
      </c>
      <c r="C875" s="72" t="str">
        <f ca="1">IFERROR(__xludf.DUMMYFUNCTION("""COMPUTED_VALUE"""),"21SDSCE01020")</f>
        <v>21SDSCE01020</v>
      </c>
      <c r="D875" s="73">
        <f ca="1">IFERROR(__xludf.DUMMYFUNCTION("""COMPUTED_VALUE"""),44730)</f>
        <v>44730</v>
      </c>
      <c r="E875" s="74">
        <f ca="1">IFERROR(__xludf.DUMMYFUNCTION("""COMPUTED_VALUE"""),12500)</f>
        <v>12500</v>
      </c>
      <c r="F875" s="72">
        <f ca="1">IFERROR(__xludf.DUMMYFUNCTION("""COMPUTED_VALUE"""),2500)</f>
        <v>2500</v>
      </c>
      <c r="G875" s="75"/>
      <c r="H875" s="59" t="str">
        <f ca="1">IFERROR(__xludf.DUMMYFUNCTION("""COMPUTED_VALUE"""),"UPDATE")</f>
        <v>UPDATE</v>
      </c>
      <c r="I875" s="76" t="str">
        <f ca="1">IFERROR(__xludf.DUMMYFUNCTION("""COMPUTED_VALUE"""),"https://drive.google.com/open?id=1bxB4uo0h8nphI3HCbzKK_hZRSFUUnBW9")</f>
        <v>https://drive.google.com/open?id=1bxB4uo0h8nphI3HCbzKK_hZRSFUUnBW9</v>
      </c>
      <c r="J875" s="59"/>
      <c r="K875" s="59"/>
      <c r="L875" s="59"/>
      <c r="M875" s="59"/>
      <c r="N875" s="59"/>
      <c r="O875" s="59"/>
      <c r="P875" s="59"/>
    </row>
    <row r="876" spans="1:16">
      <c r="A876" s="71">
        <f ca="1">IFERROR(__xludf.DUMMYFUNCTION("""COMPUTED_VALUE"""),44922.7327985185)</f>
        <v>44922.732798518497</v>
      </c>
      <c r="B876" s="59" t="str">
        <f ca="1">IFERROR(__xludf.DUMMYFUNCTION("""COMPUTED_VALUE"""),"Haraniya Divya harasadBhai ")</f>
        <v xml:space="preserve">Haraniya Divya harasadBhai </v>
      </c>
      <c r="C876" s="72" t="str">
        <f ca="1">IFERROR(__xludf.DUMMYFUNCTION("""COMPUTED_VALUE"""),"21SDSCE01020")</f>
        <v>21SDSCE01020</v>
      </c>
      <c r="D876" s="73">
        <f ca="1">IFERROR(__xludf.DUMMYFUNCTION("""COMPUTED_VALUE"""),44822)</f>
        <v>44822</v>
      </c>
      <c r="E876" s="74">
        <f ca="1">IFERROR(__xludf.DUMMYFUNCTION("""COMPUTED_VALUE"""),25000)</f>
        <v>25000</v>
      </c>
      <c r="F876" s="72">
        <f ca="1">IFERROR(__xludf.DUMMYFUNCTION("""COMPUTED_VALUE"""),2500)</f>
        <v>2500</v>
      </c>
      <c r="G876" s="75"/>
      <c r="H876" s="59" t="str">
        <f ca="1">IFERROR(__xludf.DUMMYFUNCTION("""COMPUTED_VALUE"""),"UPDATE")</f>
        <v>UPDATE</v>
      </c>
      <c r="I876" s="76" t="str">
        <f ca="1">IFERROR(__xludf.DUMMYFUNCTION("""COMPUTED_VALUE"""),"https://drive.google.com/open?id=1geJ9L2pcVY8oCJIh8REwZlScCuixMtQ6")</f>
        <v>https://drive.google.com/open?id=1geJ9L2pcVY8oCJIh8REwZlScCuixMtQ6</v>
      </c>
      <c r="J876" s="59"/>
      <c r="K876" s="59"/>
      <c r="L876" s="59"/>
      <c r="M876" s="59"/>
      <c r="N876" s="59"/>
      <c r="O876" s="59"/>
      <c r="P876" s="59"/>
    </row>
    <row r="877" spans="1:16">
      <c r="A877" s="71">
        <f ca="1">IFERROR(__xludf.DUMMYFUNCTION("""COMPUTED_VALUE"""),44922.518747905)</f>
        <v>44922.518747905</v>
      </c>
      <c r="B877" s="59" t="str">
        <f ca="1">IFERROR(__xludf.DUMMYFUNCTION("""COMPUTED_VALUE"""),"Aditya Dodia ")</f>
        <v xml:space="preserve">Aditya Dodia </v>
      </c>
      <c r="C877" s="72" t="str">
        <f ca="1">IFERROR(__xludf.DUMMYFUNCTION("""COMPUTED_VALUE"""),"22SDSCV01023")</f>
        <v>22SDSCV01023</v>
      </c>
      <c r="D877" s="73">
        <f ca="1">IFERROR(__xludf.DUMMYFUNCTION("""COMPUTED_VALUE"""),44922)</f>
        <v>44922</v>
      </c>
      <c r="E877" s="72"/>
      <c r="F877" s="72"/>
      <c r="G877" s="75"/>
      <c r="H877" s="59" t="str">
        <f ca="1">IFERROR(__xludf.DUMMYFUNCTION("""COMPUTED_VALUE"""),"UPDATE")</f>
        <v>UPDATE</v>
      </c>
      <c r="I877" s="76" t="str">
        <f ca="1">IFERROR(__xludf.DUMMYFUNCTION("""COMPUTED_VALUE"""),"https://drive.google.com/open?id=12EodFnVASNGP_hpmkQINMz_eYR7v3dI7")</f>
        <v>https://drive.google.com/open?id=12EodFnVASNGP_hpmkQINMz_eYR7v3dI7</v>
      </c>
      <c r="J877" s="59"/>
      <c r="K877" s="59"/>
      <c r="L877" s="59"/>
      <c r="M877" s="59"/>
      <c r="N877" s="59"/>
      <c r="O877" s="59"/>
      <c r="P877" s="59"/>
    </row>
    <row r="878" spans="1:16">
      <c r="A878" s="71">
        <f ca="1">IFERROR(__xludf.DUMMYFUNCTION("""COMPUTED_VALUE"""),44922.5173412152)</f>
        <v>44922.5173412152</v>
      </c>
      <c r="B878" s="59" t="str">
        <f ca="1">IFERROR(__xludf.DUMMYFUNCTION("""COMPUTED_VALUE"""),"Aditya Dodia ")</f>
        <v xml:space="preserve">Aditya Dodia </v>
      </c>
      <c r="C878" s="72" t="str">
        <f ca="1">IFERROR(__xludf.DUMMYFUNCTION("""COMPUTED_VALUE"""),"22SDSCV01023")</f>
        <v>22SDSCV01023</v>
      </c>
      <c r="D878" s="73">
        <f ca="1">IFERROR(__xludf.DUMMYFUNCTION("""COMPUTED_VALUE"""),44922)</f>
        <v>44922</v>
      </c>
      <c r="E878" s="72"/>
      <c r="F878" s="72"/>
      <c r="G878" s="75"/>
      <c r="H878" s="59" t="str">
        <f ca="1">IFERROR(__xludf.DUMMYFUNCTION("""COMPUTED_VALUE"""),"UPDATE")</f>
        <v>UPDATE</v>
      </c>
      <c r="I878" s="76" t="str">
        <f ca="1">IFERROR(__xludf.DUMMYFUNCTION("""COMPUTED_VALUE"""),"https://drive.google.com/open?id=16UQU0d-85t1gqgpbmj1m99b_u1uqqU1K")</f>
        <v>https://drive.google.com/open?id=16UQU0d-85t1gqgpbmj1m99b_u1uqqU1K</v>
      </c>
      <c r="J878" s="59"/>
      <c r="K878" s="59"/>
      <c r="L878" s="59"/>
      <c r="M878" s="59"/>
      <c r="N878" s="59"/>
      <c r="O878" s="59"/>
      <c r="P878" s="59"/>
    </row>
    <row r="879" spans="1:16">
      <c r="A879" s="71">
        <f ca="1">IFERROR(__xludf.DUMMYFUNCTION("""COMPUTED_VALUE"""),44922.5160051041)</f>
        <v>44922.516005104102</v>
      </c>
      <c r="B879" s="59" t="str">
        <f ca="1">IFERROR(__xludf.DUMMYFUNCTION("""COMPUTED_VALUE"""),"Aditya Dodia")</f>
        <v>Aditya Dodia</v>
      </c>
      <c r="C879" s="72" t="str">
        <f ca="1">IFERROR(__xludf.DUMMYFUNCTION("""COMPUTED_VALUE"""),"22SDSCV01023")</f>
        <v>22SDSCV01023</v>
      </c>
      <c r="D879" s="73">
        <f ca="1">IFERROR(__xludf.DUMMYFUNCTION("""COMPUTED_VALUE"""),44922)</f>
        <v>44922</v>
      </c>
      <c r="E879" s="72"/>
      <c r="F879" s="72"/>
      <c r="G879" s="75"/>
      <c r="H879" s="59" t="str">
        <f ca="1">IFERROR(__xludf.DUMMYFUNCTION("""COMPUTED_VALUE"""),"UPDATE")</f>
        <v>UPDATE</v>
      </c>
      <c r="I879" s="76" t="str">
        <f ca="1">IFERROR(__xludf.DUMMYFUNCTION("""COMPUTED_VALUE"""),"https://drive.google.com/open?id=1fd7MMCAE24zCn_G9_2ncc-j68ji1UgTS")</f>
        <v>https://drive.google.com/open?id=1fd7MMCAE24zCn_G9_2ncc-j68ji1UgTS</v>
      </c>
      <c r="J879" s="59"/>
      <c r="K879" s="59"/>
      <c r="L879" s="59"/>
      <c r="M879" s="59"/>
      <c r="N879" s="59"/>
      <c r="O879" s="59"/>
      <c r="P879" s="59"/>
    </row>
    <row r="880" spans="1:16">
      <c r="A880" s="71">
        <f ca="1">IFERROR(__xludf.DUMMYFUNCTION("""COMPUTED_VALUE"""),44920.4078632175)</f>
        <v>44920.407863217501</v>
      </c>
      <c r="B880" s="59" t="str">
        <f ca="1">IFERROR(__xludf.DUMMYFUNCTION("""COMPUTED_VALUE"""),"Jenish kotadiya ")</f>
        <v xml:space="preserve">Jenish kotadiya </v>
      </c>
      <c r="C880" s="72" t="str">
        <f ca="1">IFERROR(__xludf.DUMMYFUNCTION("""COMPUTED_VALUE"""),"21SDSCE01081")</f>
        <v>21SDSCE01081</v>
      </c>
      <c r="D880" s="73">
        <f ca="1">IFERROR(__xludf.DUMMYFUNCTION("""COMPUTED_VALUE"""),44920)</f>
        <v>44920</v>
      </c>
      <c r="E880" s="72"/>
      <c r="F880" s="72">
        <f ca="1">IFERROR(__xludf.DUMMYFUNCTION("""COMPUTED_VALUE"""),2500)</f>
        <v>2500</v>
      </c>
      <c r="G880" s="75"/>
      <c r="H880" s="59" t="str">
        <f ca="1">IFERROR(__xludf.DUMMYFUNCTION("""COMPUTED_VALUE"""),"UPDATE")</f>
        <v>UPDATE</v>
      </c>
      <c r="I880" s="76" t="str">
        <f ca="1">IFERROR(__xludf.DUMMYFUNCTION("""COMPUTED_VALUE"""),"https://drive.google.com/open?id=1fEJp834PxHBupXuUivvhCSOlBAcudqKS")</f>
        <v>https://drive.google.com/open?id=1fEJp834PxHBupXuUivvhCSOlBAcudqKS</v>
      </c>
      <c r="J880" s="59"/>
      <c r="K880" s="59"/>
      <c r="L880" s="59"/>
      <c r="M880" s="59"/>
      <c r="N880" s="59"/>
      <c r="O880" s="59"/>
      <c r="P880" s="59"/>
    </row>
    <row r="881" spans="1:16">
      <c r="A881" s="71">
        <f ca="1">IFERROR(__xludf.DUMMYFUNCTION("""COMPUTED_VALUE"""),44920.4068774768)</f>
        <v>44920.406877476802</v>
      </c>
      <c r="B881" s="59" t="str">
        <f ca="1">IFERROR(__xludf.DUMMYFUNCTION("""COMPUTED_VALUE"""),"Jenish kotadiya ")</f>
        <v xml:space="preserve">Jenish kotadiya </v>
      </c>
      <c r="C881" s="72" t="str">
        <f ca="1">IFERROR(__xludf.DUMMYFUNCTION("""COMPUTED_VALUE"""),"21SDSCE01081")</f>
        <v>21SDSCE01081</v>
      </c>
      <c r="D881" s="73">
        <f ca="1">IFERROR(__xludf.DUMMYFUNCTION("""COMPUTED_VALUE"""),44920)</f>
        <v>44920</v>
      </c>
      <c r="E881" s="74">
        <f ca="1">IFERROR(__xludf.DUMMYFUNCTION("""COMPUTED_VALUE"""),25000)</f>
        <v>25000</v>
      </c>
      <c r="F881" s="72"/>
      <c r="G881" s="75"/>
      <c r="H881" s="59" t="str">
        <f ca="1">IFERROR(__xludf.DUMMYFUNCTION("""COMPUTED_VALUE"""),"UPDATE")</f>
        <v>UPDATE</v>
      </c>
      <c r="I881" s="76" t="str">
        <f ca="1">IFERROR(__xludf.DUMMYFUNCTION("""COMPUTED_VALUE"""),"https://drive.google.com/open?id=118jfDE_blZ_5WLkZYI4GVQ4fkOXIBq0j")</f>
        <v>https://drive.google.com/open?id=118jfDE_blZ_5WLkZYI4GVQ4fkOXIBq0j</v>
      </c>
      <c r="J881" s="59"/>
      <c r="K881" s="59"/>
      <c r="L881" s="59"/>
      <c r="M881" s="59"/>
      <c r="N881" s="59"/>
      <c r="O881" s="59"/>
      <c r="P881" s="59"/>
    </row>
    <row r="882" spans="1:16">
      <c r="A882" s="71">
        <f ca="1">IFERROR(__xludf.DUMMYFUNCTION("""COMPUTED_VALUE"""),44918.4641265393)</f>
        <v>44918.4641265393</v>
      </c>
      <c r="B882" s="59" t="str">
        <f ca="1">IFERROR(__xludf.DUMMYFUNCTION("""COMPUTED_VALUE"""),"Mohit Paddhariya")</f>
        <v>Mohit Paddhariya</v>
      </c>
      <c r="C882" s="72" t="str">
        <f ca="1">IFERROR(__xludf.DUMMYFUNCTION("""COMPUTED_VALUE"""),"21SDSCE01038")</f>
        <v>21SDSCE01038</v>
      </c>
      <c r="D882" s="73">
        <f ca="1">IFERROR(__xludf.DUMMYFUNCTION("""COMPUTED_VALUE"""),44917)</f>
        <v>44917</v>
      </c>
      <c r="E882" s="74">
        <f ca="1">IFERROR(__xludf.DUMMYFUNCTION("""COMPUTED_VALUE"""),0)</f>
        <v>0</v>
      </c>
      <c r="F882" s="72">
        <f ca="1">IFERROR(__xludf.DUMMYFUNCTION("""COMPUTED_VALUE"""),2500)</f>
        <v>2500</v>
      </c>
      <c r="G882" s="75"/>
      <c r="H882" s="59" t="str">
        <f ca="1">IFERROR(__xludf.DUMMYFUNCTION("""COMPUTED_VALUE"""),"UPDATE")</f>
        <v>UPDATE</v>
      </c>
      <c r="I882" s="76" t="str">
        <f ca="1">IFERROR(__xludf.DUMMYFUNCTION("""COMPUTED_VALUE"""),"https://drive.google.com/open?id=10w0Im5xm7xpcOTQyQ-U9sxG5dQzvwUj7")</f>
        <v>https://drive.google.com/open?id=10w0Im5xm7xpcOTQyQ-U9sxG5dQzvwUj7</v>
      </c>
      <c r="J882" s="59"/>
      <c r="K882" s="59"/>
      <c r="L882" s="59"/>
      <c r="M882" s="59"/>
      <c r="N882" s="59"/>
      <c r="O882" s="59"/>
      <c r="P882" s="59"/>
    </row>
    <row r="883" spans="1:16">
      <c r="A883" s="71">
        <f ca="1">IFERROR(__xludf.DUMMYFUNCTION("""COMPUTED_VALUE"""),44916.7502920949)</f>
        <v>44916.750292094897</v>
      </c>
      <c r="B883" s="59" t="str">
        <f ca="1">IFERROR(__xludf.DUMMYFUNCTION("""COMPUTED_VALUE"""),"Goraniya Karan")</f>
        <v>Goraniya Karan</v>
      </c>
      <c r="C883" s="72" t="str">
        <f ca="1">IFERROR(__xludf.DUMMYFUNCTION("""COMPUTED_VALUE"""),"22SDSCE01152")</f>
        <v>22SDSCE01152</v>
      </c>
      <c r="D883" s="73">
        <f ca="1">IFERROR(__xludf.DUMMYFUNCTION("""COMPUTED_VALUE"""),44882)</f>
        <v>44882</v>
      </c>
      <c r="E883" s="74">
        <f ca="1">IFERROR(__xludf.DUMMYFUNCTION("""COMPUTED_VALUE"""),25000)</f>
        <v>25000</v>
      </c>
      <c r="F883" s="72"/>
      <c r="G883" s="75"/>
      <c r="H883" s="59" t="str">
        <f ca="1">IFERROR(__xludf.DUMMYFUNCTION("""COMPUTED_VALUE"""),"UPDATE")</f>
        <v>UPDATE</v>
      </c>
      <c r="I883" s="76" t="str">
        <f ca="1">IFERROR(__xludf.DUMMYFUNCTION("""COMPUTED_VALUE"""),"https://drive.google.com/open?id=17JEncWp49B37sB4zVb1RWhu1Zvh2HiCU")</f>
        <v>https://drive.google.com/open?id=17JEncWp49B37sB4zVb1RWhu1Zvh2HiCU</v>
      </c>
      <c r="J883" s="59"/>
      <c r="K883" s="59"/>
      <c r="L883" s="59"/>
      <c r="M883" s="59"/>
      <c r="N883" s="59"/>
      <c r="O883" s="59"/>
      <c r="P883" s="59"/>
    </row>
    <row r="884" spans="1:16">
      <c r="A884" s="71">
        <f ca="1">IFERROR(__xludf.DUMMYFUNCTION("""COMPUTED_VALUE"""),44915.9921637268)</f>
        <v>44915.992163726798</v>
      </c>
      <c r="B884" s="59" t="str">
        <f ca="1">IFERROR(__xludf.DUMMYFUNCTION("""COMPUTED_VALUE"""),"Jaymin kantilal rangani ")</f>
        <v xml:space="preserve">Jaymin kantilal rangani </v>
      </c>
      <c r="C884" s="72" t="str">
        <f ca="1">IFERROR(__xludf.DUMMYFUNCTION("""COMPUTED_VALUE"""),"19SDSME01019 ")</f>
        <v xml:space="preserve">19SDSME01019 </v>
      </c>
      <c r="D884" s="73">
        <f ca="1">IFERROR(__xludf.DUMMYFUNCTION("""COMPUTED_VALUE"""),44915)</f>
        <v>44915</v>
      </c>
      <c r="E884" s="74">
        <f ca="1">IFERROR(__xludf.DUMMYFUNCTION("""COMPUTED_VALUE"""),25000)</f>
        <v>25000</v>
      </c>
      <c r="F884" s="72">
        <f ca="1">IFERROR(__xludf.DUMMYFUNCTION("""COMPUTED_VALUE"""),2500)</f>
        <v>2500</v>
      </c>
      <c r="G884" s="75"/>
      <c r="H884" s="59" t="str">
        <f ca="1">IFERROR(__xludf.DUMMYFUNCTION("""COMPUTED_VALUE"""),"UPDATE")</f>
        <v>UPDATE</v>
      </c>
      <c r="I884" s="76" t="str">
        <f ca="1">IFERROR(__xludf.DUMMYFUNCTION("""COMPUTED_VALUE"""),"https://drive.google.com/open?id=1ih6AQfU8riz8KPOFrK7pKijbNf0LeSnw")</f>
        <v>https://drive.google.com/open?id=1ih6AQfU8riz8KPOFrK7pKijbNf0LeSnw</v>
      </c>
      <c r="J884" s="59"/>
      <c r="K884" s="59"/>
      <c r="L884" s="59"/>
      <c r="M884" s="59"/>
      <c r="N884" s="59"/>
      <c r="O884" s="59"/>
      <c r="P884" s="59"/>
    </row>
    <row r="885" spans="1:16">
      <c r="A885" s="71">
        <f ca="1">IFERROR(__xludf.DUMMYFUNCTION("""COMPUTED_VALUE"""),44915.7492941088)</f>
        <v>44915.749294108798</v>
      </c>
      <c r="B885" s="59" t="str">
        <f ca="1">IFERROR(__xludf.DUMMYFUNCTION("""COMPUTED_VALUE"""),"Romil siddhpura")</f>
        <v>Romil siddhpura</v>
      </c>
      <c r="C885" s="72" t="str">
        <f ca="1">IFERROR(__xludf.DUMMYFUNCTION("""COMPUTED_VALUE"""),"19sdsme01026")</f>
        <v>19sdsme01026</v>
      </c>
      <c r="D885" s="73">
        <f ca="1">IFERROR(__xludf.DUMMYFUNCTION("""COMPUTED_VALUE"""),44915)</f>
        <v>44915</v>
      </c>
      <c r="E885" s="74">
        <f ca="1">IFERROR(__xludf.DUMMYFUNCTION("""COMPUTED_VALUE"""),25000)</f>
        <v>25000</v>
      </c>
      <c r="F885" s="72">
        <f ca="1">IFERROR(__xludf.DUMMYFUNCTION("""COMPUTED_VALUE"""),3500)</f>
        <v>3500</v>
      </c>
      <c r="G885" s="75"/>
      <c r="H885" s="59" t="str">
        <f ca="1">IFERROR(__xludf.DUMMYFUNCTION("""COMPUTED_VALUE"""),"UPDATE")</f>
        <v>UPDATE</v>
      </c>
      <c r="I885" s="76" t="str">
        <f ca="1">IFERROR(__xludf.DUMMYFUNCTION("""COMPUTED_VALUE"""),"https://drive.google.com/open?id=1QA45ndxFNl4SIQ2H3RWj54PeH4hfW9Xa")</f>
        <v>https://drive.google.com/open?id=1QA45ndxFNl4SIQ2H3RWj54PeH4hfW9Xa</v>
      </c>
      <c r="J885" s="59"/>
      <c r="K885" s="59"/>
      <c r="L885" s="59"/>
      <c r="M885" s="59"/>
      <c r="N885" s="59"/>
      <c r="O885" s="59"/>
      <c r="P885" s="59"/>
    </row>
    <row r="886" spans="1:16">
      <c r="A886" s="71">
        <f ca="1">IFERROR(__xludf.DUMMYFUNCTION("""COMPUTED_VALUE"""),44915.6939447569)</f>
        <v>44915.693944756902</v>
      </c>
      <c r="B886" s="59" t="str">
        <f ca="1">IFERROR(__xludf.DUMMYFUNCTION("""COMPUTED_VALUE"""),"Siddhpura romil jagdishbhai")</f>
        <v>Siddhpura romil jagdishbhai</v>
      </c>
      <c r="C886" s="72" t="str">
        <f ca="1">IFERROR(__xludf.DUMMYFUNCTION("""COMPUTED_VALUE"""),"19sdsme01026")</f>
        <v>19sdsme01026</v>
      </c>
      <c r="D886" s="73">
        <f ca="1">IFERROR(__xludf.DUMMYFUNCTION("""COMPUTED_VALUE"""),44915)</f>
        <v>44915</v>
      </c>
      <c r="E886" s="74">
        <f ca="1">IFERROR(__xludf.DUMMYFUNCTION("""COMPUTED_VALUE"""),25000)</f>
        <v>25000</v>
      </c>
      <c r="F886" s="72">
        <f ca="1">IFERROR(__xludf.DUMMYFUNCTION("""COMPUTED_VALUE"""),2800)</f>
        <v>2800</v>
      </c>
      <c r="G886" s="75"/>
      <c r="H886" s="59" t="str">
        <f ca="1">IFERROR(__xludf.DUMMYFUNCTION("""COMPUTED_VALUE"""),"UPDATE")</f>
        <v>UPDATE</v>
      </c>
      <c r="I886" s="76" t="str">
        <f ca="1">IFERROR(__xludf.DUMMYFUNCTION("""COMPUTED_VALUE"""),"https://drive.google.com/open?id=18iQ8TgzQpsA4lZ_bRy5zM9dRrNq4CEgC")</f>
        <v>https://drive.google.com/open?id=18iQ8TgzQpsA4lZ_bRy5zM9dRrNq4CEgC</v>
      </c>
      <c r="J886" s="59"/>
      <c r="K886" s="59"/>
      <c r="L886" s="59"/>
      <c r="M886" s="59"/>
      <c r="N886" s="59"/>
      <c r="O886" s="59"/>
      <c r="P886" s="59"/>
    </row>
    <row r="887" spans="1:16">
      <c r="A887" s="71">
        <f ca="1">IFERROR(__xludf.DUMMYFUNCTION("""COMPUTED_VALUE"""),44915.5579215625)</f>
        <v>44915.557921562497</v>
      </c>
      <c r="B887" s="59" t="str">
        <f ca="1">IFERROR(__xludf.DUMMYFUNCTION("""COMPUTED_VALUE"""),"Sidapara yashvi Sanjay Bhai ")</f>
        <v xml:space="preserve">Sidapara yashvi Sanjay Bhai </v>
      </c>
      <c r="C887" s="72" t="str">
        <f ca="1">IFERROR(__xludf.DUMMYFUNCTION("""COMPUTED_VALUE"""),"21SDSCE01149")</f>
        <v>21SDSCE01149</v>
      </c>
      <c r="D887" s="73">
        <f ca="1">IFERROR(__xludf.DUMMYFUNCTION("""COMPUTED_VALUE"""),44902)</f>
        <v>44902</v>
      </c>
      <c r="E887" s="74">
        <f ca="1">IFERROR(__xludf.DUMMYFUNCTION("""COMPUTED_VALUE"""),0)</f>
        <v>0</v>
      </c>
      <c r="F887" s="72">
        <f ca="1">IFERROR(__xludf.DUMMYFUNCTION("""COMPUTED_VALUE"""),25000)</f>
        <v>25000</v>
      </c>
      <c r="G887" s="75"/>
      <c r="H887" s="59" t="str">
        <f ca="1">IFERROR(__xludf.DUMMYFUNCTION("""COMPUTED_VALUE"""),"UPDATE")</f>
        <v>UPDATE</v>
      </c>
      <c r="I887" s="76" t="str">
        <f ca="1">IFERROR(__xludf.DUMMYFUNCTION("""COMPUTED_VALUE"""),"https://drive.google.com/open?id=1xLhSTrlrThO6wEuavN0mAzXV5oRsqejn")</f>
        <v>https://drive.google.com/open?id=1xLhSTrlrThO6wEuavN0mAzXV5oRsqejn</v>
      </c>
      <c r="J887" s="59"/>
      <c r="K887" s="59"/>
      <c r="L887" s="59"/>
      <c r="M887" s="59"/>
      <c r="N887" s="59"/>
      <c r="O887" s="59"/>
      <c r="P887" s="59"/>
    </row>
    <row r="888" spans="1:16">
      <c r="A888" s="71">
        <f ca="1">IFERROR(__xludf.DUMMYFUNCTION("""COMPUTED_VALUE"""),44915.4631439467)</f>
        <v>44915.463143946698</v>
      </c>
      <c r="B888" s="59" t="str">
        <f ca="1">IFERROR(__xludf.DUMMYFUNCTION("""COMPUTED_VALUE"""),"Deep Barasiya")</f>
        <v>Deep Barasiya</v>
      </c>
      <c r="C888" s="72" t="str">
        <f ca="1">IFERROR(__xludf.DUMMYFUNCTION("""COMPUTED_VALUE"""),"19SDSME01001")</f>
        <v>19SDSME01001</v>
      </c>
      <c r="D888" s="73">
        <f ca="1">IFERROR(__xludf.DUMMYFUNCTION("""COMPUTED_VALUE"""),44915)</f>
        <v>44915</v>
      </c>
      <c r="E888" s="72"/>
      <c r="F888" s="72"/>
      <c r="G888" s="75"/>
      <c r="H888" s="59" t="str">
        <f ca="1">IFERROR(__xludf.DUMMYFUNCTION("""COMPUTED_VALUE"""),"UPDATE")</f>
        <v>UPDATE</v>
      </c>
      <c r="I888" s="76" t="str">
        <f ca="1">IFERROR(__xludf.DUMMYFUNCTION("""COMPUTED_VALUE"""),"https://drive.google.com/open?id=1xtKArH5lGisTi3ZeSlzLp1HJfy73xUmV")</f>
        <v>https://drive.google.com/open?id=1xtKArH5lGisTi3ZeSlzLp1HJfy73xUmV</v>
      </c>
      <c r="J888" s="59"/>
      <c r="K888" s="59"/>
      <c r="L888" s="59"/>
      <c r="M888" s="59"/>
      <c r="N888" s="59"/>
      <c r="O888" s="59"/>
      <c r="P888" s="59"/>
    </row>
    <row r="889" spans="1:16">
      <c r="A889" s="71">
        <f ca="1">IFERROR(__xludf.DUMMYFUNCTION("""COMPUTED_VALUE"""),44911.6841139004)</f>
        <v>44911.684113900403</v>
      </c>
      <c r="B889" s="59" t="str">
        <f ca="1">IFERROR(__xludf.DUMMYFUNCTION("""COMPUTED_VALUE"""),"Raycha Varshil Vimalbhai")</f>
        <v>Raycha Varshil Vimalbhai</v>
      </c>
      <c r="C889" s="72" t="str">
        <f ca="1">IFERROR(__xludf.DUMMYFUNCTION("""COMPUTED_VALUE"""),"19SDSCE01041")</f>
        <v>19SDSCE01041</v>
      </c>
      <c r="D889" s="73">
        <f ca="1">IFERROR(__xludf.DUMMYFUNCTION("""COMPUTED_VALUE"""),44911)</f>
        <v>44911</v>
      </c>
      <c r="E889" s="74">
        <f ca="1">IFERROR(__xludf.DUMMYFUNCTION("""COMPUTED_VALUE"""),26000)</f>
        <v>26000</v>
      </c>
      <c r="F889" s="72"/>
      <c r="G889" s="75"/>
      <c r="H889" s="59" t="str">
        <f ca="1">IFERROR(__xludf.DUMMYFUNCTION("""COMPUTED_VALUE"""),"UPDATE")</f>
        <v>UPDATE</v>
      </c>
      <c r="I889" s="76" t="str">
        <f ca="1">IFERROR(__xludf.DUMMYFUNCTION("""COMPUTED_VALUE"""),"https://drive.google.com/open?id=1q0WK0rOvwQVyy78ie3gWGHB8m9ayo1qs")</f>
        <v>https://drive.google.com/open?id=1q0WK0rOvwQVyy78ie3gWGHB8m9ayo1qs</v>
      </c>
      <c r="J889" s="59"/>
      <c r="K889" s="59"/>
      <c r="L889" s="59"/>
      <c r="M889" s="59"/>
      <c r="N889" s="59"/>
      <c r="O889" s="59"/>
      <c r="P889" s="59"/>
    </row>
    <row r="890" spans="1:16">
      <c r="A890" s="71">
        <f ca="1">IFERROR(__xludf.DUMMYFUNCTION("""COMPUTED_VALUE"""),44911.6033032175)</f>
        <v>44911.603303217496</v>
      </c>
      <c r="B890" s="59" t="str">
        <f ca="1">IFERROR(__xludf.DUMMYFUNCTION("""COMPUTED_VALUE"""),"Shingala prince ")</f>
        <v xml:space="preserve">Shingala prince </v>
      </c>
      <c r="C890" s="72" t="str">
        <f ca="1">IFERROR(__xludf.DUMMYFUNCTION("""COMPUTED_VALUE"""),"19sdsme01025")</f>
        <v>19sdsme01025</v>
      </c>
      <c r="D890" s="73">
        <f ca="1">IFERROR(__xludf.DUMMYFUNCTION("""COMPUTED_VALUE"""),44911)</f>
        <v>44911</v>
      </c>
      <c r="E890" s="72"/>
      <c r="F890" s="72"/>
      <c r="G890" s="75"/>
      <c r="H890" s="59" t="str">
        <f ca="1">IFERROR(__xludf.DUMMYFUNCTION("""COMPUTED_VALUE"""),"UPDATE")</f>
        <v>UPDATE</v>
      </c>
      <c r="I890" s="76" t="str">
        <f ca="1">IFERROR(__xludf.DUMMYFUNCTION("""COMPUTED_VALUE"""),"https://drive.google.com/open?id=1I3-n3k6xuJR49aH83us8PrVispCuCTi_")</f>
        <v>https://drive.google.com/open?id=1I3-n3k6xuJR49aH83us8PrVispCuCTi_</v>
      </c>
      <c r="J890" s="59"/>
      <c r="K890" s="59"/>
      <c r="L890" s="59"/>
      <c r="M890" s="59"/>
      <c r="N890" s="59"/>
      <c r="O890" s="59"/>
      <c r="P890" s="59"/>
    </row>
    <row r="891" spans="1:16">
      <c r="A891" s="71">
        <f ca="1">IFERROR(__xludf.DUMMYFUNCTION("""COMPUTED_VALUE"""),44911.597148287)</f>
        <v>44911.597148287001</v>
      </c>
      <c r="B891" s="59" t="str">
        <f ca="1">IFERROR(__xludf.DUMMYFUNCTION("""COMPUTED_VALUE"""),"Dave dhruvil vipulbhai")</f>
        <v>Dave dhruvil vipulbhai</v>
      </c>
      <c r="C891" s="72" t="str">
        <f ca="1">IFERROR(__xludf.DUMMYFUNCTION("""COMPUTED_VALUE"""),"19SDSCE01009")</f>
        <v>19SDSCE01009</v>
      </c>
      <c r="D891" s="73">
        <f ca="1">IFERROR(__xludf.DUMMYFUNCTION("""COMPUTED_VALUE"""),44911)</f>
        <v>44911</v>
      </c>
      <c r="E891" s="72"/>
      <c r="F891" s="72"/>
      <c r="G891" s="75"/>
      <c r="H891" s="59" t="str">
        <f ca="1">IFERROR(__xludf.DUMMYFUNCTION("""COMPUTED_VALUE"""),"UPDATE")</f>
        <v>UPDATE</v>
      </c>
      <c r="I891" s="76" t="str">
        <f ca="1">IFERROR(__xludf.DUMMYFUNCTION("""COMPUTED_VALUE"""),"https://drive.google.com/open?id=1XYgwqYIF1oPmOj88ev6__tIZxNRkumzW")</f>
        <v>https://drive.google.com/open?id=1XYgwqYIF1oPmOj88ev6__tIZxNRkumzW</v>
      </c>
      <c r="J891" s="59"/>
      <c r="K891" s="59"/>
      <c r="L891" s="59"/>
      <c r="M891" s="59"/>
      <c r="N891" s="59"/>
      <c r="O891" s="59"/>
      <c r="P891" s="59"/>
    </row>
    <row r="892" spans="1:16">
      <c r="A892" s="71">
        <f ca="1">IFERROR(__xludf.DUMMYFUNCTION("""COMPUTED_VALUE"""),44910.7099104398)</f>
        <v>44910.7099104398</v>
      </c>
      <c r="B892" s="59" t="str">
        <f ca="1">IFERROR(__xludf.DUMMYFUNCTION("""COMPUTED_VALUE"""),"Meet mungalpara ")</f>
        <v xml:space="preserve">Meet mungalpara </v>
      </c>
      <c r="C892" s="72" t="str">
        <f ca="1">IFERROR(__xludf.DUMMYFUNCTION("""COMPUTED_VALUE"""),"19SDSME01015")</f>
        <v>19SDSME01015</v>
      </c>
      <c r="D892" s="73">
        <f ca="1">IFERROR(__xludf.DUMMYFUNCTION("""COMPUTED_VALUE"""),36248)</f>
        <v>36248</v>
      </c>
      <c r="E892" s="74">
        <f ca="1">IFERROR(__xludf.DUMMYFUNCTION("""COMPUTED_VALUE"""),25000)</f>
        <v>25000</v>
      </c>
      <c r="F892" s="72">
        <f ca="1">IFERROR(__xludf.DUMMYFUNCTION("""COMPUTED_VALUE"""),3500)</f>
        <v>3500</v>
      </c>
      <c r="G892" s="75"/>
      <c r="H892" s="59" t="str">
        <f ca="1">IFERROR(__xludf.DUMMYFUNCTION("""COMPUTED_VALUE"""),"UPDATE")</f>
        <v>UPDATE</v>
      </c>
      <c r="I892" s="76" t="str">
        <f ca="1">IFERROR(__xludf.DUMMYFUNCTION("""COMPUTED_VALUE"""),"https://drive.google.com/open?id=14KxYdP3Gaqwo4hr6FGniMVBFut2Kgkgv")</f>
        <v>https://drive.google.com/open?id=14KxYdP3Gaqwo4hr6FGniMVBFut2Kgkgv</v>
      </c>
      <c r="J892" s="59"/>
      <c r="K892" s="59"/>
      <c r="L892" s="59"/>
      <c r="M892" s="59"/>
      <c r="N892" s="59"/>
      <c r="O892" s="59"/>
      <c r="P892" s="59"/>
    </row>
    <row r="893" spans="1:16">
      <c r="A893" s="71">
        <f ca="1">IFERROR(__xludf.DUMMYFUNCTION("""COMPUTED_VALUE"""),44910.5906481481)</f>
        <v>44910.5906481481</v>
      </c>
      <c r="B893" s="59" t="str">
        <f ca="1">IFERROR(__xludf.DUMMYFUNCTION("""COMPUTED_VALUE"""),"Deep Moraridas Deshani")</f>
        <v>Deep Moraridas Deshani</v>
      </c>
      <c r="C893" s="72" t="str">
        <f ca="1">IFERROR(__xludf.DUMMYFUNCTION("""COMPUTED_VALUE"""),"19SDSME01004")</f>
        <v>19SDSME01004</v>
      </c>
      <c r="D893" s="73">
        <f ca="1">IFERROR(__xludf.DUMMYFUNCTION("""COMPUTED_VALUE"""),44580)</f>
        <v>44580</v>
      </c>
      <c r="E893" s="72"/>
      <c r="F893" s="72">
        <f ca="1">IFERROR(__xludf.DUMMYFUNCTION("""COMPUTED_VALUE"""),2500)</f>
        <v>2500</v>
      </c>
      <c r="G893" s="75"/>
      <c r="H893" s="59" t="str">
        <f ca="1">IFERROR(__xludf.DUMMYFUNCTION("""COMPUTED_VALUE"""),"UPDATE")</f>
        <v>UPDATE</v>
      </c>
      <c r="I893" s="76" t="str">
        <f ca="1">IFERROR(__xludf.DUMMYFUNCTION("""COMPUTED_VALUE"""),"https://drive.google.com/open?id=14tYK93XdDR4LZOtbHzIj8asNsUjSICK8")</f>
        <v>https://drive.google.com/open?id=14tYK93XdDR4LZOtbHzIj8asNsUjSICK8</v>
      </c>
      <c r="J893" s="59"/>
      <c r="K893" s="59"/>
      <c r="L893" s="59"/>
      <c r="M893" s="59"/>
      <c r="N893" s="59"/>
      <c r="O893" s="59"/>
      <c r="P893" s="59"/>
    </row>
    <row r="894" spans="1:16">
      <c r="A894" s="71">
        <f ca="1">IFERROR(__xludf.DUMMYFUNCTION("""COMPUTED_VALUE"""),44910.5895722222)</f>
        <v>44910.589572222198</v>
      </c>
      <c r="B894" s="59" t="str">
        <f ca="1">IFERROR(__xludf.DUMMYFUNCTION("""COMPUTED_VALUE"""),"Deep MorariDas Deshani")</f>
        <v>Deep MorariDas Deshani</v>
      </c>
      <c r="C894" s="72" t="str">
        <f ca="1">IFERROR(__xludf.DUMMYFUNCTION("""COMPUTED_VALUE"""),"19SDSME01004")</f>
        <v>19SDSME01004</v>
      </c>
      <c r="D894" s="73">
        <f ca="1">IFERROR(__xludf.DUMMYFUNCTION("""COMPUTED_VALUE"""),44580)</f>
        <v>44580</v>
      </c>
      <c r="E894" s="74">
        <f ca="1">IFERROR(__xludf.DUMMYFUNCTION("""COMPUTED_VALUE"""),25000)</f>
        <v>25000</v>
      </c>
      <c r="F894" s="72"/>
      <c r="G894" s="75"/>
      <c r="H894" s="59" t="str">
        <f ca="1">IFERROR(__xludf.DUMMYFUNCTION("""COMPUTED_VALUE"""),"UPDATE")</f>
        <v>UPDATE</v>
      </c>
      <c r="I894" s="76" t="str">
        <f ca="1">IFERROR(__xludf.DUMMYFUNCTION("""COMPUTED_VALUE"""),"https://drive.google.com/open?id=1MZDTUTc_mLtmOt1pYbCVCQNKOqUlMhrn")</f>
        <v>https://drive.google.com/open?id=1MZDTUTc_mLtmOt1pYbCVCQNKOqUlMhrn</v>
      </c>
      <c r="J894" s="59"/>
      <c r="K894" s="59"/>
      <c r="L894" s="59"/>
      <c r="M894" s="59"/>
      <c r="N894" s="59"/>
      <c r="O894" s="59"/>
      <c r="P894" s="59"/>
    </row>
    <row r="895" spans="1:16">
      <c r="A895" s="71">
        <f ca="1">IFERROR(__xludf.DUMMYFUNCTION("""COMPUTED_VALUE"""),44909.6094942592)</f>
        <v>44909.609494259203</v>
      </c>
      <c r="B895" s="59" t="str">
        <f ca="1">IFERROR(__xludf.DUMMYFUNCTION("""COMPUTED_VALUE"""),"Khushi Bhimani ")</f>
        <v xml:space="preserve">Khushi Bhimani </v>
      </c>
      <c r="C895" s="72" t="str">
        <f ca="1">IFERROR(__xludf.DUMMYFUNCTION("""COMPUTED_VALUE"""),"20sdsce01013")</f>
        <v>20sdsce01013</v>
      </c>
      <c r="D895" s="73">
        <f ca="1">IFERROR(__xludf.DUMMYFUNCTION("""COMPUTED_VALUE"""),37625)</f>
        <v>37625</v>
      </c>
      <c r="E895" s="72"/>
      <c r="F895" s="72">
        <f ca="1">IFERROR(__xludf.DUMMYFUNCTION("""COMPUTED_VALUE"""),3750)</f>
        <v>3750</v>
      </c>
      <c r="G895" s="75"/>
      <c r="H895" s="59" t="str">
        <f ca="1">IFERROR(__xludf.DUMMYFUNCTION("""COMPUTED_VALUE"""),"UPDATE")</f>
        <v>UPDATE</v>
      </c>
      <c r="I895" s="76" t="str">
        <f ca="1">IFERROR(__xludf.DUMMYFUNCTION("""COMPUTED_VALUE"""),"https://drive.google.com/open?id=1OCj7uihDkTSUXh5xpriFBvcO-MIX2w3N")</f>
        <v>https://drive.google.com/open?id=1OCj7uihDkTSUXh5xpriFBvcO-MIX2w3N</v>
      </c>
      <c r="J895" s="59"/>
      <c r="K895" s="59"/>
      <c r="L895" s="59"/>
      <c r="M895" s="59"/>
      <c r="N895" s="59"/>
      <c r="O895" s="59"/>
      <c r="P895" s="59"/>
    </row>
    <row r="896" spans="1:16">
      <c r="A896" s="71">
        <f ca="1">IFERROR(__xludf.DUMMYFUNCTION("""COMPUTED_VALUE"""),44909.4704099652)</f>
        <v>44909.470409965201</v>
      </c>
      <c r="B896" s="59" t="str">
        <f ca="1">IFERROR(__xludf.DUMMYFUNCTION("""COMPUTED_VALUE"""),"Priyank Arvindbhai Harkhani")</f>
        <v>Priyank Arvindbhai Harkhani</v>
      </c>
      <c r="C896" s="72" t="str">
        <f ca="1">IFERROR(__xludf.DUMMYFUNCTION("""COMPUTED_VALUE"""),"20SDSME01016")</f>
        <v>20SDSME01016</v>
      </c>
      <c r="D896" s="73">
        <f ca="1">IFERROR(__xludf.DUMMYFUNCTION("""COMPUTED_VALUE"""),44903)</f>
        <v>44903</v>
      </c>
      <c r="E896" s="72"/>
      <c r="F896" s="72">
        <f ca="1">IFERROR(__xludf.DUMMYFUNCTION("""COMPUTED_VALUE"""),3750)</f>
        <v>3750</v>
      </c>
      <c r="G896" s="75"/>
      <c r="H896" s="59" t="str">
        <f ca="1">IFERROR(__xludf.DUMMYFUNCTION("""COMPUTED_VALUE"""),"UPDATE")</f>
        <v>UPDATE</v>
      </c>
      <c r="I896" s="76" t="str">
        <f ca="1">IFERROR(__xludf.DUMMYFUNCTION("""COMPUTED_VALUE"""),"https://drive.google.com/open?id=1eKI7Xh2ACuDH7PdjFzO6HHSWMKi4DBD-")</f>
        <v>https://drive.google.com/open?id=1eKI7Xh2ACuDH7PdjFzO6HHSWMKi4DBD-</v>
      </c>
      <c r="J896" s="59"/>
      <c r="K896" s="59"/>
      <c r="L896" s="59"/>
      <c r="M896" s="59"/>
      <c r="N896" s="59"/>
      <c r="O896" s="59"/>
      <c r="P896" s="59"/>
    </row>
    <row r="897" spans="1:16">
      <c r="A897" s="71">
        <f ca="1">IFERROR(__xludf.DUMMYFUNCTION("""COMPUTED_VALUE"""),44909.462074699)</f>
        <v>44909.462074698997</v>
      </c>
      <c r="B897" s="59" t="str">
        <f ca="1">IFERROR(__xludf.DUMMYFUNCTION("""COMPUTED_VALUE"""),"Dhaduk Sarthak Sanjaybhai")</f>
        <v>Dhaduk Sarthak Sanjaybhai</v>
      </c>
      <c r="C897" s="72" t="str">
        <f ca="1">IFERROR(__xludf.DUMMYFUNCTION("""COMPUTED_VALUE"""),"20SDSCE01027")</f>
        <v>20SDSCE01027</v>
      </c>
      <c r="D897" s="73">
        <f ca="1">IFERROR(__xludf.DUMMYFUNCTION("""COMPUTED_VALUE"""),44908)</f>
        <v>44908</v>
      </c>
      <c r="E897" s="72"/>
      <c r="F897" s="72">
        <f ca="1">IFERROR(__xludf.DUMMYFUNCTION("""COMPUTED_VALUE"""),3750)</f>
        <v>3750</v>
      </c>
      <c r="G897" s="75"/>
      <c r="H897" s="59" t="str">
        <f ca="1">IFERROR(__xludf.DUMMYFUNCTION("""COMPUTED_VALUE"""),"UPDATE")</f>
        <v>UPDATE</v>
      </c>
      <c r="I897" s="76" t="str">
        <f ca="1">IFERROR(__xludf.DUMMYFUNCTION("""COMPUTED_VALUE"""),"https://drive.google.com/open?id=1Om6GjHQiKilVjJNQQNzA_U0u9i5FygFy")</f>
        <v>https://drive.google.com/open?id=1Om6GjHQiKilVjJNQQNzA_U0u9i5FygFy</v>
      </c>
      <c r="J897" s="59"/>
      <c r="K897" s="59"/>
      <c r="L897" s="59"/>
      <c r="M897" s="59"/>
      <c r="N897" s="59"/>
      <c r="O897" s="59"/>
      <c r="P897" s="59"/>
    </row>
    <row r="898" spans="1:16">
      <c r="A898" s="71">
        <f ca="1">IFERROR(__xludf.DUMMYFUNCTION("""COMPUTED_VALUE"""),44909.4291125115)</f>
        <v>44909.429112511498</v>
      </c>
      <c r="B898" s="59" t="str">
        <f ca="1">IFERROR(__xludf.DUMMYFUNCTION("""COMPUTED_VALUE"""),"Prachi chaniyara")</f>
        <v>Prachi chaniyara</v>
      </c>
      <c r="C898" s="72" t="str">
        <f ca="1">IFERROR(__xludf.DUMMYFUNCTION("""COMPUTED_VALUE"""),"20sdsce01015")</f>
        <v>20sdsce01015</v>
      </c>
      <c r="D898" s="73">
        <f ca="1">IFERROR(__xludf.DUMMYFUNCTION("""COMPUTED_VALUE"""),44905)</f>
        <v>44905</v>
      </c>
      <c r="E898" s="72"/>
      <c r="F898" s="72">
        <f ca="1">IFERROR(__xludf.DUMMYFUNCTION("""COMPUTED_VALUE"""),3750)</f>
        <v>3750</v>
      </c>
      <c r="G898" s="75"/>
      <c r="H898" s="59" t="str">
        <f ca="1">IFERROR(__xludf.DUMMYFUNCTION("""COMPUTED_VALUE"""),"UPDATE")</f>
        <v>UPDATE</v>
      </c>
      <c r="I898" s="76" t="str">
        <f ca="1">IFERROR(__xludf.DUMMYFUNCTION("""COMPUTED_VALUE"""),"https://drive.google.com/open?id=1yfx5YKgABu7v_WRB2kZ2TtUy1iX9DezR")</f>
        <v>https://drive.google.com/open?id=1yfx5YKgABu7v_WRB2kZ2TtUy1iX9DezR</v>
      </c>
      <c r="J898" s="59"/>
      <c r="K898" s="59"/>
      <c r="L898" s="59"/>
      <c r="M898" s="59"/>
      <c r="N898" s="59"/>
      <c r="O898" s="59"/>
      <c r="P898" s="59"/>
    </row>
    <row r="899" spans="1:16">
      <c r="A899" s="71">
        <f ca="1">IFERROR(__xludf.DUMMYFUNCTION("""COMPUTED_VALUE"""),44908.857387199)</f>
        <v>44908.857387199001</v>
      </c>
      <c r="B899" s="59" t="str">
        <f ca="1">IFERROR(__xludf.DUMMYFUNCTION("""COMPUTED_VALUE"""),"Mayur dabhi")</f>
        <v>Mayur dabhi</v>
      </c>
      <c r="C899" s="72" t="str">
        <f ca="1">IFERROR(__xludf.DUMMYFUNCTION("""COMPUTED_VALUE"""),"20sdsme01007")</f>
        <v>20sdsme01007</v>
      </c>
      <c r="D899" s="73">
        <f ca="1">IFERROR(__xludf.DUMMYFUNCTION("""COMPUTED_VALUE"""),44907)</f>
        <v>44907</v>
      </c>
      <c r="E899" s="72"/>
      <c r="F899" s="72">
        <f ca="1">IFERROR(__xludf.DUMMYFUNCTION("""COMPUTED_VALUE"""),25000)</f>
        <v>25000</v>
      </c>
      <c r="G899" s="75"/>
      <c r="H899" s="59" t="str">
        <f ca="1">IFERROR(__xludf.DUMMYFUNCTION("""COMPUTED_VALUE"""),"UPDATE")</f>
        <v>UPDATE</v>
      </c>
      <c r="I899" s="76" t="str">
        <f ca="1">IFERROR(__xludf.DUMMYFUNCTION("""COMPUTED_VALUE"""),"https://drive.google.com/open?id=1eIz-nHbWxpV2Jc_bAv2VK0gPpgoYfU22")</f>
        <v>https://drive.google.com/open?id=1eIz-nHbWxpV2Jc_bAv2VK0gPpgoYfU22</v>
      </c>
      <c r="J899" s="59"/>
      <c r="K899" s="59"/>
      <c r="L899" s="59"/>
      <c r="M899" s="59"/>
      <c r="N899" s="59"/>
      <c r="O899" s="59"/>
      <c r="P899" s="59"/>
    </row>
    <row r="900" spans="1:16">
      <c r="A900" s="71">
        <f ca="1">IFERROR(__xludf.DUMMYFUNCTION("""COMPUTED_VALUE"""),44908.85665478)</f>
        <v>44908.85665478</v>
      </c>
      <c r="B900" s="59" t="str">
        <f ca="1">IFERROR(__xludf.DUMMYFUNCTION("""COMPUTED_VALUE"""),"Mayur dabhi")</f>
        <v>Mayur dabhi</v>
      </c>
      <c r="C900" s="72" t="str">
        <f ca="1">IFERROR(__xludf.DUMMYFUNCTION("""COMPUTED_VALUE"""),"20sdsme01007")</f>
        <v>20sdsme01007</v>
      </c>
      <c r="D900" s="73">
        <f ca="1">IFERROR(__xludf.DUMMYFUNCTION("""COMPUTED_VALUE"""),44907)</f>
        <v>44907</v>
      </c>
      <c r="E900" s="72"/>
      <c r="F900" s="72">
        <f ca="1">IFERROR(__xludf.DUMMYFUNCTION("""COMPUTED_VALUE"""),3750)</f>
        <v>3750</v>
      </c>
      <c r="G900" s="75"/>
      <c r="H900" s="59" t="str">
        <f ca="1">IFERROR(__xludf.DUMMYFUNCTION("""COMPUTED_VALUE"""),"UPDATE")</f>
        <v>UPDATE</v>
      </c>
      <c r="I900" s="76" t="str">
        <f ca="1">IFERROR(__xludf.DUMMYFUNCTION("""COMPUTED_VALUE"""),"https://drive.google.com/open?id=1PnUCqh_EMFcurBfDikRWZON-jZiO5gJy")</f>
        <v>https://drive.google.com/open?id=1PnUCqh_EMFcurBfDikRWZON-jZiO5gJy</v>
      </c>
      <c r="J900" s="59"/>
      <c r="K900" s="59"/>
      <c r="L900" s="59"/>
      <c r="M900" s="59"/>
      <c r="N900" s="59"/>
      <c r="O900" s="59"/>
      <c r="P900" s="59"/>
    </row>
    <row r="901" spans="1:16">
      <c r="A901" s="71">
        <f ca="1">IFERROR(__xludf.DUMMYFUNCTION("""COMPUTED_VALUE"""),44908.7538714583)</f>
        <v>44908.753871458299</v>
      </c>
      <c r="B901" s="59" t="str">
        <f ca="1">IFERROR(__xludf.DUMMYFUNCTION("""COMPUTED_VALUE"""),"KALARIYA JIGAR KIRANBHAI")</f>
        <v>KALARIYA JIGAR KIRANBHAI</v>
      </c>
      <c r="C901" s="72" t="str">
        <f ca="1">IFERROR(__xludf.DUMMYFUNCTION("""COMPUTED_VALUE"""),"20SDSCE01048")</f>
        <v>20SDSCE01048</v>
      </c>
      <c r="D901" s="73">
        <f ca="1">IFERROR(__xludf.DUMMYFUNCTION("""COMPUTED_VALUE"""),44908)</f>
        <v>44908</v>
      </c>
      <c r="E901" s="72"/>
      <c r="F901" s="72">
        <f ca="1">IFERROR(__xludf.DUMMYFUNCTION("""COMPUTED_VALUE"""),3750)</f>
        <v>3750</v>
      </c>
      <c r="G901" s="75"/>
      <c r="H901" s="59" t="str">
        <f ca="1">IFERROR(__xludf.DUMMYFUNCTION("""COMPUTED_VALUE"""),"UPDATE")</f>
        <v>UPDATE</v>
      </c>
      <c r="I901" s="76" t="str">
        <f ca="1">IFERROR(__xludf.DUMMYFUNCTION("""COMPUTED_VALUE"""),"https://drive.google.com/open?id=1tgF8LXk2Thkkv5k38RKIn4qub8DStEJh")</f>
        <v>https://drive.google.com/open?id=1tgF8LXk2Thkkv5k38RKIn4qub8DStEJh</v>
      </c>
      <c r="J901" s="59"/>
      <c r="K901" s="59"/>
      <c r="L901" s="59"/>
      <c r="M901" s="59"/>
      <c r="N901" s="59"/>
      <c r="O901" s="59"/>
      <c r="P901" s="59"/>
    </row>
    <row r="902" spans="1:16">
      <c r="A902" s="71">
        <f ca="1">IFERROR(__xludf.DUMMYFUNCTION("""COMPUTED_VALUE"""),44907.8633420717)</f>
        <v>44907.863342071701</v>
      </c>
      <c r="B902" s="59" t="str">
        <f ca="1">IFERROR(__xludf.DUMMYFUNCTION("""COMPUTED_VALUE"""),"Hadiyal Harshil Maheshbhai ")</f>
        <v xml:space="preserve">Hadiyal Harshil Maheshbhai </v>
      </c>
      <c r="C902" s="72" t="str">
        <f ca="1">IFERROR(__xludf.DUMMYFUNCTION("""COMPUTED_VALUE"""),"20SDSCE01041")</f>
        <v>20SDSCE01041</v>
      </c>
      <c r="D902" s="73">
        <f ca="1">IFERROR(__xludf.DUMMYFUNCTION("""COMPUTED_VALUE"""),44904)</f>
        <v>44904</v>
      </c>
      <c r="E902" s="72"/>
      <c r="F902" s="72">
        <f ca="1">IFERROR(__xludf.DUMMYFUNCTION("""COMPUTED_VALUE"""),3750)</f>
        <v>3750</v>
      </c>
      <c r="G902" s="75"/>
      <c r="H902" s="59" t="str">
        <f ca="1">IFERROR(__xludf.DUMMYFUNCTION("""COMPUTED_VALUE"""),"UPDATE")</f>
        <v>UPDATE</v>
      </c>
      <c r="I902" s="76" t="str">
        <f ca="1">IFERROR(__xludf.DUMMYFUNCTION("""COMPUTED_VALUE"""),"https://drive.google.com/open?id=1XKxWlmIIvI264lQuBNTTrY7LG_vKRdC7")</f>
        <v>https://drive.google.com/open?id=1XKxWlmIIvI264lQuBNTTrY7LG_vKRdC7</v>
      </c>
      <c r="J902" s="59"/>
      <c r="K902" s="59"/>
      <c r="L902" s="59"/>
      <c r="M902" s="59"/>
      <c r="N902" s="59"/>
      <c r="O902" s="59"/>
      <c r="P902" s="59"/>
    </row>
    <row r="903" spans="1:16">
      <c r="A903" s="71">
        <f ca="1">IFERROR(__xludf.DUMMYFUNCTION("""COMPUTED_VALUE"""),44907.8616197338)</f>
        <v>44907.861619733798</v>
      </c>
      <c r="B903" s="59" t="str">
        <f ca="1">IFERROR(__xludf.DUMMYFUNCTION("""COMPUTED_VALUE"""),"Hadiyal harshil Maheshbhai")</f>
        <v>Hadiyal harshil Maheshbhai</v>
      </c>
      <c r="C903" s="72" t="str">
        <f ca="1">IFERROR(__xludf.DUMMYFUNCTION("""COMPUTED_VALUE"""),"20SDSCE01041")</f>
        <v>20SDSCE01041</v>
      </c>
      <c r="D903" s="73">
        <f ca="1">IFERROR(__xludf.DUMMYFUNCTION("""COMPUTED_VALUE"""),44904)</f>
        <v>44904</v>
      </c>
      <c r="E903" s="74">
        <f ca="1">IFERROR(__xludf.DUMMYFUNCTION("""COMPUTED_VALUE"""),25000)</f>
        <v>25000</v>
      </c>
      <c r="F903" s="72"/>
      <c r="G903" s="75"/>
      <c r="H903" s="59" t="str">
        <f ca="1">IFERROR(__xludf.DUMMYFUNCTION("""COMPUTED_VALUE"""),"UPDATE")</f>
        <v>UPDATE</v>
      </c>
      <c r="I903" s="76" t="str">
        <f ca="1">IFERROR(__xludf.DUMMYFUNCTION("""COMPUTED_VALUE"""),"https://drive.google.com/open?id=1mwjzdZzIBdbSR77mWr8dWtla_8W9KLEw")</f>
        <v>https://drive.google.com/open?id=1mwjzdZzIBdbSR77mWr8dWtla_8W9KLEw</v>
      </c>
      <c r="J903" s="59"/>
      <c r="K903" s="59"/>
      <c r="L903" s="59"/>
      <c r="M903" s="59"/>
      <c r="N903" s="59"/>
      <c r="O903" s="59"/>
      <c r="P903" s="59"/>
    </row>
    <row r="904" spans="1:16">
      <c r="A904" s="71">
        <f ca="1">IFERROR(__xludf.DUMMYFUNCTION("""COMPUTED_VALUE"""),44907.8605902083)</f>
        <v>44907.8605902083</v>
      </c>
      <c r="B904" s="59" t="str">
        <f ca="1">IFERROR(__xludf.DUMMYFUNCTION("""COMPUTED_VALUE"""),"Kariya jay Maheshbhai ")</f>
        <v xml:space="preserve">Kariya jay Maheshbhai </v>
      </c>
      <c r="C904" s="72" t="str">
        <f ca="1">IFERROR(__xludf.DUMMYFUNCTION("""COMPUTED_VALUE"""),"20SDSCE01052")</f>
        <v>20SDSCE01052</v>
      </c>
      <c r="D904" s="73">
        <f ca="1">IFERROR(__xludf.DUMMYFUNCTION("""COMPUTED_VALUE"""),44907)</f>
        <v>44907</v>
      </c>
      <c r="E904" s="72"/>
      <c r="F904" s="72">
        <f ca="1">IFERROR(__xludf.DUMMYFUNCTION("""COMPUTED_VALUE"""),1250)</f>
        <v>1250</v>
      </c>
      <c r="G904" s="75"/>
      <c r="H904" s="59" t="str">
        <f ca="1">IFERROR(__xludf.DUMMYFUNCTION("""COMPUTED_VALUE"""),"UPDATE")</f>
        <v>UPDATE</v>
      </c>
      <c r="I904" s="76" t="str">
        <f ca="1">IFERROR(__xludf.DUMMYFUNCTION("""COMPUTED_VALUE"""),"https://drive.google.com/open?id=1-XV4-XfXUa58j6UNnoceEcO13UuB-wvs")</f>
        <v>https://drive.google.com/open?id=1-XV4-XfXUa58j6UNnoceEcO13UuB-wvs</v>
      </c>
      <c r="J904" s="59"/>
      <c r="K904" s="59"/>
      <c r="L904" s="59"/>
      <c r="M904" s="59"/>
      <c r="N904" s="59"/>
      <c r="O904" s="59"/>
      <c r="P904" s="59"/>
    </row>
    <row r="905" spans="1:16">
      <c r="A905" s="71">
        <f ca="1">IFERROR(__xludf.DUMMYFUNCTION("""COMPUTED_VALUE"""),44907.8085598495)</f>
        <v>44907.808559849502</v>
      </c>
      <c r="B905" s="59" t="str">
        <f ca="1">IFERROR(__xludf.DUMMYFUNCTION("""COMPUTED_VALUE"""),"Gajjar Harshil Jayeshbhai")</f>
        <v>Gajjar Harshil Jayeshbhai</v>
      </c>
      <c r="C905" s="72" t="str">
        <f ca="1">IFERROR(__xludf.DUMMYFUNCTION("""COMPUTED_VALUE"""),"20SDSCE01036")</f>
        <v>20SDSCE01036</v>
      </c>
      <c r="D905" s="73">
        <f ca="1">IFERROR(__xludf.DUMMYFUNCTION("""COMPUTED_VALUE"""),44907)</f>
        <v>44907</v>
      </c>
      <c r="E905" s="74">
        <f ca="1">IFERROR(__xludf.DUMMYFUNCTION("""COMPUTED_VALUE"""),18750)</f>
        <v>18750</v>
      </c>
      <c r="F905" s="72">
        <f ca="1">IFERROR(__xludf.DUMMYFUNCTION("""COMPUTED_VALUE"""),3750)</f>
        <v>3750</v>
      </c>
      <c r="G905" s="75"/>
      <c r="H905" s="59" t="str">
        <f ca="1">IFERROR(__xludf.DUMMYFUNCTION("""COMPUTED_VALUE"""),"UPDATE")</f>
        <v>UPDATE</v>
      </c>
      <c r="I905" s="76" t="str">
        <f ca="1">IFERROR(__xludf.DUMMYFUNCTION("""COMPUTED_VALUE"""),"https://drive.google.com/open?id=1vmIxcJKpDAWReeEQHuya1unG26sHci6J")</f>
        <v>https://drive.google.com/open?id=1vmIxcJKpDAWReeEQHuya1unG26sHci6J</v>
      </c>
      <c r="J905" s="59"/>
      <c r="K905" s="59"/>
      <c r="L905" s="59"/>
      <c r="M905" s="59"/>
      <c r="N905" s="59"/>
      <c r="O905" s="59"/>
      <c r="P905" s="59"/>
    </row>
    <row r="906" spans="1:16">
      <c r="A906" s="71">
        <f ca="1">IFERROR(__xludf.DUMMYFUNCTION("""COMPUTED_VALUE"""),44907.6131883449)</f>
        <v>44907.613188344898</v>
      </c>
      <c r="B906" s="59" t="str">
        <f ca="1">IFERROR(__xludf.DUMMYFUNCTION("""COMPUTED_VALUE"""),"Bhatvasiya Vivek Ashokbhai")</f>
        <v>Bhatvasiya Vivek Ashokbhai</v>
      </c>
      <c r="C906" s="72" t="str">
        <f ca="1">IFERROR(__xludf.DUMMYFUNCTION("""COMPUTED_VALUE"""),"20SDSME01003")</f>
        <v>20SDSME01003</v>
      </c>
      <c r="D906" s="73">
        <f ca="1">IFERROR(__xludf.DUMMYFUNCTION("""COMPUTED_VALUE"""),44905)</f>
        <v>44905</v>
      </c>
      <c r="E906" s="72"/>
      <c r="F906" s="72">
        <f ca="1">IFERROR(__xludf.DUMMYFUNCTION("""COMPUTED_VALUE"""),3750)</f>
        <v>3750</v>
      </c>
      <c r="G906" s="75"/>
      <c r="H906" s="59" t="str">
        <f ca="1">IFERROR(__xludf.DUMMYFUNCTION("""COMPUTED_VALUE"""),"UPDATE")</f>
        <v>UPDATE</v>
      </c>
      <c r="I906" s="76" t="str">
        <f ca="1">IFERROR(__xludf.DUMMYFUNCTION("""COMPUTED_VALUE"""),"https://drive.google.com/open?id=13-9nv09Kvf0jQ1TN-cKtI5ET-MeuOtfu")</f>
        <v>https://drive.google.com/open?id=13-9nv09Kvf0jQ1TN-cKtI5ET-MeuOtfu</v>
      </c>
      <c r="J906" s="59"/>
      <c r="K906" s="59"/>
      <c r="L906" s="59"/>
      <c r="M906" s="59"/>
      <c r="N906" s="59"/>
      <c r="O906" s="59"/>
      <c r="P906" s="59"/>
    </row>
    <row r="907" spans="1:16">
      <c r="A907" s="71">
        <f ca="1">IFERROR(__xludf.DUMMYFUNCTION("""COMPUTED_VALUE"""),44907.6125749537)</f>
        <v>44907.612574953702</v>
      </c>
      <c r="B907" s="59" t="str">
        <f ca="1">IFERROR(__xludf.DUMMYFUNCTION("""COMPUTED_VALUE"""),"Bhatvasiya Vivek Ashokbhai")</f>
        <v>Bhatvasiya Vivek Ashokbhai</v>
      </c>
      <c r="C907" s="72" t="str">
        <f ca="1">IFERROR(__xludf.DUMMYFUNCTION("""COMPUTED_VALUE"""),"20SDSME01003")</f>
        <v>20SDSME01003</v>
      </c>
      <c r="D907" s="73">
        <f ca="1">IFERROR(__xludf.DUMMYFUNCTION("""COMPUTED_VALUE"""),44905)</f>
        <v>44905</v>
      </c>
      <c r="E907" s="74">
        <f ca="1">IFERROR(__xludf.DUMMYFUNCTION("""COMPUTED_VALUE"""),12500)</f>
        <v>12500</v>
      </c>
      <c r="F907" s="72"/>
      <c r="G907" s="75"/>
      <c r="H907" s="59" t="str">
        <f ca="1">IFERROR(__xludf.DUMMYFUNCTION("""COMPUTED_VALUE"""),"UPDATE")</f>
        <v>UPDATE</v>
      </c>
      <c r="I907" s="76" t="str">
        <f ca="1">IFERROR(__xludf.DUMMYFUNCTION("""COMPUTED_VALUE"""),"https://drive.google.com/open?id=1Esy87tNyXshoh1qDG2pSP2Nic8t5r_20")</f>
        <v>https://drive.google.com/open?id=1Esy87tNyXshoh1qDG2pSP2Nic8t5r_20</v>
      </c>
      <c r="J907" s="59"/>
      <c r="K907" s="59"/>
      <c r="L907" s="59"/>
      <c r="M907" s="59"/>
      <c r="N907" s="59"/>
      <c r="O907" s="59"/>
      <c r="P907" s="59"/>
    </row>
    <row r="908" spans="1:16">
      <c r="A908" s="71">
        <f ca="1">IFERROR(__xludf.DUMMYFUNCTION("""COMPUTED_VALUE"""),44907.5970405555)</f>
        <v>44907.597040555498</v>
      </c>
      <c r="B908" s="59" t="str">
        <f ca="1">IFERROR(__xludf.DUMMYFUNCTION("""COMPUTED_VALUE"""),"Archit Asodariya")</f>
        <v>Archit Asodariya</v>
      </c>
      <c r="C908" s="72" t="str">
        <f ca="1">IFERROR(__xludf.DUMMYFUNCTION("""COMPUTED_VALUE"""),"20SDSME01002")</f>
        <v>20SDSME01002</v>
      </c>
      <c r="D908" s="73">
        <f ca="1">IFERROR(__xludf.DUMMYFUNCTION("""COMPUTED_VALUE"""),44907)</f>
        <v>44907</v>
      </c>
      <c r="E908" s="74">
        <f ca="1">IFERROR(__xludf.DUMMYFUNCTION("""COMPUTED_VALUE"""),12500)</f>
        <v>12500</v>
      </c>
      <c r="F908" s="72">
        <f ca="1">IFERROR(__xludf.DUMMYFUNCTION("""COMPUTED_VALUE"""),3750)</f>
        <v>3750</v>
      </c>
      <c r="G908" s="75"/>
      <c r="H908" s="59" t="str">
        <f ca="1">IFERROR(__xludf.DUMMYFUNCTION("""COMPUTED_VALUE"""),"UPDATE")</f>
        <v>UPDATE</v>
      </c>
      <c r="I908" s="76" t="str">
        <f ca="1">IFERROR(__xludf.DUMMYFUNCTION("""COMPUTED_VALUE"""),"https://drive.google.com/open?id=1e6pGr0XtrFm25zxW8FMfotP7io5aqCcG")</f>
        <v>https://drive.google.com/open?id=1e6pGr0XtrFm25zxW8FMfotP7io5aqCcG</v>
      </c>
      <c r="J908" s="59"/>
      <c r="K908" s="59"/>
      <c r="L908" s="59"/>
      <c r="M908" s="59"/>
      <c r="N908" s="59"/>
      <c r="O908" s="59"/>
      <c r="P908" s="59"/>
    </row>
    <row r="909" spans="1:16">
      <c r="A909" s="71">
        <f ca="1">IFERROR(__xludf.DUMMYFUNCTION("""COMPUTED_VALUE"""),44907.5833312847)</f>
        <v>44907.583331284703</v>
      </c>
      <c r="B909" s="59" t="str">
        <f ca="1">IFERROR(__xludf.DUMMYFUNCTION("""COMPUTED_VALUE"""),"Pokiya Vensi ")</f>
        <v xml:space="preserve">Pokiya Vensi </v>
      </c>
      <c r="C909" s="72" t="str">
        <f ca="1">IFERROR(__xludf.DUMMYFUNCTION("""COMPUTED_VALUE"""),"20SDSCE01090")</f>
        <v>20SDSCE01090</v>
      </c>
      <c r="D909" s="73">
        <f ca="1">IFERROR(__xludf.DUMMYFUNCTION("""COMPUTED_VALUE"""),44907)</f>
        <v>44907</v>
      </c>
      <c r="E909" s="74">
        <f ca="1">IFERROR(__xludf.DUMMYFUNCTION("""COMPUTED_VALUE"""),12500)</f>
        <v>12500</v>
      </c>
      <c r="F909" s="72">
        <f ca="1">IFERROR(__xludf.DUMMYFUNCTION("""COMPUTED_VALUE"""),3750)</f>
        <v>3750</v>
      </c>
      <c r="G909" s="75"/>
      <c r="H909" s="59" t="str">
        <f ca="1">IFERROR(__xludf.DUMMYFUNCTION("""COMPUTED_VALUE"""),"UPDATE")</f>
        <v>UPDATE</v>
      </c>
      <c r="I909" s="76" t="str">
        <f ca="1">IFERROR(__xludf.DUMMYFUNCTION("""COMPUTED_VALUE"""),"https://drive.google.com/open?id=1xIz8WLfX4SvHBDvVBPAjpx3qE7ruv61U")</f>
        <v>https://drive.google.com/open?id=1xIz8WLfX4SvHBDvVBPAjpx3qE7ruv61U</v>
      </c>
      <c r="J909" s="59"/>
      <c r="K909" s="59"/>
      <c r="L909" s="59"/>
      <c r="M909" s="59"/>
      <c r="N909" s="59"/>
      <c r="O909" s="59"/>
      <c r="P909" s="59"/>
    </row>
    <row r="910" spans="1:16">
      <c r="A910" s="71">
        <f ca="1">IFERROR(__xludf.DUMMYFUNCTION("""COMPUTED_VALUE"""),44907.5614958101)</f>
        <v>44907.5614958101</v>
      </c>
      <c r="B910" s="59" t="str">
        <f ca="1">IFERROR(__xludf.DUMMYFUNCTION("""COMPUTED_VALUE"""),"Mansi nakrani")</f>
        <v>Mansi nakrani</v>
      </c>
      <c r="C910" s="72" t="str">
        <f ca="1">IFERROR(__xludf.DUMMYFUNCTION("""COMPUTED_VALUE"""),"20sdsce01067")</f>
        <v>20sdsce01067</v>
      </c>
      <c r="D910" s="73">
        <f ca="1">IFERROR(__xludf.DUMMYFUNCTION("""COMPUTED_VALUE"""),44907)</f>
        <v>44907</v>
      </c>
      <c r="E910" s="74">
        <f ca="1">IFERROR(__xludf.DUMMYFUNCTION("""COMPUTED_VALUE"""),12500)</f>
        <v>12500</v>
      </c>
      <c r="F910" s="72">
        <f ca="1">IFERROR(__xludf.DUMMYFUNCTION("""COMPUTED_VALUE"""),3750)</f>
        <v>3750</v>
      </c>
      <c r="G910" s="75"/>
      <c r="H910" s="59" t="str">
        <f ca="1">IFERROR(__xludf.DUMMYFUNCTION("""COMPUTED_VALUE"""),"UPDATE")</f>
        <v>UPDATE</v>
      </c>
      <c r="I910" s="76" t="str">
        <f ca="1">IFERROR(__xludf.DUMMYFUNCTION("""COMPUTED_VALUE"""),"https://drive.google.com/open?id=104td4AKoITLk8ohkVo2_Trn0xbtShy7s")</f>
        <v>https://drive.google.com/open?id=104td4AKoITLk8ohkVo2_Trn0xbtShy7s</v>
      </c>
      <c r="J910" s="59"/>
      <c r="K910" s="59"/>
      <c r="L910" s="59"/>
      <c r="M910" s="59"/>
      <c r="N910" s="59"/>
      <c r="O910" s="59"/>
      <c r="P910" s="59"/>
    </row>
    <row r="911" spans="1:16">
      <c r="A911" s="71">
        <f ca="1">IFERROR(__xludf.DUMMYFUNCTION("""COMPUTED_VALUE"""),44907.5488681828)</f>
        <v>44907.548868182799</v>
      </c>
      <c r="B911" s="59" t="str">
        <f ca="1">IFERROR(__xludf.DUMMYFUNCTION("""COMPUTED_VALUE"""),"SUMIT VAGHAMSHI")</f>
        <v>SUMIT VAGHAMSHI</v>
      </c>
      <c r="C911" s="72" t="str">
        <f ca="1">IFERROR(__xludf.DUMMYFUNCTION("""COMPUTED_VALUE"""),"20SDSCE01127")</f>
        <v>20SDSCE01127</v>
      </c>
      <c r="D911" s="73">
        <f ca="1">IFERROR(__xludf.DUMMYFUNCTION("""COMPUTED_VALUE"""),44907)</f>
        <v>44907</v>
      </c>
      <c r="E911" s="72"/>
      <c r="F911" s="72">
        <f ca="1">IFERROR(__xludf.DUMMYFUNCTION("""COMPUTED_VALUE"""),3750)</f>
        <v>3750</v>
      </c>
      <c r="G911" s="75"/>
      <c r="H911" s="59" t="str">
        <f ca="1">IFERROR(__xludf.DUMMYFUNCTION("""COMPUTED_VALUE"""),"UPDATE")</f>
        <v>UPDATE</v>
      </c>
      <c r="I911" s="76" t="str">
        <f ca="1">IFERROR(__xludf.DUMMYFUNCTION("""COMPUTED_VALUE"""),"https://drive.google.com/open?id=1C2zCS76-Bm2zMFnf0ehy47Mj2JQwmKFi")</f>
        <v>https://drive.google.com/open?id=1C2zCS76-Bm2zMFnf0ehy47Mj2JQwmKFi</v>
      </c>
      <c r="J911" s="59"/>
      <c r="K911" s="59"/>
      <c r="L911" s="59"/>
      <c r="M911" s="59"/>
      <c r="N911" s="59"/>
      <c r="O911" s="59"/>
      <c r="P911" s="59"/>
    </row>
    <row r="912" spans="1:16">
      <c r="A912" s="71">
        <f ca="1">IFERROR(__xludf.DUMMYFUNCTION("""COMPUTED_VALUE"""),44907.4932688078)</f>
        <v>44907.493268807797</v>
      </c>
      <c r="B912" s="59" t="str">
        <f ca="1">IFERROR(__xludf.DUMMYFUNCTION("""COMPUTED_VALUE"""),"Rokad smit pravinbhai")</f>
        <v>Rokad smit pravinbhai</v>
      </c>
      <c r="C912" s="72" t="str">
        <f ca="1">IFERROR(__xludf.DUMMYFUNCTION("""COMPUTED_VALUE"""),"20sdsce01101")</f>
        <v>20sdsce01101</v>
      </c>
      <c r="D912" s="73">
        <f ca="1">IFERROR(__xludf.DUMMYFUNCTION("""COMPUTED_VALUE"""),44907)</f>
        <v>44907</v>
      </c>
      <c r="E912" s="74">
        <f ca="1">IFERROR(__xludf.DUMMYFUNCTION("""COMPUTED_VALUE"""),12500)</f>
        <v>12500</v>
      </c>
      <c r="F912" s="72">
        <f ca="1">IFERROR(__xludf.DUMMYFUNCTION("""COMPUTED_VALUE"""),3750)</f>
        <v>3750</v>
      </c>
      <c r="G912" s="75"/>
      <c r="H912" s="59" t="str">
        <f ca="1">IFERROR(__xludf.DUMMYFUNCTION("""COMPUTED_VALUE"""),"UPDATE")</f>
        <v>UPDATE</v>
      </c>
      <c r="I912" s="76" t="str">
        <f ca="1">IFERROR(__xludf.DUMMYFUNCTION("""COMPUTED_VALUE"""),"https://drive.google.com/open?id=1gNMMdokiJIEL-BIaOQpdolBBkTUoS4UW")</f>
        <v>https://drive.google.com/open?id=1gNMMdokiJIEL-BIaOQpdolBBkTUoS4UW</v>
      </c>
      <c r="J912" s="59"/>
      <c r="K912" s="59"/>
      <c r="L912" s="59"/>
      <c r="M912" s="59"/>
      <c r="N912" s="59"/>
      <c r="O912" s="59"/>
      <c r="P912" s="59"/>
    </row>
    <row r="913" spans="1:16">
      <c r="A913" s="71">
        <f ca="1">IFERROR(__xludf.DUMMYFUNCTION("""COMPUTED_VALUE"""),44907.455392662)</f>
        <v>44907.455392661999</v>
      </c>
      <c r="B913" s="59" t="str">
        <f ca="1">IFERROR(__xludf.DUMMYFUNCTION("""COMPUTED_VALUE"""),"Virani Jaydeep SureshBhai")</f>
        <v>Virani Jaydeep SureshBhai</v>
      </c>
      <c r="C913" s="72" t="str">
        <f ca="1">IFERROR(__xludf.DUMMYFUNCTION("""COMPUTED_VALUE"""),"20SDSCE01140")</f>
        <v>20SDSCE01140</v>
      </c>
      <c r="D913" s="73">
        <f ca="1">IFERROR(__xludf.DUMMYFUNCTION("""COMPUTED_VALUE"""),44907)</f>
        <v>44907</v>
      </c>
      <c r="E913" s="72"/>
      <c r="F913" s="72">
        <f ca="1">IFERROR(__xludf.DUMMYFUNCTION("""COMPUTED_VALUE"""),3750)</f>
        <v>3750</v>
      </c>
      <c r="G913" s="75"/>
      <c r="H913" s="59" t="str">
        <f ca="1">IFERROR(__xludf.DUMMYFUNCTION("""COMPUTED_VALUE"""),"UPDATE")</f>
        <v>UPDATE</v>
      </c>
      <c r="I913" s="76" t="str">
        <f ca="1">IFERROR(__xludf.DUMMYFUNCTION("""COMPUTED_VALUE"""),"https://drive.google.com/open?id=13WCIjVuhuE0TryB1LjK4wcIZWJgvhVxW")</f>
        <v>https://drive.google.com/open?id=13WCIjVuhuE0TryB1LjK4wcIZWJgvhVxW</v>
      </c>
      <c r="J913" s="59"/>
      <c r="K913" s="59"/>
      <c r="L913" s="59"/>
      <c r="M913" s="59"/>
      <c r="N913" s="59"/>
      <c r="O913" s="59"/>
      <c r="P913" s="59"/>
    </row>
    <row r="914" spans="1:16">
      <c r="A914" s="71">
        <f ca="1">IFERROR(__xludf.DUMMYFUNCTION("""COMPUTED_VALUE"""),44907.4537998726)</f>
        <v>44907.453799872601</v>
      </c>
      <c r="B914" s="59" t="str">
        <f ca="1">IFERROR(__xludf.DUMMYFUNCTION("""COMPUTED_VALUE"""),"Virani Jaydeep SureshBhai")</f>
        <v>Virani Jaydeep SureshBhai</v>
      </c>
      <c r="C914" s="72" t="str">
        <f ca="1">IFERROR(__xludf.DUMMYFUNCTION("""COMPUTED_VALUE"""),"20SDSCE01140")</f>
        <v>20SDSCE01140</v>
      </c>
      <c r="D914" s="73">
        <f ca="1">IFERROR(__xludf.DUMMYFUNCTION("""COMPUTED_VALUE"""),44907)</f>
        <v>44907</v>
      </c>
      <c r="E914" s="74">
        <f ca="1">IFERROR(__xludf.DUMMYFUNCTION("""COMPUTED_VALUE"""),12500)</f>
        <v>12500</v>
      </c>
      <c r="F914" s="72"/>
      <c r="G914" s="75"/>
      <c r="H914" s="59" t="str">
        <f ca="1">IFERROR(__xludf.DUMMYFUNCTION("""COMPUTED_VALUE"""),"UPDATE")</f>
        <v>UPDATE</v>
      </c>
      <c r="I914" s="76" t="str">
        <f ca="1">IFERROR(__xludf.DUMMYFUNCTION("""COMPUTED_VALUE"""),"https://drive.google.com/open?id=1cDS5A_QRPk_Q5hEt1GT3wso_GAddVP7v")</f>
        <v>https://drive.google.com/open?id=1cDS5A_QRPk_Q5hEt1GT3wso_GAddVP7v</v>
      </c>
      <c r="J914" s="59"/>
      <c r="K914" s="59"/>
      <c r="L914" s="59"/>
      <c r="M914" s="59"/>
      <c r="N914" s="59"/>
      <c r="O914" s="59"/>
      <c r="P914" s="59"/>
    </row>
    <row r="915" spans="1:16">
      <c r="A915" s="71">
        <f ca="1">IFERROR(__xludf.DUMMYFUNCTION("""COMPUTED_VALUE"""),44907.3914002893)</f>
        <v>44907.3914002893</v>
      </c>
      <c r="B915" s="59" t="str">
        <f ca="1">IFERROR(__xludf.DUMMYFUNCTION("""COMPUTED_VALUE"""),"Vora het HARESHBHAI ")</f>
        <v xml:space="preserve">Vora het HARESHBHAI </v>
      </c>
      <c r="C915" s="72" t="str">
        <f ca="1">IFERROR(__xludf.DUMMYFUNCTION("""COMPUTED_VALUE"""),"20SDSCE01141")</f>
        <v>20SDSCE01141</v>
      </c>
      <c r="D915" s="73">
        <f ca="1">IFERROR(__xludf.DUMMYFUNCTION("""COMPUTED_VALUE"""),44907)</f>
        <v>44907</v>
      </c>
      <c r="E915" s="72"/>
      <c r="F915" s="72">
        <f ca="1">IFERROR(__xludf.DUMMYFUNCTION("""COMPUTED_VALUE"""),3750)</f>
        <v>3750</v>
      </c>
      <c r="G915" s="75"/>
      <c r="H915" s="59" t="str">
        <f ca="1">IFERROR(__xludf.DUMMYFUNCTION("""COMPUTED_VALUE"""),"UPDATE")</f>
        <v>UPDATE</v>
      </c>
      <c r="I915" s="76" t="str">
        <f ca="1">IFERROR(__xludf.DUMMYFUNCTION("""COMPUTED_VALUE"""),"https://drive.google.com/open?id=1scvie1-lBTffwGENrfPxWEm_j6dfj-Qe")</f>
        <v>https://drive.google.com/open?id=1scvie1-lBTffwGENrfPxWEm_j6dfj-Qe</v>
      </c>
      <c r="J915" s="59"/>
      <c r="K915" s="59"/>
      <c r="L915" s="59"/>
      <c r="M915" s="59"/>
      <c r="N915" s="59"/>
      <c r="O915" s="59"/>
      <c r="P915" s="59"/>
    </row>
    <row r="916" spans="1:16">
      <c r="A916" s="71">
        <f ca="1">IFERROR(__xludf.DUMMYFUNCTION("""COMPUTED_VALUE"""),44907.3900242129)</f>
        <v>44907.390024212902</v>
      </c>
      <c r="B916" s="59" t="str">
        <f ca="1">IFERROR(__xludf.DUMMYFUNCTION("""COMPUTED_VALUE"""),"Vora het HARESHBHAI ")</f>
        <v xml:space="preserve">Vora het HARESHBHAI </v>
      </c>
      <c r="C916" s="72" t="str">
        <f ca="1">IFERROR(__xludf.DUMMYFUNCTION("""COMPUTED_VALUE"""),"20SDSCE01141")</f>
        <v>20SDSCE01141</v>
      </c>
      <c r="D916" s="73">
        <f ca="1">IFERROR(__xludf.DUMMYFUNCTION("""COMPUTED_VALUE"""),44907)</f>
        <v>44907</v>
      </c>
      <c r="E916" s="72"/>
      <c r="F916" s="72">
        <f ca="1">IFERROR(__xludf.DUMMYFUNCTION("""COMPUTED_VALUE"""),3750)</f>
        <v>3750</v>
      </c>
      <c r="G916" s="75"/>
      <c r="H916" s="59" t="str">
        <f ca="1">IFERROR(__xludf.DUMMYFUNCTION("""COMPUTED_VALUE"""),"UPDATE")</f>
        <v>UPDATE</v>
      </c>
      <c r="I916" s="76" t="str">
        <f ca="1">IFERROR(__xludf.DUMMYFUNCTION("""COMPUTED_VALUE"""),"https://drive.google.com/open?id=1PEFM4i7ZK-QmmXCinSauBTT8GwkUzRrT")</f>
        <v>https://drive.google.com/open?id=1PEFM4i7ZK-QmmXCinSauBTT8GwkUzRrT</v>
      </c>
      <c r="J916" s="59"/>
      <c r="K916" s="59"/>
      <c r="L916" s="59"/>
      <c r="M916" s="59"/>
      <c r="N916" s="59"/>
      <c r="O916" s="59"/>
      <c r="P916" s="59"/>
    </row>
    <row r="917" spans="1:16">
      <c r="A917" s="71">
        <f ca="1">IFERROR(__xludf.DUMMYFUNCTION("""COMPUTED_VALUE"""),44907.3888012847)</f>
        <v>44907.388801284702</v>
      </c>
      <c r="B917" s="59" t="str">
        <f ca="1">IFERROR(__xludf.DUMMYFUNCTION("""COMPUTED_VALUE"""),"Vora het HARESHBHAI ")</f>
        <v xml:space="preserve">Vora het HARESHBHAI </v>
      </c>
      <c r="C917" s="72" t="str">
        <f ca="1">IFERROR(__xludf.DUMMYFUNCTION("""COMPUTED_VALUE"""),"20SDSCE01141")</f>
        <v>20SDSCE01141</v>
      </c>
      <c r="D917" s="73">
        <f ca="1">IFERROR(__xludf.DUMMYFUNCTION("""COMPUTED_VALUE"""),44907)</f>
        <v>44907</v>
      </c>
      <c r="E917" s="74">
        <f ca="1">IFERROR(__xludf.DUMMYFUNCTION("""COMPUTED_VALUE"""),12500)</f>
        <v>12500</v>
      </c>
      <c r="F917" s="72"/>
      <c r="G917" s="75"/>
      <c r="H917" s="59" t="str">
        <f ca="1">IFERROR(__xludf.DUMMYFUNCTION("""COMPUTED_VALUE"""),"UPDATE")</f>
        <v>UPDATE</v>
      </c>
      <c r="I917" s="76" t="str">
        <f ca="1">IFERROR(__xludf.DUMMYFUNCTION("""COMPUTED_VALUE"""),"https://drive.google.com/open?id=1WExbVtwmqET1w2R_X8SAGYlyPZtHeLCN")</f>
        <v>https://drive.google.com/open?id=1WExbVtwmqET1w2R_X8SAGYlyPZtHeLCN</v>
      </c>
      <c r="J917" s="59"/>
      <c r="K917" s="59"/>
      <c r="L917" s="59"/>
      <c r="M917" s="59"/>
      <c r="N917" s="59"/>
      <c r="O917" s="59"/>
      <c r="P917" s="59"/>
    </row>
    <row r="918" spans="1:16">
      <c r="A918" s="71">
        <f ca="1">IFERROR(__xludf.DUMMYFUNCTION("""COMPUTED_VALUE"""),44907.0128030671)</f>
        <v>44907.012803067097</v>
      </c>
      <c r="B918" s="59" t="str">
        <f ca="1">IFERROR(__xludf.DUMMYFUNCTION("""COMPUTED_VALUE"""),"Vadariya Ishva Nileshbhai")</f>
        <v>Vadariya Ishva Nileshbhai</v>
      </c>
      <c r="C918" s="72" t="str">
        <f ca="1">IFERROR(__xludf.DUMMYFUNCTION("""COMPUTED_VALUE"""),"20SDSCE01124")</f>
        <v>20SDSCE01124</v>
      </c>
      <c r="D918" s="73">
        <f ca="1">IFERROR(__xludf.DUMMYFUNCTION("""COMPUTED_VALUE"""),44906)</f>
        <v>44906</v>
      </c>
      <c r="E918" s="72"/>
      <c r="F918" s="72">
        <f ca="1">IFERROR(__xludf.DUMMYFUNCTION("""COMPUTED_VALUE"""),3750)</f>
        <v>3750</v>
      </c>
      <c r="G918" s="75"/>
      <c r="H918" s="59" t="str">
        <f ca="1">IFERROR(__xludf.DUMMYFUNCTION("""COMPUTED_VALUE"""),"UPDATE")</f>
        <v>UPDATE</v>
      </c>
      <c r="I918" s="76" t="str">
        <f ca="1">IFERROR(__xludf.DUMMYFUNCTION("""COMPUTED_VALUE"""),"https://drive.google.com/open?id=1rMqJ46EuvGT3dJ9Tcbqy3tbJMYe0_Awz")</f>
        <v>https://drive.google.com/open?id=1rMqJ46EuvGT3dJ9Tcbqy3tbJMYe0_Awz</v>
      </c>
      <c r="J918" s="59"/>
      <c r="K918" s="59"/>
      <c r="L918" s="59"/>
      <c r="M918" s="59"/>
      <c r="N918" s="59"/>
      <c r="O918" s="59"/>
      <c r="P918" s="59"/>
    </row>
    <row r="919" spans="1:16">
      <c r="A919" s="71">
        <f ca="1">IFERROR(__xludf.DUMMYFUNCTION("""COMPUTED_VALUE"""),44906.9896135995)</f>
        <v>44906.9896135995</v>
      </c>
      <c r="B919" s="59" t="str">
        <f ca="1">IFERROR(__xludf.DUMMYFUNCTION("""COMPUTED_VALUE"""),"Bhargav Patadiya ")</f>
        <v xml:space="preserve">Bhargav Patadiya </v>
      </c>
      <c r="C919" s="72" t="str">
        <f ca="1">IFERROR(__xludf.DUMMYFUNCTION("""COMPUTED_VALUE"""),"20SDSCE01084")</f>
        <v>20SDSCE01084</v>
      </c>
      <c r="D919" s="73">
        <f ca="1">IFERROR(__xludf.DUMMYFUNCTION("""COMPUTED_VALUE"""),44905)</f>
        <v>44905</v>
      </c>
      <c r="E919" s="72"/>
      <c r="F919" s="72">
        <f ca="1">IFERROR(__xludf.DUMMYFUNCTION("""COMPUTED_VALUE"""),3750)</f>
        <v>3750</v>
      </c>
      <c r="G919" s="75"/>
      <c r="H919" s="59" t="str">
        <f ca="1">IFERROR(__xludf.DUMMYFUNCTION("""COMPUTED_VALUE"""),"UPDATE")</f>
        <v>UPDATE</v>
      </c>
      <c r="I919" s="76" t="str">
        <f ca="1">IFERROR(__xludf.DUMMYFUNCTION("""COMPUTED_VALUE"""),"https://drive.google.com/open?id=1yC-8QM8DHu1yC0L76Q-G9jG89m_e0w6i")</f>
        <v>https://drive.google.com/open?id=1yC-8QM8DHu1yC0L76Q-G9jG89m_e0w6i</v>
      </c>
      <c r="J919" s="59"/>
      <c r="K919" s="59"/>
      <c r="L919" s="59"/>
      <c r="M919" s="59"/>
      <c r="N919" s="59"/>
      <c r="O919" s="59"/>
      <c r="P919" s="59"/>
    </row>
    <row r="920" spans="1:16">
      <c r="A920" s="71">
        <f ca="1">IFERROR(__xludf.DUMMYFUNCTION("""COMPUTED_VALUE"""),44906.9888314004)</f>
        <v>44906.988831400398</v>
      </c>
      <c r="B920" s="59" t="str">
        <f ca="1">IFERROR(__xludf.DUMMYFUNCTION("""COMPUTED_VALUE"""),"Bhargav Patadiya ")</f>
        <v xml:space="preserve">Bhargav Patadiya </v>
      </c>
      <c r="C920" s="72" t="str">
        <f ca="1">IFERROR(__xludf.DUMMYFUNCTION("""COMPUTED_VALUE"""),"20SDSCE01084")</f>
        <v>20SDSCE01084</v>
      </c>
      <c r="D920" s="73">
        <f ca="1">IFERROR(__xludf.DUMMYFUNCTION("""COMPUTED_VALUE"""),44905)</f>
        <v>44905</v>
      </c>
      <c r="E920" s="74">
        <f ca="1">IFERROR(__xludf.DUMMYFUNCTION("""COMPUTED_VALUE"""),18750)</f>
        <v>18750</v>
      </c>
      <c r="F920" s="72"/>
      <c r="G920" s="75"/>
      <c r="H920" s="59" t="str">
        <f ca="1">IFERROR(__xludf.DUMMYFUNCTION("""COMPUTED_VALUE"""),"UPDATE")</f>
        <v>UPDATE</v>
      </c>
      <c r="I920" s="76" t="str">
        <f ca="1">IFERROR(__xludf.DUMMYFUNCTION("""COMPUTED_VALUE"""),"https://drive.google.com/open?id=1l4bOX5bU2LskGZ2bNKgpJTtUoJ_htpuE")</f>
        <v>https://drive.google.com/open?id=1l4bOX5bU2LskGZ2bNKgpJTtUoJ_htpuE</v>
      </c>
      <c r="J920" s="59"/>
      <c r="K920" s="59"/>
      <c r="L920" s="59"/>
      <c r="M920" s="59"/>
      <c r="N920" s="59"/>
      <c r="O920" s="59"/>
      <c r="P920" s="59"/>
    </row>
    <row r="921" spans="1:16">
      <c r="A921" s="71">
        <f ca="1">IFERROR(__xludf.DUMMYFUNCTION("""COMPUTED_VALUE"""),44906.9701681712)</f>
        <v>44906.970168171203</v>
      </c>
      <c r="B921" s="59" t="str">
        <f ca="1">IFERROR(__xludf.DUMMYFUNCTION("""COMPUTED_VALUE"""),"Vaghela devdipsinh")</f>
        <v>Vaghela devdipsinh</v>
      </c>
      <c r="C921" s="72" t="str">
        <f ca="1">IFERROR(__xludf.DUMMYFUNCTION("""COMPUTED_VALUE"""),"20sdsce01128")</f>
        <v>20sdsce01128</v>
      </c>
      <c r="D921" s="73">
        <f ca="1">IFERROR(__xludf.DUMMYFUNCTION("""COMPUTED_VALUE"""),44906)</f>
        <v>44906</v>
      </c>
      <c r="E921" s="72"/>
      <c r="F921" s="72">
        <f ca="1">IFERROR(__xludf.DUMMYFUNCTION("""COMPUTED_VALUE"""),3750)</f>
        <v>3750</v>
      </c>
      <c r="G921" s="75"/>
      <c r="H921" s="59" t="str">
        <f ca="1">IFERROR(__xludf.DUMMYFUNCTION("""COMPUTED_VALUE"""),"UPDATE")</f>
        <v>UPDATE</v>
      </c>
      <c r="I921" s="76" t="str">
        <f ca="1">IFERROR(__xludf.DUMMYFUNCTION("""COMPUTED_VALUE"""),"https://drive.google.com/open?id=1i5PAe8Tw2MNwYAOlZY1L0nVLdxmHm3Aq")</f>
        <v>https://drive.google.com/open?id=1i5PAe8Tw2MNwYAOlZY1L0nVLdxmHm3Aq</v>
      </c>
      <c r="J921" s="59"/>
      <c r="K921" s="59"/>
      <c r="L921" s="59"/>
      <c r="M921" s="59"/>
      <c r="N921" s="59"/>
      <c r="O921" s="59"/>
      <c r="P921" s="59"/>
    </row>
    <row r="922" spans="1:16">
      <c r="A922" s="71">
        <f ca="1">IFERROR(__xludf.DUMMYFUNCTION("""COMPUTED_VALUE"""),44906.9296676157)</f>
        <v>44906.929667615703</v>
      </c>
      <c r="B922" s="59" t="str">
        <f ca="1">IFERROR(__xludf.DUMMYFUNCTION("""COMPUTED_VALUE"""),"Dharmik Gadhiya")</f>
        <v>Dharmik Gadhiya</v>
      </c>
      <c r="C922" s="72" t="str">
        <f ca="1">IFERROR(__xludf.DUMMYFUNCTION("""COMPUTED_VALUE"""),"20SDSCE01033")</f>
        <v>20SDSCE01033</v>
      </c>
      <c r="D922" s="73">
        <f ca="1">IFERROR(__xludf.DUMMYFUNCTION("""COMPUTED_VALUE"""),44906)</f>
        <v>44906</v>
      </c>
      <c r="E922" s="72"/>
      <c r="F922" s="72">
        <f ca="1">IFERROR(__xludf.DUMMYFUNCTION("""COMPUTED_VALUE"""),3750)</f>
        <v>3750</v>
      </c>
      <c r="G922" s="75"/>
      <c r="H922" s="59" t="str">
        <f ca="1">IFERROR(__xludf.DUMMYFUNCTION("""COMPUTED_VALUE"""),"UPDATE")</f>
        <v>UPDATE</v>
      </c>
      <c r="I922" s="76" t="str">
        <f ca="1">IFERROR(__xludf.DUMMYFUNCTION("""COMPUTED_VALUE"""),"https://drive.google.com/open?id=1IZ8GmjrPxJ7spUlJeL5yS_y4eIiq94ah")</f>
        <v>https://drive.google.com/open?id=1IZ8GmjrPxJ7spUlJeL5yS_y4eIiq94ah</v>
      </c>
      <c r="J922" s="59"/>
      <c r="K922" s="59"/>
      <c r="L922" s="59"/>
      <c r="M922" s="59"/>
      <c r="N922" s="59"/>
      <c r="O922" s="59"/>
      <c r="P922" s="59"/>
    </row>
    <row r="923" spans="1:16">
      <c r="A923" s="71">
        <f ca="1">IFERROR(__xludf.DUMMYFUNCTION("""COMPUTED_VALUE"""),44906.9259056828)</f>
        <v>44906.925905682801</v>
      </c>
      <c r="B923" s="59" t="str">
        <f ca="1">IFERROR(__xludf.DUMMYFUNCTION("""COMPUTED_VALUE"""),"Dharmik gadhiya")</f>
        <v>Dharmik gadhiya</v>
      </c>
      <c r="C923" s="72" t="str">
        <f ca="1">IFERROR(__xludf.DUMMYFUNCTION("""COMPUTED_VALUE"""),"20SDSCE01033")</f>
        <v>20SDSCE01033</v>
      </c>
      <c r="D923" s="73">
        <f ca="1">IFERROR(__xludf.DUMMYFUNCTION("""COMPUTED_VALUE"""),44906)</f>
        <v>44906</v>
      </c>
      <c r="E923" s="74">
        <f ca="1">IFERROR(__xludf.DUMMYFUNCTION("""COMPUTED_VALUE"""),12500)</f>
        <v>12500</v>
      </c>
      <c r="F923" s="72"/>
      <c r="G923" s="75"/>
      <c r="H923" s="59" t="str">
        <f ca="1">IFERROR(__xludf.DUMMYFUNCTION("""COMPUTED_VALUE"""),"UPDATE")</f>
        <v>UPDATE</v>
      </c>
      <c r="I923" s="76" t="str">
        <f ca="1">IFERROR(__xludf.DUMMYFUNCTION("""COMPUTED_VALUE"""),"https://drive.google.com/open?id=16MAajNtUbMHF05rI2Y1UOdC4U72Nf-in")</f>
        <v>https://drive.google.com/open?id=16MAajNtUbMHF05rI2Y1UOdC4U72Nf-in</v>
      </c>
      <c r="J923" s="59"/>
      <c r="K923" s="59"/>
      <c r="L923" s="59"/>
      <c r="M923" s="59"/>
      <c r="N923" s="59"/>
      <c r="O923" s="59"/>
      <c r="P923" s="59"/>
    </row>
    <row r="924" spans="1:16">
      <c r="A924" s="71">
        <f ca="1">IFERROR(__xludf.DUMMYFUNCTION("""COMPUTED_VALUE"""),44906.9241575231)</f>
        <v>44906.924157523099</v>
      </c>
      <c r="B924" s="59" t="str">
        <f ca="1">IFERROR(__xludf.DUMMYFUNCTION("""COMPUTED_VALUE"""),"Urvisha Gajera ")</f>
        <v xml:space="preserve">Urvisha Gajera </v>
      </c>
      <c r="C924" s="72" t="str">
        <f ca="1">IFERROR(__xludf.DUMMYFUNCTION("""COMPUTED_VALUE"""),"20SDSCE01034 ")</f>
        <v xml:space="preserve">20SDSCE01034 </v>
      </c>
      <c r="D924" s="73">
        <f ca="1">IFERROR(__xludf.DUMMYFUNCTION("""COMPUTED_VALUE"""),44906)</f>
        <v>44906</v>
      </c>
      <c r="E924" s="72"/>
      <c r="F924" s="72">
        <f ca="1">IFERROR(__xludf.DUMMYFUNCTION("""COMPUTED_VALUE"""),3750)</f>
        <v>3750</v>
      </c>
      <c r="G924" s="75"/>
      <c r="H924" s="59" t="str">
        <f ca="1">IFERROR(__xludf.DUMMYFUNCTION("""COMPUTED_VALUE"""),"UPDATE")</f>
        <v>UPDATE</v>
      </c>
      <c r="I924" s="76" t="str">
        <f ca="1">IFERROR(__xludf.DUMMYFUNCTION("""COMPUTED_VALUE"""),"https://drive.google.com/open?id=1MHBbBfRyJNYizMPBuwWfphW4J81R66oe")</f>
        <v>https://drive.google.com/open?id=1MHBbBfRyJNYizMPBuwWfphW4J81R66oe</v>
      </c>
      <c r="J924" s="59"/>
      <c r="K924" s="59"/>
      <c r="L924" s="59"/>
      <c r="M924" s="59"/>
      <c r="N924" s="59"/>
      <c r="O924" s="59"/>
      <c r="P924" s="59"/>
    </row>
    <row r="925" spans="1:16">
      <c r="A925" s="71">
        <f ca="1">IFERROR(__xludf.DUMMYFUNCTION("""COMPUTED_VALUE"""),44906.9024863657)</f>
        <v>44906.902486365703</v>
      </c>
      <c r="B925" s="59" t="str">
        <f ca="1">IFERROR(__xludf.DUMMYFUNCTION("""COMPUTED_VALUE"""),"Riya Dedaniya ")</f>
        <v xml:space="preserve">Riya Dedaniya </v>
      </c>
      <c r="C925" s="72" t="str">
        <f ca="1">IFERROR(__xludf.DUMMYFUNCTION("""COMPUTED_VALUE"""),"20SDSCE01025")</f>
        <v>20SDSCE01025</v>
      </c>
      <c r="D925" s="73">
        <f ca="1">IFERROR(__xludf.DUMMYFUNCTION("""COMPUTED_VALUE"""),44906)</f>
        <v>44906</v>
      </c>
      <c r="E925" s="72"/>
      <c r="F925" s="72">
        <f ca="1">IFERROR(__xludf.DUMMYFUNCTION("""COMPUTED_VALUE"""),3750)</f>
        <v>3750</v>
      </c>
      <c r="G925" s="75"/>
      <c r="H925" s="59" t="str">
        <f ca="1">IFERROR(__xludf.DUMMYFUNCTION("""COMPUTED_VALUE"""),"UPDATE")</f>
        <v>UPDATE</v>
      </c>
      <c r="I925" s="76" t="str">
        <f ca="1">IFERROR(__xludf.DUMMYFUNCTION("""COMPUTED_VALUE"""),"https://drive.google.com/open?id=1db9pbQLajSSZb_Zkfl9tQpjOdNaV-ua7")</f>
        <v>https://drive.google.com/open?id=1db9pbQLajSSZb_Zkfl9tQpjOdNaV-ua7</v>
      </c>
      <c r="J925" s="59"/>
      <c r="K925" s="59"/>
      <c r="L925" s="59"/>
      <c r="M925" s="59"/>
      <c r="N925" s="59"/>
      <c r="O925" s="59"/>
      <c r="P925" s="59"/>
    </row>
    <row r="926" spans="1:16">
      <c r="A926" s="71">
        <f ca="1">IFERROR(__xludf.DUMMYFUNCTION("""COMPUTED_VALUE"""),44906.7868488657)</f>
        <v>44906.786848865697</v>
      </c>
      <c r="B926" s="59" t="str">
        <f ca="1">IFERROR(__xludf.DUMMYFUNCTION("""COMPUTED_VALUE"""),"Samarth Kalpeshbhai Dadhaniya")</f>
        <v>Samarth Kalpeshbhai Dadhaniya</v>
      </c>
      <c r="C926" s="72" t="str">
        <f ca="1">IFERROR(__xludf.DUMMYFUNCTION("""COMPUTED_VALUE"""),"20SDSCE01023")</f>
        <v>20SDSCE01023</v>
      </c>
      <c r="D926" s="73">
        <f ca="1">IFERROR(__xludf.DUMMYFUNCTION("""COMPUTED_VALUE"""),44906)</f>
        <v>44906</v>
      </c>
      <c r="E926" s="72"/>
      <c r="F926" s="72">
        <f ca="1">IFERROR(__xludf.DUMMYFUNCTION("""COMPUTED_VALUE"""),3750)</f>
        <v>3750</v>
      </c>
      <c r="G926" s="75"/>
      <c r="H926" s="59" t="str">
        <f ca="1">IFERROR(__xludf.DUMMYFUNCTION("""COMPUTED_VALUE"""),"UPDATE")</f>
        <v>UPDATE</v>
      </c>
      <c r="I926" s="76" t="str">
        <f ca="1">IFERROR(__xludf.DUMMYFUNCTION("""COMPUTED_VALUE"""),"https://drive.google.com/open?id=1q9VFgsSWwQDdjg8eMwx26a6Fq1eDjsQI")</f>
        <v>https://drive.google.com/open?id=1q9VFgsSWwQDdjg8eMwx26a6Fq1eDjsQI</v>
      </c>
      <c r="J926" s="59"/>
      <c r="K926" s="59"/>
      <c r="L926" s="59"/>
      <c r="M926" s="59"/>
      <c r="N926" s="59"/>
      <c r="O926" s="59"/>
      <c r="P926" s="59"/>
    </row>
    <row r="927" spans="1:16">
      <c r="A927" s="71">
        <f ca="1">IFERROR(__xludf.DUMMYFUNCTION("""COMPUTED_VALUE"""),44906.6248880555)</f>
        <v>44906.624888055499</v>
      </c>
      <c r="B927" s="59" t="str">
        <f ca="1">IFERROR(__xludf.DUMMYFUNCTION("""COMPUTED_VALUE"""),"PRINCE PRAKASHBHAI MAHESHWARI ")</f>
        <v xml:space="preserve">PRINCE PRAKASHBHAI MAHESHWARI </v>
      </c>
      <c r="C927" s="72" t="str">
        <f ca="1">IFERROR(__xludf.DUMMYFUNCTION("""COMPUTED_VALUE"""),"20SDSME01023")</f>
        <v>20SDSME01023</v>
      </c>
      <c r="D927" s="73">
        <f ca="1">IFERROR(__xludf.DUMMYFUNCTION("""COMPUTED_VALUE"""),44906)</f>
        <v>44906</v>
      </c>
      <c r="E927" s="74">
        <f ca="1">IFERROR(__xludf.DUMMYFUNCTION("""COMPUTED_VALUE"""),12500)</f>
        <v>12500</v>
      </c>
      <c r="F927" s="72">
        <f ca="1">IFERROR(__xludf.DUMMYFUNCTION("""COMPUTED_VALUE"""),3750)</f>
        <v>3750</v>
      </c>
      <c r="G927" s="75"/>
      <c r="H927" s="59" t="str">
        <f ca="1">IFERROR(__xludf.DUMMYFUNCTION("""COMPUTED_VALUE"""),"UPDATE")</f>
        <v>UPDATE</v>
      </c>
      <c r="I927" s="76" t="str">
        <f ca="1">IFERROR(__xludf.DUMMYFUNCTION("""COMPUTED_VALUE"""),"https://drive.google.com/open?id=1WGo9rH_Xdjmeszg6WpQWWqVZeIc4NRfP")</f>
        <v>https://drive.google.com/open?id=1WGo9rH_Xdjmeszg6WpQWWqVZeIc4NRfP</v>
      </c>
      <c r="J927" s="59"/>
      <c r="K927" s="59"/>
      <c r="L927" s="59"/>
      <c r="M927" s="59"/>
      <c r="N927" s="59"/>
      <c r="O927" s="59"/>
      <c r="P927" s="59"/>
    </row>
    <row r="928" spans="1:16">
      <c r="A928" s="71">
        <f ca="1">IFERROR(__xludf.DUMMYFUNCTION("""COMPUTED_VALUE"""),44906.4869555902)</f>
        <v>44906.486955590197</v>
      </c>
      <c r="B928" s="59" t="str">
        <f ca="1">IFERROR(__xludf.DUMMYFUNCTION("""COMPUTED_VALUE"""),"ANIRUDDH SHARMA")</f>
        <v>ANIRUDDH SHARMA</v>
      </c>
      <c r="C928" s="72" t="str">
        <f ca="1">IFERROR(__xludf.DUMMYFUNCTION("""COMPUTED_VALUE"""),"20SDSEE01025")</f>
        <v>20SDSEE01025</v>
      </c>
      <c r="D928" s="73">
        <f ca="1">IFERROR(__xludf.DUMMYFUNCTION("""COMPUTED_VALUE"""),44906)</f>
        <v>44906</v>
      </c>
      <c r="E928" s="74">
        <f ca="1">IFERROR(__xludf.DUMMYFUNCTION("""COMPUTED_VALUE"""),12500)</f>
        <v>12500</v>
      </c>
      <c r="F928" s="72">
        <f ca="1">IFERROR(__xludf.DUMMYFUNCTION("""COMPUTED_VALUE"""),3750)</f>
        <v>3750</v>
      </c>
      <c r="G928" s="75"/>
      <c r="H928" s="59" t="str">
        <f ca="1">IFERROR(__xludf.DUMMYFUNCTION("""COMPUTED_VALUE"""),"UPDATE")</f>
        <v>UPDATE</v>
      </c>
      <c r="I928" s="76" t="str">
        <f ca="1">IFERROR(__xludf.DUMMYFUNCTION("""COMPUTED_VALUE"""),"https://drive.google.com/open?id=1BOBkis9CjZmBJyDNOZetWhEisk1YBkKd")</f>
        <v>https://drive.google.com/open?id=1BOBkis9CjZmBJyDNOZetWhEisk1YBkKd</v>
      </c>
      <c r="J928" s="59"/>
      <c r="K928" s="59"/>
      <c r="L928" s="59"/>
      <c r="M928" s="59"/>
      <c r="N928" s="59"/>
      <c r="O928" s="59"/>
      <c r="P928" s="59"/>
    </row>
    <row r="929" spans="1:16">
      <c r="A929" s="71">
        <f ca="1">IFERROR(__xludf.DUMMYFUNCTION("""COMPUTED_VALUE"""),44906.4676334027)</f>
        <v>44906.467633402703</v>
      </c>
      <c r="B929" s="59" t="str">
        <f ca="1">IFERROR(__xludf.DUMMYFUNCTION("""COMPUTED_VALUE"""),"JAGANI NAYAN SURESHBHAI ")</f>
        <v xml:space="preserve">JAGANI NAYAN SURESHBHAI </v>
      </c>
      <c r="C929" s="72" t="str">
        <f ca="1">IFERROR(__xludf.DUMMYFUNCTION("""COMPUTED_VALUE"""),"20SDSEE01011")</f>
        <v>20SDSEE01011</v>
      </c>
      <c r="D929" s="73">
        <f ca="1">IFERROR(__xludf.DUMMYFUNCTION("""COMPUTED_VALUE"""),44906)</f>
        <v>44906</v>
      </c>
      <c r="E929" s="72"/>
      <c r="F929" s="72">
        <f ca="1">IFERROR(__xludf.DUMMYFUNCTION("""COMPUTED_VALUE"""),3750)</f>
        <v>3750</v>
      </c>
      <c r="G929" s="75"/>
      <c r="H929" s="59" t="str">
        <f ca="1">IFERROR(__xludf.DUMMYFUNCTION("""COMPUTED_VALUE"""),"UPDATE")</f>
        <v>UPDATE</v>
      </c>
      <c r="I929" s="76" t="str">
        <f ca="1">IFERROR(__xludf.DUMMYFUNCTION("""COMPUTED_VALUE"""),"https://drive.google.com/open?id=1EIWiNTbNMLNZpoxCWAHPljJXInd9VCc8")</f>
        <v>https://drive.google.com/open?id=1EIWiNTbNMLNZpoxCWAHPljJXInd9VCc8</v>
      </c>
      <c r="J929" s="59"/>
      <c r="K929" s="59"/>
      <c r="L929" s="59"/>
      <c r="M929" s="59"/>
      <c r="N929" s="59"/>
      <c r="O929" s="59"/>
      <c r="P929" s="59"/>
    </row>
    <row r="930" spans="1:16">
      <c r="A930" s="71">
        <f ca="1">IFERROR(__xludf.DUMMYFUNCTION("""COMPUTED_VALUE"""),44906.4617382523)</f>
        <v>44906.461738252299</v>
      </c>
      <c r="B930" s="59" t="str">
        <f ca="1">IFERROR(__xludf.DUMMYFUNCTION("""COMPUTED_VALUE"""),"Patoliya shruti shyambhai ")</f>
        <v xml:space="preserve">Patoliya shruti shyambhai </v>
      </c>
      <c r="C930" s="72" t="str">
        <f ca="1">IFERROR(__xludf.DUMMYFUNCTION("""COMPUTED_VALUE"""),"20SDSCE01089")</f>
        <v>20SDSCE01089</v>
      </c>
      <c r="D930" s="73">
        <f ca="1">IFERROR(__xludf.DUMMYFUNCTION("""COMPUTED_VALUE"""),44905)</f>
        <v>44905</v>
      </c>
      <c r="E930" s="72"/>
      <c r="F930" s="72">
        <f ca="1">IFERROR(__xludf.DUMMYFUNCTION("""COMPUTED_VALUE"""),3750)</f>
        <v>3750</v>
      </c>
      <c r="G930" s="75"/>
      <c r="H930" s="59" t="str">
        <f ca="1">IFERROR(__xludf.DUMMYFUNCTION("""COMPUTED_VALUE"""),"UPDATE")</f>
        <v>UPDATE</v>
      </c>
      <c r="I930" s="76" t="str">
        <f ca="1">IFERROR(__xludf.DUMMYFUNCTION("""COMPUTED_VALUE"""),"https://drive.google.com/open?id=1-LA0VixUliClGt-TfuZoDDyjFyoV12rV")</f>
        <v>https://drive.google.com/open?id=1-LA0VixUliClGt-TfuZoDDyjFyoV12rV</v>
      </c>
      <c r="J930" s="59"/>
      <c r="K930" s="59"/>
      <c r="L930" s="59"/>
      <c r="M930" s="59"/>
      <c r="N930" s="59"/>
      <c r="O930" s="59"/>
      <c r="P930" s="59"/>
    </row>
    <row r="931" spans="1:16">
      <c r="A931" s="71">
        <f ca="1">IFERROR(__xludf.DUMMYFUNCTION("""COMPUTED_VALUE"""),44906.4603913425)</f>
        <v>44906.460391342502</v>
      </c>
      <c r="B931" s="59" t="str">
        <f ca="1">IFERROR(__xludf.DUMMYFUNCTION("""COMPUTED_VALUE"""),"Patoliya shruti shyambhai ")</f>
        <v xml:space="preserve">Patoliya shruti shyambhai </v>
      </c>
      <c r="C931" s="72" t="str">
        <f ca="1">IFERROR(__xludf.DUMMYFUNCTION("""COMPUTED_VALUE"""),"20SDSCE01089")</f>
        <v>20SDSCE01089</v>
      </c>
      <c r="D931" s="73">
        <f ca="1">IFERROR(__xludf.DUMMYFUNCTION("""COMPUTED_VALUE"""),44846)</f>
        <v>44846</v>
      </c>
      <c r="E931" s="72"/>
      <c r="F931" s="72">
        <f ca="1">IFERROR(__xludf.DUMMYFUNCTION("""COMPUTED_VALUE"""),3750)</f>
        <v>3750</v>
      </c>
      <c r="G931" s="75"/>
      <c r="H931" s="59" t="str">
        <f ca="1">IFERROR(__xludf.DUMMYFUNCTION("""COMPUTED_VALUE"""),"UPDATE")</f>
        <v>UPDATE</v>
      </c>
      <c r="I931" s="76" t="str">
        <f ca="1">IFERROR(__xludf.DUMMYFUNCTION("""COMPUTED_VALUE"""),"https://drive.google.com/open?id=13yr0bjr2Y3mwjOsc6FdB6W0vWJIit6EB")</f>
        <v>https://drive.google.com/open?id=13yr0bjr2Y3mwjOsc6FdB6W0vWJIit6EB</v>
      </c>
      <c r="J931" s="59"/>
      <c r="K931" s="59"/>
      <c r="L931" s="59"/>
      <c r="M931" s="59"/>
      <c r="N931" s="59"/>
      <c r="O931" s="59"/>
      <c r="P931" s="59"/>
    </row>
    <row r="932" spans="1:16">
      <c r="A932" s="71">
        <f ca="1">IFERROR(__xludf.DUMMYFUNCTION("""COMPUTED_VALUE"""),44905.6249176157)</f>
        <v>44905.6249176157</v>
      </c>
      <c r="B932" s="59" t="str">
        <f ca="1">IFERROR(__xludf.DUMMYFUNCTION("""COMPUTED_VALUE"""),"Bhatvasiya Vivek Ashokbhai")</f>
        <v>Bhatvasiya Vivek Ashokbhai</v>
      </c>
      <c r="C932" s="72" t="str">
        <f ca="1">IFERROR(__xludf.DUMMYFUNCTION("""COMPUTED_VALUE"""),"20SDSME01003")</f>
        <v>20SDSME01003</v>
      </c>
      <c r="D932" s="73">
        <f ca="1">IFERROR(__xludf.DUMMYFUNCTION("""COMPUTED_VALUE"""),44905)</f>
        <v>44905</v>
      </c>
      <c r="E932" s="74">
        <f ca="1">IFERROR(__xludf.DUMMYFUNCTION("""COMPUTED_VALUE"""),12500)</f>
        <v>12500</v>
      </c>
      <c r="F932" s="72">
        <f ca="1">IFERROR(__xludf.DUMMYFUNCTION("""COMPUTED_VALUE"""),3750)</f>
        <v>3750</v>
      </c>
      <c r="G932" s="75"/>
      <c r="H932" s="59" t="str">
        <f ca="1">IFERROR(__xludf.DUMMYFUNCTION("""COMPUTED_VALUE"""),"UPDATE")</f>
        <v>UPDATE</v>
      </c>
      <c r="I932" s="76" t="str">
        <f ca="1">IFERROR(__xludf.DUMMYFUNCTION("""COMPUTED_VALUE"""),"https://drive.google.com/open?id=1vf-XGF4SNpGhRIC-pCdO4I06fFXDuOUd")</f>
        <v>https://drive.google.com/open?id=1vf-XGF4SNpGhRIC-pCdO4I06fFXDuOUd</v>
      </c>
      <c r="J932" s="59"/>
      <c r="K932" s="59"/>
      <c r="L932" s="59"/>
      <c r="M932" s="59"/>
      <c r="N932" s="59"/>
      <c r="O932" s="59"/>
      <c r="P932" s="59"/>
    </row>
    <row r="933" spans="1:16">
      <c r="A933" s="71">
        <f ca="1">IFERROR(__xludf.DUMMYFUNCTION("""COMPUTED_VALUE"""),44905.6242080555)</f>
        <v>44905.624208055502</v>
      </c>
      <c r="B933" s="59" t="str">
        <f ca="1">IFERROR(__xludf.DUMMYFUNCTION("""COMPUTED_VALUE"""),"Bhatvasiya Vivek Ashokbhai")</f>
        <v>Bhatvasiya Vivek Ashokbhai</v>
      </c>
      <c r="C933" s="72" t="str">
        <f ca="1">IFERROR(__xludf.DUMMYFUNCTION("""COMPUTED_VALUE"""),"20SDSME01003")</f>
        <v>20SDSME01003</v>
      </c>
      <c r="D933" s="73">
        <f ca="1">IFERROR(__xludf.DUMMYFUNCTION("""COMPUTED_VALUE"""),44905)</f>
        <v>44905</v>
      </c>
      <c r="E933" s="74">
        <f ca="1">IFERROR(__xludf.DUMMYFUNCTION("""COMPUTED_VALUE"""),12500)</f>
        <v>12500</v>
      </c>
      <c r="F933" s="72">
        <f ca="1">IFERROR(__xludf.DUMMYFUNCTION("""COMPUTED_VALUE"""),3750)</f>
        <v>3750</v>
      </c>
      <c r="G933" s="75"/>
      <c r="H933" s="59" t="str">
        <f ca="1">IFERROR(__xludf.DUMMYFUNCTION("""COMPUTED_VALUE"""),"UPDATE")</f>
        <v>UPDATE</v>
      </c>
      <c r="I933" s="76" t="str">
        <f ca="1">IFERROR(__xludf.DUMMYFUNCTION("""COMPUTED_VALUE"""),"https://drive.google.com/open?id=1XS0S6fHmdKxmCXfOoZVAS4nTV60IPpoU")</f>
        <v>https://drive.google.com/open?id=1XS0S6fHmdKxmCXfOoZVAS4nTV60IPpoU</v>
      </c>
      <c r="J933" s="59"/>
      <c r="K933" s="59"/>
      <c r="L933" s="59"/>
      <c r="M933" s="59"/>
      <c r="N933" s="59"/>
      <c r="O933" s="59"/>
      <c r="P933" s="59"/>
    </row>
    <row r="934" spans="1:16">
      <c r="A934" s="71">
        <f ca="1">IFERROR(__xludf.DUMMYFUNCTION("""COMPUTED_VALUE"""),44905.4633179513)</f>
        <v>44905.463317951297</v>
      </c>
      <c r="B934" s="59" t="str">
        <f ca="1">IFERROR(__xludf.DUMMYFUNCTION("""COMPUTED_VALUE"""),"Vyas Dev ")</f>
        <v xml:space="preserve">Vyas Dev </v>
      </c>
      <c r="C934" s="72" t="str">
        <f ca="1">IFERROR(__xludf.DUMMYFUNCTION("""COMPUTED_VALUE"""),"20sdsce01142")</f>
        <v>20sdsce01142</v>
      </c>
      <c r="D934" s="73">
        <f ca="1">IFERROR(__xludf.DUMMYFUNCTION("""COMPUTED_VALUE"""),44905)</f>
        <v>44905</v>
      </c>
      <c r="E934" s="74">
        <f ca="1">IFERROR(__xludf.DUMMYFUNCTION("""COMPUTED_VALUE"""),25000)</f>
        <v>25000</v>
      </c>
      <c r="F934" s="72">
        <f ca="1">IFERROR(__xludf.DUMMYFUNCTION("""COMPUTED_VALUE"""),3750)</f>
        <v>3750</v>
      </c>
      <c r="G934" s="75"/>
      <c r="H934" s="59" t="str">
        <f ca="1">IFERROR(__xludf.DUMMYFUNCTION("""COMPUTED_VALUE"""),"UPDATE")</f>
        <v>UPDATE</v>
      </c>
      <c r="I934" s="76" t="str">
        <f ca="1">IFERROR(__xludf.DUMMYFUNCTION("""COMPUTED_VALUE"""),"https://drive.google.com/open?id=1cJqk2KXD2okb4rvf0MUeDya7Q9zRDdJ8")</f>
        <v>https://drive.google.com/open?id=1cJqk2KXD2okb4rvf0MUeDya7Q9zRDdJ8</v>
      </c>
      <c r="J934" s="59"/>
      <c r="K934" s="59"/>
      <c r="L934" s="59"/>
      <c r="M934" s="59"/>
      <c r="N934" s="59"/>
      <c r="O934" s="59"/>
      <c r="P934" s="59"/>
    </row>
    <row r="935" spans="1:16">
      <c r="A935" s="71">
        <f ca="1">IFERROR(__xludf.DUMMYFUNCTION("""COMPUTED_VALUE"""),44905.4625783564)</f>
        <v>44905.462578356397</v>
      </c>
      <c r="B935" s="59" t="str">
        <f ca="1">IFERROR(__xludf.DUMMYFUNCTION("""COMPUTED_VALUE"""),"Vyas Dev ")</f>
        <v xml:space="preserve">Vyas Dev </v>
      </c>
      <c r="C935" s="72" t="str">
        <f ca="1">IFERROR(__xludf.DUMMYFUNCTION("""COMPUTED_VALUE"""),"20sdsce01142")</f>
        <v>20sdsce01142</v>
      </c>
      <c r="D935" s="73">
        <f ca="1">IFERROR(__xludf.DUMMYFUNCTION("""COMPUTED_VALUE"""),44905)</f>
        <v>44905</v>
      </c>
      <c r="E935" s="74">
        <f ca="1">IFERROR(__xludf.DUMMYFUNCTION("""COMPUTED_VALUE"""),25000)</f>
        <v>25000</v>
      </c>
      <c r="F935" s="72">
        <f ca="1">IFERROR(__xludf.DUMMYFUNCTION("""COMPUTED_VALUE"""),3750)</f>
        <v>3750</v>
      </c>
      <c r="G935" s="75"/>
      <c r="H935" s="59" t="str">
        <f ca="1">IFERROR(__xludf.DUMMYFUNCTION("""COMPUTED_VALUE"""),"UPDATE")</f>
        <v>UPDATE</v>
      </c>
      <c r="I935" s="76" t="str">
        <f ca="1">IFERROR(__xludf.DUMMYFUNCTION("""COMPUTED_VALUE"""),"https://drive.google.com/open?id=1r9DsJMe0qrcTPfylB658ElEJ27SyF99s")</f>
        <v>https://drive.google.com/open?id=1r9DsJMe0qrcTPfylB658ElEJ27SyF99s</v>
      </c>
      <c r="J935" s="59"/>
      <c r="K935" s="59"/>
      <c r="L935" s="59"/>
      <c r="M935" s="59"/>
      <c r="N935" s="59"/>
      <c r="O935" s="59"/>
      <c r="P935" s="59"/>
    </row>
    <row r="936" spans="1:16">
      <c r="A936" s="71">
        <f ca="1">IFERROR(__xludf.DUMMYFUNCTION("""COMPUTED_VALUE"""),44905.38448728)</f>
        <v>44905.384487279996</v>
      </c>
      <c r="B936" s="59" t="str">
        <f ca="1">IFERROR(__xludf.DUMMYFUNCTION("""COMPUTED_VALUE"""),"Ajani karan pareshbhai")</f>
        <v>Ajani karan pareshbhai</v>
      </c>
      <c r="C936" s="72" t="str">
        <f ca="1">IFERROR(__xludf.DUMMYFUNCTION("""COMPUTED_VALUE"""),"20sdsee01001")</f>
        <v>20sdsee01001</v>
      </c>
      <c r="D936" s="73">
        <f ca="1">IFERROR(__xludf.DUMMYFUNCTION("""COMPUTED_VALUE"""),44905)</f>
        <v>44905</v>
      </c>
      <c r="E936" s="72"/>
      <c r="F936" s="72">
        <f ca="1">IFERROR(__xludf.DUMMYFUNCTION("""COMPUTED_VALUE"""),3750)</f>
        <v>3750</v>
      </c>
      <c r="G936" s="75"/>
      <c r="H936" s="59" t="str">
        <f ca="1">IFERROR(__xludf.DUMMYFUNCTION("""COMPUTED_VALUE"""),"UPDATE")</f>
        <v>UPDATE</v>
      </c>
      <c r="I936" s="76" t="str">
        <f ca="1">IFERROR(__xludf.DUMMYFUNCTION("""COMPUTED_VALUE"""),"https://drive.google.com/open?id=16DkBvRL2elGDKM5iw5tQzj2LSsdOvzkK")</f>
        <v>https://drive.google.com/open?id=16DkBvRL2elGDKM5iw5tQzj2LSsdOvzkK</v>
      </c>
      <c r="J936" s="59"/>
      <c r="K936" s="59"/>
      <c r="L936" s="59"/>
      <c r="M936" s="59"/>
      <c r="N936" s="59"/>
      <c r="O936" s="59"/>
      <c r="P936" s="59"/>
    </row>
    <row r="937" spans="1:16">
      <c r="A937" s="71">
        <f ca="1">IFERROR(__xludf.DUMMYFUNCTION("""COMPUTED_VALUE"""),44905.3833710532)</f>
        <v>44905.383371053198</v>
      </c>
      <c r="B937" s="59" t="str">
        <f ca="1">IFERROR(__xludf.DUMMYFUNCTION("""COMPUTED_VALUE"""),"Ajani karan pareshbhai")</f>
        <v>Ajani karan pareshbhai</v>
      </c>
      <c r="C937" s="72" t="str">
        <f ca="1">IFERROR(__xludf.DUMMYFUNCTION("""COMPUTED_VALUE"""),"20sdsee01001")</f>
        <v>20sdsee01001</v>
      </c>
      <c r="D937" s="73">
        <f ca="1">IFERROR(__xludf.DUMMYFUNCTION("""COMPUTED_VALUE"""),44905)</f>
        <v>44905</v>
      </c>
      <c r="E937" s="74">
        <f ca="1">IFERROR(__xludf.DUMMYFUNCTION("""COMPUTED_VALUE"""),12500)</f>
        <v>12500</v>
      </c>
      <c r="F937" s="72"/>
      <c r="G937" s="75"/>
      <c r="H937" s="59" t="str">
        <f ca="1">IFERROR(__xludf.DUMMYFUNCTION("""COMPUTED_VALUE"""),"UPDATE")</f>
        <v>UPDATE</v>
      </c>
      <c r="I937" s="76" t="str">
        <f ca="1">IFERROR(__xludf.DUMMYFUNCTION("""COMPUTED_VALUE"""),"https://drive.google.com/open?id=1CP6PxHdyF6ZQqLUBALbU6uvLbWDVg0Xf")</f>
        <v>https://drive.google.com/open?id=1CP6PxHdyF6ZQqLUBALbU6uvLbWDVg0Xf</v>
      </c>
      <c r="J937" s="59"/>
      <c r="K937" s="59"/>
      <c r="L937" s="59"/>
      <c r="M937" s="59"/>
      <c r="N937" s="59"/>
      <c r="O937" s="59"/>
      <c r="P937" s="59"/>
    </row>
    <row r="938" spans="1:16">
      <c r="A938" s="71">
        <f ca="1">IFERROR(__xludf.DUMMYFUNCTION("""COMPUTED_VALUE"""),44904.8820472338)</f>
        <v>44904.882047233797</v>
      </c>
      <c r="B938" s="59" t="str">
        <f ca="1">IFERROR(__xludf.DUMMYFUNCTION("""COMPUTED_VALUE"""),"Asodariya keyur hareshbhai")</f>
        <v>Asodariya keyur hareshbhai</v>
      </c>
      <c r="C938" s="72" t="str">
        <f ca="1">IFERROR(__xludf.DUMMYFUNCTION("""COMPUTED_VALUE"""),"20SDSEE01003")</f>
        <v>20SDSEE01003</v>
      </c>
      <c r="D938" s="73">
        <f ca="1">IFERROR(__xludf.DUMMYFUNCTION("""COMPUTED_VALUE"""),44816)</f>
        <v>44816</v>
      </c>
      <c r="E938" s="72"/>
      <c r="F938" s="72">
        <f ca="1">IFERROR(__xludf.DUMMYFUNCTION("""COMPUTED_VALUE"""),3750)</f>
        <v>3750</v>
      </c>
      <c r="G938" s="75"/>
      <c r="H938" s="59" t="str">
        <f ca="1">IFERROR(__xludf.DUMMYFUNCTION("""COMPUTED_VALUE"""),"UPDATE")</f>
        <v>UPDATE</v>
      </c>
      <c r="I938" s="76" t="str">
        <f ca="1">IFERROR(__xludf.DUMMYFUNCTION("""COMPUTED_VALUE"""),"https://drive.google.com/open?id=19yhhZbtev1QMGNMXrFgCHM-Jj27HLxdd")</f>
        <v>https://drive.google.com/open?id=19yhhZbtev1QMGNMXrFgCHM-Jj27HLxdd</v>
      </c>
      <c r="J938" s="59"/>
      <c r="K938" s="59"/>
      <c r="L938" s="59"/>
      <c r="M938" s="59"/>
      <c r="N938" s="59"/>
      <c r="O938" s="59"/>
      <c r="P938" s="59"/>
    </row>
    <row r="939" spans="1:16">
      <c r="A939" s="71">
        <f ca="1">IFERROR(__xludf.DUMMYFUNCTION("""COMPUTED_VALUE"""),44904.8183529745)</f>
        <v>44904.8183529745</v>
      </c>
      <c r="B939" s="59" t="str">
        <f ca="1">IFERROR(__xludf.DUMMYFUNCTION("""COMPUTED_VALUE"""),"Ladani Dhruvil mansukhbhai ")</f>
        <v xml:space="preserve">Ladani Dhruvil mansukhbhai </v>
      </c>
      <c r="C939" s="72" t="str">
        <f ca="1">IFERROR(__xludf.DUMMYFUNCTION("""COMPUTED_VALUE"""),"20SDSME01022")</f>
        <v>20SDSME01022</v>
      </c>
      <c r="D939" s="73">
        <f ca="1">IFERROR(__xludf.DUMMYFUNCTION("""COMPUTED_VALUE"""),44904)</f>
        <v>44904</v>
      </c>
      <c r="E939" s="72"/>
      <c r="F939" s="72">
        <f ca="1">IFERROR(__xludf.DUMMYFUNCTION("""COMPUTED_VALUE"""),3750)</f>
        <v>3750</v>
      </c>
      <c r="G939" s="75"/>
      <c r="H939" s="59" t="str">
        <f ca="1">IFERROR(__xludf.DUMMYFUNCTION("""COMPUTED_VALUE"""),"UPDATE")</f>
        <v>UPDATE</v>
      </c>
      <c r="I939" s="76" t="str">
        <f ca="1">IFERROR(__xludf.DUMMYFUNCTION("""COMPUTED_VALUE"""),"https://drive.google.com/open?id=1HCT-SVc4oFH9UIBG3NUhaF9rnQC1sxH_")</f>
        <v>https://drive.google.com/open?id=1HCT-SVc4oFH9UIBG3NUhaF9rnQC1sxH_</v>
      </c>
      <c r="J939" s="59"/>
      <c r="K939" s="59"/>
      <c r="L939" s="59"/>
      <c r="M939" s="59"/>
      <c r="N939" s="59"/>
      <c r="O939" s="59"/>
      <c r="P939" s="59"/>
    </row>
    <row r="940" spans="1:16">
      <c r="A940" s="71">
        <f ca="1">IFERROR(__xludf.DUMMYFUNCTION("""COMPUTED_VALUE"""),44904.8169557523)</f>
        <v>44904.8169557523</v>
      </c>
      <c r="B940" s="59" t="str">
        <f ca="1">IFERROR(__xludf.DUMMYFUNCTION("""COMPUTED_VALUE"""),"Ladani Dhruvil mansukhbhai")</f>
        <v>Ladani Dhruvil mansukhbhai</v>
      </c>
      <c r="C940" s="72" t="str">
        <f ca="1">IFERROR(__xludf.DUMMYFUNCTION("""COMPUTED_VALUE"""),"20SDSME01022")</f>
        <v>20SDSME01022</v>
      </c>
      <c r="D940" s="73">
        <f ca="1">IFERROR(__xludf.DUMMYFUNCTION("""COMPUTED_VALUE"""),44904)</f>
        <v>44904</v>
      </c>
      <c r="E940" s="74">
        <f ca="1">IFERROR(__xludf.DUMMYFUNCTION("""COMPUTED_VALUE"""),23500)</f>
        <v>23500</v>
      </c>
      <c r="F940" s="72"/>
      <c r="G940" s="75"/>
      <c r="H940" s="59" t="str">
        <f ca="1">IFERROR(__xludf.DUMMYFUNCTION("""COMPUTED_VALUE"""),"UPDATE")</f>
        <v>UPDATE</v>
      </c>
      <c r="I940" s="76" t="str">
        <f ca="1">IFERROR(__xludf.DUMMYFUNCTION("""COMPUTED_VALUE"""),"https://drive.google.com/open?id=1QuX6v0GT63QxhOFkbDiQa2aaU4eiKwHs")</f>
        <v>https://drive.google.com/open?id=1QuX6v0GT63QxhOFkbDiQa2aaU4eiKwHs</v>
      </c>
      <c r="J940" s="59"/>
      <c r="K940" s="59"/>
      <c r="L940" s="59"/>
      <c r="M940" s="59"/>
      <c r="N940" s="59"/>
      <c r="O940" s="59"/>
      <c r="P940" s="59"/>
    </row>
    <row r="941" spans="1:16">
      <c r="A941" s="71">
        <f ca="1">IFERROR(__xludf.DUMMYFUNCTION("""COMPUTED_VALUE"""),44904.6254590624)</f>
        <v>44904.625459062401</v>
      </c>
      <c r="B941" s="59" t="str">
        <f ca="1">IFERROR(__xludf.DUMMYFUNCTION("""COMPUTED_VALUE"""),"Raj Ramani")</f>
        <v>Raj Ramani</v>
      </c>
      <c r="C941" s="72" t="str">
        <f ca="1">IFERROR(__xludf.DUMMYFUNCTION("""COMPUTED_VALUE"""),"20sdsce01093 ")</f>
        <v xml:space="preserve">20sdsce01093 </v>
      </c>
      <c r="D941" s="73">
        <f ca="1">IFERROR(__xludf.DUMMYFUNCTION("""COMPUTED_VALUE"""),44904)</f>
        <v>44904</v>
      </c>
      <c r="E941" s="72"/>
      <c r="F941" s="72">
        <f ca="1">IFERROR(__xludf.DUMMYFUNCTION("""COMPUTED_VALUE"""),3750)</f>
        <v>3750</v>
      </c>
      <c r="G941" s="75"/>
      <c r="H941" s="59" t="str">
        <f ca="1">IFERROR(__xludf.DUMMYFUNCTION("""COMPUTED_VALUE"""),"UPDATE")</f>
        <v>UPDATE</v>
      </c>
      <c r="I941" s="76" t="str">
        <f ca="1">IFERROR(__xludf.DUMMYFUNCTION("""COMPUTED_VALUE"""),"https://drive.google.com/open?id=1oXULTC5hlMFXyS3_mjKv10tS4_JSDxgq")</f>
        <v>https://drive.google.com/open?id=1oXULTC5hlMFXyS3_mjKv10tS4_JSDxgq</v>
      </c>
      <c r="J941" s="59"/>
      <c r="K941" s="59"/>
      <c r="L941" s="59"/>
      <c r="M941" s="59"/>
      <c r="N941" s="59"/>
      <c r="O941" s="59"/>
      <c r="P941" s="59"/>
    </row>
    <row r="942" spans="1:16">
      <c r="A942" s="71">
        <f ca="1">IFERROR(__xludf.DUMMYFUNCTION("""COMPUTED_VALUE"""),44904.3309448148)</f>
        <v>44904.330944814799</v>
      </c>
      <c r="B942" s="59" t="str">
        <f ca="1">IFERROR(__xludf.DUMMYFUNCTION("""COMPUTED_VALUE"""),"Priyank Arvindbhai Harkhani")</f>
        <v>Priyank Arvindbhai Harkhani</v>
      </c>
      <c r="C942" s="72" t="str">
        <f ca="1">IFERROR(__xludf.DUMMYFUNCTION("""COMPUTED_VALUE"""),"20SDSME01016")</f>
        <v>20SDSME01016</v>
      </c>
      <c r="D942" s="73">
        <f ca="1">IFERROR(__xludf.DUMMYFUNCTION("""COMPUTED_VALUE"""),44903)</f>
        <v>44903</v>
      </c>
      <c r="E942" s="72"/>
      <c r="F942" s="72">
        <f ca="1">IFERROR(__xludf.DUMMYFUNCTION("""COMPUTED_VALUE"""),3750)</f>
        <v>3750</v>
      </c>
      <c r="G942" s="75"/>
      <c r="H942" s="59" t="str">
        <f ca="1">IFERROR(__xludf.DUMMYFUNCTION("""COMPUTED_VALUE"""),"UPDATE")</f>
        <v>UPDATE</v>
      </c>
      <c r="I942" s="76" t="str">
        <f ca="1">IFERROR(__xludf.DUMMYFUNCTION("""COMPUTED_VALUE"""),"https://drive.google.com/open?id=1bWhU1wha5bc2-24nO8ygMfHPbbBBiqvi")</f>
        <v>https://drive.google.com/open?id=1bWhU1wha5bc2-24nO8ygMfHPbbBBiqvi</v>
      </c>
      <c r="J942" s="59"/>
      <c r="K942" s="59"/>
      <c r="L942" s="59"/>
      <c r="M942" s="59"/>
      <c r="N942" s="59"/>
      <c r="O942" s="59"/>
      <c r="P942" s="59"/>
    </row>
    <row r="943" spans="1:16">
      <c r="A943" s="71">
        <f ca="1">IFERROR(__xludf.DUMMYFUNCTION("""COMPUTED_VALUE"""),44903.7455983564)</f>
        <v>44903.7455983564</v>
      </c>
      <c r="B943" s="59" t="str">
        <f ca="1">IFERROR(__xludf.DUMMYFUNCTION("""COMPUTED_VALUE"""),"Savaliya Bhavya")</f>
        <v>Savaliya Bhavya</v>
      </c>
      <c r="C943" s="72" t="str">
        <f ca="1">IFERROR(__xludf.DUMMYFUNCTION("""COMPUTED_VALUE"""),"20SDSCE01109")</f>
        <v>20SDSCE01109</v>
      </c>
      <c r="D943" s="73">
        <f ca="1">IFERROR(__xludf.DUMMYFUNCTION("""COMPUTED_VALUE"""),44901)</f>
        <v>44901</v>
      </c>
      <c r="E943" s="74">
        <f ca="1">IFERROR(__xludf.DUMMYFUNCTION("""COMPUTED_VALUE"""),12500)</f>
        <v>12500</v>
      </c>
      <c r="F943" s="72">
        <f ca="1">IFERROR(__xludf.DUMMYFUNCTION("""COMPUTED_VALUE"""),3750)</f>
        <v>3750</v>
      </c>
      <c r="G943" s="75"/>
      <c r="H943" s="59" t="str">
        <f ca="1">IFERROR(__xludf.DUMMYFUNCTION("""COMPUTED_VALUE"""),"UPDATE")</f>
        <v>UPDATE</v>
      </c>
      <c r="I943" s="76" t="str">
        <f ca="1">IFERROR(__xludf.DUMMYFUNCTION("""COMPUTED_VALUE"""),"https://drive.google.com/open?id=1tlnuSynZQL7ko0M1m6Xro2jmXrKLczVI")</f>
        <v>https://drive.google.com/open?id=1tlnuSynZQL7ko0M1m6Xro2jmXrKLczVI</v>
      </c>
      <c r="J943" s="59"/>
      <c r="K943" s="59"/>
      <c r="L943" s="59"/>
      <c r="M943" s="59"/>
      <c r="N943" s="59"/>
      <c r="O943" s="59"/>
      <c r="P943" s="59"/>
    </row>
    <row r="944" spans="1:16">
      <c r="A944" s="71">
        <f ca="1">IFERROR(__xludf.DUMMYFUNCTION("""COMPUTED_VALUE"""),44903.4821044444)</f>
        <v>44903.482104444403</v>
      </c>
      <c r="B944" s="59" t="str">
        <f ca="1">IFERROR(__xludf.DUMMYFUNCTION("""COMPUTED_VALUE"""),"Sidapara yashvi Sanjay Bhai ")</f>
        <v xml:space="preserve">Sidapara yashvi Sanjay Bhai </v>
      </c>
      <c r="C944" s="72" t="str">
        <f ca="1">IFERROR(__xludf.DUMMYFUNCTION("""COMPUTED_VALUE"""),"21SDSCE01149")</f>
        <v>21SDSCE01149</v>
      </c>
      <c r="D944" s="73">
        <f ca="1">IFERROR(__xludf.DUMMYFUNCTION("""COMPUTED_VALUE"""),44902)</f>
        <v>44902</v>
      </c>
      <c r="E944" s="74">
        <f ca="1">IFERROR(__xludf.DUMMYFUNCTION("""COMPUTED_VALUE"""),25000)</f>
        <v>25000</v>
      </c>
      <c r="F944" s="72">
        <f ca="1">IFERROR(__xludf.DUMMYFUNCTION("""COMPUTED_VALUE"""),0)</f>
        <v>0</v>
      </c>
      <c r="G944" s="75"/>
      <c r="H944" s="59" t="str">
        <f ca="1">IFERROR(__xludf.DUMMYFUNCTION("""COMPUTED_VALUE"""),"UPDATE")</f>
        <v>UPDATE</v>
      </c>
      <c r="I944" s="76" t="str">
        <f ca="1">IFERROR(__xludf.DUMMYFUNCTION("""COMPUTED_VALUE"""),"https://drive.google.com/open?id=1mn8i467qr1NpESYWDKEvfdXUUXZ4iqxT")</f>
        <v>https://drive.google.com/open?id=1mn8i467qr1NpESYWDKEvfdXUUXZ4iqxT</v>
      </c>
      <c r="J944" s="59"/>
      <c r="K944" s="59"/>
      <c r="L944" s="59"/>
      <c r="M944" s="59"/>
      <c r="N944" s="59"/>
      <c r="O944" s="59"/>
      <c r="P944" s="59"/>
    </row>
    <row r="945" spans="1:16">
      <c r="A945" s="71">
        <f ca="1">IFERROR(__xludf.DUMMYFUNCTION("""COMPUTED_VALUE"""),44903.405208993)</f>
        <v>44903.405208992997</v>
      </c>
      <c r="B945" s="59" t="str">
        <f ca="1">IFERROR(__xludf.DUMMYFUNCTION("""COMPUTED_VALUE"""),"CHAVDA KARANSINH HEMRAJSINH")</f>
        <v>CHAVDA KARANSINH HEMRAJSINH</v>
      </c>
      <c r="C945" s="72" t="str">
        <f ca="1">IFERROR(__xludf.DUMMYFUNCTION("""COMPUTED_VALUE"""),"20SDSCE01016")</f>
        <v>20SDSCE01016</v>
      </c>
      <c r="D945" s="73">
        <f ca="1">IFERROR(__xludf.DUMMYFUNCTION("""COMPUTED_VALUE"""),44900)</f>
        <v>44900</v>
      </c>
      <c r="E945" s="74">
        <f ca="1">IFERROR(__xludf.DUMMYFUNCTION("""COMPUTED_VALUE"""),25000)</f>
        <v>25000</v>
      </c>
      <c r="F945" s="72">
        <f ca="1">IFERROR(__xludf.DUMMYFUNCTION("""COMPUTED_VALUE"""),3750)</f>
        <v>3750</v>
      </c>
      <c r="G945" s="75"/>
      <c r="H945" s="59" t="str">
        <f ca="1">IFERROR(__xludf.DUMMYFUNCTION("""COMPUTED_VALUE"""),"UPDATE")</f>
        <v>UPDATE</v>
      </c>
      <c r="I945" s="76" t="str">
        <f ca="1">IFERROR(__xludf.DUMMYFUNCTION("""COMPUTED_VALUE"""),"https://drive.google.com/open?id=16ioYYXA0xD189KoZ1ex2dW3Mym8Zu-jj")</f>
        <v>https://drive.google.com/open?id=16ioYYXA0xD189KoZ1ex2dW3Mym8Zu-jj</v>
      </c>
      <c r="J945" s="59"/>
      <c r="K945" s="59"/>
      <c r="L945" s="59"/>
      <c r="M945" s="59"/>
      <c r="N945" s="59"/>
      <c r="O945" s="59"/>
      <c r="P945" s="59"/>
    </row>
    <row r="946" spans="1:16">
      <c r="A946" s="71">
        <f ca="1">IFERROR(__xludf.DUMMYFUNCTION("""COMPUTED_VALUE"""),44902.6627062384)</f>
        <v>44902.6627062384</v>
      </c>
      <c r="B946" s="59" t="str">
        <f ca="1">IFERROR(__xludf.DUMMYFUNCTION("""COMPUTED_VALUE"""),"Tanna kishan dilipbhai ")</f>
        <v xml:space="preserve">Tanna kishan dilipbhai </v>
      </c>
      <c r="C946" s="72" t="str">
        <f ca="1">IFERROR(__xludf.DUMMYFUNCTION("""COMPUTED_VALUE"""),"20SDSME01037")</f>
        <v>20SDSME01037</v>
      </c>
      <c r="D946" s="73">
        <f ca="1">IFERROR(__xludf.DUMMYFUNCTION("""COMPUTED_VALUE"""),44902)</f>
        <v>44902</v>
      </c>
      <c r="E946" s="72"/>
      <c r="F946" s="72">
        <f ca="1">IFERROR(__xludf.DUMMYFUNCTION("""COMPUTED_VALUE"""),3750)</f>
        <v>3750</v>
      </c>
      <c r="G946" s="75"/>
      <c r="H946" s="59" t="str">
        <f ca="1">IFERROR(__xludf.DUMMYFUNCTION("""COMPUTED_VALUE"""),"UPDATE")</f>
        <v>UPDATE</v>
      </c>
      <c r="I946" s="76" t="str">
        <f ca="1">IFERROR(__xludf.DUMMYFUNCTION("""COMPUTED_VALUE"""),"https://drive.google.com/open?id=123z3vUl0TONY_684D3TRMAPAbODIdjpe")</f>
        <v>https://drive.google.com/open?id=123z3vUl0TONY_684D3TRMAPAbODIdjpe</v>
      </c>
      <c r="J946" s="59"/>
      <c r="K946" s="59"/>
      <c r="L946" s="59"/>
      <c r="M946" s="59"/>
      <c r="N946" s="59"/>
      <c r="O946" s="59"/>
      <c r="P946" s="59"/>
    </row>
    <row r="947" spans="1:16">
      <c r="A947" s="71">
        <f ca="1">IFERROR(__xludf.DUMMYFUNCTION("""COMPUTED_VALUE"""),44901.6317312152)</f>
        <v>44901.631731215202</v>
      </c>
      <c r="B947" s="59" t="str">
        <f ca="1">IFERROR(__xludf.DUMMYFUNCTION("""COMPUTED_VALUE"""),"Aashvi Atulbhai Kansagara ")</f>
        <v xml:space="preserve">Aashvi Atulbhai Kansagara </v>
      </c>
      <c r="C947" s="72" t="str">
        <f ca="1">IFERROR(__xludf.DUMMYFUNCTION("""COMPUTED_VALUE"""),"20SDSCE01050")</f>
        <v>20SDSCE01050</v>
      </c>
      <c r="D947" s="73">
        <f ca="1">IFERROR(__xludf.DUMMYFUNCTION("""COMPUTED_VALUE"""),44901)</f>
        <v>44901</v>
      </c>
      <c r="E947" s="72"/>
      <c r="F947" s="72">
        <f ca="1">IFERROR(__xludf.DUMMYFUNCTION("""COMPUTED_VALUE"""),3750)</f>
        <v>3750</v>
      </c>
      <c r="G947" s="75"/>
      <c r="H947" s="59" t="str">
        <f ca="1">IFERROR(__xludf.DUMMYFUNCTION("""COMPUTED_VALUE"""),"UPDATE")</f>
        <v>UPDATE</v>
      </c>
      <c r="I947" s="76" t="str">
        <f ca="1">IFERROR(__xludf.DUMMYFUNCTION("""COMPUTED_VALUE"""),"https://drive.google.com/open?id=129uV3NBcBueT2bRgYrnq0wC6Hp03es-A")</f>
        <v>https://drive.google.com/open?id=129uV3NBcBueT2bRgYrnq0wC6Hp03es-A</v>
      </c>
      <c r="J947" s="59"/>
      <c r="K947" s="59"/>
      <c r="L947" s="59"/>
      <c r="M947" s="59"/>
      <c r="N947" s="59"/>
      <c r="O947" s="59"/>
      <c r="P947" s="59"/>
    </row>
    <row r="948" spans="1:16">
      <c r="A948" s="71">
        <f ca="1">IFERROR(__xludf.DUMMYFUNCTION("""COMPUTED_VALUE"""),44901.6293380439)</f>
        <v>44901.629338043902</v>
      </c>
      <c r="B948" s="59" t="str">
        <f ca="1">IFERROR(__xludf.DUMMYFUNCTION("""COMPUTED_VALUE"""),"JENIL KOGATIYA ")</f>
        <v xml:space="preserve">JENIL KOGATIYA </v>
      </c>
      <c r="C948" s="72" t="str">
        <f ca="1">IFERROR(__xludf.DUMMYFUNCTION("""COMPUTED_VALUE"""),"20SDSME01019")</f>
        <v>20SDSME01019</v>
      </c>
      <c r="D948" s="73">
        <f ca="1">IFERROR(__xludf.DUMMYFUNCTION("""COMPUTED_VALUE"""),44901)</f>
        <v>44901</v>
      </c>
      <c r="E948" s="74">
        <f ca="1">IFERROR(__xludf.DUMMYFUNCTION("""COMPUTED_VALUE"""),0)</f>
        <v>0</v>
      </c>
      <c r="F948" s="72">
        <f ca="1">IFERROR(__xludf.DUMMYFUNCTION("""COMPUTED_VALUE"""),3750)</f>
        <v>3750</v>
      </c>
      <c r="G948" s="75"/>
      <c r="H948" s="59" t="str">
        <f ca="1">IFERROR(__xludf.DUMMYFUNCTION("""COMPUTED_VALUE"""),"UPDATE")</f>
        <v>UPDATE</v>
      </c>
      <c r="I948" s="76" t="str">
        <f ca="1">IFERROR(__xludf.DUMMYFUNCTION("""COMPUTED_VALUE"""),"https://drive.google.com/open?id=1suPWIiIMv5vlLvoBR5jzu4UqkIvmtdKD")</f>
        <v>https://drive.google.com/open?id=1suPWIiIMv5vlLvoBR5jzu4UqkIvmtdKD</v>
      </c>
      <c r="J948" s="59"/>
      <c r="K948" s="59"/>
      <c r="L948" s="59"/>
      <c r="M948" s="59"/>
      <c r="N948" s="59"/>
      <c r="O948" s="59"/>
      <c r="P948" s="59"/>
    </row>
    <row r="949" spans="1:16">
      <c r="A949" s="71">
        <f ca="1">IFERROR(__xludf.DUMMYFUNCTION("""COMPUTED_VALUE"""),44900.9769175347)</f>
        <v>44900.976917534703</v>
      </c>
      <c r="B949" s="59" t="str">
        <f ca="1">IFERROR(__xludf.DUMMYFUNCTION("""COMPUTED_VALUE"""),"Mohit Paddhariya")</f>
        <v>Mohit Paddhariya</v>
      </c>
      <c r="C949" s="72" t="str">
        <f ca="1">IFERROR(__xludf.DUMMYFUNCTION("""COMPUTED_VALUE"""),"21SDSCE01038")</f>
        <v>21SDSCE01038</v>
      </c>
      <c r="D949" s="73">
        <f ca="1">IFERROR(__xludf.DUMMYFUNCTION("""COMPUTED_VALUE"""),44900)</f>
        <v>44900</v>
      </c>
      <c r="E949" s="72"/>
      <c r="F949" s="72"/>
      <c r="G949" s="75"/>
      <c r="H949" s="59" t="str">
        <f ca="1">IFERROR(__xludf.DUMMYFUNCTION("""COMPUTED_VALUE"""),"UPDATE")</f>
        <v>UPDATE</v>
      </c>
      <c r="I949" s="76" t="str">
        <f ca="1">IFERROR(__xludf.DUMMYFUNCTION("""COMPUTED_VALUE"""),"https://drive.google.com/open?id=1mxVWIXOD54kXhG9ImERjn1Ic0bfOzfbT")</f>
        <v>https://drive.google.com/open?id=1mxVWIXOD54kXhG9ImERjn1Ic0bfOzfbT</v>
      </c>
      <c r="J949" s="59"/>
      <c r="K949" s="59"/>
      <c r="L949" s="59"/>
      <c r="M949" s="59"/>
      <c r="N949" s="59"/>
      <c r="O949" s="59"/>
      <c r="P949" s="59"/>
    </row>
    <row r="950" spans="1:16">
      <c r="A950" s="71">
        <f ca="1">IFERROR(__xludf.DUMMYFUNCTION("""COMPUTED_VALUE"""),44900.3950223842)</f>
        <v>44900.395022384197</v>
      </c>
      <c r="B950" s="59" t="str">
        <f ca="1">IFERROR(__xludf.DUMMYFUNCTION("""COMPUTED_VALUE"""),"Himanshu Pansuriya")</f>
        <v>Himanshu Pansuriya</v>
      </c>
      <c r="C950" s="72" t="str">
        <f ca="1">IFERROR(__xludf.DUMMYFUNCTION("""COMPUTED_VALUE"""),"20SDSCE01075")</f>
        <v>20SDSCE01075</v>
      </c>
      <c r="D950" s="73">
        <f ca="1">IFERROR(__xludf.DUMMYFUNCTION("""COMPUTED_VALUE"""),44900)</f>
        <v>44900</v>
      </c>
      <c r="E950" s="72"/>
      <c r="F950" s="72">
        <f ca="1">IFERROR(__xludf.DUMMYFUNCTION("""COMPUTED_VALUE"""),3750)</f>
        <v>3750</v>
      </c>
      <c r="G950" s="75"/>
      <c r="H950" s="59" t="str">
        <f ca="1">IFERROR(__xludf.DUMMYFUNCTION("""COMPUTED_VALUE"""),"UPDATE")</f>
        <v>UPDATE</v>
      </c>
      <c r="I950" s="76" t="str">
        <f ca="1">IFERROR(__xludf.DUMMYFUNCTION("""COMPUTED_VALUE"""),"https://drive.google.com/open?id=1SSFEh9UZ_vh6gdsinT-pR_Kjyls5T58f")</f>
        <v>https://drive.google.com/open?id=1SSFEh9UZ_vh6gdsinT-pR_Kjyls5T58f</v>
      </c>
      <c r="J950" s="59"/>
      <c r="K950" s="59"/>
      <c r="L950" s="59"/>
      <c r="M950" s="59"/>
      <c r="N950" s="59"/>
      <c r="O950" s="59"/>
      <c r="P950" s="59"/>
    </row>
    <row r="951" spans="1:16">
      <c r="A951" s="71">
        <f ca="1">IFERROR(__xludf.DUMMYFUNCTION("""COMPUTED_VALUE"""),44900.3939449189)</f>
        <v>44900.393944918898</v>
      </c>
      <c r="B951" s="59" t="str">
        <f ca="1">IFERROR(__xludf.DUMMYFUNCTION("""COMPUTED_VALUE"""),"Himanshu Pansuriya")</f>
        <v>Himanshu Pansuriya</v>
      </c>
      <c r="C951" s="72" t="str">
        <f ca="1">IFERROR(__xludf.DUMMYFUNCTION("""COMPUTED_VALUE"""),"20SDSCE01075")</f>
        <v>20SDSCE01075</v>
      </c>
      <c r="D951" s="73">
        <f ca="1">IFERROR(__xludf.DUMMYFUNCTION("""COMPUTED_VALUE"""),44900)</f>
        <v>44900</v>
      </c>
      <c r="E951" s="74">
        <f ca="1">IFERROR(__xludf.DUMMYFUNCTION("""COMPUTED_VALUE"""),25000)</f>
        <v>25000</v>
      </c>
      <c r="F951" s="72"/>
      <c r="G951" s="75"/>
      <c r="H951" s="59" t="str">
        <f ca="1">IFERROR(__xludf.DUMMYFUNCTION("""COMPUTED_VALUE"""),"UPDATE")</f>
        <v>UPDATE</v>
      </c>
      <c r="I951" s="76" t="str">
        <f ca="1">IFERROR(__xludf.DUMMYFUNCTION("""COMPUTED_VALUE"""),"https://drive.google.com/open?id=1U_OZNP9goA4bUEggyAkvtNvctPNBHT4F")</f>
        <v>https://drive.google.com/open?id=1U_OZNP9goA4bUEggyAkvtNvctPNBHT4F</v>
      </c>
      <c r="J951" s="59"/>
      <c r="K951" s="59"/>
      <c r="L951" s="59"/>
      <c r="M951" s="59"/>
      <c r="N951" s="59"/>
      <c r="O951" s="59"/>
      <c r="P951" s="59"/>
    </row>
    <row r="952" spans="1:16">
      <c r="A952" s="71">
        <f ca="1">IFERROR(__xludf.DUMMYFUNCTION("""COMPUTED_VALUE"""),44898.5028238078)</f>
        <v>44898.502823807801</v>
      </c>
      <c r="B952" s="59" t="str">
        <f ca="1">IFERROR(__xludf.DUMMYFUNCTION("""COMPUTED_VALUE"""),"Rupapara Yagnik Maganbhai ")</f>
        <v xml:space="preserve">Rupapara Yagnik Maganbhai </v>
      </c>
      <c r="C952" s="72" t="str">
        <f ca="1">IFERROR(__xludf.DUMMYFUNCTION("""COMPUTED_VALUE"""),"20SDSCE01104")</f>
        <v>20SDSCE01104</v>
      </c>
      <c r="D952" s="73">
        <f ca="1">IFERROR(__xludf.DUMMYFUNCTION("""COMPUTED_VALUE"""),44898)</f>
        <v>44898</v>
      </c>
      <c r="E952" s="74">
        <f ca="1">IFERROR(__xludf.DUMMYFUNCTION("""COMPUTED_VALUE"""),0)</f>
        <v>0</v>
      </c>
      <c r="F952" s="72">
        <f ca="1">IFERROR(__xludf.DUMMYFUNCTION("""COMPUTED_VALUE"""),3750)</f>
        <v>3750</v>
      </c>
      <c r="G952" s="75"/>
      <c r="H952" s="59" t="str">
        <f ca="1">IFERROR(__xludf.DUMMYFUNCTION("""COMPUTED_VALUE"""),"UPDATE")</f>
        <v>UPDATE</v>
      </c>
      <c r="I952" s="76" t="str">
        <f ca="1">IFERROR(__xludf.DUMMYFUNCTION("""COMPUTED_VALUE"""),"https://drive.google.com/open?id=1LBTOtpsrKOfcp1tPa4_EgBM8svJ1I0ez")</f>
        <v>https://drive.google.com/open?id=1LBTOtpsrKOfcp1tPa4_EgBM8svJ1I0ez</v>
      </c>
      <c r="J952" s="59"/>
      <c r="K952" s="59"/>
      <c r="L952" s="59"/>
      <c r="M952" s="59"/>
      <c r="N952" s="59"/>
      <c r="O952" s="59"/>
      <c r="P952" s="59"/>
    </row>
    <row r="953" spans="1:16">
      <c r="A953" s="71">
        <f ca="1">IFERROR(__xludf.DUMMYFUNCTION("""COMPUTED_VALUE"""),44897.7824583101)</f>
        <v>44897.782458310103</v>
      </c>
      <c r="B953" s="59" t="str">
        <f ca="1">IFERROR(__xludf.DUMMYFUNCTION("""COMPUTED_VALUE"""),"Shubh rupapara ")</f>
        <v xml:space="preserve">Shubh rupapara </v>
      </c>
      <c r="C953" s="72" t="str">
        <f ca="1">IFERROR(__xludf.DUMMYFUNCTION("""COMPUTED_VALUE"""),"20SDSCE01103")</f>
        <v>20SDSCE01103</v>
      </c>
      <c r="D953" s="73">
        <f ca="1">IFERROR(__xludf.DUMMYFUNCTION("""COMPUTED_VALUE"""),44897)</f>
        <v>44897</v>
      </c>
      <c r="E953" s="72"/>
      <c r="F953" s="72">
        <f ca="1">IFERROR(__xludf.DUMMYFUNCTION("""COMPUTED_VALUE"""),3750)</f>
        <v>3750</v>
      </c>
      <c r="G953" s="75"/>
      <c r="H953" s="59" t="str">
        <f ca="1">IFERROR(__xludf.DUMMYFUNCTION("""COMPUTED_VALUE"""),"UPDATE")</f>
        <v>UPDATE</v>
      </c>
      <c r="I953" s="76" t="str">
        <f ca="1">IFERROR(__xludf.DUMMYFUNCTION("""COMPUTED_VALUE"""),"https://drive.google.com/open?id=1z7zoLcOloX4bSFcx7I1PiW3s9Qskzxm7")</f>
        <v>https://drive.google.com/open?id=1z7zoLcOloX4bSFcx7I1PiW3s9Qskzxm7</v>
      </c>
      <c r="J953" s="59"/>
      <c r="K953" s="59"/>
      <c r="L953" s="59"/>
      <c r="M953" s="59"/>
      <c r="N953" s="59"/>
      <c r="O953" s="59"/>
      <c r="P953" s="59"/>
    </row>
    <row r="954" spans="1:16">
      <c r="A954" s="71">
        <f ca="1">IFERROR(__xludf.DUMMYFUNCTION("""COMPUTED_VALUE"""),44897.7806224884)</f>
        <v>44897.780622488397</v>
      </c>
      <c r="B954" s="59" t="str">
        <f ca="1">IFERROR(__xludf.DUMMYFUNCTION("""COMPUTED_VALUE"""),"Shubh rupapara ")</f>
        <v xml:space="preserve">Shubh rupapara </v>
      </c>
      <c r="C954" s="72" t="str">
        <f ca="1">IFERROR(__xludf.DUMMYFUNCTION("""COMPUTED_VALUE"""),"20SDSCE01103")</f>
        <v>20SDSCE01103</v>
      </c>
      <c r="D954" s="73">
        <f ca="1">IFERROR(__xludf.DUMMYFUNCTION("""COMPUTED_VALUE"""),44897)</f>
        <v>44897</v>
      </c>
      <c r="E954" s="72"/>
      <c r="F954" s="72"/>
      <c r="G954" s="75"/>
      <c r="H954" s="59" t="str">
        <f ca="1">IFERROR(__xludf.DUMMYFUNCTION("""COMPUTED_VALUE"""),"UPDATE")</f>
        <v>UPDATE</v>
      </c>
      <c r="I954" s="76" t="str">
        <f ca="1">IFERROR(__xludf.DUMMYFUNCTION("""COMPUTED_VALUE"""),"https://drive.google.com/open?id=1-WoalsOcc8V1JVuc7kDk99ybUvBXSVMp")</f>
        <v>https://drive.google.com/open?id=1-WoalsOcc8V1JVuc7kDk99ybUvBXSVMp</v>
      </c>
      <c r="J954" s="59"/>
      <c r="K954" s="59"/>
      <c r="L954" s="59"/>
      <c r="M954" s="59"/>
      <c r="N954" s="59"/>
      <c r="O954" s="59"/>
      <c r="P954" s="59"/>
    </row>
    <row r="955" spans="1:16">
      <c r="A955" s="71">
        <f ca="1">IFERROR(__xludf.DUMMYFUNCTION("""COMPUTED_VALUE"""),44897.7790474189)</f>
        <v>44897.779047418902</v>
      </c>
      <c r="B955" s="59" t="str">
        <f ca="1">IFERROR(__xludf.DUMMYFUNCTION("""COMPUTED_VALUE"""),"Shubh rupapara")</f>
        <v>Shubh rupapara</v>
      </c>
      <c r="C955" s="72" t="str">
        <f ca="1">IFERROR(__xludf.DUMMYFUNCTION("""COMPUTED_VALUE"""),"20SDSCE01103")</f>
        <v>20SDSCE01103</v>
      </c>
      <c r="D955" s="73">
        <f ca="1">IFERROR(__xludf.DUMMYFUNCTION("""COMPUTED_VALUE"""),44897)</f>
        <v>44897</v>
      </c>
      <c r="E955" s="72"/>
      <c r="F955" s="72">
        <f ca="1">IFERROR(__xludf.DUMMYFUNCTION("""COMPUTED_VALUE"""),3750)</f>
        <v>3750</v>
      </c>
      <c r="G955" s="75"/>
      <c r="H955" s="59" t="str">
        <f ca="1">IFERROR(__xludf.DUMMYFUNCTION("""COMPUTED_VALUE"""),"UPDATE")</f>
        <v>UPDATE</v>
      </c>
      <c r="I955" s="76" t="str">
        <f ca="1">IFERROR(__xludf.DUMMYFUNCTION("""COMPUTED_VALUE"""),"https://drive.google.com/open?id=1FMqkTpjIUg7qNV8bDVPu699GD26ESbW5")</f>
        <v>https://drive.google.com/open?id=1FMqkTpjIUg7qNV8bDVPu699GD26ESbW5</v>
      </c>
      <c r="J955" s="59"/>
      <c r="K955" s="59"/>
      <c r="L955" s="59"/>
      <c r="M955" s="59"/>
      <c r="N955" s="59"/>
      <c r="O955" s="59"/>
      <c r="P955" s="59"/>
    </row>
    <row r="956" spans="1:16">
      <c r="A956" s="71">
        <f ca="1">IFERROR(__xludf.DUMMYFUNCTION("""COMPUTED_VALUE"""),44895.6150398958)</f>
        <v>44895.615039895798</v>
      </c>
      <c r="B956" s="59" t="str">
        <f ca="1">IFERROR(__xludf.DUMMYFUNCTION("""COMPUTED_VALUE"""),"Mohit Kaushikbhai Paddhariya")</f>
        <v>Mohit Kaushikbhai Paddhariya</v>
      </c>
      <c r="C956" s="72" t="str">
        <f ca="1">IFERROR(__xludf.DUMMYFUNCTION("""COMPUTED_VALUE"""),"21SDSCE01038")</f>
        <v>21SDSCE01038</v>
      </c>
      <c r="D956" s="73">
        <f ca="1">IFERROR(__xludf.DUMMYFUNCTION("""COMPUTED_VALUE"""),44894)</f>
        <v>44894</v>
      </c>
      <c r="E956" s="74">
        <f ca="1">IFERROR(__xludf.DUMMYFUNCTION("""COMPUTED_VALUE"""),25000)</f>
        <v>25000</v>
      </c>
      <c r="F956" s="72">
        <f ca="1">IFERROR(__xludf.DUMMYFUNCTION("""COMPUTED_VALUE"""),0)</f>
        <v>0</v>
      </c>
      <c r="G956" s="75"/>
      <c r="H956" s="59" t="str">
        <f ca="1">IFERROR(__xludf.DUMMYFUNCTION("""COMPUTED_VALUE"""),"UPDATE")</f>
        <v>UPDATE</v>
      </c>
      <c r="I956" s="76" t="str">
        <f ca="1">IFERROR(__xludf.DUMMYFUNCTION("""COMPUTED_VALUE"""),"https://drive.google.com/open?id=1r38IKbNBojZmkNn1qLo8_gOAQ4CHDDnT")</f>
        <v>https://drive.google.com/open?id=1r38IKbNBojZmkNn1qLo8_gOAQ4CHDDnT</v>
      </c>
      <c r="J956" s="59"/>
      <c r="K956" s="59"/>
      <c r="L956" s="59"/>
      <c r="M956" s="59"/>
      <c r="N956" s="59"/>
      <c r="O956" s="59"/>
      <c r="P956" s="59"/>
    </row>
    <row r="957" spans="1:16">
      <c r="A957" s="71">
        <f ca="1">IFERROR(__xludf.DUMMYFUNCTION("""COMPUTED_VALUE"""),44889.5323300115)</f>
        <v>44889.532330011498</v>
      </c>
      <c r="B957" s="59" t="str">
        <f ca="1">IFERROR(__xludf.DUMMYFUNCTION("""COMPUTED_VALUE"""),"Manthan Bambhaniya ")</f>
        <v xml:space="preserve">Manthan Bambhaniya </v>
      </c>
      <c r="C957" s="72" t="str">
        <f ca="1">IFERROR(__xludf.DUMMYFUNCTION("""COMPUTED_VALUE"""),"21SDSCE01002")</f>
        <v>21SDSCE01002</v>
      </c>
      <c r="D957" s="73">
        <f ca="1">IFERROR(__xludf.DUMMYFUNCTION("""COMPUTED_VALUE"""),44889)</f>
        <v>44889</v>
      </c>
      <c r="E957" s="74">
        <f ca="1">IFERROR(__xludf.DUMMYFUNCTION("""COMPUTED_VALUE"""),25000)</f>
        <v>25000</v>
      </c>
      <c r="F957" s="72"/>
      <c r="G957" s="75"/>
      <c r="H957" s="59" t="str">
        <f ca="1">IFERROR(__xludf.DUMMYFUNCTION("""COMPUTED_VALUE"""),"UPDATE")</f>
        <v>UPDATE</v>
      </c>
      <c r="I957" s="76" t="str">
        <f ca="1">IFERROR(__xludf.DUMMYFUNCTION("""COMPUTED_VALUE"""),"https://drive.google.com/open?id=1S1r-QWIlCWGEOkUHfolJcfh6oBscamcW")</f>
        <v>https://drive.google.com/open?id=1S1r-QWIlCWGEOkUHfolJcfh6oBscamcW</v>
      </c>
      <c r="J957" s="59"/>
      <c r="K957" s="59"/>
      <c r="L957" s="59"/>
      <c r="M957" s="59"/>
      <c r="N957" s="59"/>
      <c r="O957" s="59"/>
      <c r="P957" s="59"/>
    </row>
    <row r="958" spans="1:16">
      <c r="A958" s="71">
        <f ca="1">IFERROR(__xludf.DUMMYFUNCTION("""COMPUTED_VALUE"""),44888.7224999884)</f>
        <v>44888.722499988398</v>
      </c>
      <c r="B958" s="59" t="str">
        <f ca="1">IFERROR(__xludf.DUMMYFUNCTION("""COMPUTED_VALUE"""),"Dhameliya Nirav Pravinbhai ")</f>
        <v xml:space="preserve">Dhameliya Nirav Pravinbhai </v>
      </c>
      <c r="C958" s="72" t="str">
        <f ca="1">IFERROR(__xludf.DUMMYFUNCTION("""COMPUTED_VALUE"""),"22SDSCE01038")</f>
        <v>22SDSCE01038</v>
      </c>
      <c r="D958" s="73">
        <f ca="1">IFERROR(__xludf.DUMMYFUNCTION("""COMPUTED_VALUE"""),44888)</f>
        <v>44888</v>
      </c>
      <c r="E958" s="74">
        <f ca="1">IFERROR(__xludf.DUMMYFUNCTION("""COMPUTED_VALUE"""),25000)</f>
        <v>25000</v>
      </c>
      <c r="F958" s="72"/>
      <c r="G958" s="75"/>
      <c r="H958" s="59" t="str">
        <f ca="1">IFERROR(__xludf.DUMMYFUNCTION("""COMPUTED_VALUE"""),"UPDATE")</f>
        <v>UPDATE</v>
      </c>
      <c r="I958" s="76" t="str">
        <f ca="1">IFERROR(__xludf.DUMMYFUNCTION("""COMPUTED_VALUE"""),"https://drive.google.com/open?id=1Q5RFqE9Nj_ndw2cGYY-ZEJD1AHMphWZy")</f>
        <v>https://drive.google.com/open?id=1Q5RFqE9Nj_ndw2cGYY-ZEJD1AHMphWZy</v>
      </c>
      <c r="J958" s="59"/>
      <c r="K958" s="59"/>
      <c r="L958" s="59"/>
      <c r="M958" s="59"/>
      <c r="N958" s="59"/>
      <c r="O958" s="59"/>
      <c r="P958" s="59"/>
    </row>
    <row r="959" spans="1:16">
      <c r="A959" s="71">
        <f ca="1">IFERROR(__xludf.DUMMYFUNCTION("""COMPUTED_VALUE"""),44887.4244412847)</f>
        <v>44887.424441284697</v>
      </c>
      <c r="B959" s="59" t="str">
        <f ca="1">IFERROR(__xludf.DUMMYFUNCTION("""COMPUTED_VALUE"""),"Gohel Maitri Nayanbhai ")</f>
        <v xml:space="preserve">Gohel Maitri Nayanbhai </v>
      </c>
      <c r="C959" s="72" t="str">
        <f ca="1">IFERROR(__xludf.DUMMYFUNCTION("""COMPUTED_VALUE"""),"21SDSCE01128")</f>
        <v>21SDSCE01128</v>
      </c>
      <c r="D959" s="73">
        <f ca="1">IFERROR(__xludf.DUMMYFUNCTION("""COMPUTED_VALUE"""),44887)</f>
        <v>44887</v>
      </c>
      <c r="E959" s="72"/>
      <c r="F959" s="72"/>
      <c r="G959" s="75"/>
      <c r="H959" s="59" t="str">
        <f ca="1">IFERROR(__xludf.DUMMYFUNCTION("""COMPUTED_VALUE"""),"UPDATE")</f>
        <v>UPDATE</v>
      </c>
      <c r="I959" s="76" t="str">
        <f ca="1">IFERROR(__xludf.DUMMYFUNCTION("""COMPUTED_VALUE"""),"https://drive.google.com/open?id=1IMrcUnAmLDkwPDEUhEdsZDdKokg8Oyza")</f>
        <v>https://drive.google.com/open?id=1IMrcUnAmLDkwPDEUhEdsZDdKokg8Oyza</v>
      </c>
      <c r="J959" s="59"/>
      <c r="K959" s="59"/>
      <c r="L959" s="59"/>
      <c r="M959" s="59"/>
      <c r="N959" s="59"/>
      <c r="O959" s="59"/>
      <c r="P959" s="59"/>
    </row>
    <row r="960" spans="1:16">
      <c r="A960" s="71">
        <f ca="1">IFERROR(__xludf.DUMMYFUNCTION("""COMPUTED_VALUE"""),44887.0390224884)</f>
        <v>44887.039022488403</v>
      </c>
      <c r="B960" s="59" t="str">
        <f ca="1">IFERROR(__xludf.DUMMYFUNCTION("""COMPUTED_VALUE"""),"Yagnik Koladiya")</f>
        <v>Yagnik Koladiya</v>
      </c>
      <c r="C960" s="72" t="str">
        <f ca="1">IFERROR(__xludf.DUMMYFUNCTION("""COMPUTED_VALUE"""),"21SDSCE01133")</f>
        <v>21SDSCE01133</v>
      </c>
      <c r="D960" s="73">
        <f ca="1">IFERROR(__xludf.DUMMYFUNCTION("""COMPUTED_VALUE"""),44824)</f>
        <v>44824</v>
      </c>
      <c r="E960" s="74">
        <f ca="1">IFERROR(__xludf.DUMMYFUNCTION("""COMPUTED_VALUE"""),25000)</f>
        <v>25000</v>
      </c>
      <c r="F960" s="72">
        <f ca="1">IFERROR(__xludf.DUMMYFUNCTION("""COMPUTED_VALUE"""),2500)</f>
        <v>2500</v>
      </c>
      <c r="G960" s="75"/>
      <c r="H960" s="59" t="str">
        <f ca="1">IFERROR(__xludf.DUMMYFUNCTION("""COMPUTED_VALUE"""),"UPDATE")</f>
        <v>UPDATE</v>
      </c>
      <c r="I960" s="76" t="str">
        <f ca="1">IFERROR(__xludf.DUMMYFUNCTION("""COMPUTED_VALUE"""),"https://drive.google.com/open?id=1ICBKSq8ye0o7btl6qti34PtjIYDTBdgu")</f>
        <v>https://drive.google.com/open?id=1ICBKSq8ye0o7btl6qti34PtjIYDTBdgu</v>
      </c>
      <c r="J960" s="59"/>
      <c r="K960" s="59"/>
      <c r="L960" s="59"/>
      <c r="M960" s="59"/>
      <c r="N960" s="59"/>
      <c r="O960" s="59"/>
      <c r="P960" s="59"/>
    </row>
    <row r="961" spans="1:16">
      <c r="A961" s="71">
        <f ca="1">IFERROR(__xludf.DUMMYFUNCTION("""COMPUTED_VALUE"""),44884.3853583912)</f>
        <v>44884.385358391199</v>
      </c>
      <c r="B961" s="59" t="str">
        <f ca="1">IFERROR(__xludf.DUMMYFUNCTION("""COMPUTED_VALUE"""),"Thummar Prasit Chimanbhai")</f>
        <v>Thummar Prasit Chimanbhai</v>
      </c>
      <c r="C961" s="72" t="str">
        <f ca="1">IFERROR(__xludf.DUMMYFUNCTION("""COMPUTED_VALUE"""),"20SDSCE01121")</f>
        <v>20SDSCE01121</v>
      </c>
      <c r="D961" s="73">
        <f ca="1">IFERROR(__xludf.DUMMYFUNCTION("""COMPUTED_VALUE"""),44884)</f>
        <v>44884</v>
      </c>
      <c r="E961" s="74">
        <f ca="1">IFERROR(__xludf.DUMMYFUNCTION("""COMPUTED_VALUE"""),25000)</f>
        <v>25000</v>
      </c>
      <c r="F961" s="72">
        <f ca="1">IFERROR(__xludf.DUMMYFUNCTION("""COMPUTED_VALUE"""),0)</f>
        <v>0</v>
      </c>
      <c r="G961" s="75"/>
      <c r="H961" s="59" t="str">
        <f ca="1">IFERROR(__xludf.DUMMYFUNCTION("""COMPUTED_VALUE"""),"UPDATE")</f>
        <v>UPDATE</v>
      </c>
      <c r="I961" s="76" t="str">
        <f ca="1">IFERROR(__xludf.DUMMYFUNCTION("""COMPUTED_VALUE"""),"https://drive.google.com/open?id=1kNb8bh8iMFRBTutoI_MqFXl23fWJ5HcL")</f>
        <v>https://drive.google.com/open?id=1kNb8bh8iMFRBTutoI_MqFXl23fWJ5HcL</v>
      </c>
      <c r="J961" s="59"/>
      <c r="K961" s="59"/>
      <c r="L961" s="59"/>
      <c r="M961" s="59"/>
      <c r="N961" s="59"/>
      <c r="O961" s="59"/>
      <c r="P961" s="59"/>
    </row>
    <row r="962" spans="1:16">
      <c r="A962" s="71">
        <f ca="1">IFERROR(__xludf.DUMMYFUNCTION("""COMPUTED_VALUE"""),44883.827538912)</f>
        <v>44883.827538912003</v>
      </c>
      <c r="B962" s="59" t="str">
        <f ca="1">IFERROR(__xludf.DUMMYFUNCTION("""COMPUTED_VALUE"""),"Ramani Uttam Rajeshbhai")</f>
        <v>Ramani Uttam Rajeshbhai</v>
      </c>
      <c r="C962" s="72" t="str">
        <f ca="1">IFERROR(__xludf.DUMMYFUNCTION("""COMPUTED_VALUE"""),"22SDSCE01060")</f>
        <v>22SDSCE01060</v>
      </c>
      <c r="D962" s="73">
        <f ca="1">IFERROR(__xludf.DUMMYFUNCTION("""COMPUTED_VALUE"""),44883)</f>
        <v>44883</v>
      </c>
      <c r="E962" s="72"/>
      <c r="F962" s="72">
        <f ca="1">IFERROR(__xludf.DUMMYFUNCTION("""COMPUTED_VALUE"""),13500)</f>
        <v>13500</v>
      </c>
      <c r="G962" s="75"/>
      <c r="H962" s="59" t="str">
        <f ca="1">IFERROR(__xludf.DUMMYFUNCTION("""COMPUTED_VALUE"""),"UPDATE")</f>
        <v>UPDATE</v>
      </c>
      <c r="I962" s="76" t="str">
        <f ca="1">IFERROR(__xludf.DUMMYFUNCTION("""COMPUTED_VALUE"""),"https://drive.google.com/open?id=1M7wzR_BfpFGukcUb9s5Eds7uMe8YUUmo")</f>
        <v>https://drive.google.com/open?id=1M7wzR_BfpFGukcUb9s5Eds7uMe8YUUmo</v>
      </c>
      <c r="J962" s="59"/>
      <c r="K962" s="59"/>
      <c r="L962" s="59"/>
      <c r="M962" s="59"/>
      <c r="N962" s="59"/>
      <c r="O962" s="59"/>
      <c r="P962" s="59"/>
    </row>
    <row r="963" spans="1:16">
      <c r="A963" s="71">
        <f ca="1">IFERROR(__xludf.DUMMYFUNCTION("""COMPUTED_VALUE"""),44879.6235394675)</f>
        <v>44879.623539467502</v>
      </c>
      <c r="B963" s="59" t="str">
        <f ca="1">IFERROR(__xludf.DUMMYFUNCTION("""COMPUTED_VALUE"""),"Devdip vaghela")</f>
        <v>Devdip vaghela</v>
      </c>
      <c r="C963" s="72" t="str">
        <f ca="1">IFERROR(__xludf.DUMMYFUNCTION("""COMPUTED_VALUE"""),"20sdsce01128")</f>
        <v>20sdsce01128</v>
      </c>
      <c r="D963" s="73">
        <f ca="1">IFERROR(__xludf.DUMMYFUNCTION("""COMPUTED_VALUE"""),44735)</f>
        <v>44735</v>
      </c>
      <c r="E963" s="72"/>
      <c r="F963" s="72"/>
      <c r="G963" s="75"/>
      <c r="H963" s="59" t="str">
        <f ca="1">IFERROR(__xludf.DUMMYFUNCTION("""COMPUTED_VALUE"""),"UPDATE")</f>
        <v>UPDATE</v>
      </c>
      <c r="I963" s="76" t="str">
        <f ca="1">IFERROR(__xludf.DUMMYFUNCTION("""COMPUTED_VALUE"""),"https://drive.google.com/open?id=1_MDv97_4hQkAXqmmhaP6FAjr7q6xhNGK")</f>
        <v>https://drive.google.com/open?id=1_MDv97_4hQkAXqmmhaP6FAjr7q6xhNGK</v>
      </c>
      <c r="J963" s="59"/>
      <c r="K963" s="59"/>
      <c r="L963" s="59"/>
      <c r="M963" s="59"/>
      <c r="N963" s="59"/>
      <c r="O963" s="59"/>
      <c r="P963" s="59"/>
    </row>
    <row r="964" spans="1:16">
      <c r="A964" s="71">
        <f ca="1">IFERROR(__xludf.DUMMYFUNCTION("""COMPUTED_VALUE"""),44847.4365494791)</f>
        <v>44847.436549479098</v>
      </c>
      <c r="B964" s="59" t="str">
        <f ca="1">IFERROR(__xludf.DUMMYFUNCTION("""COMPUTED_VALUE"""),"Vaghasia bhargish ")</f>
        <v xml:space="preserve">Vaghasia bhargish </v>
      </c>
      <c r="C964" s="72" t="str">
        <f ca="1">IFERROR(__xludf.DUMMYFUNCTION("""COMPUTED_VALUE"""),"20sdscv01013")</f>
        <v>20sdscv01013</v>
      </c>
      <c r="D964" s="73">
        <f ca="1">IFERROR(__xludf.DUMMYFUNCTION("""COMPUTED_VALUE"""),44847)</f>
        <v>44847</v>
      </c>
      <c r="E964" s="74">
        <f ca="1">IFERROR(__xludf.DUMMYFUNCTION("""COMPUTED_VALUE"""),25000)</f>
        <v>25000</v>
      </c>
      <c r="F964" s="72"/>
      <c r="G964" s="75"/>
      <c r="H964" s="59" t="str">
        <f ca="1">IFERROR(__xludf.DUMMYFUNCTION("""COMPUTED_VALUE"""),"UPDATE")</f>
        <v>UPDATE</v>
      </c>
      <c r="I964" s="76" t="str">
        <f ca="1">IFERROR(__xludf.DUMMYFUNCTION("""COMPUTED_VALUE"""),"https://drive.google.com/open?id=1Y7FElSgMtH8RoCTkgLufBEHXD29HMTOP")</f>
        <v>https://drive.google.com/open?id=1Y7FElSgMtH8RoCTkgLufBEHXD29HMTOP</v>
      </c>
      <c r="J964" s="59"/>
      <c r="K964" s="59"/>
      <c r="L964" s="59"/>
      <c r="M964" s="59"/>
      <c r="N964" s="59"/>
      <c r="O964" s="59"/>
      <c r="P964" s="59"/>
    </row>
    <row r="965" spans="1:16">
      <c r="A965" s="71">
        <f ca="1">IFERROR(__xludf.DUMMYFUNCTION("""COMPUTED_VALUE"""),44844.8787780902)</f>
        <v>44844.878778090198</v>
      </c>
      <c r="B965" s="59" t="str">
        <f ca="1">IFERROR(__xludf.DUMMYFUNCTION("""COMPUTED_VALUE"""),"JETANI VIMABEN KIRITBHAI ")</f>
        <v xml:space="preserve">JETANI VIMABEN KIRITBHAI </v>
      </c>
      <c r="C965" s="72" t="str">
        <f ca="1">IFERROR(__xludf.DUMMYFUNCTION("""COMPUTED_VALUE"""),"20SDSCE01046")</f>
        <v>20SDSCE01046</v>
      </c>
      <c r="D965" s="73">
        <f ca="1">IFERROR(__xludf.DUMMYFUNCTION("""COMPUTED_VALUE"""),44844)</f>
        <v>44844</v>
      </c>
      <c r="E965" s="74">
        <f ca="1">IFERROR(__xludf.DUMMYFUNCTION("""COMPUTED_VALUE"""),0)</f>
        <v>0</v>
      </c>
      <c r="F965" s="72">
        <f ca="1">IFERROR(__xludf.DUMMYFUNCTION("""COMPUTED_VALUE"""),0)</f>
        <v>0</v>
      </c>
      <c r="G965" s="75"/>
      <c r="H965" s="59" t="str">
        <f ca="1">IFERROR(__xludf.DUMMYFUNCTION("""COMPUTED_VALUE"""),"penalty applicable")</f>
        <v>penalty applicable</v>
      </c>
      <c r="I965" s="76" t="str">
        <f ca="1">IFERROR(__xludf.DUMMYFUNCTION("""COMPUTED_VALUE"""),"https://drive.google.com/open?id=1BXyVEsgl1SVLnZ_b_Ni2GnfUYjwvQiZF")</f>
        <v>https://drive.google.com/open?id=1BXyVEsgl1SVLnZ_b_Ni2GnfUYjwvQiZF</v>
      </c>
      <c r="J965" s="59"/>
      <c r="K965" s="59"/>
      <c r="L965" s="59"/>
      <c r="M965" s="59"/>
      <c r="N965" s="59"/>
      <c r="O965" s="59"/>
      <c r="P965" s="59"/>
    </row>
    <row r="966" spans="1:16">
      <c r="A966" s="71">
        <f ca="1">IFERROR(__xludf.DUMMYFUNCTION("""COMPUTED_VALUE"""),44838.8597941898)</f>
        <v>44838.859794189797</v>
      </c>
      <c r="B966" s="59" t="str">
        <f ca="1">IFERROR(__xludf.DUMMYFUNCTION("""COMPUTED_VALUE"""),"Dhinoja Nevil ")</f>
        <v xml:space="preserve">Dhinoja Nevil </v>
      </c>
      <c r="C966" s="72" t="str">
        <f ca="1">IFERROR(__xludf.DUMMYFUNCTION("""COMPUTED_VALUE"""),"21sdsce01015 ")</f>
        <v xml:space="preserve">21sdsce01015 </v>
      </c>
      <c r="D966" s="73">
        <f ca="1">IFERROR(__xludf.DUMMYFUNCTION("""COMPUTED_VALUE"""),44824)</f>
        <v>44824</v>
      </c>
      <c r="E966" s="74">
        <f ca="1">IFERROR(__xludf.DUMMYFUNCTION("""COMPUTED_VALUE"""),0)</f>
        <v>0</v>
      </c>
      <c r="F966" s="72">
        <f ca="1">IFERROR(__xludf.DUMMYFUNCTION("""COMPUTED_VALUE"""),0)</f>
        <v>0</v>
      </c>
      <c r="G966" s="75"/>
      <c r="H966" s="59" t="str">
        <f ca="1">IFERROR(__xludf.DUMMYFUNCTION("""COMPUTED_VALUE"""),"UPDATE")</f>
        <v>UPDATE</v>
      </c>
      <c r="I966" s="76" t="str">
        <f ca="1">IFERROR(__xludf.DUMMYFUNCTION("""COMPUTED_VALUE"""),"https://drive.google.com/open?id=1TZHoN-uUuOaWIDw7bmAZUvah2ogqsu0s")</f>
        <v>https://drive.google.com/open?id=1TZHoN-uUuOaWIDw7bmAZUvah2ogqsu0s</v>
      </c>
      <c r="J966" s="59"/>
      <c r="K966" s="59"/>
      <c r="L966" s="59"/>
      <c r="M966" s="59"/>
      <c r="N966" s="59"/>
      <c r="O966" s="59"/>
      <c r="P966" s="59"/>
    </row>
    <row r="967" spans="1:16">
      <c r="A967" s="71">
        <f ca="1">IFERROR(__xludf.DUMMYFUNCTION("""COMPUTED_VALUE"""),44835.5968712847)</f>
        <v>44835.596871284703</v>
      </c>
      <c r="B967" s="59" t="str">
        <f ca="1">IFERROR(__xludf.DUMMYFUNCTION("""COMPUTED_VALUE"""),"Hapliya sunny ")</f>
        <v xml:space="preserve">Hapliya sunny </v>
      </c>
      <c r="C967" s="72" t="str">
        <f ca="1">IFERROR(__xludf.DUMMYFUNCTION("""COMPUTED_VALUE"""),"20SDSCE01042")</f>
        <v>20SDSCE01042</v>
      </c>
      <c r="D967" s="73">
        <f ca="1">IFERROR(__xludf.DUMMYFUNCTION("""COMPUTED_VALUE"""),44835)</f>
        <v>44835</v>
      </c>
      <c r="E967" s="72"/>
      <c r="F967" s="72">
        <f ca="1">IFERROR(__xludf.DUMMYFUNCTION("""COMPUTED_VALUE"""),2500)</f>
        <v>2500</v>
      </c>
      <c r="G967" s="75"/>
      <c r="H967" s="59" t="str">
        <f ca="1">IFERROR(__xludf.DUMMYFUNCTION("""COMPUTED_VALUE"""),"UPDATE")</f>
        <v>UPDATE</v>
      </c>
      <c r="I967" s="76" t="str">
        <f ca="1">IFERROR(__xludf.DUMMYFUNCTION("""COMPUTED_VALUE"""),"https://drive.google.com/open?id=1qRt1zXSA7tJARGsfwqOaLUQ0wLwyjHtH")</f>
        <v>https://drive.google.com/open?id=1qRt1zXSA7tJARGsfwqOaLUQ0wLwyjHtH</v>
      </c>
      <c r="J967" s="59"/>
      <c r="K967" s="59"/>
      <c r="L967" s="59"/>
      <c r="M967" s="59"/>
      <c r="N967" s="59"/>
      <c r="O967" s="59"/>
      <c r="P967" s="59"/>
    </row>
    <row r="968" spans="1:16">
      <c r="A968" s="71">
        <f ca="1">IFERROR(__xludf.DUMMYFUNCTION("""COMPUTED_VALUE"""),44835.5959726388)</f>
        <v>44835.595972638803</v>
      </c>
      <c r="B968" s="59" t="str">
        <f ca="1">IFERROR(__xludf.DUMMYFUNCTION("""COMPUTED_VALUE"""),"Hapliya sunny")</f>
        <v>Hapliya sunny</v>
      </c>
      <c r="C968" s="72" t="str">
        <f ca="1">IFERROR(__xludf.DUMMYFUNCTION("""COMPUTED_VALUE"""),"20SDSCE01042")</f>
        <v>20SDSCE01042</v>
      </c>
      <c r="D968" s="73">
        <f ca="1">IFERROR(__xludf.DUMMYFUNCTION("""COMPUTED_VALUE"""),44835)</f>
        <v>44835</v>
      </c>
      <c r="E968" s="74">
        <f ca="1">IFERROR(__xludf.DUMMYFUNCTION("""COMPUTED_VALUE"""),12500)</f>
        <v>12500</v>
      </c>
      <c r="F968" s="72"/>
      <c r="G968" s="75"/>
      <c r="H968" s="59" t="str">
        <f ca="1">IFERROR(__xludf.DUMMYFUNCTION("""COMPUTED_VALUE"""),"UPDATE")</f>
        <v>UPDATE</v>
      </c>
      <c r="I968" s="76" t="str">
        <f ca="1">IFERROR(__xludf.DUMMYFUNCTION("""COMPUTED_VALUE"""),"https://drive.google.com/open?id=1sUmLELUQ57aafSbvYt2PuQvwQ4x80E_V")</f>
        <v>https://drive.google.com/open?id=1sUmLELUQ57aafSbvYt2PuQvwQ4x80E_V</v>
      </c>
      <c r="J968" s="59"/>
      <c r="K968" s="59"/>
      <c r="L968" s="59"/>
      <c r="M968" s="59"/>
      <c r="N968" s="59"/>
      <c r="O968" s="59"/>
      <c r="P968" s="59"/>
    </row>
    <row r="969" spans="1:16">
      <c r="A969" s="71">
        <f ca="1">IFERROR(__xludf.DUMMYFUNCTION("""COMPUTED_VALUE"""),44830.8823871064)</f>
        <v>44830.882387106401</v>
      </c>
      <c r="B969" s="59" t="str">
        <f ca="1">IFERROR(__xludf.DUMMYFUNCTION("""COMPUTED_VALUE"""),"Harshil Vanparia")</f>
        <v>Harshil Vanparia</v>
      </c>
      <c r="C969" s="72" t="str">
        <f ca="1">IFERROR(__xludf.DUMMYFUNCTION("""COMPUTED_VALUE"""),"20SDSCE01137")</f>
        <v>20SDSCE01137</v>
      </c>
      <c r="D969" s="73">
        <f ca="1">IFERROR(__xludf.DUMMYFUNCTION("""COMPUTED_VALUE"""),44826)</f>
        <v>44826</v>
      </c>
      <c r="E969" s="74">
        <f ca="1">IFERROR(__xludf.DUMMYFUNCTION("""COMPUTED_VALUE"""),18750)</f>
        <v>18750</v>
      </c>
      <c r="F969" s="72"/>
      <c r="G969" s="75"/>
      <c r="H969" s="59" t="str">
        <f ca="1">IFERROR(__xludf.DUMMYFUNCTION("""COMPUTED_VALUE"""),"UPDATE")</f>
        <v>UPDATE</v>
      </c>
      <c r="I969" s="76" t="str">
        <f ca="1">IFERROR(__xludf.DUMMYFUNCTION("""COMPUTED_VALUE"""),"https://drive.google.com/open?id=1zLPqg2Y-RzsHMJy6KgEEfS_PpLAsgGE4")</f>
        <v>https://drive.google.com/open?id=1zLPqg2Y-RzsHMJy6KgEEfS_PpLAsgGE4</v>
      </c>
      <c r="J969" s="59"/>
      <c r="K969" s="59"/>
      <c r="L969" s="59"/>
      <c r="M969" s="59"/>
      <c r="N969" s="59"/>
      <c r="O969" s="59"/>
      <c r="P969" s="59"/>
    </row>
    <row r="970" spans="1:16">
      <c r="A970" s="71">
        <f ca="1">IFERROR(__xludf.DUMMYFUNCTION("""COMPUTED_VALUE"""),44822.8145645138)</f>
        <v>44822.814564513799</v>
      </c>
      <c r="B970" s="59" t="str">
        <f ca="1">IFERROR(__xludf.DUMMYFUNCTION("""COMPUTED_VALUE"""),"Vivek devhitka")</f>
        <v>Vivek devhitka</v>
      </c>
      <c r="C970" s="72" t="str">
        <f ca="1">IFERROR(__xludf.DUMMYFUNCTION("""COMPUTED_VALUE"""),"21SDSCE01014")</f>
        <v>21SDSCE01014</v>
      </c>
      <c r="D970" s="73">
        <f ca="1">IFERROR(__xludf.DUMMYFUNCTION("""COMPUTED_VALUE"""),44822)</f>
        <v>44822</v>
      </c>
      <c r="E970" s="72"/>
      <c r="F970" s="72">
        <f ca="1">IFERROR(__xludf.DUMMYFUNCTION("""COMPUTED_VALUE"""),2500)</f>
        <v>2500</v>
      </c>
      <c r="G970" s="75"/>
      <c r="H970" s="59" t="str">
        <f ca="1">IFERROR(__xludf.DUMMYFUNCTION("""COMPUTED_VALUE"""),"UPDATE")</f>
        <v>UPDATE</v>
      </c>
      <c r="I970" s="76" t="str">
        <f ca="1">IFERROR(__xludf.DUMMYFUNCTION("""COMPUTED_VALUE"""),"https://drive.google.com/open?id=14Ix86Wwzaj52R4V7a_hBpvpnTmGC-Ga-")</f>
        <v>https://drive.google.com/open?id=14Ix86Wwzaj52R4V7a_hBpvpnTmGC-Ga-</v>
      </c>
      <c r="J970" s="59"/>
      <c r="K970" s="59"/>
      <c r="L970" s="59"/>
      <c r="M970" s="59"/>
      <c r="N970" s="59"/>
      <c r="O970" s="59"/>
      <c r="P970" s="59"/>
    </row>
    <row r="971" spans="1:16">
      <c r="A971" s="71">
        <f ca="1">IFERROR(__xludf.DUMMYFUNCTION("""COMPUTED_VALUE"""),44819.6052603935)</f>
        <v>44819.605260393502</v>
      </c>
      <c r="B971" s="59" t="str">
        <f ca="1">IFERROR(__xludf.DUMMYFUNCTION("""COMPUTED_VALUE"""),"Dobariya nandani")</f>
        <v>Dobariya nandani</v>
      </c>
      <c r="C971" s="72" t="str">
        <f ca="1">IFERROR(__xludf.DUMMYFUNCTION("""COMPUTED_VALUE"""),"21SDSCE01068")</f>
        <v>21SDSCE01068</v>
      </c>
      <c r="D971" s="73">
        <f ca="1">IFERROR(__xludf.DUMMYFUNCTION("""COMPUTED_VALUE"""),44817)</f>
        <v>44817</v>
      </c>
      <c r="E971" s="72"/>
      <c r="F971" s="72"/>
      <c r="G971" s="75"/>
      <c r="H971" s="59" t="str">
        <f ca="1">IFERROR(__xludf.DUMMYFUNCTION("""COMPUTED_VALUE"""),"UPDATE")</f>
        <v>UPDATE</v>
      </c>
      <c r="I971" s="76" t="str">
        <f ca="1">IFERROR(__xludf.DUMMYFUNCTION("""COMPUTED_VALUE"""),"https://drive.google.com/open?id=1dPwv0012nVYlmeXDYuaHi2WEe__5bGA3")</f>
        <v>https://drive.google.com/open?id=1dPwv0012nVYlmeXDYuaHi2WEe__5bGA3</v>
      </c>
      <c r="J971" s="59"/>
      <c r="K971" s="59"/>
      <c r="L971" s="59"/>
      <c r="M971" s="59"/>
      <c r="N971" s="59"/>
      <c r="O971" s="59"/>
      <c r="P971" s="59"/>
    </row>
    <row r="972" spans="1:16">
      <c r="A972" s="71">
        <f ca="1">IFERROR(__xludf.DUMMYFUNCTION("""COMPUTED_VALUE"""),44812.603823368)</f>
        <v>44812.603823368001</v>
      </c>
      <c r="B972" s="59" t="str">
        <f ca="1">IFERROR(__xludf.DUMMYFUNCTION("""COMPUTED_VALUE"""),"Yash ranpariya")</f>
        <v>Yash ranpariya</v>
      </c>
      <c r="C972" s="72" t="str">
        <f ca="1">IFERROR(__xludf.DUMMYFUNCTION("""COMPUTED_VALUE"""),"19sdsme01020")</f>
        <v>19sdsme01020</v>
      </c>
      <c r="D972" s="73">
        <f ca="1">IFERROR(__xludf.DUMMYFUNCTION("""COMPUTED_VALUE"""),44812)</f>
        <v>44812</v>
      </c>
      <c r="E972" s="74">
        <f ca="1">IFERROR(__xludf.DUMMYFUNCTION("""COMPUTED_VALUE"""),25000)</f>
        <v>25000</v>
      </c>
      <c r="F972" s="72"/>
      <c r="G972" s="75"/>
      <c r="H972" s="59" t="str">
        <f ca="1">IFERROR(__xludf.DUMMYFUNCTION("""COMPUTED_VALUE"""),"UPDATE")</f>
        <v>UPDATE</v>
      </c>
      <c r="I972" s="76" t="str">
        <f ca="1">IFERROR(__xludf.DUMMYFUNCTION("""COMPUTED_VALUE"""),"https://drive.google.com/open?id=1x0ztX_WnRy9t9by7j1KnsBptNjmwhQ6-")</f>
        <v>https://drive.google.com/open?id=1x0ztX_WnRy9t9by7j1KnsBptNjmwhQ6-</v>
      </c>
      <c r="J972" s="59"/>
      <c r="K972" s="59"/>
      <c r="L972" s="59"/>
      <c r="M972" s="59"/>
      <c r="N972" s="59"/>
      <c r="O972" s="59"/>
      <c r="P972" s="59"/>
    </row>
    <row r="973" spans="1:16">
      <c r="A973" s="71">
        <f ca="1">IFERROR(__xludf.DUMMYFUNCTION("""COMPUTED_VALUE"""),44812.5380770833)</f>
        <v>44812.5380770833</v>
      </c>
      <c r="B973" s="59" t="str">
        <f ca="1">IFERROR(__xludf.DUMMYFUNCTION("""COMPUTED_VALUE"""),"Tala preet")</f>
        <v>Tala preet</v>
      </c>
      <c r="C973" s="72" t="str">
        <f ca="1">IFERROR(__xludf.DUMMYFUNCTION("""COMPUTED_VALUE"""),"21SDSCV01020")</f>
        <v>21SDSCV01020</v>
      </c>
      <c r="D973" s="73">
        <f ca="1">IFERROR(__xludf.DUMMYFUNCTION("""COMPUTED_VALUE"""),44812)</f>
        <v>44812</v>
      </c>
      <c r="E973" s="72"/>
      <c r="F973" s="72">
        <f ca="1">IFERROR(__xludf.DUMMYFUNCTION("""COMPUTED_VALUE"""),2500)</f>
        <v>2500</v>
      </c>
      <c r="G973" s="75"/>
      <c r="H973" s="59" t="str">
        <f ca="1">IFERROR(__xludf.DUMMYFUNCTION("""COMPUTED_VALUE"""),"UPDATE")</f>
        <v>UPDATE</v>
      </c>
      <c r="I973" s="76" t="str">
        <f ca="1">IFERROR(__xludf.DUMMYFUNCTION("""COMPUTED_VALUE"""),"https://drive.google.com/open?id=1Uu8owH-K_hotPprCK_DXrYCXQwxwO74X")</f>
        <v>https://drive.google.com/open?id=1Uu8owH-K_hotPprCK_DXrYCXQwxwO74X</v>
      </c>
      <c r="J973" s="59"/>
      <c r="K973" s="59"/>
      <c r="L973" s="59"/>
      <c r="M973" s="59"/>
      <c r="N973" s="59"/>
      <c r="O973" s="59"/>
      <c r="P973" s="59"/>
    </row>
    <row r="974" spans="1:16">
      <c r="A974" s="71">
        <f ca="1">IFERROR(__xludf.DUMMYFUNCTION("""COMPUTED_VALUE"""),44812.5301807986)</f>
        <v>44812.530180798603</v>
      </c>
      <c r="B974" s="59" t="str">
        <f ca="1">IFERROR(__xludf.DUMMYFUNCTION("""COMPUTED_VALUE"""),"Tala Preet ")</f>
        <v xml:space="preserve">Tala Preet </v>
      </c>
      <c r="C974" s="72" t="str">
        <f ca="1">IFERROR(__xludf.DUMMYFUNCTION("""COMPUTED_VALUE"""),"21SDSCV01020")</f>
        <v>21SDSCV01020</v>
      </c>
      <c r="D974" s="73">
        <f ca="1">IFERROR(__xludf.DUMMYFUNCTION("""COMPUTED_VALUE"""),44779)</f>
        <v>44779</v>
      </c>
      <c r="E974" s="72"/>
      <c r="F974" s="72"/>
      <c r="G974" s="75"/>
      <c r="H974" s="59" t="str">
        <f ca="1">IFERROR(__xludf.DUMMYFUNCTION("""COMPUTED_VALUE"""),"UPDATE")</f>
        <v>UPDATE</v>
      </c>
      <c r="I974" s="76" t="str">
        <f ca="1">IFERROR(__xludf.DUMMYFUNCTION("""COMPUTED_VALUE"""),"https://drive.google.com/open?id=1-I7U-vgk7UWhc_DV0KGz5opp15oqBptJ")</f>
        <v>https://drive.google.com/open?id=1-I7U-vgk7UWhc_DV0KGz5opp15oqBptJ</v>
      </c>
      <c r="J974" s="59"/>
      <c r="K974" s="59"/>
      <c r="L974" s="59"/>
      <c r="M974" s="59"/>
      <c r="N974" s="59"/>
      <c r="O974" s="59"/>
      <c r="P974" s="59"/>
    </row>
    <row r="975" spans="1:16">
      <c r="A975" s="71">
        <f ca="1">IFERROR(__xludf.DUMMYFUNCTION("""COMPUTED_VALUE"""),44812.5123873495)</f>
        <v>44812.512387349503</v>
      </c>
      <c r="B975" s="59" t="str">
        <f ca="1">IFERROR(__xludf.DUMMYFUNCTION("""COMPUTED_VALUE"""),"Dobariya nandani")</f>
        <v>Dobariya nandani</v>
      </c>
      <c r="C975" s="72" t="str">
        <f ca="1">IFERROR(__xludf.DUMMYFUNCTION("""COMPUTED_VALUE"""),"21sdsce01068")</f>
        <v>21sdsce01068</v>
      </c>
      <c r="D975" s="73">
        <f ca="1">IFERROR(__xludf.DUMMYFUNCTION("""COMPUTED_VALUE"""),44812)</f>
        <v>44812</v>
      </c>
      <c r="E975" s="72"/>
      <c r="F975" s="72">
        <f ca="1">IFERROR(__xludf.DUMMYFUNCTION("""COMPUTED_VALUE"""),2700)</f>
        <v>2700</v>
      </c>
      <c r="G975" s="75"/>
      <c r="H975" s="59" t="str">
        <f ca="1">IFERROR(__xludf.DUMMYFUNCTION("""COMPUTED_VALUE"""),"UPDATE")</f>
        <v>UPDATE</v>
      </c>
      <c r="I975" s="76" t="str">
        <f ca="1">IFERROR(__xludf.DUMMYFUNCTION("""COMPUTED_VALUE"""),"https://drive.google.com/open?id=12RYy9G0H8YwArcTMn8oyqiKBMGOeAEBl")</f>
        <v>https://drive.google.com/open?id=12RYy9G0H8YwArcTMn8oyqiKBMGOeAEBl</v>
      </c>
      <c r="J975" s="59"/>
      <c r="K975" s="59"/>
      <c r="L975" s="59"/>
      <c r="M975" s="59"/>
      <c r="N975" s="59"/>
      <c r="O975" s="59"/>
      <c r="P975" s="59"/>
    </row>
    <row r="976" spans="1:16">
      <c r="A976" s="71">
        <f ca="1">IFERROR(__xludf.DUMMYFUNCTION("""COMPUTED_VALUE"""),44804.6392903125)</f>
        <v>44804.639290312502</v>
      </c>
      <c r="B976" s="59" t="str">
        <f ca="1">IFERROR(__xludf.DUMMYFUNCTION("""COMPUTED_VALUE"""),"Vekariya Devanshi Arvindbhai ")</f>
        <v xml:space="preserve">Vekariya Devanshi Arvindbhai </v>
      </c>
      <c r="C976" s="72" t="str">
        <f ca="1">IFERROR(__xludf.DUMMYFUNCTION("""COMPUTED_VALUE"""),"20SDSCE01139")</f>
        <v>20SDSCE01139</v>
      </c>
      <c r="D976" s="73">
        <f ca="1">IFERROR(__xludf.DUMMYFUNCTION("""COMPUTED_VALUE"""),44804)</f>
        <v>44804</v>
      </c>
      <c r="E976" s="74">
        <f ca="1">IFERROR(__xludf.DUMMYFUNCTION("""COMPUTED_VALUE"""),25000)</f>
        <v>25000</v>
      </c>
      <c r="F976" s="72">
        <f ca="1">IFERROR(__xludf.DUMMYFUNCTION("""COMPUTED_VALUE"""),2500)</f>
        <v>2500</v>
      </c>
      <c r="G976" s="75"/>
      <c r="H976" s="59" t="str">
        <f ca="1">IFERROR(__xludf.DUMMYFUNCTION("""COMPUTED_VALUE"""),"UPDATE")</f>
        <v>UPDATE</v>
      </c>
      <c r="I976" s="76" t="str">
        <f ca="1">IFERROR(__xludf.DUMMYFUNCTION("""COMPUTED_VALUE"""),"https://drive.google.com/open?id=1hbQJYqbfw_VKjQEjgeD6f0yn3t7qYnxT")</f>
        <v>https://drive.google.com/open?id=1hbQJYqbfw_VKjQEjgeD6f0yn3t7qYnxT</v>
      </c>
      <c r="J976" s="59"/>
      <c r="K976" s="59"/>
      <c r="L976" s="59"/>
      <c r="M976" s="59"/>
      <c r="N976" s="59"/>
      <c r="O976" s="59"/>
      <c r="P976" s="59"/>
    </row>
    <row r="977" spans="1:16">
      <c r="A977" s="71">
        <f ca="1">IFERROR(__xludf.DUMMYFUNCTION("""COMPUTED_VALUE"""),44803.8516139351)</f>
        <v>44803.851613935098</v>
      </c>
      <c r="B977" s="59" t="str">
        <f ca="1">IFERROR(__xludf.DUMMYFUNCTION("""COMPUTED_VALUE"""),"Bhimani bhargav Manish bhai")</f>
        <v>Bhimani bhargav Manish bhai</v>
      </c>
      <c r="C977" s="72" t="str">
        <f ca="1">IFERROR(__xludf.DUMMYFUNCTION("""COMPUTED_VALUE"""),"20SDSCE01012")</f>
        <v>20SDSCE01012</v>
      </c>
      <c r="D977" s="73">
        <f ca="1">IFERROR(__xludf.DUMMYFUNCTION("""COMPUTED_VALUE"""),44803)</f>
        <v>44803</v>
      </c>
      <c r="E977" s="74">
        <f ca="1">IFERROR(__xludf.DUMMYFUNCTION("""COMPUTED_VALUE"""),12500)</f>
        <v>12500</v>
      </c>
      <c r="F977" s="72"/>
      <c r="G977" s="75"/>
      <c r="H977" s="59" t="str">
        <f ca="1">IFERROR(__xludf.DUMMYFUNCTION("""COMPUTED_VALUE"""),"UPDATE")</f>
        <v>UPDATE</v>
      </c>
      <c r="I977" s="76" t="str">
        <f ca="1">IFERROR(__xludf.DUMMYFUNCTION("""COMPUTED_VALUE"""),"https://drive.google.com/open?id=1QNEfjKpzm9z76XAdnyMJ8CHdTsN1HN4z")</f>
        <v>https://drive.google.com/open?id=1QNEfjKpzm9z76XAdnyMJ8CHdTsN1HN4z</v>
      </c>
      <c r="J977" s="59"/>
      <c r="K977" s="59"/>
      <c r="L977" s="59"/>
      <c r="M977" s="59"/>
      <c r="N977" s="59"/>
      <c r="O977" s="59"/>
      <c r="P977" s="59"/>
    </row>
    <row r="978" spans="1:16">
      <c r="A978" s="71">
        <f ca="1">IFERROR(__xludf.DUMMYFUNCTION("""COMPUTED_VALUE"""),44802.9199189467)</f>
        <v>44802.919918946704</v>
      </c>
      <c r="B978" s="59" t="str">
        <f ca="1">IFERROR(__xludf.DUMMYFUNCTION("""COMPUTED_VALUE"""),"Ranpariya Prutha Chandrakantbhai")</f>
        <v>Ranpariya Prutha Chandrakantbhai</v>
      </c>
      <c r="C978" s="72" t="str">
        <f ca="1">IFERROR(__xludf.DUMMYFUNCTION("""COMPUTED_VALUE"""),"21SDSCE01042")</f>
        <v>21SDSCE01042</v>
      </c>
      <c r="D978" s="73">
        <f ca="1">IFERROR(__xludf.DUMMYFUNCTION("""COMPUTED_VALUE"""),44797)</f>
        <v>44797</v>
      </c>
      <c r="E978" s="74">
        <f ca="1">IFERROR(__xludf.DUMMYFUNCTION("""COMPUTED_VALUE"""),0)</f>
        <v>0</v>
      </c>
      <c r="F978" s="72">
        <f ca="1">IFERROR(__xludf.DUMMYFUNCTION("""COMPUTED_VALUE"""),0)</f>
        <v>0</v>
      </c>
      <c r="G978" s="75"/>
      <c r="H978" s="59" t="str">
        <f ca="1">IFERROR(__xludf.DUMMYFUNCTION("""COMPUTED_VALUE"""),"UPDATE")</f>
        <v>UPDATE</v>
      </c>
      <c r="I978" s="76" t="str">
        <f ca="1">IFERROR(__xludf.DUMMYFUNCTION("""COMPUTED_VALUE"""),"https://drive.google.com/open?id=15494Lr4j7gwNha0FHSbLZQp2YVF0IqJc")</f>
        <v>https://drive.google.com/open?id=15494Lr4j7gwNha0FHSbLZQp2YVF0IqJc</v>
      </c>
      <c r="J978" s="59"/>
      <c r="K978" s="59"/>
      <c r="L978" s="59"/>
      <c r="M978" s="59"/>
      <c r="N978" s="59"/>
      <c r="O978" s="59"/>
      <c r="P978" s="59"/>
    </row>
    <row r="979" spans="1:16">
      <c r="A979" s="71">
        <f ca="1">IFERROR(__xludf.DUMMYFUNCTION("""COMPUTED_VALUE"""),44800.553505)</f>
        <v>44800.553505000003</v>
      </c>
      <c r="B979" s="59" t="str">
        <f ca="1">IFERROR(__xludf.DUMMYFUNCTION("""COMPUTED_VALUE"""),"Himanshu Pansuriya ")</f>
        <v xml:space="preserve">Himanshu Pansuriya </v>
      </c>
      <c r="C979" s="72" t="str">
        <f ca="1">IFERROR(__xludf.DUMMYFUNCTION("""COMPUTED_VALUE"""),"20SDSCE01075")</f>
        <v>20SDSCE01075</v>
      </c>
      <c r="D979" s="73">
        <f ca="1">IFERROR(__xludf.DUMMYFUNCTION("""COMPUTED_VALUE"""),44800)</f>
        <v>44800</v>
      </c>
      <c r="E979" s="74">
        <f ca="1">IFERROR(__xludf.DUMMYFUNCTION("""COMPUTED_VALUE"""),12500)</f>
        <v>12500</v>
      </c>
      <c r="F979" s="72"/>
      <c r="G979" s="75"/>
      <c r="H979" s="59" t="str">
        <f ca="1">IFERROR(__xludf.DUMMYFUNCTION("""COMPUTED_VALUE"""),"UPDATE")</f>
        <v>UPDATE</v>
      </c>
      <c r="I979" s="76" t="str">
        <f ca="1">IFERROR(__xludf.DUMMYFUNCTION("""COMPUTED_VALUE"""),"https://drive.google.com/open?id=1oruU03Pqt6LvkrsF-kNM-BAg0UaqHXiv")</f>
        <v>https://drive.google.com/open?id=1oruU03Pqt6LvkrsF-kNM-BAg0UaqHXiv</v>
      </c>
      <c r="J979" s="59"/>
      <c r="K979" s="59"/>
      <c r="L979" s="59"/>
      <c r="M979" s="59"/>
      <c r="N979" s="59"/>
      <c r="O979" s="59"/>
      <c r="P979" s="59"/>
    </row>
    <row r="980" spans="1:16">
      <c r="A980" s="71">
        <f ca="1">IFERROR(__xludf.DUMMYFUNCTION("""COMPUTED_VALUE"""),44800.4399218518)</f>
        <v>44800.439921851801</v>
      </c>
      <c r="B980" s="59" t="str">
        <f ca="1">IFERROR(__xludf.DUMMYFUNCTION("""COMPUTED_VALUE"""),"Bhimani bhargav Manish bhai")</f>
        <v>Bhimani bhargav Manish bhai</v>
      </c>
      <c r="C980" s="72" t="str">
        <f ca="1">IFERROR(__xludf.DUMMYFUNCTION("""COMPUTED_VALUE"""),"20SDSCE01012")</f>
        <v>20SDSCE01012</v>
      </c>
      <c r="D980" s="73">
        <f ca="1">IFERROR(__xludf.DUMMYFUNCTION("""COMPUTED_VALUE"""),44800)</f>
        <v>44800</v>
      </c>
      <c r="E980" s="74">
        <f ca="1">IFERROR(__xludf.DUMMYFUNCTION("""COMPUTED_VALUE"""),25000)</f>
        <v>25000</v>
      </c>
      <c r="F980" s="72"/>
      <c r="G980" s="75"/>
      <c r="H980" s="59" t="str">
        <f ca="1">IFERROR(__xludf.DUMMYFUNCTION("""COMPUTED_VALUE"""),"UPDATE")</f>
        <v>UPDATE</v>
      </c>
      <c r="I980" s="76" t="str">
        <f ca="1">IFERROR(__xludf.DUMMYFUNCTION("""COMPUTED_VALUE"""),"https://drive.google.com/open?id=1NsFiLO3pjxgncHUS_MAezZIExrBfQqzt")</f>
        <v>https://drive.google.com/open?id=1NsFiLO3pjxgncHUS_MAezZIExrBfQqzt</v>
      </c>
      <c r="J980" s="59"/>
      <c r="K980" s="59"/>
      <c r="L980" s="59"/>
      <c r="M980" s="59"/>
      <c r="N980" s="59"/>
      <c r="O980" s="59"/>
      <c r="P980" s="59"/>
    </row>
    <row r="981" spans="1:16">
      <c r="A981" s="71">
        <f ca="1">IFERROR(__xludf.DUMMYFUNCTION("""COMPUTED_VALUE"""),44794.6717724421)</f>
        <v>44794.671772442103</v>
      </c>
      <c r="B981" s="59" t="str">
        <f ca="1">IFERROR(__xludf.DUMMYFUNCTION("""COMPUTED_VALUE"""),"Teravadiya Harmis Kishorbhai")</f>
        <v>Teravadiya Harmis Kishorbhai</v>
      </c>
      <c r="C981" s="72" t="str">
        <f ca="1">IFERROR(__xludf.DUMMYFUNCTION("""COMPUTED_VALUE"""),"21SDSCE01107")</f>
        <v>21SDSCE01107</v>
      </c>
      <c r="D981" s="73">
        <f ca="1">IFERROR(__xludf.DUMMYFUNCTION("""COMPUTED_VALUE"""),44775)</f>
        <v>44775</v>
      </c>
      <c r="E981" s="72"/>
      <c r="F981" s="72"/>
      <c r="G981" s="75"/>
      <c r="H981" s="59" t="str">
        <f ca="1">IFERROR(__xludf.DUMMYFUNCTION("""COMPUTED_VALUE"""),"UPDATE")</f>
        <v>UPDATE</v>
      </c>
      <c r="I981" s="76" t="str">
        <f ca="1">IFERROR(__xludf.DUMMYFUNCTION("""COMPUTED_VALUE"""),"https://drive.google.com/open?id=1NjnGrqwHg9kVDzST7iu3lN6dLHgN806d")</f>
        <v>https://drive.google.com/open?id=1NjnGrqwHg9kVDzST7iu3lN6dLHgN806d</v>
      </c>
      <c r="J981" s="59"/>
      <c r="K981" s="59"/>
      <c r="L981" s="59"/>
      <c r="M981" s="59"/>
      <c r="N981" s="59"/>
      <c r="O981" s="59"/>
      <c r="P981" s="59"/>
    </row>
    <row r="982" spans="1:16">
      <c r="A982" s="71">
        <f ca="1">IFERROR(__xludf.DUMMYFUNCTION("""COMPUTED_VALUE"""),44781.4448987847)</f>
        <v>44781.444898784699</v>
      </c>
      <c r="B982" s="59" t="str">
        <f ca="1">IFERROR(__xludf.DUMMYFUNCTION("""COMPUTED_VALUE"""),"Zinzuvadiya Raj ")</f>
        <v xml:space="preserve">Zinzuvadiya Raj </v>
      </c>
      <c r="C982" s="72" t="str">
        <f ca="1">IFERROR(__xludf.DUMMYFUNCTION("""COMPUTED_VALUE"""),"20SDSCE01143")</f>
        <v>20SDSCE01143</v>
      </c>
      <c r="D982" s="73">
        <f ca="1">IFERROR(__xludf.DUMMYFUNCTION("""COMPUTED_VALUE"""),44781)</f>
        <v>44781</v>
      </c>
      <c r="E982" s="72"/>
      <c r="F982" s="72"/>
      <c r="G982" s="75"/>
      <c r="H982" s="59" t="str">
        <f ca="1">IFERROR(__xludf.DUMMYFUNCTION("""COMPUTED_VALUE"""),"UPDATE")</f>
        <v>UPDATE</v>
      </c>
      <c r="I982" s="76" t="str">
        <f ca="1">IFERROR(__xludf.DUMMYFUNCTION("""COMPUTED_VALUE"""),"https://drive.google.com/open?id=1HucNTIa06guD2xfJ0LVLNtUMh9OnCGab")</f>
        <v>https://drive.google.com/open?id=1HucNTIa06guD2xfJ0LVLNtUMh9OnCGab</v>
      </c>
      <c r="J982" s="59"/>
      <c r="K982" s="59"/>
      <c r="L982" s="59"/>
      <c r="M982" s="59"/>
      <c r="N982" s="59"/>
      <c r="O982" s="59"/>
      <c r="P982" s="59"/>
    </row>
    <row r="983" spans="1:16">
      <c r="A983" s="71">
        <f ca="1">IFERROR(__xludf.DUMMYFUNCTION("""COMPUTED_VALUE"""),44781.4230990277)</f>
        <v>44781.423099027699</v>
      </c>
      <c r="B983" s="59" t="str">
        <f ca="1">IFERROR(__xludf.DUMMYFUNCTION("""COMPUTED_VALUE"""),"Zinzuvadiya Raj ")</f>
        <v xml:space="preserve">Zinzuvadiya Raj </v>
      </c>
      <c r="C983" s="72" t="str">
        <f ca="1">IFERROR(__xludf.DUMMYFUNCTION("""COMPUTED_VALUE"""),"20SDSCE01143")</f>
        <v>20SDSCE01143</v>
      </c>
      <c r="D983" s="73">
        <f ca="1">IFERROR(__xludf.DUMMYFUNCTION("""COMPUTED_VALUE"""),44778)</f>
        <v>44778</v>
      </c>
      <c r="E983" s="74">
        <f ca="1">IFERROR(__xludf.DUMMYFUNCTION("""COMPUTED_VALUE"""),2500)</f>
        <v>2500</v>
      </c>
      <c r="F983" s="72"/>
      <c r="G983" s="75"/>
      <c r="H983" s="59" t="str">
        <f ca="1">IFERROR(__xludf.DUMMYFUNCTION("""COMPUTED_VALUE"""),"UPDATE")</f>
        <v>UPDATE</v>
      </c>
      <c r="I983" s="76" t="str">
        <f ca="1">IFERROR(__xludf.DUMMYFUNCTION("""COMPUTED_VALUE"""),"https://drive.google.com/open?id=1WFCwwu7bAal8TrbrZ2hcEQKNXuzJLadY")</f>
        <v>https://drive.google.com/open?id=1WFCwwu7bAal8TrbrZ2hcEQKNXuzJLadY</v>
      </c>
      <c r="J983" s="59"/>
      <c r="K983" s="59"/>
      <c r="L983" s="59"/>
      <c r="M983" s="59"/>
      <c r="N983" s="59"/>
      <c r="O983" s="59"/>
      <c r="P983" s="59"/>
    </row>
    <row r="984" spans="1:16">
      <c r="A984" s="71">
        <f ca="1">IFERROR(__xludf.DUMMYFUNCTION("""COMPUTED_VALUE"""),44781.4207859722)</f>
        <v>44781.420785972201</v>
      </c>
      <c r="B984" s="59" t="str">
        <f ca="1">IFERROR(__xludf.DUMMYFUNCTION("""COMPUTED_VALUE"""),"Zinzuvadiya Raj Manojbhai")</f>
        <v>Zinzuvadiya Raj Manojbhai</v>
      </c>
      <c r="C984" s="72" t="str">
        <f ca="1">IFERROR(__xludf.DUMMYFUNCTION("""COMPUTED_VALUE"""),"20SDSCE01143")</f>
        <v>20SDSCE01143</v>
      </c>
      <c r="D984" s="73">
        <f ca="1">IFERROR(__xludf.DUMMYFUNCTION("""COMPUTED_VALUE"""),44778)</f>
        <v>44778</v>
      </c>
      <c r="E984" s="72"/>
      <c r="F984" s="72">
        <f ca="1">IFERROR(__xludf.DUMMYFUNCTION("""COMPUTED_VALUE"""),12500)</f>
        <v>12500</v>
      </c>
      <c r="G984" s="75"/>
      <c r="H984" s="59" t="str">
        <f ca="1">IFERROR(__xludf.DUMMYFUNCTION("""COMPUTED_VALUE"""),"UPDATE")</f>
        <v>UPDATE</v>
      </c>
      <c r="I984" s="76" t="str">
        <f ca="1">IFERROR(__xludf.DUMMYFUNCTION("""COMPUTED_VALUE"""),"https://drive.google.com/open?id=1D1QpT2cV75_Iy3rkDITvBTSrE6KgHcmA")</f>
        <v>https://drive.google.com/open?id=1D1QpT2cV75_Iy3rkDITvBTSrE6KgHcmA</v>
      </c>
      <c r="J984" s="59"/>
      <c r="K984" s="59"/>
      <c r="L984" s="59"/>
      <c r="M984" s="59"/>
      <c r="N984" s="59"/>
      <c r="O984" s="59"/>
      <c r="P984" s="59"/>
    </row>
    <row r="985" spans="1:16">
      <c r="A985" s="71">
        <f ca="1">IFERROR(__xludf.DUMMYFUNCTION("""COMPUTED_VALUE"""),44780.9609155555)</f>
        <v>44780.960915555501</v>
      </c>
      <c r="B985" s="59" t="str">
        <f ca="1">IFERROR(__xludf.DUMMYFUNCTION("""COMPUTED_VALUE"""),"Meet Vasant ")</f>
        <v xml:space="preserve">Meet Vasant </v>
      </c>
      <c r="C985" s="72" t="str">
        <f ca="1">IFERROR(__xludf.DUMMYFUNCTION("""COMPUTED_VALUE"""),"20SDSCE01138")</f>
        <v>20SDSCE01138</v>
      </c>
      <c r="D985" s="73">
        <f ca="1">IFERROR(__xludf.DUMMYFUNCTION("""COMPUTED_VALUE"""),44780)</f>
        <v>44780</v>
      </c>
      <c r="E985" s="74">
        <f ca="1">IFERROR(__xludf.DUMMYFUNCTION("""COMPUTED_VALUE"""),25000)</f>
        <v>25000</v>
      </c>
      <c r="F985" s="72">
        <f ca="1">IFERROR(__xludf.DUMMYFUNCTION("""COMPUTED_VALUE"""),2500)</f>
        <v>2500</v>
      </c>
      <c r="G985" s="75"/>
      <c r="H985" s="59" t="str">
        <f ca="1">IFERROR(__xludf.DUMMYFUNCTION("""COMPUTED_VALUE"""),"UPDATE")</f>
        <v>UPDATE</v>
      </c>
      <c r="I985" s="76" t="str">
        <f ca="1">IFERROR(__xludf.DUMMYFUNCTION("""COMPUTED_VALUE"""),"https://drive.google.com/open?id=1sADZkJKXl8jTYOHgmOh8XwC89l4i7-Dd")</f>
        <v>https://drive.google.com/open?id=1sADZkJKXl8jTYOHgmOh8XwC89l4i7-Dd</v>
      </c>
      <c r="J985" s="59"/>
      <c r="K985" s="59"/>
      <c r="L985" s="59"/>
      <c r="M985" s="59"/>
      <c r="N985" s="59"/>
      <c r="O985" s="59"/>
      <c r="P985" s="59"/>
    </row>
    <row r="986" spans="1:16">
      <c r="A986" s="71">
        <f ca="1">IFERROR(__xludf.DUMMYFUNCTION("""COMPUTED_VALUE"""),44779.820931412)</f>
        <v>44779.820931412003</v>
      </c>
      <c r="B986" s="59" t="str">
        <f ca="1">IFERROR(__xludf.DUMMYFUNCTION("""COMPUTED_VALUE"""),"Kothiya Keval Vinodbhai ")</f>
        <v xml:space="preserve">Kothiya Keval Vinodbhai </v>
      </c>
      <c r="C986" s="72" t="str">
        <f ca="1">IFERROR(__xludf.DUMMYFUNCTION("""COMPUTED_VALUE"""),"21SDSCE01031")</f>
        <v>21SDSCE01031</v>
      </c>
      <c r="D986" s="73">
        <f ca="1">IFERROR(__xludf.DUMMYFUNCTION("""COMPUTED_VALUE"""),44779)</f>
        <v>44779</v>
      </c>
      <c r="E986" s="72"/>
      <c r="F986" s="72">
        <f ca="1">IFERROR(__xludf.DUMMYFUNCTION("""COMPUTED_VALUE"""),2500)</f>
        <v>2500</v>
      </c>
      <c r="G986" s="75"/>
      <c r="H986" s="59" t="str">
        <f ca="1">IFERROR(__xludf.DUMMYFUNCTION("""COMPUTED_VALUE"""),"UPDATE")</f>
        <v>UPDATE</v>
      </c>
      <c r="I986" s="76" t="str">
        <f ca="1">IFERROR(__xludf.DUMMYFUNCTION("""COMPUTED_VALUE"""),"https://drive.google.com/open?id=1QsXUKnqzcoaNguJna6A6KFRqlCmwJLgg")</f>
        <v>https://drive.google.com/open?id=1QsXUKnqzcoaNguJna6A6KFRqlCmwJLgg</v>
      </c>
      <c r="J986" s="59"/>
      <c r="K986" s="59"/>
      <c r="L986" s="59"/>
      <c r="M986" s="59"/>
      <c r="N986" s="59"/>
      <c r="O986" s="59"/>
      <c r="P986" s="59"/>
    </row>
    <row r="987" spans="1:16">
      <c r="A987" s="71">
        <f ca="1">IFERROR(__xludf.DUMMYFUNCTION("""COMPUTED_VALUE"""),44779.5644724074)</f>
        <v>44779.564472407401</v>
      </c>
      <c r="B987" s="59" t="str">
        <f ca="1">IFERROR(__xludf.DUMMYFUNCTION("""COMPUTED_VALUE"""),"Pagdar Abhishek ")</f>
        <v xml:space="preserve">Pagdar Abhishek </v>
      </c>
      <c r="C987" s="72" t="str">
        <f ca="1">IFERROR(__xludf.DUMMYFUNCTION("""COMPUTED_VALUE"""),"21SDSCE01136")</f>
        <v>21SDSCE01136</v>
      </c>
      <c r="D987" s="73">
        <f ca="1">IFERROR(__xludf.DUMMYFUNCTION("""COMPUTED_VALUE"""),44779)</f>
        <v>44779</v>
      </c>
      <c r="E987" s="72"/>
      <c r="F987" s="72">
        <f ca="1">IFERROR(__xludf.DUMMYFUNCTION("""COMPUTED_VALUE"""),2500)</f>
        <v>2500</v>
      </c>
      <c r="G987" s="75"/>
      <c r="H987" s="59" t="str">
        <f ca="1">IFERROR(__xludf.DUMMYFUNCTION("""COMPUTED_VALUE"""),"UPDATE")</f>
        <v>UPDATE</v>
      </c>
      <c r="I987" s="76" t="str">
        <f ca="1">IFERROR(__xludf.DUMMYFUNCTION("""COMPUTED_VALUE"""),"https://drive.google.com/open?id=1igZ-JRB3ZtV4__pOBHhPcFbWjJHJ_yfO")</f>
        <v>https://drive.google.com/open?id=1igZ-JRB3ZtV4__pOBHhPcFbWjJHJ_yfO</v>
      </c>
      <c r="J987" s="59"/>
      <c r="K987" s="59"/>
      <c r="L987" s="59"/>
      <c r="M987" s="59"/>
      <c r="N987" s="59"/>
      <c r="O987" s="59"/>
      <c r="P987" s="59"/>
    </row>
    <row r="988" spans="1:16">
      <c r="A988" s="71">
        <f ca="1">IFERROR(__xludf.DUMMYFUNCTION("""COMPUTED_VALUE"""),44778.8513268287)</f>
        <v>44778.851326828699</v>
      </c>
      <c r="B988" s="59" t="str">
        <f ca="1">IFERROR(__xludf.DUMMYFUNCTION("""COMPUTED_VALUE"""),"Thummar meet mukeshbhai")</f>
        <v>Thummar meet mukeshbhai</v>
      </c>
      <c r="C988" s="72" t="str">
        <f ca="1">IFERROR(__xludf.DUMMYFUNCTION("""COMPUTED_VALUE"""),"20SDSEE01026")</f>
        <v>20SDSEE01026</v>
      </c>
      <c r="D988" s="73">
        <f ca="1">IFERROR(__xludf.DUMMYFUNCTION("""COMPUTED_VALUE"""),44778)</f>
        <v>44778</v>
      </c>
      <c r="E988" s="72"/>
      <c r="F988" s="72">
        <f ca="1">IFERROR(__xludf.DUMMYFUNCTION("""COMPUTED_VALUE"""),2500)</f>
        <v>2500</v>
      </c>
      <c r="G988" s="75"/>
      <c r="H988" s="59" t="str">
        <f ca="1">IFERROR(__xludf.DUMMYFUNCTION("""COMPUTED_VALUE"""),"UPDATE")</f>
        <v>UPDATE</v>
      </c>
      <c r="I988" s="76" t="str">
        <f ca="1">IFERROR(__xludf.DUMMYFUNCTION("""COMPUTED_VALUE"""),"https://drive.google.com/open?id=17Jc6PgrAVkUs0piPwSd4gHbu2W-9QAGB")</f>
        <v>https://drive.google.com/open?id=17Jc6PgrAVkUs0piPwSd4gHbu2W-9QAGB</v>
      </c>
      <c r="J988" s="59"/>
      <c r="K988" s="59"/>
      <c r="L988" s="59"/>
      <c r="M988" s="59"/>
      <c r="N988" s="59"/>
      <c r="O988" s="59"/>
      <c r="P988" s="59"/>
    </row>
    <row r="989" spans="1:16">
      <c r="A989" s="71">
        <f ca="1">IFERROR(__xludf.DUMMYFUNCTION("""COMPUTED_VALUE"""),44778.847452118)</f>
        <v>44778.847452118003</v>
      </c>
      <c r="B989" s="59" t="str">
        <f ca="1">IFERROR(__xludf.DUMMYFUNCTION("""COMPUTED_VALUE"""),"Thummar meet mukeshnhai")</f>
        <v>Thummar meet mukeshnhai</v>
      </c>
      <c r="C989" s="72" t="str">
        <f ca="1">IFERROR(__xludf.DUMMYFUNCTION("""COMPUTED_VALUE"""),"20SDSEE01026")</f>
        <v>20SDSEE01026</v>
      </c>
      <c r="D989" s="73">
        <f ca="1">IFERROR(__xludf.DUMMYFUNCTION("""COMPUTED_VALUE"""),44778)</f>
        <v>44778</v>
      </c>
      <c r="E989" s="74">
        <f ca="1">IFERROR(__xludf.DUMMYFUNCTION("""COMPUTED_VALUE"""),20000)</f>
        <v>20000</v>
      </c>
      <c r="F989" s="72"/>
      <c r="G989" s="75"/>
      <c r="H989" s="59" t="str">
        <f ca="1">IFERROR(__xludf.DUMMYFUNCTION("""COMPUTED_VALUE"""),"UPDATE")</f>
        <v>UPDATE</v>
      </c>
      <c r="I989" s="76" t="str">
        <f ca="1">IFERROR(__xludf.DUMMYFUNCTION("""COMPUTED_VALUE"""),"https://drive.google.com/open?id=1TYlJ9ioH9p1wv5-RZWAt771utf8kRy2-")</f>
        <v>https://drive.google.com/open?id=1TYlJ9ioH9p1wv5-RZWAt771utf8kRy2-</v>
      </c>
      <c r="J989" s="59"/>
      <c r="K989" s="59"/>
      <c r="L989" s="59"/>
      <c r="M989" s="59"/>
      <c r="N989" s="59"/>
      <c r="O989" s="59"/>
      <c r="P989" s="59"/>
    </row>
    <row r="990" spans="1:16">
      <c r="A990" s="71">
        <f ca="1">IFERROR(__xludf.DUMMYFUNCTION("""COMPUTED_VALUE"""),44778.0358823842)</f>
        <v>44778.035882384203</v>
      </c>
      <c r="B990" s="59" t="str">
        <f ca="1">IFERROR(__xludf.DUMMYFUNCTION("""COMPUTED_VALUE"""),"Harshil Vanparia")</f>
        <v>Harshil Vanparia</v>
      </c>
      <c r="C990" s="72" t="str">
        <f ca="1">IFERROR(__xludf.DUMMYFUNCTION("""COMPUTED_VALUE"""),"20SDSCE01137")</f>
        <v>20SDSCE01137</v>
      </c>
      <c r="D990" s="73">
        <f ca="1">IFERROR(__xludf.DUMMYFUNCTION("""COMPUTED_VALUE"""),44777)</f>
        <v>44777</v>
      </c>
      <c r="E990" s="72"/>
      <c r="F990" s="72">
        <f ca="1">IFERROR(__xludf.DUMMYFUNCTION("""COMPUTED_VALUE"""),2500)</f>
        <v>2500</v>
      </c>
      <c r="G990" s="75"/>
      <c r="H990" s="59" t="str">
        <f ca="1">IFERROR(__xludf.DUMMYFUNCTION("""COMPUTED_VALUE"""),"UPDATE")</f>
        <v>UPDATE</v>
      </c>
      <c r="I990" s="76" t="str">
        <f ca="1">IFERROR(__xludf.DUMMYFUNCTION("""COMPUTED_VALUE"""),"https://drive.google.com/open?id=1BIQpEcpy8uRovH6n-BBgppiXKI9i-xDf")</f>
        <v>https://drive.google.com/open?id=1BIQpEcpy8uRovH6n-BBgppiXKI9i-xDf</v>
      </c>
      <c r="J990" s="59"/>
      <c r="K990" s="59"/>
      <c r="L990" s="59"/>
      <c r="M990" s="59"/>
      <c r="N990" s="59"/>
      <c r="O990" s="59"/>
      <c r="P990" s="59"/>
    </row>
    <row r="991" spans="1:16">
      <c r="A991" s="71">
        <f ca="1">IFERROR(__xludf.DUMMYFUNCTION("""COMPUTED_VALUE"""),44777.9354076851)</f>
        <v>44777.935407685101</v>
      </c>
      <c r="B991" s="59" t="str">
        <f ca="1">IFERROR(__xludf.DUMMYFUNCTION("""COMPUTED_VALUE"""),"Heet mukeshbhai jesur ")</f>
        <v xml:space="preserve">Heet mukeshbhai jesur </v>
      </c>
      <c r="C991" s="72" t="str">
        <f ca="1">IFERROR(__xludf.DUMMYFUNCTION("""COMPUTED_VALUE"""),"20SDSEE01012")</f>
        <v>20SDSEE01012</v>
      </c>
      <c r="D991" s="73">
        <f ca="1">IFERROR(__xludf.DUMMYFUNCTION("""COMPUTED_VALUE"""),44734)</f>
        <v>44734</v>
      </c>
      <c r="E991" s="74">
        <f ca="1">IFERROR(__xludf.DUMMYFUNCTION("""COMPUTED_VALUE"""),0)</f>
        <v>0</v>
      </c>
      <c r="F991" s="72">
        <f ca="1">IFERROR(__xludf.DUMMYFUNCTION("""COMPUTED_VALUE"""),2500)</f>
        <v>2500</v>
      </c>
      <c r="G991" s="75"/>
      <c r="H991" s="59" t="str">
        <f ca="1">IFERROR(__xludf.DUMMYFUNCTION("""COMPUTED_VALUE"""),"UPDATE")</f>
        <v>UPDATE</v>
      </c>
      <c r="I991" s="76" t="str">
        <f ca="1">IFERROR(__xludf.DUMMYFUNCTION("""COMPUTED_VALUE"""),"https://drive.google.com/open?id=1TxpIbCwHKv2mfDGldI1WEjX-Psjyosoi")</f>
        <v>https://drive.google.com/open?id=1TxpIbCwHKv2mfDGldI1WEjX-Psjyosoi</v>
      </c>
      <c r="J991" s="59"/>
      <c r="K991" s="59"/>
      <c r="L991" s="59"/>
      <c r="M991" s="59"/>
      <c r="N991" s="59"/>
      <c r="O991" s="59"/>
      <c r="P991" s="59"/>
    </row>
    <row r="992" spans="1:16">
      <c r="A992" s="71">
        <f ca="1">IFERROR(__xludf.DUMMYFUNCTION("""COMPUTED_VALUE"""),44777.9343721643)</f>
        <v>44777.934372164302</v>
      </c>
      <c r="B992" s="59" t="str">
        <f ca="1">IFERROR(__xludf.DUMMYFUNCTION("""COMPUTED_VALUE"""),"Heet mukeshbhai jesur ")</f>
        <v xml:space="preserve">Heet mukeshbhai jesur </v>
      </c>
      <c r="C992" s="72" t="str">
        <f ca="1">IFERROR(__xludf.DUMMYFUNCTION("""COMPUTED_VALUE"""),"20SDSEE01012")</f>
        <v>20SDSEE01012</v>
      </c>
      <c r="D992" s="73">
        <f ca="1">IFERROR(__xludf.DUMMYFUNCTION("""COMPUTED_VALUE"""),44734)</f>
        <v>44734</v>
      </c>
      <c r="E992" s="74">
        <f ca="1">IFERROR(__xludf.DUMMYFUNCTION("""COMPUTED_VALUE"""),12500)</f>
        <v>12500</v>
      </c>
      <c r="F992" s="72">
        <f ca="1">IFERROR(__xludf.DUMMYFUNCTION("""COMPUTED_VALUE"""),0)</f>
        <v>0</v>
      </c>
      <c r="G992" s="75"/>
      <c r="H992" s="59" t="str">
        <f ca="1">IFERROR(__xludf.DUMMYFUNCTION("""COMPUTED_VALUE"""),"UPDATE")</f>
        <v>UPDATE</v>
      </c>
      <c r="I992" s="76" t="str">
        <f ca="1">IFERROR(__xludf.DUMMYFUNCTION("""COMPUTED_VALUE"""),"https://drive.google.com/open?id=1HUQKR824hGiYRgs0YSBV6XGjk2o8jsxJ")</f>
        <v>https://drive.google.com/open?id=1HUQKR824hGiYRgs0YSBV6XGjk2o8jsxJ</v>
      </c>
      <c r="J992" s="59"/>
      <c r="K992" s="59"/>
      <c r="L992" s="59"/>
      <c r="M992" s="59"/>
      <c r="N992" s="59"/>
      <c r="O992" s="59"/>
      <c r="P992" s="59"/>
    </row>
    <row r="993" spans="1:16">
      <c r="A993" s="71">
        <f ca="1">IFERROR(__xludf.DUMMYFUNCTION("""COMPUTED_VALUE"""),44777.9329533796)</f>
        <v>44777.932953379597</v>
      </c>
      <c r="B993" s="59" t="str">
        <f ca="1">IFERROR(__xludf.DUMMYFUNCTION("""COMPUTED_VALUE"""),"Heet mukeshbhai jesur")</f>
        <v>Heet mukeshbhai jesur</v>
      </c>
      <c r="C993" s="72" t="str">
        <f ca="1">IFERROR(__xludf.DUMMYFUNCTION("""COMPUTED_VALUE"""),"20SDSEE01012")</f>
        <v>20SDSEE01012</v>
      </c>
      <c r="D993" s="73">
        <f ca="1">IFERROR(__xludf.DUMMYFUNCTION("""COMPUTED_VALUE"""),44734)</f>
        <v>44734</v>
      </c>
      <c r="E993" s="74">
        <f ca="1">IFERROR(__xludf.DUMMYFUNCTION("""COMPUTED_VALUE"""),12500)</f>
        <v>12500</v>
      </c>
      <c r="F993" s="72">
        <f ca="1">IFERROR(__xludf.DUMMYFUNCTION("""COMPUTED_VALUE"""),0)</f>
        <v>0</v>
      </c>
      <c r="G993" s="75"/>
      <c r="H993" s="59" t="str">
        <f ca="1">IFERROR(__xludf.DUMMYFUNCTION("""COMPUTED_VALUE"""),"UPDATE")</f>
        <v>UPDATE</v>
      </c>
      <c r="I993" s="76" t="str">
        <f ca="1">IFERROR(__xludf.DUMMYFUNCTION("""COMPUTED_VALUE"""),"https://drive.google.com/open?id=1UmDGWj_NRRFxXbxfb1LI4CYDSJjUM-hq")</f>
        <v>https://drive.google.com/open?id=1UmDGWj_NRRFxXbxfb1LI4CYDSJjUM-hq</v>
      </c>
      <c r="J993" s="59"/>
      <c r="K993" s="59"/>
      <c r="L993" s="59"/>
      <c r="M993" s="59"/>
      <c r="N993" s="59"/>
      <c r="O993" s="59"/>
      <c r="P993" s="59"/>
    </row>
    <row r="994" spans="1:16">
      <c r="A994" s="71">
        <f ca="1">IFERROR(__xludf.DUMMYFUNCTION("""COMPUTED_VALUE"""),44777.8589616666)</f>
        <v>44777.858961666599</v>
      </c>
      <c r="B994" s="59" t="str">
        <f ca="1">IFERROR(__xludf.DUMMYFUNCTION("""COMPUTED_VALUE"""),"KALARIYA JIGAR KIRANBHAI")</f>
        <v>KALARIYA JIGAR KIRANBHAI</v>
      </c>
      <c r="C994" s="72" t="str">
        <f ca="1">IFERROR(__xludf.DUMMYFUNCTION("""COMPUTED_VALUE"""),"20SDSCE01048")</f>
        <v>20SDSCE01048</v>
      </c>
      <c r="D994" s="73">
        <f ca="1">IFERROR(__xludf.DUMMYFUNCTION("""COMPUTED_VALUE"""),44777)</f>
        <v>44777</v>
      </c>
      <c r="E994" s="72"/>
      <c r="F994" s="72">
        <f ca="1">IFERROR(__xludf.DUMMYFUNCTION("""COMPUTED_VALUE"""),2500)</f>
        <v>2500</v>
      </c>
      <c r="G994" s="75"/>
      <c r="H994" s="59" t="str">
        <f ca="1">IFERROR(__xludf.DUMMYFUNCTION("""COMPUTED_VALUE"""),"UPDATE")</f>
        <v>UPDATE</v>
      </c>
      <c r="I994" s="76" t="str">
        <f ca="1">IFERROR(__xludf.DUMMYFUNCTION("""COMPUTED_VALUE"""),"https://drive.google.com/open?id=1g3xTWw32XzbHTKiXq6-nLsKR1slF2UWh")</f>
        <v>https://drive.google.com/open?id=1g3xTWw32XzbHTKiXq6-nLsKR1slF2UWh</v>
      </c>
      <c r="J994" s="59"/>
      <c r="K994" s="59"/>
      <c r="L994" s="59"/>
      <c r="M994" s="59"/>
      <c r="N994" s="59"/>
      <c r="O994" s="59"/>
      <c r="P994" s="59"/>
    </row>
    <row r="995" spans="1:16">
      <c r="A995" s="71">
        <f ca="1">IFERROR(__xludf.DUMMYFUNCTION("""COMPUTED_VALUE"""),44777.8579764699)</f>
        <v>44777.857976469902</v>
      </c>
      <c r="B995" s="59" t="str">
        <f ca="1">IFERROR(__xludf.DUMMYFUNCTION("""COMPUTED_VALUE"""),"KALARIYA JIGAR KIRANBHAI")</f>
        <v>KALARIYA JIGAR KIRANBHAI</v>
      </c>
      <c r="C995" s="72" t="str">
        <f ca="1">IFERROR(__xludf.DUMMYFUNCTION("""COMPUTED_VALUE"""),"20SDSCE01048")</f>
        <v>20SDSCE01048</v>
      </c>
      <c r="D995" s="73">
        <f ca="1">IFERROR(__xludf.DUMMYFUNCTION("""COMPUTED_VALUE"""),44777)</f>
        <v>44777</v>
      </c>
      <c r="E995" s="74">
        <f ca="1">IFERROR(__xludf.DUMMYFUNCTION("""COMPUTED_VALUE"""),6250)</f>
        <v>6250</v>
      </c>
      <c r="F995" s="72"/>
      <c r="G995" s="75"/>
      <c r="H995" s="59" t="str">
        <f ca="1">IFERROR(__xludf.DUMMYFUNCTION("""COMPUTED_VALUE"""),"UPDATE")</f>
        <v>UPDATE</v>
      </c>
      <c r="I995" s="76" t="str">
        <f ca="1">IFERROR(__xludf.DUMMYFUNCTION("""COMPUTED_VALUE"""),"https://drive.google.com/open?id=1JHHTkQ7Nby6mtA9-Y7z4TBI8fm6W4Wls")</f>
        <v>https://drive.google.com/open?id=1JHHTkQ7Nby6mtA9-Y7z4TBI8fm6W4Wls</v>
      </c>
      <c r="J995" s="59"/>
      <c r="K995" s="59"/>
      <c r="L995" s="59"/>
      <c r="M995" s="59"/>
      <c r="N995" s="59"/>
      <c r="O995" s="59"/>
      <c r="P995" s="59"/>
    </row>
    <row r="996" spans="1:16">
      <c r="A996" s="71">
        <f ca="1">IFERROR(__xludf.DUMMYFUNCTION("""COMPUTED_VALUE"""),44777.5979615972)</f>
        <v>44777.597961597203</v>
      </c>
      <c r="B996" s="59" t="str">
        <f ca="1">IFERROR(__xludf.DUMMYFUNCTION("""COMPUTED_VALUE"""),"Pagdar Abhishek ")</f>
        <v xml:space="preserve">Pagdar Abhishek </v>
      </c>
      <c r="C996" s="72" t="str">
        <f ca="1">IFERROR(__xludf.DUMMYFUNCTION("""COMPUTED_VALUE"""),"21SDSCE01136")</f>
        <v>21SDSCE01136</v>
      </c>
      <c r="D996" s="73">
        <f ca="1">IFERROR(__xludf.DUMMYFUNCTION("""COMPUTED_VALUE"""),44777)</f>
        <v>44777</v>
      </c>
      <c r="E996" s="72"/>
      <c r="F996" s="72"/>
      <c r="G996" s="75"/>
      <c r="H996" s="59" t="str">
        <f ca="1">IFERROR(__xludf.DUMMYFUNCTION("""COMPUTED_VALUE"""),"UPDATE")</f>
        <v>UPDATE</v>
      </c>
      <c r="I996" s="76" t="str">
        <f ca="1">IFERROR(__xludf.DUMMYFUNCTION("""COMPUTED_VALUE"""),"https://drive.google.com/open?id=1A0hhpzCJIMed0v8MJ3dPoAIZuyafsYur")</f>
        <v>https://drive.google.com/open?id=1A0hhpzCJIMed0v8MJ3dPoAIZuyafsYur</v>
      </c>
      <c r="J996" s="59"/>
      <c r="K996" s="59"/>
      <c r="L996" s="59"/>
      <c r="M996" s="59"/>
      <c r="N996" s="59"/>
      <c r="O996" s="59"/>
      <c r="P996" s="59"/>
    </row>
    <row r="997" spans="1:16">
      <c r="A997" s="71">
        <f ca="1">IFERROR(__xludf.DUMMYFUNCTION("""COMPUTED_VALUE"""),44777.5804735879)</f>
        <v>44777.580473587899</v>
      </c>
      <c r="B997" s="59" t="str">
        <f ca="1">IFERROR(__xludf.DUMMYFUNCTION("""COMPUTED_VALUE"""),"Timbadiya khush")</f>
        <v>Timbadiya khush</v>
      </c>
      <c r="C997" s="72" t="str">
        <f ca="1">IFERROR(__xludf.DUMMYFUNCTION("""COMPUTED_VALUE"""),"21SDSCE01155")</f>
        <v>21SDSCE01155</v>
      </c>
      <c r="D997" s="73">
        <f ca="1">IFERROR(__xludf.DUMMYFUNCTION("""COMPUTED_VALUE"""),44777)</f>
        <v>44777</v>
      </c>
      <c r="E997" s="72"/>
      <c r="F997" s="72"/>
      <c r="G997" s="75"/>
      <c r="H997" s="59" t="str">
        <f ca="1">IFERROR(__xludf.DUMMYFUNCTION("""COMPUTED_VALUE"""),"UPDATE")</f>
        <v>UPDATE</v>
      </c>
      <c r="I997" s="76" t="str">
        <f ca="1">IFERROR(__xludf.DUMMYFUNCTION("""COMPUTED_VALUE"""),"https://drive.google.com/open?id=1NyZsZBDOaz2gkojuGaQG1GFy1v1pNUdR")</f>
        <v>https://drive.google.com/open?id=1NyZsZBDOaz2gkojuGaQG1GFy1v1pNUdR</v>
      </c>
      <c r="J997" s="59"/>
      <c r="K997" s="59"/>
      <c r="L997" s="59"/>
      <c r="M997" s="59"/>
      <c r="N997" s="59"/>
      <c r="O997" s="59"/>
      <c r="P997" s="59"/>
    </row>
    <row r="998" spans="1:16">
      <c r="A998" s="71">
        <f ca="1">IFERROR(__xludf.DUMMYFUNCTION("""COMPUTED_VALUE"""),44777.499388206)</f>
        <v>44777.499388206001</v>
      </c>
      <c r="B998" s="59" t="str">
        <f ca="1">IFERROR(__xludf.DUMMYFUNCTION("""COMPUTED_VALUE"""),"Deep aghera")</f>
        <v>Deep aghera</v>
      </c>
      <c r="C998" s="72" t="str">
        <f ca="1">IFERROR(__xludf.DUMMYFUNCTION("""COMPUTED_VALUE"""),"21SDSCE01055")</f>
        <v>21SDSCE01055</v>
      </c>
      <c r="D998" s="73">
        <f ca="1">IFERROR(__xludf.DUMMYFUNCTION("""COMPUTED_VALUE"""),44774)</f>
        <v>44774</v>
      </c>
      <c r="E998" s="74">
        <f ca="1">IFERROR(__xludf.DUMMYFUNCTION("""COMPUTED_VALUE"""),25000)</f>
        <v>25000</v>
      </c>
      <c r="F998" s="72">
        <f ca="1">IFERROR(__xludf.DUMMYFUNCTION("""COMPUTED_VALUE"""),2500)</f>
        <v>2500</v>
      </c>
      <c r="G998" s="75"/>
      <c r="H998" s="59" t="str">
        <f ca="1">IFERROR(__xludf.DUMMYFUNCTION("""COMPUTED_VALUE"""),"UPDATE")</f>
        <v>UPDATE</v>
      </c>
      <c r="I998" s="76" t="str">
        <f ca="1">IFERROR(__xludf.DUMMYFUNCTION("""COMPUTED_VALUE"""),"https://drive.google.com/open?id=1CZFl5W-pSUwgQcKlWlNFN-to24FwfTYC")</f>
        <v>https://drive.google.com/open?id=1CZFl5W-pSUwgQcKlWlNFN-to24FwfTYC</v>
      </c>
      <c r="J998" s="59"/>
      <c r="K998" s="59"/>
      <c r="L998" s="59"/>
      <c r="M998" s="59"/>
      <c r="N998" s="59"/>
      <c r="O998" s="59"/>
      <c r="P998" s="59"/>
    </row>
    <row r="999" spans="1:16">
      <c r="A999" s="71">
        <f ca="1">IFERROR(__xludf.DUMMYFUNCTION("""COMPUTED_VALUE"""),44777.4798600347)</f>
        <v>44777.479860034699</v>
      </c>
      <c r="B999" s="59" t="str">
        <f ca="1">IFERROR(__xludf.DUMMYFUNCTION("""COMPUTED_VALUE"""),"aditymakwana")</f>
        <v>aditymakwana</v>
      </c>
      <c r="C999" s="72" t="str">
        <f ca="1">IFERROR(__xludf.DUMMYFUNCTION("""COMPUTED_VALUE"""),"20sdsce01061")</f>
        <v>20sdsce01061</v>
      </c>
      <c r="D999" s="73">
        <f ca="1">IFERROR(__xludf.DUMMYFUNCTION("""COMPUTED_VALUE"""),44728)</f>
        <v>44728</v>
      </c>
      <c r="E999" s="74">
        <f ca="1">IFERROR(__xludf.DUMMYFUNCTION("""COMPUTED_VALUE"""),25000)</f>
        <v>25000</v>
      </c>
      <c r="F999" s="72">
        <f ca="1">IFERROR(__xludf.DUMMYFUNCTION("""COMPUTED_VALUE"""),2500)</f>
        <v>2500</v>
      </c>
      <c r="G999" s="75"/>
      <c r="H999" s="59" t="str">
        <f ca="1">IFERROR(__xludf.DUMMYFUNCTION("""COMPUTED_VALUE"""),"UPDATE")</f>
        <v>UPDATE</v>
      </c>
      <c r="I999" s="76" t="str">
        <f ca="1">IFERROR(__xludf.DUMMYFUNCTION("""COMPUTED_VALUE"""),"https://drive.google.com/open?id=18wEour2bW1D9lGSvT5fr3EifYWhfP-5q")</f>
        <v>https://drive.google.com/open?id=18wEour2bW1D9lGSvT5fr3EifYWhfP-5q</v>
      </c>
      <c r="J999" s="59"/>
      <c r="K999" s="59"/>
      <c r="L999" s="59"/>
      <c r="M999" s="59"/>
      <c r="N999" s="59"/>
      <c r="O999" s="59"/>
      <c r="P999" s="59"/>
    </row>
    <row r="1000" spans="1:16">
      <c r="A1000" s="71">
        <f ca="1">IFERROR(__xludf.DUMMYFUNCTION("""COMPUTED_VALUE"""),44777.4780765625)</f>
        <v>44777.478076562496</v>
      </c>
      <c r="B1000" s="59" t="str">
        <f ca="1">IFERROR(__xludf.DUMMYFUNCTION("""COMPUTED_VALUE"""),"adity makwana")</f>
        <v>adity makwana</v>
      </c>
      <c r="C1000" s="72" t="str">
        <f ca="1">IFERROR(__xludf.DUMMYFUNCTION("""COMPUTED_VALUE"""),"20sdsce01061")</f>
        <v>20sdsce01061</v>
      </c>
      <c r="D1000" s="73">
        <f ca="1">IFERROR(__xludf.DUMMYFUNCTION("""COMPUTED_VALUE"""),44728)</f>
        <v>44728</v>
      </c>
      <c r="E1000" s="74">
        <f ca="1">IFERROR(__xludf.DUMMYFUNCTION("""COMPUTED_VALUE"""),25000)</f>
        <v>25000</v>
      </c>
      <c r="F1000" s="72">
        <f ca="1">IFERROR(__xludf.DUMMYFUNCTION("""COMPUTED_VALUE"""),2500)</f>
        <v>2500</v>
      </c>
      <c r="G1000" s="75"/>
      <c r="H1000" s="59" t="str">
        <f ca="1">IFERROR(__xludf.DUMMYFUNCTION("""COMPUTED_VALUE"""),"UPDATE")</f>
        <v>UPDATE</v>
      </c>
      <c r="I1000" s="76" t="str">
        <f ca="1">IFERROR(__xludf.DUMMYFUNCTION("""COMPUTED_VALUE"""),"https://drive.google.com/open?id=1pJzw-_MGm92fgW2tFHFdlLrUyzCDRVPt")</f>
        <v>https://drive.google.com/open?id=1pJzw-_MGm92fgW2tFHFdlLrUyzCDRVPt</v>
      </c>
      <c r="J1000" s="59"/>
      <c r="K1000" s="59"/>
      <c r="L1000" s="59"/>
      <c r="M1000" s="59"/>
      <c r="N1000" s="59"/>
      <c r="O1000" s="59"/>
      <c r="P1000" s="59"/>
    </row>
    <row r="1001" spans="1:16">
      <c r="A1001" s="71">
        <f ca="1">IFERROR(__xludf.DUMMYFUNCTION("""COMPUTED_VALUE"""),44777.4748198495)</f>
        <v>44777.4748198495</v>
      </c>
      <c r="B1001" s="59" t="str">
        <f ca="1">IFERROR(__xludf.DUMMYFUNCTION("""COMPUTED_VALUE"""),"adity makwana")</f>
        <v>adity makwana</v>
      </c>
      <c r="C1001" s="72" t="str">
        <f ca="1">IFERROR(__xludf.DUMMYFUNCTION("""COMPUTED_VALUE"""),"20sdsce01061")</f>
        <v>20sdsce01061</v>
      </c>
      <c r="D1001" s="73">
        <f ca="1">IFERROR(__xludf.DUMMYFUNCTION("""COMPUTED_VALUE"""),44728)</f>
        <v>44728</v>
      </c>
      <c r="E1001" s="74">
        <f ca="1">IFERROR(__xludf.DUMMYFUNCTION("""COMPUTED_VALUE"""),25000)</f>
        <v>25000</v>
      </c>
      <c r="F1001" s="72">
        <f ca="1">IFERROR(__xludf.DUMMYFUNCTION("""COMPUTED_VALUE"""),2500)</f>
        <v>2500</v>
      </c>
      <c r="G1001" s="75"/>
      <c r="H1001" s="59" t="str">
        <f ca="1">IFERROR(__xludf.DUMMYFUNCTION("""COMPUTED_VALUE"""),"UPDATE")</f>
        <v>UPDATE</v>
      </c>
      <c r="I1001" s="76" t="str">
        <f ca="1">IFERROR(__xludf.DUMMYFUNCTION("""COMPUTED_VALUE"""),"https://drive.google.com/open?id=1EQ4uk8FCwA055eAk6oOGIZ9erpriw_-N")</f>
        <v>https://drive.google.com/open?id=1EQ4uk8FCwA055eAk6oOGIZ9erpriw_-N</v>
      </c>
      <c r="J1001" s="59"/>
      <c r="K1001" s="59"/>
      <c r="L1001" s="59"/>
      <c r="M1001" s="59"/>
      <c r="N1001" s="59"/>
      <c r="O1001" s="59"/>
      <c r="P1001" s="59"/>
    </row>
    <row r="1002" spans="1:16">
      <c r="A1002" s="71">
        <f ca="1">IFERROR(__xludf.DUMMYFUNCTION("""COMPUTED_VALUE"""),44777.4734719444)</f>
        <v>44777.473471944402</v>
      </c>
      <c r="B1002" s="59" t="str">
        <f ca="1">IFERROR(__xludf.DUMMYFUNCTION("""COMPUTED_VALUE"""),"adity makwana")</f>
        <v>adity makwana</v>
      </c>
      <c r="C1002" s="72" t="str">
        <f ca="1">IFERROR(__xludf.DUMMYFUNCTION("""COMPUTED_VALUE"""),"20sdsce01061")</f>
        <v>20sdsce01061</v>
      </c>
      <c r="D1002" s="73">
        <f ca="1">IFERROR(__xludf.DUMMYFUNCTION("""COMPUTED_VALUE"""),44728)</f>
        <v>44728</v>
      </c>
      <c r="E1002" s="74">
        <f ca="1">IFERROR(__xludf.DUMMYFUNCTION("""COMPUTED_VALUE"""),25000)</f>
        <v>25000</v>
      </c>
      <c r="F1002" s="72">
        <f ca="1">IFERROR(__xludf.DUMMYFUNCTION("""COMPUTED_VALUE"""),2500)</f>
        <v>2500</v>
      </c>
      <c r="G1002" s="75"/>
      <c r="H1002" s="59" t="str">
        <f ca="1">IFERROR(__xludf.DUMMYFUNCTION("""COMPUTED_VALUE"""),"UPDATE")</f>
        <v>UPDATE</v>
      </c>
      <c r="I1002" s="76" t="str">
        <f ca="1">IFERROR(__xludf.DUMMYFUNCTION("""COMPUTED_VALUE"""),"https://drive.google.com/open?id=1WX9PvnbYiucqkEgnwvDBKB2so-JfjMUJ")</f>
        <v>https://drive.google.com/open?id=1WX9PvnbYiucqkEgnwvDBKB2so-JfjMUJ</v>
      </c>
      <c r="J1002" s="59"/>
      <c r="K1002" s="59"/>
      <c r="L1002" s="59"/>
      <c r="M1002" s="59"/>
      <c r="N1002" s="59"/>
      <c r="O1002" s="59"/>
      <c r="P1002" s="59"/>
    </row>
    <row r="1003" spans="1:16">
      <c r="A1003" s="71">
        <f ca="1">IFERROR(__xludf.DUMMYFUNCTION("""COMPUTED_VALUE"""),44777.4328702083)</f>
        <v>44777.4328702083</v>
      </c>
      <c r="B1003" s="59" t="str">
        <f ca="1">IFERROR(__xludf.DUMMYFUNCTION("""COMPUTED_VALUE"""),"Vivek devhitka")</f>
        <v>Vivek devhitka</v>
      </c>
      <c r="C1003" s="72" t="str">
        <f ca="1">IFERROR(__xludf.DUMMYFUNCTION("""COMPUTED_VALUE"""),"21sdsce01014")</f>
        <v>21sdsce01014</v>
      </c>
      <c r="D1003" s="73">
        <f ca="1">IFERROR(__xludf.DUMMYFUNCTION("""COMPUTED_VALUE"""),44774)</f>
        <v>44774</v>
      </c>
      <c r="E1003" s="74">
        <f ca="1">IFERROR(__xludf.DUMMYFUNCTION("""COMPUTED_VALUE"""),25000)</f>
        <v>25000</v>
      </c>
      <c r="F1003" s="72">
        <f ca="1">IFERROR(__xludf.DUMMYFUNCTION("""COMPUTED_VALUE"""),12500)</f>
        <v>12500</v>
      </c>
      <c r="G1003" s="75"/>
      <c r="H1003" s="59" t="str">
        <f ca="1">IFERROR(__xludf.DUMMYFUNCTION("""COMPUTED_VALUE"""),"UPDATE")</f>
        <v>UPDATE</v>
      </c>
      <c r="I1003" s="76" t="str">
        <f ca="1">IFERROR(__xludf.DUMMYFUNCTION("""COMPUTED_VALUE"""),"https://drive.google.com/open?id=1nIms1JCfLZR85-nmL3SURS-mLumPmqCj")</f>
        <v>https://drive.google.com/open?id=1nIms1JCfLZR85-nmL3SURS-mLumPmqCj</v>
      </c>
      <c r="J1003" s="59"/>
      <c r="K1003" s="59"/>
      <c r="L1003" s="59"/>
      <c r="M1003" s="59"/>
      <c r="N1003" s="59"/>
      <c r="O1003" s="59"/>
      <c r="P1003" s="59"/>
    </row>
    <row r="1004" spans="1:16">
      <c r="A1004" s="71">
        <f ca="1">IFERROR(__xludf.DUMMYFUNCTION("""COMPUTED_VALUE"""),44776.9480536111)</f>
        <v>44776.9480536111</v>
      </c>
      <c r="B1004" s="59" t="str">
        <f ca="1">IFERROR(__xludf.DUMMYFUNCTION("""COMPUTED_VALUE"""),"Adeshara Umang")</f>
        <v>Adeshara Umang</v>
      </c>
      <c r="C1004" s="72" t="str">
        <f ca="1">IFERROR(__xludf.DUMMYFUNCTION("""COMPUTED_VALUE"""),"20SDSCE01001")</f>
        <v>20SDSCE01001</v>
      </c>
      <c r="D1004" s="73">
        <f ca="1">IFERROR(__xludf.DUMMYFUNCTION("""COMPUTED_VALUE"""),44628)</f>
        <v>44628</v>
      </c>
      <c r="E1004" s="74">
        <f ca="1">IFERROR(__xludf.DUMMYFUNCTION("""COMPUTED_VALUE"""),12500)</f>
        <v>12500</v>
      </c>
      <c r="F1004" s="72">
        <f ca="1">IFERROR(__xludf.DUMMYFUNCTION("""COMPUTED_VALUE"""),2500)</f>
        <v>2500</v>
      </c>
      <c r="G1004" s="75"/>
      <c r="H1004" s="59" t="str">
        <f ca="1">IFERROR(__xludf.DUMMYFUNCTION("""COMPUTED_VALUE"""),"penalty applicable")</f>
        <v>penalty applicable</v>
      </c>
      <c r="I1004" s="76" t="str">
        <f ca="1">IFERROR(__xludf.DUMMYFUNCTION("""COMPUTED_VALUE"""),"https://drive.google.com/open?id=1RLpmEVWYGWn8DAzYsIWpUDYrTHbwSGM3")</f>
        <v>https://drive.google.com/open?id=1RLpmEVWYGWn8DAzYsIWpUDYrTHbwSGM3</v>
      </c>
      <c r="J1004" s="59"/>
      <c r="K1004" s="59"/>
      <c r="L1004" s="59"/>
      <c r="M1004" s="59"/>
      <c r="N1004" s="59"/>
      <c r="O1004" s="59"/>
      <c r="P1004" s="59"/>
    </row>
    <row r="1005" spans="1:16">
      <c r="A1005" s="71">
        <f ca="1">IFERROR(__xludf.DUMMYFUNCTION("""COMPUTED_VALUE"""),44776.8882329282)</f>
        <v>44776.888232928199</v>
      </c>
      <c r="B1005" s="59" t="str">
        <f ca="1">IFERROR(__xludf.DUMMYFUNCTION("""COMPUTED_VALUE"""),"Nisarg Garsondia ")</f>
        <v xml:space="preserve">Nisarg Garsondia </v>
      </c>
      <c r="C1005" s="72" t="str">
        <f ca="1">IFERROR(__xludf.DUMMYFUNCTION("""COMPUTED_VALUE"""),"20SDSEE01010")</f>
        <v>20SDSEE01010</v>
      </c>
      <c r="D1005" s="73">
        <f ca="1">IFERROR(__xludf.DUMMYFUNCTION("""COMPUTED_VALUE"""),44725)</f>
        <v>44725</v>
      </c>
      <c r="E1005" s="74">
        <f ca="1">IFERROR(__xludf.DUMMYFUNCTION("""COMPUTED_VALUE"""),18750)</f>
        <v>18750</v>
      </c>
      <c r="F1005" s="72">
        <f ca="1">IFERROR(__xludf.DUMMYFUNCTION("""COMPUTED_VALUE"""),2500)</f>
        <v>2500</v>
      </c>
      <c r="G1005" s="75"/>
      <c r="H1005" s="59" t="str">
        <f ca="1">IFERROR(__xludf.DUMMYFUNCTION("""COMPUTED_VALUE"""),"UPDATE")</f>
        <v>UPDATE</v>
      </c>
      <c r="I1005" s="76" t="str">
        <f ca="1">IFERROR(__xludf.DUMMYFUNCTION("""COMPUTED_VALUE"""),"https://drive.google.com/open?id=1BT51ogkBsj92Jges1fW3dUJxx1GHdnBE")</f>
        <v>https://drive.google.com/open?id=1BT51ogkBsj92Jges1fW3dUJxx1GHdnBE</v>
      </c>
      <c r="J1005" s="59"/>
      <c r="K1005" s="59"/>
      <c r="L1005" s="59"/>
      <c r="M1005" s="59"/>
      <c r="N1005" s="59"/>
      <c r="O1005" s="59"/>
      <c r="P1005" s="59"/>
    </row>
    <row r="1006" spans="1:16">
      <c r="A1006" s="71">
        <f ca="1">IFERROR(__xludf.DUMMYFUNCTION("""COMPUTED_VALUE"""),44776.8702602314)</f>
        <v>44776.870260231401</v>
      </c>
      <c r="B1006" s="59" t="str">
        <f ca="1">IFERROR(__xludf.DUMMYFUNCTION("""COMPUTED_VALUE"""),"Panara SmitKumar Sureshbhai ")</f>
        <v xml:space="preserve">Panara SmitKumar Sureshbhai </v>
      </c>
      <c r="C1006" s="72" t="str">
        <f ca="1">IFERROR(__xludf.DUMMYFUNCTION("""COMPUTED_VALUE"""),"20sdsce01074")</f>
        <v>20sdsce01074</v>
      </c>
      <c r="D1006" s="73">
        <f ca="1">IFERROR(__xludf.DUMMYFUNCTION("""COMPUTED_VALUE"""),44776)</f>
        <v>44776</v>
      </c>
      <c r="E1006" s="74">
        <f ca="1">IFERROR(__xludf.DUMMYFUNCTION("""COMPUTED_VALUE"""),6250)</f>
        <v>6250</v>
      </c>
      <c r="F1006" s="72">
        <f ca="1">IFERROR(__xludf.DUMMYFUNCTION("""COMPUTED_VALUE"""),0)</f>
        <v>0</v>
      </c>
      <c r="G1006" s="75"/>
      <c r="H1006" s="59" t="str">
        <f ca="1">IFERROR(__xludf.DUMMYFUNCTION("""COMPUTED_VALUE"""),"UPDATE")</f>
        <v>UPDATE</v>
      </c>
      <c r="I1006" s="76" t="str">
        <f ca="1">IFERROR(__xludf.DUMMYFUNCTION("""COMPUTED_VALUE"""),"https://drive.google.com/open?id=1OH6RUmIq3AlJAqz10OT6JJbmwtbdko7_")</f>
        <v>https://drive.google.com/open?id=1OH6RUmIq3AlJAqz10OT6JJbmwtbdko7_</v>
      </c>
      <c r="J1006" s="59"/>
      <c r="K1006" s="59"/>
      <c r="L1006" s="59"/>
      <c r="M1006" s="59"/>
      <c r="N1006" s="59"/>
      <c r="O1006" s="59"/>
      <c r="P1006" s="59"/>
    </row>
    <row r="1007" spans="1:16">
      <c r="A1007" s="71">
        <f ca="1">IFERROR(__xludf.DUMMYFUNCTION("""COMPUTED_VALUE"""),44776.7771180439)</f>
        <v>44776.777118043901</v>
      </c>
      <c r="B1007" s="59" t="str">
        <f ca="1">IFERROR(__xludf.DUMMYFUNCTION("""COMPUTED_VALUE"""),"Panara SmitKumar Sureshbhai ")</f>
        <v xml:space="preserve">Panara SmitKumar Sureshbhai </v>
      </c>
      <c r="C1007" s="72" t="str">
        <f ca="1">IFERROR(__xludf.DUMMYFUNCTION("""COMPUTED_VALUE"""),"20sdsce01074")</f>
        <v>20sdsce01074</v>
      </c>
      <c r="D1007" s="73">
        <f ca="1">IFERROR(__xludf.DUMMYFUNCTION("""COMPUTED_VALUE"""),44725)</f>
        <v>44725</v>
      </c>
      <c r="E1007" s="74">
        <f ca="1">IFERROR(__xludf.DUMMYFUNCTION("""COMPUTED_VALUE"""),0)</f>
        <v>0</v>
      </c>
      <c r="F1007" s="72">
        <f ca="1">IFERROR(__xludf.DUMMYFUNCTION("""COMPUTED_VALUE"""),2500)</f>
        <v>2500</v>
      </c>
      <c r="G1007" s="75"/>
      <c r="H1007" s="59" t="str">
        <f ca="1">IFERROR(__xludf.DUMMYFUNCTION("""COMPUTED_VALUE"""),"UPDATE")</f>
        <v>UPDATE</v>
      </c>
      <c r="I1007" s="76" t="str">
        <f ca="1">IFERROR(__xludf.DUMMYFUNCTION("""COMPUTED_VALUE"""),"https://drive.google.com/open?id=1FKdAvbOzBynDZVc4_sU3EoBHbp3_bJRc")</f>
        <v>https://drive.google.com/open?id=1FKdAvbOzBynDZVc4_sU3EoBHbp3_bJRc</v>
      </c>
      <c r="J1007" s="59"/>
      <c r="K1007" s="59"/>
      <c r="L1007" s="59"/>
      <c r="M1007" s="59"/>
      <c r="N1007" s="59"/>
      <c r="O1007" s="59"/>
      <c r="P1007" s="59"/>
    </row>
    <row r="1008" spans="1:16">
      <c r="A1008" s="71">
        <f ca="1">IFERROR(__xludf.DUMMYFUNCTION("""COMPUTED_VALUE"""),44776.7762443402)</f>
        <v>44776.776244340203</v>
      </c>
      <c r="B1008" s="59" t="str">
        <f ca="1">IFERROR(__xludf.DUMMYFUNCTION("""COMPUTED_VALUE"""),"Panara SmitKumar Sureshbhai ")</f>
        <v xml:space="preserve">Panara SmitKumar Sureshbhai </v>
      </c>
      <c r="C1008" s="72" t="str">
        <f ca="1">IFERROR(__xludf.DUMMYFUNCTION("""COMPUTED_VALUE"""),"20sdsce01074")</f>
        <v>20sdsce01074</v>
      </c>
      <c r="D1008" s="73">
        <f ca="1">IFERROR(__xludf.DUMMYFUNCTION("""COMPUTED_VALUE"""),44725)</f>
        <v>44725</v>
      </c>
      <c r="E1008" s="74">
        <f ca="1">IFERROR(__xludf.DUMMYFUNCTION("""COMPUTED_VALUE"""),6250)</f>
        <v>6250</v>
      </c>
      <c r="F1008" s="72">
        <f ca="1">IFERROR(__xludf.DUMMYFUNCTION("""COMPUTED_VALUE"""),0)</f>
        <v>0</v>
      </c>
      <c r="G1008" s="75"/>
      <c r="H1008" s="59" t="str">
        <f ca="1">IFERROR(__xludf.DUMMYFUNCTION("""COMPUTED_VALUE"""),"UPDATE")</f>
        <v>UPDATE</v>
      </c>
      <c r="I1008" s="76" t="str">
        <f ca="1">IFERROR(__xludf.DUMMYFUNCTION("""COMPUTED_VALUE"""),"https://drive.google.com/open?id=1xpn-wQej9Q9D376yLZj3hnyhL7QN-IWq")</f>
        <v>https://drive.google.com/open?id=1xpn-wQej9Q9D376yLZj3hnyhL7QN-IWq</v>
      </c>
      <c r="J1008" s="59"/>
      <c r="K1008" s="59"/>
      <c r="L1008" s="59"/>
      <c r="M1008" s="59"/>
      <c r="N1008" s="59"/>
      <c r="O1008" s="59"/>
      <c r="P1008" s="59"/>
    </row>
    <row r="1009" spans="1:16">
      <c r="A1009" s="71">
        <f ca="1">IFERROR(__xludf.DUMMYFUNCTION("""COMPUTED_VALUE"""),44776.7393927199)</f>
        <v>44776.739392719901</v>
      </c>
      <c r="B1009" s="59" t="str">
        <f ca="1">IFERROR(__xludf.DUMMYFUNCTION("""COMPUTED_VALUE"""),"Kunjal thakkar")</f>
        <v>Kunjal thakkar</v>
      </c>
      <c r="C1009" s="72" t="str">
        <f ca="1">IFERROR(__xludf.DUMMYFUNCTION("""COMPUTED_VALUE"""),"21SDSCE01052")</f>
        <v>21SDSCE01052</v>
      </c>
      <c r="D1009" s="73">
        <f ca="1">IFERROR(__xludf.DUMMYFUNCTION("""COMPUTED_VALUE"""),44776)</f>
        <v>44776</v>
      </c>
      <c r="E1009" s="72"/>
      <c r="F1009" s="72"/>
      <c r="G1009" s="75"/>
      <c r="H1009" s="59" t="str">
        <f ca="1">IFERROR(__xludf.DUMMYFUNCTION("""COMPUTED_VALUE"""),"UPDATE")</f>
        <v>UPDATE</v>
      </c>
      <c r="I1009" s="76" t="str">
        <f ca="1">IFERROR(__xludf.DUMMYFUNCTION("""COMPUTED_VALUE"""),"https://drive.google.com/open?id=1dUJxdesSP5uQNEjNTR1GPlU0InnbxC7u")</f>
        <v>https://drive.google.com/open?id=1dUJxdesSP5uQNEjNTR1GPlU0InnbxC7u</v>
      </c>
      <c r="J1009" s="59"/>
      <c r="K1009" s="59"/>
      <c r="L1009" s="59"/>
      <c r="M1009" s="59"/>
      <c r="N1009" s="59"/>
      <c r="O1009" s="59"/>
      <c r="P1009" s="59"/>
    </row>
    <row r="1010" spans="1:16">
      <c r="A1010" s="71">
        <f ca="1">IFERROR(__xludf.DUMMYFUNCTION("""COMPUTED_VALUE"""),44776.717294375)</f>
        <v>44776.717294374997</v>
      </c>
      <c r="B1010" s="59" t="str">
        <f ca="1">IFERROR(__xludf.DUMMYFUNCTION("""COMPUTED_VALUE"""),"PARTH Amipara ")</f>
        <v xml:space="preserve">PARTH Amipara </v>
      </c>
      <c r="C1010" s="72" t="str">
        <f ca="1">IFERROR(__xludf.DUMMYFUNCTION("""COMPUTED_VALUE"""),"21SDSCE01114")</f>
        <v>21SDSCE01114</v>
      </c>
      <c r="D1010" s="73">
        <f ca="1">IFERROR(__xludf.DUMMYFUNCTION("""COMPUTED_VALUE"""),44776)</f>
        <v>44776</v>
      </c>
      <c r="E1010" s="74">
        <f ca="1">IFERROR(__xludf.DUMMYFUNCTION("""COMPUTED_VALUE"""),12500)</f>
        <v>12500</v>
      </c>
      <c r="F1010" s="72">
        <f ca="1">IFERROR(__xludf.DUMMYFUNCTION("""COMPUTED_VALUE"""),5000)</f>
        <v>5000</v>
      </c>
      <c r="G1010" s="75"/>
      <c r="H1010" s="59" t="str">
        <f ca="1">IFERROR(__xludf.DUMMYFUNCTION("""COMPUTED_VALUE"""),"UPDATE")</f>
        <v>UPDATE</v>
      </c>
      <c r="I1010" s="76" t="str">
        <f ca="1">IFERROR(__xludf.DUMMYFUNCTION("""COMPUTED_VALUE"""),"https://drive.google.com/open?id=1YLifhmN2FftbSsJBfxN3AR2e5kB4PE9t")</f>
        <v>https://drive.google.com/open?id=1YLifhmN2FftbSsJBfxN3AR2e5kB4PE9t</v>
      </c>
      <c r="J1010" s="59"/>
      <c r="K1010" s="59"/>
      <c r="L1010" s="59"/>
      <c r="M1010" s="59"/>
      <c r="N1010" s="59"/>
      <c r="O1010" s="59"/>
      <c r="P1010" s="59"/>
    </row>
    <row r="1011" spans="1:16">
      <c r="A1011" s="71">
        <f ca="1">IFERROR(__xludf.DUMMYFUNCTION("""COMPUTED_VALUE"""),44776.7162036574)</f>
        <v>44776.716203657401</v>
      </c>
      <c r="B1011" s="59" t="str">
        <f ca="1">IFERROR(__xludf.DUMMYFUNCTION("""COMPUTED_VALUE"""),"PARTH Amipara ")</f>
        <v xml:space="preserve">PARTH Amipara </v>
      </c>
      <c r="C1011" s="72" t="str">
        <f ca="1">IFERROR(__xludf.DUMMYFUNCTION("""COMPUTED_VALUE"""),"21SDSCE01114")</f>
        <v>21SDSCE01114</v>
      </c>
      <c r="D1011" s="73">
        <f ca="1">IFERROR(__xludf.DUMMYFUNCTION("""COMPUTED_VALUE"""),44776)</f>
        <v>44776</v>
      </c>
      <c r="E1011" s="74">
        <f ca="1">IFERROR(__xludf.DUMMYFUNCTION("""COMPUTED_VALUE"""),12500)</f>
        <v>12500</v>
      </c>
      <c r="F1011" s="72">
        <f ca="1">IFERROR(__xludf.DUMMYFUNCTION("""COMPUTED_VALUE"""),5000)</f>
        <v>5000</v>
      </c>
      <c r="G1011" s="75"/>
      <c r="H1011" s="59" t="str">
        <f ca="1">IFERROR(__xludf.DUMMYFUNCTION("""COMPUTED_VALUE"""),"UPDATE")</f>
        <v>UPDATE</v>
      </c>
      <c r="I1011" s="76" t="str">
        <f ca="1">IFERROR(__xludf.DUMMYFUNCTION("""COMPUTED_VALUE"""),"https://drive.google.com/open?id=1gBwWO37Uz1rom0VaE3on2p_5b4up5-st")</f>
        <v>https://drive.google.com/open?id=1gBwWO37Uz1rom0VaE3on2p_5b4up5-st</v>
      </c>
      <c r="J1011" s="59"/>
      <c r="K1011" s="59"/>
      <c r="L1011" s="59"/>
      <c r="M1011" s="59"/>
      <c r="N1011" s="59"/>
      <c r="O1011" s="59"/>
      <c r="P1011" s="59"/>
    </row>
    <row r="1012" spans="1:16">
      <c r="A1012" s="71">
        <f ca="1">IFERROR(__xludf.DUMMYFUNCTION("""COMPUTED_VALUE"""),44776.6467806481)</f>
        <v>44776.646780648101</v>
      </c>
      <c r="B1012" s="59" t="str">
        <f ca="1">IFERROR(__xludf.DUMMYFUNCTION("""COMPUTED_VALUE"""),"Nancy khakhriya ")</f>
        <v xml:space="preserve">Nancy khakhriya </v>
      </c>
      <c r="C1012" s="72" t="str">
        <f ca="1">IFERROR(__xludf.DUMMYFUNCTION("""COMPUTED_VALUE"""),"21SDSCE01028")</f>
        <v>21SDSCE01028</v>
      </c>
      <c r="D1012" s="73">
        <f ca="1">IFERROR(__xludf.DUMMYFUNCTION("""COMPUTED_VALUE"""),44776)</f>
        <v>44776</v>
      </c>
      <c r="E1012" s="72"/>
      <c r="F1012" s="72">
        <f ca="1">IFERROR(__xludf.DUMMYFUNCTION("""COMPUTED_VALUE"""),21250)</f>
        <v>21250</v>
      </c>
      <c r="G1012" s="75"/>
      <c r="H1012" s="59" t="str">
        <f ca="1">IFERROR(__xludf.DUMMYFUNCTION("""COMPUTED_VALUE"""),"UPDATE")</f>
        <v>UPDATE</v>
      </c>
      <c r="I1012" s="76" t="str">
        <f ca="1">IFERROR(__xludf.DUMMYFUNCTION("""COMPUTED_VALUE"""),"https://drive.google.com/open?id=1ND4ulLP3MlDK-7F1AkBa201o-4tIqya7")</f>
        <v>https://drive.google.com/open?id=1ND4ulLP3MlDK-7F1AkBa201o-4tIqya7</v>
      </c>
      <c r="J1012" s="59"/>
      <c r="K1012" s="59"/>
      <c r="L1012" s="59"/>
      <c r="M1012" s="59"/>
      <c r="N1012" s="59"/>
      <c r="O1012" s="59"/>
      <c r="P1012" s="59"/>
    </row>
    <row r="1013" spans="1:16">
      <c r="A1013" s="71">
        <f ca="1">IFERROR(__xludf.DUMMYFUNCTION("""COMPUTED_VALUE"""),44776.6454884375)</f>
        <v>44776.645488437498</v>
      </c>
      <c r="B1013" s="59" t="str">
        <f ca="1">IFERROR(__xludf.DUMMYFUNCTION("""COMPUTED_VALUE"""),"Nancy khakhriya ")</f>
        <v xml:space="preserve">Nancy khakhriya </v>
      </c>
      <c r="C1013" s="72" t="str">
        <f ca="1">IFERROR(__xludf.DUMMYFUNCTION("""COMPUTED_VALUE"""),"21SDSCE01028")</f>
        <v>21SDSCE01028</v>
      </c>
      <c r="D1013" s="73">
        <f ca="1">IFERROR(__xludf.DUMMYFUNCTION("""COMPUTED_VALUE"""),44776)</f>
        <v>44776</v>
      </c>
      <c r="E1013" s="72"/>
      <c r="F1013" s="72"/>
      <c r="G1013" s="75"/>
      <c r="H1013" s="59" t="str">
        <f ca="1">IFERROR(__xludf.DUMMYFUNCTION("""COMPUTED_VALUE"""),"UPDATE")</f>
        <v>UPDATE</v>
      </c>
      <c r="I1013" s="76" t="str">
        <f ca="1">IFERROR(__xludf.DUMMYFUNCTION("""COMPUTED_VALUE"""),"https://drive.google.com/open?id=1Nhe0ye91mvqBxoIk76Xn3oxQtp8KTgZO")</f>
        <v>https://drive.google.com/open?id=1Nhe0ye91mvqBxoIk76Xn3oxQtp8KTgZO</v>
      </c>
      <c r="J1013" s="59"/>
      <c r="K1013" s="59"/>
      <c r="L1013" s="59"/>
      <c r="M1013" s="59"/>
      <c r="N1013" s="59"/>
      <c r="O1013" s="59"/>
      <c r="P1013" s="59"/>
    </row>
    <row r="1014" spans="1:16">
      <c r="A1014" s="71">
        <f ca="1">IFERROR(__xludf.DUMMYFUNCTION("""COMPUTED_VALUE"""),44776.4198196875)</f>
        <v>44776.4198196875</v>
      </c>
      <c r="B1014" s="59" t="str">
        <f ca="1">IFERROR(__xludf.DUMMYFUNCTION("""COMPUTED_VALUE"""),"Dudharejiya vijay dhirajbhai ")</f>
        <v xml:space="preserve">Dudharejiya vijay dhirajbhai </v>
      </c>
      <c r="C1014" s="72" t="str">
        <f ca="1">IFERROR(__xludf.DUMMYFUNCTION("""COMPUTED_VALUE"""),"20SDSEE01009")</f>
        <v>20SDSEE01009</v>
      </c>
      <c r="D1014" s="73">
        <f ca="1">IFERROR(__xludf.DUMMYFUNCTION("""COMPUTED_VALUE"""),44735)</f>
        <v>44735</v>
      </c>
      <c r="E1014" s="74">
        <f ca="1">IFERROR(__xludf.DUMMYFUNCTION("""COMPUTED_VALUE"""),12500)</f>
        <v>12500</v>
      </c>
      <c r="F1014" s="72">
        <f ca="1">IFERROR(__xludf.DUMMYFUNCTION("""COMPUTED_VALUE"""),2500)</f>
        <v>2500</v>
      </c>
      <c r="G1014" s="75"/>
      <c r="H1014" s="59" t="str">
        <f ca="1">IFERROR(__xludf.DUMMYFUNCTION("""COMPUTED_VALUE"""),"UPDATE")</f>
        <v>UPDATE</v>
      </c>
      <c r="I1014" s="76" t="str">
        <f ca="1">IFERROR(__xludf.DUMMYFUNCTION("""COMPUTED_VALUE"""),"https://drive.google.com/open?id=144k_tsDp7TEcs5PKVWsIsbjgavv-oRTV")</f>
        <v>https://drive.google.com/open?id=144k_tsDp7TEcs5PKVWsIsbjgavv-oRTV</v>
      </c>
      <c r="J1014" s="59"/>
      <c r="K1014" s="59"/>
      <c r="L1014" s="59"/>
      <c r="M1014" s="59"/>
      <c r="N1014" s="59"/>
      <c r="O1014" s="59"/>
      <c r="P1014" s="59"/>
    </row>
    <row r="1015" spans="1:16">
      <c r="A1015" s="71">
        <f ca="1">IFERROR(__xludf.DUMMYFUNCTION("""COMPUTED_VALUE"""),44776.3107709838)</f>
        <v>44776.3107709838</v>
      </c>
      <c r="B1015" s="59" t="str">
        <f ca="1">IFERROR(__xludf.DUMMYFUNCTION("""COMPUTED_VALUE"""),"Bhimani Bhargav Manishbhai ")</f>
        <v xml:space="preserve">Bhimani Bhargav Manishbhai </v>
      </c>
      <c r="C1015" s="72" t="str">
        <f ca="1">IFERROR(__xludf.DUMMYFUNCTION("""COMPUTED_VALUE"""),"20SDSCE01012")</f>
        <v>20SDSCE01012</v>
      </c>
      <c r="D1015" s="73">
        <f ca="1">IFERROR(__xludf.DUMMYFUNCTION("""COMPUTED_VALUE"""),44776)</f>
        <v>44776</v>
      </c>
      <c r="E1015" s="72"/>
      <c r="F1015" s="72">
        <f ca="1">IFERROR(__xludf.DUMMYFUNCTION("""COMPUTED_VALUE"""),2500)</f>
        <v>2500</v>
      </c>
      <c r="G1015" s="75"/>
      <c r="H1015" s="59" t="str">
        <f ca="1">IFERROR(__xludf.DUMMYFUNCTION("""COMPUTED_VALUE"""),"UPDATE")</f>
        <v>UPDATE</v>
      </c>
      <c r="I1015" s="76" t="str">
        <f ca="1">IFERROR(__xludf.DUMMYFUNCTION("""COMPUTED_VALUE"""),"https://drive.google.com/open?id=1haAxBgIwU9VVYEx3eVGXr7n7Y9PQCLBD")</f>
        <v>https://drive.google.com/open?id=1haAxBgIwU9VVYEx3eVGXr7n7Y9PQCLBD</v>
      </c>
      <c r="J1015" s="59"/>
      <c r="K1015" s="59"/>
      <c r="L1015" s="59"/>
      <c r="M1015" s="59"/>
      <c r="N1015" s="59"/>
      <c r="O1015" s="59"/>
      <c r="P1015" s="59"/>
    </row>
    <row r="1016" spans="1:16">
      <c r="A1016" s="71">
        <f ca="1">IFERROR(__xludf.DUMMYFUNCTION("""COMPUTED_VALUE"""),44775.8937361805)</f>
        <v>44775.8937361805</v>
      </c>
      <c r="B1016" s="59" t="str">
        <f ca="1">IFERROR(__xludf.DUMMYFUNCTION("""COMPUTED_VALUE"""),"Mayank gajera")</f>
        <v>Mayank gajera</v>
      </c>
      <c r="C1016" s="72" t="str">
        <f ca="1">IFERROR(__xludf.DUMMYFUNCTION("""COMPUTED_VALUE"""),"21SDSME01015")</f>
        <v>21SDSME01015</v>
      </c>
      <c r="D1016" s="73">
        <f ca="1">IFERROR(__xludf.DUMMYFUNCTION("""COMPUTED_VALUE"""),44773)</f>
        <v>44773</v>
      </c>
      <c r="E1016" s="74">
        <f ca="1">IFERROR(__xludf.DUMMYFUNCTION("""COMPUTED_VALUE"""),0)</f>
        <v>0</v>
      </c>
      <c r="F1016" s="72">
        <f ca="1">IFERROR(__xludf.DUMMYFUNCTION("""COMPUTED_VALUE"""),2500)</f>
        <v>2500</v>
      </c>
      <c r="G1016" s="75"/>
      <c r="H1016" s="59" t="str">
        <f ca="1">IFERROR(__xludf.DUMMYFUNCTION("""COMPUTED_VALUE"""),"UPDATE")</f>
        <v>UPDATE</v>
      </c>
      <c r="I1016" s="76" t="str">
        <f ca="1">IFERROR(__xludf.DUMMYFUNCTION("""COMPUTED_VALUE"""),"https://drive.google.com/open?id=1XgNm5W5389GdFGljzWtkAZy-7X85dNPM")</f>
        <v>https://drive.google.com/open?id=1XgNm5W5389GdFGljzWtkAZy-7X85dNPM</v>
      </c>
      <c r="J1016" s="59"/>
      <c r="K1016" s="59"/>
      <c r="L1016" s="59"/>
      <c r="M1016" s="59"/>
      <c r="N1016" s="59"/>
      <c r="O1016" s="59"/>
      <c r="P1016" s="59"/>
    </row>
    <row r="1017" spans="1:16">
      <c r="A1017" s="71">
        <f ca="1">IFERROR(__xludf.DUMMYFUNCTION("""COMPUTED_VALUE"""),44775.89019353)</f>
        <v>44775.890193530002</v>
      </c>
      <c r="B1017" s="59" t="str">
        <f ca="1">IFERROR(__xludf.DUMMYFUNCTION("""COMPUTED_VALUE"""),"Mayank gajera")</f>
        <v>Mayank gajera</v>
      </c>
      <c r="C1017" s="72" t="str">
        <f ca="1">IFERROR(__xludf.DUMMYFUNCTION("""COMPUTED_VALUE"""),"21SDSME01015")</f>
        <v>21SDSME01015</v>
      </c>
      <c r="D1017" s="73">
        <f ca="1">IFERROR(__xludf.DUMMYFUNCTION("""COMPUTED_VALUE"""),44773)</f>
        <v>44773</v>
      </c>
      <c r="E1017" s="74">
        <f ca="1">IFERROR(__xludf.DUMMYFUNCTION("""COMPUTED_VALUE"""),25000)</f>
        <v>25000</v>
      </c>
      <c r="F1017" s="72">
        <f ca="1">IFERROR(__xludf.DUMMYFUNCTION("""COMPUTED_VALUE"""),0)</f>
        <v>0</v>
      </c>
      <c r="G1017" s="75"/>
      <c r="H1017" s="59" t="str">
        <f ca="1">IFERROR(__xludf.DUMMYFUNCTION("""COMPUTED_VALUE"""),"UPDATE")</f>
        <v>UPDATE</v>
      </c>
      <c r="I1017" s="76" t="str">
        <f ca="1">IFERROR(__xludf.DUMMYFUNCTION("""COMPUTED_VALUE"""),"https://drive.google.com/open?id=1DbGnY6vjgYvTRZniiS6nBtzn7bfYzLjk")</f>
        <v>https://drive.google.com/open?id=1DbGnY6vjgYvTRZniiS6nBtzn7bfYzLjk</v>
      </c>
      <c r="J1017" s="59"/>
      <c r="K1017" s="59"/>
      <c r="L1017" s="59"/>
      <c r="M1017" s="59"/>
      <c r="N1017" s="59"/>
      <c r="O1017" s="59"/>
      <c r="P1017" s="59"/>
    </row>
    <row r="1018" spans="1:16">
      <c r="A1018" s="71">
        <f ca="1">IFERROR(__xludf.DUMMYFUNCTION("""COMPUTED_VALUE"""),44775.8891252314)</f>
        <v>44775.889125231399</v>
      </c>
      <c r="B1018" s="59" t="str">
        <f ca="1">IFERROR(__xludf.DUMMYFUNCTION("""COMPUTED_VALUE"""),"Kothiya Keval Vinodbhai ")</f>
        <v xml:space="preserve">Kothiya Keval Vinodbhai </v>
      </c>
      <c r="C1018" s="72" t="str">
        <f ca="1">IFERROR(__xludf.DUMMYFUNCTION("""COMPUTED_VALUE"""),"21SDSCE01031")</f>
        <v>21SDSCE01031</v>
      </c>
      <c r="D1018" s="73">
        <f ca="1">IFERROR(__xludf.DUMMYFUNCTION("""COMPUTED_VALUE"""),44771)</f>
        <v>44771</v>
      </c>
      <c r="E1018" s="74">
        <f ca="1">IFERROR(__xludf.DUMMYFUNCTION("""COMPUTED_VALUE"""),6250)</f>
        <v>6250</v>
      </c>
      <c r="F1018" s="72"/>
      <c r="G1018" s="75"/>
      <c r="H1018" s="59" t="str">
        <f ca="1">IFERROR(__xludf.DUMMYFUNCTION("""COMPUTED_VALUE"""),"UPDATE")</f>
        <v>UPDATE</v>
      </c>
      <c r="I1018" s="76" t="str">
        <f ca="1">IFERROR(__xludf.DUMMYFUNCTION("""COMPUTED_VALUE"""),"https://drive.google.com/open?id=1zHVOu0Tmp5yJxdBOoyiddh-2zntassRF")</f>
        <v>https://drive.google.com/open?id=1zHVOu0Tmp5yJxdBOoyiddh-2zntassRF</v>
      </c>
      <c r="J1018" s="59"/>
      <c r="K1018" s="59"/>
      <c r="L1018" s="59"/>
      <c r="M1018" s="59"/>
      <c r="N1018" s="59"/>
      <c r="O1018" s="59"/>
      <c r="P1018" s="59"/>
    </row>
    <row r="1019" spans="1:16">
      <c r="A1019" s="71">
        <f ca="1">IFERROR(__xludf.DUMMYFUNCTION("""COMPUTED_VALUE"""),44775.6739378703)</f>
        <v>44775.673937870299</v>
      </c>
      <c r="B1019" s="59" t="str">
        <f ca="1">IFERROR(__xludf.DUMMYFUNCTION("""COMPUTED_VALUE"""),"Bathani Heet MaheshBhai ")</f>
        <v xml:space="preserve">Bathani Heet MaheshBhai </v>
      </c>
      <c r="C1019" s="72" t="str">
        <f ca="1">IFERROR(__xludf.DUMMYFUNCTION("""COMPUTED_VALUE"""),"21SDSCE01058")</f>
        <v>21SDSCE01058</v>
      </c>
      <c r="D1019" s="73">
        <f ca="1">IFERROR(__xludf.DUMMYFUNCTION("""COMPUTED_VALUE"""),44775)</f>
        <v>44775</v>
      </c>
      <c r="E1019" s="72"/>
      <c r="F1019" s="72"/>
      <c r="G1019" s="75"/>
      <c r="H1019" s="59" t="str">
        <f ca="1">IFERROR(__xludf.DUMMYFUNCTION("""COMPUTED_VALUE"""),"UPDATE")</f>
        <v>UPDATE</v>
      </c>
      <c r="I1019" s="76" t="str">
        <f ca="1">IFERROR(__xludf.DUMMYFUNCTION("""COMPUTED_VALUE"""),"https://drive.google.com/open?id=1nca1zirXZm346AnSdbGsI4L7VDQA8d2_")</f>
        <v>https://drive.google.com/open?id=1nca1zirXZm346AnSdbGsI4L7VDQA8d2_</v>
      </c>
      <c r="J1019" s="59"/>
      <c r="K1019" s="59"/>
      <c r="L1019" s="59"/>
      <c r="M1019" s="59"/>
      <c r="N1019" s="59"/>
      <c r="O1019" s="59"/>
      <c r="P1019" s="59"/>
    </row>
    <row r="1020" spans="1:16">
      <c r="A1020" s="71">
        <f ca="1">IFERROR(__xludf.DUMMYFUNCTION("""COMPUTED_VALUE"""),44775.6612770138)</f>
        <v>44775.661277013802</v>
      </c>
      <c r="B1020" s="59" t="str">
        <f ca="1">IFERROR(__xludf.DUMMYFUNCTION("""COMPUTED_VALUE"""),"Malvi padaliya ")</f>
        <v xml:space="preserve">Malvi padaliya </v>
      </c>
      <c r="C1020" s="72" t="str">
        <f ca="1">IFERROR(__xludf.DUMMYFUNCTION("""COMPUTED_VALUE"""),"21SDSCE01037")</f>
        <v>21SDSCE01037</v>
      </c>
      <c r="D1020" s="73">
        <f ca="1">IFERROR(__xludf.DUMMYFUNCTION("""COMPUTED_VALUE"""),44775)</f>
        <v>44775</v>
      </c>
      <c r="E1020" s="72"/>
      <c r="F1020" s="72"/>
      <c r="G1020" s="75"/>
      <c r="H1020" s="59" t="str">
        <f ca="1">IFERROR(__xludf.DUMMYFUNCTION("""COMPUTED_VALUE"""),"UPDATE")</f>
        <v>UPDATE</v>
      </c>
      <c r="I1020" s="76" t="str">
        <f ca="1">IFERROR(__xludf.DUMMYFUNCTION("""COMPUTED_VALUE"""),"https://drive.google.com/open?id=1GnhoA_GyctXhvPnlxu6SIm-IegfjGr5E")</f>
        <v>https://drive.google.com/open?id=1GnhoA_GyctXhvPnlxu6SIm-IegfjGr5E</v>
      </c>
      <c r="J1020" s="59"/>
      <c r="K1020" s="59"/>
      <c r="L1020" s="59"/>
      <c r="M1020" s="59"/>
      <c r="N1020" s="59"/>
      <c r="O1020" s="59"/>
      <c r="P1020" s="59"/>
    </row>
    <row r="1021" spans="1:16">
      <c r="A1021" s="71">
        <f ca="1">IFERROR(__xludf.DUMMYFUNCTION("""COMPUTED_VALUE"""),44775.5937276388)</f>
        <v>44775.593727638799</v>
      </c>
      <c r="B1021" s="59" t="str">
        <f ca="1">IFERROR(__xludf.DUMMYFUNCTION("""COMPUTED_VALUE"""),"Nevil Hitenbhai Dhinoja")</f>
        <v>Nevil Hitenbhai Dhinoja</v>
      </c>
      <c r="C1021" s="72" t="str">
        <f ca="1">IFERROR(__xludf.DUMMYFUNCTION("""COMPUTED_VALUE"""),"21sdsce01015 ")</f>
        <v xml:space="preserve">21sdsce01015 </v>
      </c>
      <c r="D1021" s="73">
        <f ca="1">IFERROR(__xludf.DUMMYFUNCTION("""COMPUTED_VALUE"""),44775)</f>
        <v>44775</v>
      </c>
      <c r="E1021" s="74">
        <f ca="1">IFERROR(__xludf.DUMMYFUNCTION("""COMPUTED_VALUE"""),12500)</f>
        <v>12500</v>
      </c>
      <c r="F1021" s="72">
        <f ca="1">IFERROR(__xludf.DUMMYFUNCTION("""COMPUTED_VALUE"""),2500)</f>
        <v>2500</v>
      </c>
      <c r="G1021" s="75"/>
      <c r="H1021" s="59" t="str">
        <f ca="1">IFERROR(__xludf.DUMMYFUNCTION("""COMPUTED_VALUE"""),"UPDATE")</f>
        <v>UPDATE</v>
      </c>
      <c r="I1021" s="76" t="str">
        <f ca="1">IFERROR(__xludf.DUMMYFUNCTION("""COMPUTED_VALUE"""),"https://drive.google.com/open?id=1OX4PnhT1ljfkyOjSGUYEaztzoGKdc6Si")</f>
        <v>https://drive.google.com/open?id=1OX4PnhT1ljfkyOjSGUYEaztzoGKdc6Si</v>
      </c>
      <c r="J1021" s="59"/>
      <c r="K1021" s="59"/>
      <c r="L1021" s="59"/>
      <c r="M1021" s="59"/>
      <c r="N1021" s="59"/>
      <c r="O1021" s="59"/>
      <c r="P1021" s="59"/>
    </row>
    <row r="1022" spans="1:16">
      <c r="A1022" s="71">
        <f ca="1">IFERROR(__xludf.DUMMYFUNCTION("""COMPUTED_VALUE"""),44775.5734471643)</f>
        <v>44775.573447164301</v>
      </c>
      <c r="B1022" s="59" t="str">
        <f ca="1">IFERROR(__xludf.DUMMYFUNCTION("""COMPUTED_VALUE"""),"KANDARP VYAS")</f>
        <v>KANDARP VYAS</v>
      </c>
      <c r="C1022" s="72" t="str">
        <f ca="1">IFERROR(__xludf.DUMMYFUNCTION("""COMPUTED_VALUE"""),"21SDSCE01054")</f>
        <v>21SDSCE01054</v>
      </c>
      <c r="D1022" s="73">
        <f ca="1">IFERROR(__xludf.DUMMYFUNCTION("""COMPUTED_VALUE"""),44775)</f>
        <v>44775</v>
      </c>
      <c r="E1022" s="72"/>
      <c r="F1022" s="72"/>
      <c r="G1022" s="75"/>
      <c r="H1022" s="59" t="str">
        <f ca="1">IFERROR(__xludf.DUMMYFUNCTION("""COMPUTED_VALUE"""),"UPDATE")</f>
        <v>UPDATE</v>
      </c>
      <c r="I1022" s="76" t="str">
        <f ca="1">IFERROR(__xludf.DUMMYFUNCTION("""COMPUTED_VALUE"""),"https://drive.google.com/open?id=1JBHP0DpMVlzx1xX7Tn-Q608Gj4rZsffD")</f>
        <v>https://drive.google.com/open?id=1JBHP0DpMVlzx1xX7Tn-Q608Gj4rZsffD</v>
      </c>
      <c r="J1022" s="59"/>
      <c r="K1022" s="59"/>
      <c r="L1022" s="59"/>
      <c r="M1022" s="59"/>
      <c r="N1022" s="59"/>
      <c r="O1022" s="59"/>
      <c r="P1022" s="59"/>
    </row>
    <row r="1023" spans="1:16">
      <c r="A1023" s="71">
        <f ca="1">IFERROR(__xludf.DUMMYFUNCTION("""COMPUTED_VALUE"""),44775.5369121064)</f>
        <v>44775.5369121064</v>
      </c>
      <c r="B1023" s="59" t="str">
        <f ca="1">IFERROR(__xludf.DUMMYFUNCTION("""COMPUTED_VALUE"""),"SAKARIYANI TANJIL FIROZBHAI")</f>
        <v>SAKARIYANI TANJIL FIROZBHAI</v>
      </c>
      <c r="C1023" s="72" t="str">
        <f ca="1">IFERROR(__xludf.DUMMYFUNCTION("""COMPUTED_VALUE"""),"21SDSCE01043")</f>
        <v>21SDSCE01043</v>
      </c>
      <c r="D1023" s="73">
        <f ca="1">IFERROR(__xludf.DUMMYFUNCTION("""COMPUTED_VALUE"""),44775)</f>
        <v>44775</v>
      </c>
      <c r="E1023" s="74">
        <f ca="1">IFERROR(__xludf.DUMMYFUNCTION("""COMPUTED_VALUE"""),0)</f>
        <v>0</v>
      </c>
      <c r="F1023" s="72">
        <f ca="1">IFERROR(__xludf.DUMMYFUNCTION("""COMPUTED_VALUE"""),2500)</f>
        <v>2500</v>
      </c>
      <c r="G1023" s="75"/>
      <c r="H1023" s="59" t="str">
        <f ca="1">IFERROR(__xludf.DUMMYFUNCTION("""COMPUTED_VALUE"""),"UPDATE")</f>
        <v>UPDATE</v>
      </c>
      <c r="I1023" s="76" t="str">
        <f ca="1">IFERROR(__xludf.DUMMYFUNCTION("""COMPUTED_VALUE"""),"https://drive.google.com/open?id=1bcI4VD3kgxx-L22cz5SpJV5yvqTYnHhR")</f>
        <v>https://drive.google.com/open?id=1bcI4VD3kgxx-L22cz5SpJV5yvqTYnHhR</v>
      </c>
      <c r="J1023" s="59"/>
      <c r="K1023" s="59"/>
      <c r="L1023" s="59"/>
      <c r="M1023" s="59"/>
      <c r="N1023" s="59"/>
      <c r="O1023" s="59"/>
      <c r="P1023" s="59"/>
    </row>
    <row r="1024" spans="1:16">
      <c r="A1024" s="71">
        <f ca="1">IFERROR(__xludf.DUMMYFUNCTION("""COMPUTED_VALUE"""),44775.4858339467)</f>
        <v>44775.485833946703</v>
      </c>
      <c r="B1024" s="59" t="str">
        <f ca="1">IFERROR(__xludf.DUMMYFUNCTION("""COMPUTED_VALUE"""),"Krishnu Gupta")</f>
        <v>Krishnu Gupta</v>
      </c>
      <c r="C1024" s="72" t="str">
        <f ca="1">IFERROR(__xludf.DUMMYFUNCTION("""COMPUTED_VALUE"""),"21SDSCE01604")</f>
        <v>21SDSCE01604</v>
      </c>
      <c r="D1024" s="73">
        <f ca="1">IFERROR(__xludf.DUMMYFUNCTION("""COMPUTED_VALUE"""),44775)</f>
        <v>44775</v>
      </c>
      <c r="E1024" s="72"/>
      <c r="F1024" s="72"/>
      <c r="G1024" s="75"/>
      <c r="H1024" s="59" t="str">
        <f ca="1">IFERROR(__xludf.DUMMYFUNCTION("""COMPUTED_VALUE"""),"UPDATE")</f>
        <v>UPDATE</v>
      </c>
      <c r="I1024" s="76" t="str">
        <f ca="1">IFERROR(__xludf.DUMMYFUNCTION("""COMPUTED_VALUE"""),"https://drive.google.com/open?id=1mjaM3rJrQSOpUc7nasdxi-opEvdbTLv-")</f>
        <v>https://drive.google.com/open?id=1mjaM3rJrQSOpUc7nasdxi-opEvdbTLv-</v>
      </c>
      <c r="J1024" s="59"/>
      <c r="K1024" s="59"/>
      <c r="L1024" s="59"/>
      <c r="M1024" s="59"/>
      <c r="N1024" s="59"/>
      <c r="O1024" s="59"/>
      <c r="P1024" s="59"/>
    </row>
    <row r="1025" spans="1:16">
      <c r="A1025" s="71">
        <f ca="1">IFERROR(__xludf.DUMMYFUNCTION("""COMPUTED_VALUE"""),44775.0076894907)</f>
        <v>44775.007689490703</v>
      </c>
      <c r="B1025" s="59" t="str">
        <f ca="1">IFERROR(__xludf.DUMMYFUNCTION("""COMPUTED_VALUE"""),"Bathani Heet MaheshBhai ")</f>
        <v xml:space="preserve">Bathani Heet MaheshBhai </v>
      </c>
      <c r="C1025" s="72" t="str">
        <f ca="1">IFERROR(__xludf.DUMMYFUNCTION("""COMPUTED_VALUE"""),"21SDSCE01058")</f>
        <v>21SDSCE01058</v>
      </c>
      <c r="D1025" s="73">
        <f ca="1">IFERROR(__xludf.DUMMYFUNCTION("""COMPUTED_VALUE"""),44771)</f>
        <v>44771</v>
      </c>
      <c r="E1025" s="72"/>
      <c r="F1025" s="72">
        <f ca="1">IFERROR(__xludf.DUMMYFUNCTION("""COMPUTED_VALUE"""),2500)</f>
        <v>2500</v>
      </c>
      <c r="G1025" s="75"/>
      <c r="H1025" s="59" t="str">
        <f ca="1">IFERROR(__xludf.DUMMYFUNCTION("""COMPUTED_VALUE"""),"UPDATE")</f>
        <v>UPDATE</v>
      </c>
      <c r="I1025" s="76" t="str">
        <f ca="1">IFERROR(__xludf.DUMMYFUNCTION("""COMPUTED_VALUE"""),"https://drive.google.com/open?id=1PjN5oNmhVII0xxMqeIJBjriamVdB2Fp_")</f>
        <v>https://drive.google.com/open?id=1PjN5oNmhVII0xxMqeIJBjriamVdB2Fp_</v>
      </c>
      <c r="J1025" s="59"/>
      <c r="K1025" s="59"/>
      <c r="L1025" s="59"/>
      <c r="M1025" s="59"/>
      <c r="N1025" s="59"/>
      <c r="O1025" s="59"/>
      <c r="P1025" s="59"/>
    </row>
    <row r="1026" spans="1:16">
      <c r="A1026" s="71">
        <f ca="1">IFERROR(__xludf.DUMMYFUNCTION("""COMPUTED_VALUE"""),44775.0059572106)</f>
        <v>44775.005957210597</v>
      </c>
      <c r="B1026" s="59" t="str">
        <f ca="1">IFERROR(__xludf.DUMMYFUNCTION("""COMPUTED_VALUE"""),"Bathani Heet MaheshBhai ")</f>
        <v xml:space="preserve">Bathani Heet MaheshBhai </v>
      </c>
      <c r="C1026" s="72" t="str">
        <f ca="1">IFERROR(__xludf.DUMMYFUNCTION("""COMPUTED_VALUE"""),"21SDSCE01058")</f>
        <v>21SDSCE01058</v>
      </c>
      <c r="D1026" s="73">
        <f ca="1">IFERROR(__xludf.DUMMYFUNCTION("""COMPUTED_VALUE"""),44771)</f>
        <v>44771</v>
      </c>
      <c r="E1026" s="74">
        <f ca="1">IFERROR(__xludf.DUMMYFUNCTION("""COMPUTED_VALUE"""),25000)</f>
        <v>25000</v>
      </c>
      <c r="F1026" s="72"/>
      <c r="G1026" s="75"/>
      <c r="H1026" s="59" t="str">
        <f ca="1">IFERROR(__xludf.DUMMYFUNCTION("""COMPUTED_VALUE"""),"UPDATE")</f>
        <v>UPDATE</v>
      </c>
      <c r="I1026" s="76" t="str">
        <f ca="1">IFERROR(__xludf.DUMMYFUNCTION("""COMPUTED_VALUE"""),"https://drive.google.com/open?id=1dZeMawyuPmEkri5DOARONikbEjAMJ-Q8")</f>
        <v>https://drive.google.com/open?id=1dZeMawyuPmEkri5DOARONikbEjAMJ-Q8</v>
      </c>
      <c r="J1026" s="59"/>
      <c r="K1026" s="59"/>
      <c r="L1026" s="59"/>
      <c r="M1026" s="59"/>
      <c r="N1026" s="59"/>
      <c r="O1026" s="59"/>
      <c r="P1026" s="59"/>
    </row>
    <row r="1027" spans="1:16">
      <c r="A1027" s="71">
        <f ca="1">IFERROR(__xludf.DUMMYFUNCTION("""COMPUTED_VALUE"""),44774.8444855787)</f>
        <v>44774.844485578702</v>
      </c>
      <c r="B1027" s="59" t="str">
        <f ca="1">IFERROR(__xludf.DUMMYFUNCTION("""COMPUTED_VALUE"""),"Bhanderi jeel rasikbhai")</f>
        <v>Bhanderi jeel rasikbhai</v>
      </c>
      <c r="C1027" s="72" t="str">
        <f ca="1">IFERROR(__xludf.DUMMYFUNCTION("""COMPUTED_VALUE"""),"21SDSCE01117")</f>
        <v>21SDSCE01117</v>
      </c>
      <c r="D1027" s="73">
        <f ca="1">IFERROR(__xludf.DUMMYFUNCTION("""COMPUTED_VALUE"""),44774)</f>
        <v>44774</v>
      </c>
      <c r="E1027" s="74">
        <f ca="1">IFERROR(__xludf.DUMMYFUNCTION("""COMPUTED_VALUE"""),12500)</f>
        <v>12500</v>
      </c>
      <c r="F1027" s="72">
        <f ca="1">IFERROR(__xludf.DUMMYFUNCTION("""COMPUTED_VALUE"""),5000)</f>
        <v>5000</v>
      </c>
      <c r="G1027" s="75"/>
      <c r="H1027" s="59" t="str">
        <f ca="1">IFERROR(__xludf.DUMMYFUNCTION("""COMPUTED_VALUE"""),"UPDATE")</f>
        <v>UPDATE</v>
      </c>
      <c r="I1027" s="76" t="str">
        <f ca="1">IFERROR(__xludf.DUMMYFUNCTION("""COMPUTED_VALUE"""),"https://drive.google.com/open?id=17H6kEYXMS5iXXUVSKaYXyFs1kL2NZZAM")</f>
        <v>https://drive.google.com/open?id=17H6kEYXMS5iXXUVSKaYXyFs1kL2NZZAM</v>
      </c>
      <c r="J1027" s="59"/>
      <c r="K1027" s="59"/>
      <c r="L1027" s="59"/>
      <c r="M1027" s="59"/>
      <c r="N1027" s="59"/>
      <c r="O1027" s="59"/>
      <c r="P1027" s="59"/>
    </row>
    <row r="1028" spans="1:16">
      <c r="A1028" s="71">
        <f ca="1">IFERROR(__xludf.DUMMYFUNCTION("""COMPUTED_VALUE"""),44774.8388688078)</f>
        <v>44774.838868807798</v>
      </c>
      <c r="B1028" s="59" t="str">
        <f ca="1">IFERROR(__xludf.DUMMYFUNCTION("""COMPUTED_VALUE"""),"Panchani prutha ")</f>
        <v xml:space="preserve">Panchani prutha </v>
      </c>
      <c r="C1028" s="72" t="str">
        <f ca="1">IFERROR(__xludf.DUMMYFUNCTION("""COMPUTED_VALUE"""),"21SDSCE01086")</f>
        <v>21SDSCE01086</v>
      </c>
      <c r="D1028" s="73">
        <f ca="1">IFERROR(__xludf.DUMMYFUNCTION("""COMPUTED_VALUE"""),44774)</f>
        <v>44774</v>
      </c>
      <c r="E1028" s="74">
        <f ca="1">IFERROR(__xludf.DUMMYFUNCTION("""COMPUTED_VALUE"""),27000)</f>
        <v>27000</v>
      </c>
      <c r="F1028" s="72"/>
      <c r="G1028" s="75"/>
      <c r="H1028" s="59" t="str">
        <f ca="1">IFERROR(__xludf.DUMMYFUNCTION("""COMPUTED_VALUE"""),"UPDATE")</f>
        <v>UPDATE</v>
      </c>
      <c r="I1028" s="76" t="str">
        <f ca="1">IFERROR(__xludf.DUMMYFUNCTION("""COMPUTED_VALUE"""),"https://drive.google.com/open?id=1AUMarMpODQufh8J_OGNvYbgJnfQtlf-R")</f>
        <v>https://drive.google.com/open?id=1AUMarMpODQufh8J_OGNvYbgJnfQtlf-R</v>
      </c>
      <c r="J1028" s="59"/>
      <c r="K1028" s="59"/>
      <c r="L1028" s="59"/>
      <c r="M1028" s="59"/>
      <c r="N1028" s="59"/>
      <c r="O1028" s="59"/>
      <c r="P1028" s="59"/>
    </row>
    <row r="1029" spans="1:16">
      <c r="A1029" s="71">
        <f ca="1">IFERROR(__xludf.DUMMYFUNCTION("""COMPUTED_VALUE"""),44774.8323002662)</f>
        <v>44774.8323002662</v>
      </c>
      <c r="B1029" s="59" t="str">
        <f ca="1">IFERROR(__xludf.DUMMYFUNCTION("""COMPUTED_VALUE"""),"Teravadiya Harmis Kishorbhai ")</f>
        <v xml:space="preserve">Teravadiya Harmis Kishorbhai </v>
      </c>
      <c r="C1029" s="72" t="str">
        <f ca="1">IFERROR(__xludf.DUMMYFUNCTION("""COMPUTED_VALUE"""),"21SDSCE01107")</f>
        <v>21SDSCE01107</v>
      </c>
      <c r="D1029" s="73">
        <f ca="1">IFERROR(__xludf.DUMMYFUNCTION("""COMPUTED_VALUE"""),44767)</f>
        <v>44767</v>
      </c>
      <c r="E1029" s="72"/>
      <c r="F1029" s="72">
        <f ca="1">IFERROR(__xludf.DUMMYFUNCTION("""COMPUTED_VALUE"""),2500)</f>
        <v>2500</v>
      </c>
      <c r="G1029" s="75"/>
      <c r="H1029" s="59" t="str">
        <f ca="1">IFERROR(__xludf.DUMMYFUNCTION("""COMPUTED_VALUE"""),"UPDATE")</f>
        <v>UPDATE</v>
      </c>
      <c r="I1029" s="76" t="str">
        <f ca="1">IFERROR(__xludf.DUMMYFUNCTION("""COMPUTED_VALUE"""),"https://drive.google.com/open?id=1SeTqW1QAgj9AWfQl_L7l3iDEEtpLmzsB")</f>
        <v>https://drive.google.com/open?id=1SeTqW1QAgj9AWfQl_L7l3iDEEtpLmzsB</v>
      </c>
      <c r="J1029" s="59"/>
      <c r="K1029" s="59"/>
      <c r="L1029" s="59"/>
      <c r="M1029" s="59"/>
      <c r="N1029" s="59"/>
      <c r="O1029" s="59"/>
      <c r="P1029" s="59"/>
    </row>
    <row r="1030" spans="1:16">
      <c r="A1030" s="71">
        <f ca="1">IFERROR(__xludf.DUMMYFUNCTION("""COMPUTED_VALUE"""),44774.8050214699)</f>
        <v>44774.805021469903</v>
      </c>
      <c r="B1030" s="59" t="str">
        <f ca="1">IFERROR(__xludf.DUMMYFUNCTION("""COMPUTED_VALUE"""),"Kandarp Vyas")</f>
        <v>Kandarp Vyas</v>
      </c>
      <c r="C1030" s="72" t="str">
        <f ca="1">IFERROR(__xludf.DUMMYFUNCTION("""COMPUTED_VALUE"""),"21SDSCE01054")</f>
        <v>21SDSCE01054</v>
      </c>
      <c r="D1030" s="73">
        <f ca="1">IFERROR(__xludf.DUMMYFUNCTION("""COMPUTED_VALUE"""),44774)</f>
        <v>44774</v>
      </c>
      <c r="E1030" s="74">
        <f ca="1">IFERROR(__xludf.DUMMYFUNCTION("""COMPUTED_VALUE"""),0)</f>
        <v>0</v>
      </c>
      <c r="F1030" s="72">
        <f ca="1">IFERROR(__xludf.DUMMYFUNCTION("""COMPUTED_VALUE"""),2500)</f>
        <v>2500</v>
      </c>
      <c r="G1030" s="75"/>
      <c r="H1030" s="59" t="str">
        <f ca="1">IFERROR(__xludf.DUMMYFUNCTION("""COMPUTED_VALUE"""),"UPDATE")</f>
        <v>UPDATE</v>
      </c>
      <c r="I1030" s="76" t="str">
        <f ca="1">IFERROR(__xludf.DUMMYFUNCTION("""COMPUTED_VALUE"""),"https://drive.google.com/open?id=1S1xIKGptBJkR-0D7hJOaPa3GZiFE1rp8")</f>
        <v>https://drive.google.com/open?id=1S1xIKGptBJkR-0D7hJOaPa3GZiFE1rp8</v>
      </c>
      <c r="J1030" s="59"/>
      <c r="K1030" s="59"/>
      <c r="L1030" s="59"/>
      <c r="M1030" s="59"/>
      <c r="N1030" s="59"/>
      <c r="O1030" s="59"/>
      <c r="P1030" s="59"/>
    </row>
    <row r="1031" spans="1:16">
      <c r="A1031" s="71">
        <f ca="1">IFERROR(__xludf.DUMMYFUNCTION("""COMPUTED_VALUE"""),44774.8029603356)</f>
        <v>44774.802960335597</v>
      </c>
      <c r="B1031" s="59" t="str">
        <f ca="1">IFERROR(__xludf.DUMMYFUNCTION("""COMPUTED_VALUE"""),"Kandarp vyas")</f>
        <v>Kandarp vyas</v>
      </c>
      <c r="C1031" s="72" t="str">
        <f ca="1">IFERROR(__xludf.DUMMYFUNCTION("""COMPUTED_VALUE"""),"21SDSCE01054")</f>
        <v>21SDSCE01054</v>
      </c>
      <c r="D1031" s="73">
        <f ca="1">IFERROR(__xludf.DUMMYFUNCTION("""COMPUTED_VALUE"""),44774)</f>
        <v>44774</v>
      </c>
      <c r="E1031" s="74">
        <f ca="1">IFERROR(__xludf.DUMMYFUNCTION("""COMPUTED_VALUE"""),25000)</f>
        <v>25000</v>
      </c>
      <c r="F1031" s="72">
        <f ca="1">IFERROR(__xludf.DUMMYFUNCTION("""COMPUTED_VALUE"""),0)</f>
        <v>0</v>
      </c>
      <c r="G1031" s="75"/>
      <c r="H1031" s="59" t="str">
        <f ca="1">IFERROR(__xludf.DUMMYFUNCTION("""COMPUTED_VALUE"""),"UPDATE")</f>
        <v>UPDATE</v>
      </c>
      <c r="I1031" s="76" t="str">
        <f ca="1">IFERROR(__xludf.DUMMYFUNCTION("""COMPUTED_VALUE"""),"https://drive.google.com/open?id=1rkMRTZTQrc3ZxliB7WFn_MQFGb4RcgI3")</f>
        <v>https://drive.google.com/open?id=1rkMRTZTQrc3ZxliB7WFn_MQFGb4RcgI3</v>
      </c>
      <c r="J1031" s="59"/>
      <c r="K1031" s="59"/>
      <c r="L1031" s="59"/>
      <c r="M1031" s="59"/>
      <c r="N1031" s="59"/>
      <c r="O1031" s="59"/>
      <c r="P1031" s="59"/>
    </row>
    <row r="1032" spans="1:16">
      <c r="A1032" s="71">
        <f ca="1">IFERROR(__xludf.DUMMYFUNCTION("""COMPUTED_VALUE"""),44774.6595516088)</f>
        <v>44774.659551608798</v>
      </c>
      <c r="B1032" s="59" t="str">
        <f ca="1">IFERROR(__xludf.DUMMYFUNCTION("""COMPUTED_VALUE"""),"POOJAN PRAVINBHAI KALARIYA")</f>
        <v>POOJAN PRAVINBHAI KALARIYA</v>
      </c>
      <c r="C1032" s="72" t="str">
        <f ca="1">IFERROR(__xludf.DUMMYFUNCTION("""COMPUTED_VALUE"""),"21SDSCE01025")</f>
        <v>21SDSCE01025</v>
      </c>
      <c r="D1032" s="73">
        <f ca="1">IFERROR(__xludf.DUMMYFUNCTION("""COMPUTED_VALUE"""),44774)</f>
        <v>44774</v>
      </c>
      <c r="E1032" s="72"/>
      <c r="F1032" s="72"/>
      <c r="G1032" s="75"/>
      <c r="H1032" s="59" t="str">
        <f ca="1">IFERROR(__xludf.DUMMYFUNCTION("""COMPUTED_VALUE"""),"UPDATE")</f>
        <v>UPDATE</v>
      </c>
      <c r="I1032" s="76" t="str">
        <f ca="1">IFERROR(__xludf.DUMMYFUNCTION("""COMPUTED_VALUE"""),"https://drive.google.com/open?id=1CZQqKd3wsfP4_tGEdcW24c3yp8x4Av8D")</f>
        <v>https://drive.google.com/open?id=1CZQqKd3wsfP4_tGEdcW24c3yp8x4Av8D</v>
      </c>
      <c r="J1032" s="59"/>
      <c r="K1032" s="59"/>
      <c r="L1032" s="59"/>
      <c r="M1032" s="59"/>
      <c r="N1032" s="59"/>
      <c r="O1032" s="59"/>
      <c r="P1032" s="59"/>
    </row>
    <row r="1033" spans="1:16">
      <c r="A1033" s="71">
        <f ca="1">IFERROR(__xludf.DUMMYFUNCTION("""COMPUTED_VALUE"""),44774.5831479745)</f>
        <v>44774.583147974503</v>
      </c>
      <c r="B1033" s="59" t="str">
        <f ca="1">IFERROR(__xludf.DUMMYFUNCTION("""COMPUTED_VALUE"""),"Dream patel ")</f>
        <v xml:space="preserve">Dream patel </v>
      </c>
      <c r="C1033" s="72" t="str">
        <f ca="1">IFERROR(__xludf.DUMMYFUNCTION("""COMPUTED_VALUE"""),"21SDSCE01094")</f>
        <v>21SDSCE01094</v>
      </c>
      <c r="D1033" s="73">
        <f ca="1">IFERROR(__xludf.DUMMYFUNCTION("""COMPUTED_VALUE"""),44774)</f>
        <v>44774</v>
      </c>
      <c r="E1033" s="72"/>
      <c r="F1033" s="72">
        <f ca="1">IFERROR(__xludf.DUMMYFUNCTION("""COMPUTED_VALUE"""),25000)</f>
        <v>25000</v>
      </c>
      <c r="G1033" s="75"/>
      <c r="H1033" s="59" t="str">
        <f ca="1">IFERROR(__xludf.DUMMYFUNCTION("""COMPUTED_VALUE"""),"UPDATE")</f>
        <v>UPDATE</v>
      </c>
      <c r="I1033" s="76" t="str">
        <f ca="1">IFERROR(__xludf.DUMMYFUNCTION("""COMPUTED_VALUE"""),"https://drive.google.com/open?id=1oQf5D91cXqoxkW7sjgw6vmjxM0BiOnKI")</f>
        <v>https://drive.google.com/open?id=1oQf5D91cXqoxkW7sjgw6vmjxM0BiOnKI</v>
      </c>
      <c r="J1033" s="59"/>
      <c r="K1033" s="59"/>
      <c r="L1033" s="59"/>
      <c r="M1033" s="59"/>
      <c r="N1033" s="59"/>
      <c r="O1033" s="59"/>
      <c r="P1033" s="59"/>
    </row>
    <row r="1034" spans="1:16">
      <c r="A1034" s="71">
        <f ca="1">IFERROR(__xludf.DUMMYFUNCTION("""COMPUTED_VALUE"""),44774.5688613657)</f>
        <v>44774.568861365697</v>
      </c>
      <c r="B1034" s="59" t="str">
        <f ca="1">IFERROR(__xludf.DUMMYFUNCTION("""COMPUTED_VALUE"""),"JENISH KOTADIYA ")</f>
        <v xml:space="preserve">JENISH KOTADIYA </v>
      </c>
      <c r="C1034" s="72" t="str">
        <f ca="1">IFERROR(__xludf.DUMMYFUNCTION("""COMPUTED_VALUE"""),"21SDSCE01081")</f>
        <v>21SDSCE01081</v>
      </c>
      <c r="D1034" s="73">
        <f ca="1">IFERROR(__xludf.DUMMYFUNCTION("""COMPUTED_VALUE"""),44774)</f>
        <v>44774</v>
      </c>
      <c r="E1034" s="72"/>
      <c r="F1034" s="72"/>
      <c r="G1034" s="75"/>
      <c r="H1034" s="59" t="str">
        <f ca="1">IFERROR(__xludf.DUMMYFUNCTION("""COMPUTED_VALUE"""),"UPDATE")</f>
        <v>UPDATE</v>
      </c>
      <c r="I1034" s="76" t="str">
        <f ca="1">IFERROR(__xludf.DUMMYFUNCTION("""COMPUTED_VALUE"""),"https://drive.google.com/open?id=1-TQ33vnjcTPi2RBouMpy24GZVRkNb8sr")</f>
        <v>https://drive.google.com/open?id=1-TQ33vnjcTPi2RBouMpy24GZVRkNb8sr</v>
      </c>
      <c r="J1034" s="59"/>
      <c r="K1034" s="59"/>
      <c r="L1034" s="59"/>
      <c r="M1034" s="59"/>
      <c r="N1034" s="59"/>
      <c r="O1034" s="59"/>
      <c r="P1034" s="59"/>
    </row>
    <row r="1035" spans="1:16">
      <c r="A1035" s="71">
        <f ca="1">IFERROR(__xludf.DUMMYFUNCTION("""COMPUTED_VALUE"""),44774.3777058796)</f>
        <v>44774.377705879597</v>
      </c>
      <c r="B1035" s="59" t="str">
        <f ca="1">IFERROR(__xludf.DUMMYFUNCTION("""COMPUTED_VALUE"""),"Kapupara kaushal")</f>
        <v>Kapupara kaushal</v>
      </c>
      <c r="C1035" s="72" t="str">
        <f ca="1">IFERROR(__xludf.DUMMYFUNCTION("""COMPUTED_VALUE"""),"21SDSCE01026")</f>
        <v>21SDSCE01026</v>
      </c>
      <c r="D1035" s="73">
        <f ca="1">IFERROR(__xludf.DUMMYFUNCTION("""COMPUTED_VALUE"""),44774)</f>
        <v>44774</v>
      </c>
      <c r="E1035" s="72"/>
      <c r="F1035" s="72">
        <f ca="1">IFERROR(__xludf.DUMMYFUNCTION("""COMPUTED_VALUE"""),21250)</f>
        <v>21250</v>
      </c>
      <c r="G1035" s="75"/>
      <c r="H1035" s="59" t="str">
        <f ca="1">IFERROR(__xludf.DUMMYFUNCTION("""COMPUTED_VALUE"""),"UPDATE")</f>
        <v>UPDATE</v>
      </c>
      <c r="I1035" s="76" t="str">
        <f ca="1">IFERROR(__xludf.DUMMYFUNCTION("""COMPUTED_VALUE"""),"https://drive.google.com/open?id=1fBePhprPb3_mshn95QexM8cMF1uQqorn")</f>
        <v>https://drive.google.com/open?id=1fBePhprPb3_mshn95QexM8cMF1uQqorn</v>
      </c>
      <c r="J1035" s="59"/>
      <c r="K1035" s="59"/>
      <c r="L1035" s="59"/>
      <c r="M1035" s="59"/>
      <c r="N1035" s="59"/>
      <c r="O1035" s="59"/>
      <c r="P1035" s="59"/>
    </row>
    <row r="1036" spans="1:16">
      <c r="A1036" s="71">
        <f ca="1">IFERROR(__xludf.DUMMYFUNCTION("""COMPUTED_VALUE"""),44771.6464917824)</f>
        <v>44771.646491782398</v>
      </c>
      <c r="B1036" s="59" t="str">
        <f ca="1">IFERROR(__xludf.DUMMYFUNCTION("""COMPUTED_VALUE"""),"Dream patel ")</f>
        <v xml:space="preserve">Dream patel </v>
      </c>
      <c r="C1036" s="72" t="str">
        <f ca="1">IFERROR(__xludf.DUMMYFUNCTION("""COMPUTED_VALUE"""),"21SDSCE01094")</f>
        <v>21SDSCE01094</v>
      </c>
      <c r="D1036" s="73">
        <f ca="1">IFERROR(__xludf.DUMMYFUNCTION("""COMPUTED_VALUE"""),44771)</f>
        <v>44771</v>
      </c>
      <c r="E1036" s="72"/>
      <c r="F1036" s="72">
        <f ca="1">IFERROR(__xludf.DUMMYFUNCTION("""COMPUTED_VALUE"""),2500)</f>
        <v>2500</v>
      </c>
      <c r="G1036" s="75"/>
      <c r="H1036" s="59" t="str">
        <f ca="1">IFERROR(__xludf.DUMMYFUNCTION("""COMPUTED_VALUE"""),"UPDATE")</f>
        <v>UPDATE</v>
      </c>
      <c r="I1036" s="76" t="str">
        <f ca="1">IFERROR(__xludf.DUMMYFUNCTION("""COMPUTED_VALUE"""),"https://drive.google.com/open?id=1_c-onSbWAxduVOgrQ65OWQsvqiBUchtR")</f>
        <v>https://drive.google.com/open?id=1_c-onSbWAxduVOgrQ65OWQsvqiBUchtR</v>
      </c>
      <c r="J1036" s="59"/>
      <c r="K1036" s="59"/>
      <c r="L1036" s="59"/>
      <c r="M1036" s="59"/>
      <c r="N1036" s="59"/>
      <c r="O1036" s="59"/>
      <c r="P1036" s="59"/>
    </row>
    <row r="1037" spans="1:16">
      <c r="A1037" s="71">
        <f ca="1">IFERROR(__xludf.DUMMYFUNCTION("""COMPUTED_VALUE"""),44771.5330396759)</f>
        <v>44771.533039675902</v>
      </c>
      <c r="B1037" s="59" t="str">
        <f ca="1">IFERROR(__xludf.DUMMYFUNCTION("""COMPUTED_VALUE"""),"Priyanshu bhuva")</f>
        <v>Priyanshu bhuva</v>
      </c>
      <c r="C1037" s="72" t="str">
        <f ca="1">IFERROR(__xludf.DUMMYFUNCTION("""COMPUTED_VALUE"""),"21sdscv01003")</f>
        <v>21sdscv01003</v>
      </c>
      <c r="D1037" s="73">
        <f ca="1">IFERROR(__xludf.DUMMYFUNCTION("""COMPUTED_VALUE"""),44771)</f>
        <v>44771</v>
      </c>
      <c r="E1037" s="74">
        <f ca="1">IFERROR(__xludf.DUMMYFUNCTION("""COMPUTED_VALUE"""),0)</f>
        <v>0</v>
      </c>
      <c r="F1037" s="72">
        <f ca="1">IFERROR(__xludf.DUMMYFUNCTION("""COMPUTED_VALUE"""),2500)</f>
        <v>2500</v>
      </c>
      <c r="G1037" s="75"/>
      <c r="H1037" s="59" t="str">
        <f ca="1">IFERROR(__xludf.DUMMYFUNCTION("""COMPUTED_VALUE"""),"UPDATE")</f>
        <v>UPDATE</v>
      </c>
      <c r="I1037" s="76" t="str">
        <f ca="1">IFERROR(__xludf.DUMMYFUNCTION("""COMPUTED_VALUE"""),"https://drive.google.com/open?id=1sobFxE8Pw700qAkcJp9qD4V1pD7tuPTx")</f>
        <v>https://drive.google.com/open?id=1sobFxE8Pw700qAkcJp9qD4V1pD7tuPTx</v>
      </c>
      <c r="J1037" s="59"/>
      <c r="K1037" s="59"/>
      <c r="L1037" s="59"/>
      <c r="M1037" s="59"/>
      <c r="N1037" s="59"/>
      <c r="O1037" s="59"/>
      <c r="P1037" s="59"/>
    </row>
    <row r="1038" spans="1:16">
      <c r="A1038" s="71">
        <f ca="1">IFERROR(__xludf.DUMMYFUNCTION("""COMPUTED_VALUE"""),44771.5238212152)</f>
        <v>44771.523821215203</v>
      </c>
      <c r="B1038" s="59" t="str">
        <f ca="1">IFERROR(__xludf.DUMMYFUNCTION("""COMPUTED_VALUE"""),"Priyanshu Bhuva")</f>
        <v>Priyanshu Bhuva</v>
      </c>
      <c r="C1038" s="72" t="str">
        <f ca="1">IFERROR(__xludf.DUMMYFUNCTION("""COMPUTED_VALUE"""),"21sdscv01003")</f>
        <v>21sdscv01003</v>
      </c>
      <c r="D1038" s="73">
        <f ca="1">IFERROR(__xludf.DUMMYFUNCTION("""COMPUTED_VALUE"""),44771)</f>
        <v>44771</v>
      </c>
      <c r="E1038" s="74">
        <f ca="1">IFERROR(__xludf.DUMMYFUNCTION("""COMPUTED_VALUE"""),0)</f>
        <v>0</v>
      </c>
      <c r="F1038" s="72">
        <f ca="1">IFERROR(__xludf.DUMMYFUNCTION("""COMPUTED_VALUE"""),2500)</f>
        <v>2500</v>
      </c>
      <c r="G1038" s="75"/>
      <c r="H1038" s="59" t="str">
        <f ca="1">IFERROR(__xludf.DUMMYFUNCTION("""COMPUTED_VALUE"""),"UPDATE")</f>
        <v>UPDATE</v>
      </c>
      <c r="I1038" s="76" t="str">
        <f ca="1">IFERROR(__xludf.DUMMYFUNCTION("""COMPUTED_VALUE"""),"https://drive.google.com/open?id=1v36wMGJRw_NFAOb8do4xUSyKPLW8aHPH")</f>
        <v>https://drive.google.com/open?id=1v36wMGJRw_NFAOb8do4xUSyKPLW8aHPH</v>
      </c>
      <c r="J1038" s="59"/>
      <c r="K1038" s="59"/>
      <c r="L1038" s="59"/>
      <c r="M1038" s="59"/>
      <c r="N1038" s="59"/>
      <c r="O1038" s="59"/>
      <c r="P1038" s="59"/>
    </row>
    <row r="1039" spans="1:16">
      <c r="A1039" s="71">
        <f ca="1">IFERROR(__xludf.DUMMYFUNCTION("""COMPUTED_VALUE"""),44769.8202674189)</f>
        <v>44769.820267418901</v>
      </c>
      <c r="B1039" s="59" t="str">
        <f ca="1">IFERROR(__xludf.DUMMYFUNCTION("""COMPUTED_VALUE"""),"Agravat Deep dineshbhai")</f>
        <v>Agravat Deep dineshbhai</v>
      </c>
      <c r="C1039" s="72" t="str">
        <f ca="1">IFERROR(__xludf.DUMMYFUNCTION("""COMPUTED_VALUE"""),"21SDSME01002")</f>
        <v>21SDSME01002</v>
      </c>
      <c r="D1039" s="73">
        <f ca="1">IFERROR(__xludf.DUMMYFUNCTION("""COMPUTED_VALUE"""),44769)</f>
        <v>44769</v>
      </c>
      <c r="E1039" s="72"/>
      <c r="F1039" s="72">
        <f ca="1">IFERROR(__xludf.DUMMYFUNCTION("""COMPUTED_VALUE"""),2500)</f>
        <v>2500</v>
      </c>
      <c r="G1039" s="75"/>
      <c r="H1039" s="59" t="str">
        <f ca="1">IFERROR(__xludf.DUMMYFUNCTION("""COMPUTED_VALUE"""),"UPDATE")</f>
        <v>UPDATE</v>
      </c>
      <c r="I1039" s="76" t="str">
        <f ca="1">IFERROR(__xludf.DUMMYFUNCTION("""COMPUTED_VALUE"""),"https://drive.google.com/open?id=1ANIqKqJdVx_EMFvri6s9TyVRE1N5UMfd")</f>
        <v>https://drive.google.com/open?id=1ANIqKqJdVx_EMFvri6s9TyVRE1N5UMfd</v>
      </c>
      <c r="J1039" s="59"/>
      <c r="K1039" s="59"/>
      <c r="L1039" s="59"/>
      <c r="M1039" s="59"/>
      <c r="N1039" s="59"/>
      <c r="O1039" s="59"/>
      <c r="P1039" s="59"/>
    </row>
    <row r="1040" spans="1:16">
      <c r="A1040" s="71">
        <f ca="1">IFERROR(__xludf.DUMMYFUNCTION("""COMPUTED_VALUE"""),44769.5005112615)</f>
        <v>44769.500511261504</v>
      </c>
      <c r="B1040" s="59" t="str">
        <f ca="1">IFERROR(__xludf.DUMMYFUNCTION("""COMPUTED_VALUE"""),"Sidapara yashvi Sanjay Bhai ")</f>
        <v xml:space="preserve">Sidapara yashvi Sanjay Bhai </v>
      </c>
      <c r="C1040" s="72" t="str">
        <f ca="1">IFERROR(__xludf.DUMMYFUNCTION("""COMPUTED_VALUE"""),"21SDSCE01149")</f>
        <v>21SDSCE01149</v>
      </c>
      <c r="D1040" s="73">
        <f ca="1">IFERROR(__xludf.DUMMYFUNCTION("""COMPUTED_VALUE"""),44769)</f>
        <v>44769</v>
      </c>
      <c r="E1040" s="74">
        <f ca="1">IFERROR(__xludf.DUMMYFUNCTION("""COMPUTED_VALUE"""),0)</f>
        <v>0</v>
      </c>
      <c r="F1040" s="72">
        <f ca="1">IFERROR(__xludf.DUMMYFUNCTION("""COMPUTED_VALUE"""),0)</f>
        <v>0</v>
      </c>
      <c r="G1040" s="75"/>
      <c r="H1040" s="59" t="str">
        <f ca="1">IFERROR(__xludf.DUMMYFUNCTION("""COMPUTED_VALUE"""),"UPDATE")</f>
        <v>UPDATE</v>
      </c>
      <c r="I1040" s="76" t="str">
        <f ca="1">IFERROR(__xludf.DUMMYFUNCTION("""COMPUTED_VALUE"""),"https://drive.google.com/open?id=13HTIWhHBo1dMiyMqy5djFXrPbb83QEq1")</f>
        <v>https://drive.google.com/open?id=13HTIWhHBo1dMiyMqy5djFXrPbb83QEq1</v>
      </c>
      <c r="J1040" s="59"/>
      <c r="K1040" s="59"/>
      <c r="L1040" s="59"/>
      <c r="M1040" s="59"/>
      <c r="N1040" s="59"/>
      <c r="O1040" s="59"/>
      <c r="P1040" s="59"/>
    </row>
    <row r="1041" spans="1:16">
      <c r="A1041" s="71">
        <f ca="1">IFERROR(__xludf.DUMMYFUNCTION("""COMPUTED_VALUE"""),44767.7356479513)</f>
        <v>44767.735647951296</v>
      </c>
      <c r="B1041" s="59" t="str">
        <f ca="1">IFERROR(__xludf.DUMMYFUNCTION("""COMPUTED_VALUE"""),"Ravaliya Tushar Maheshbhai ")</f>
        <v xml:space="preserve">Ravaliya Tushar Maheshbhai </v>
      </c>
      <c r="C1041" s="72" t="str">
        <f ca="1">IFERROR(__xludf.DUMMYFUNCTION("""COMPUTED_VALUE"""),"21SDSCE01101 ")</f>
        <v xml:space="preserve">21SDSCE01101 </v>
      </c>
      <c r="D1041" s="73">
        <f ca="1">IFERROR(__xludf.DUMMYFUNCTION("""COMPUTED_VALUE"""),44767)</f>
        <v>44767</v>
      </c>
      <c r="E1041" s="74">
        <f ca="1">IFERROR(__xludf.DUMMYFUNCTION("""COMPUTED_VALUE"""),25000)</f>
        <v>25000</v>
      </c>
      <c r="F1041" s="72">
        <f ca="1">IFERROR(__xludf.DUMMYFUNCTION("""COMPUTED_VALUE"""),2500)</f>
        <v>2500</v>
      </c>
      <c r="G1041" s="75"/>
      <c r="H1041" s="59" t="str">
        <f ca="1">IFERROR(__xludf.DUMMYFUNCTION("""COMPUTED_VALUE"""),"UPDATE")</f>
        <v>UPDATE</v>
      </c>
      <c r="I1041" s="76" t="str">
        <f ca="1">IFERROR(__xludf.DUMMYFUNCTION("""COMPUTED_VALUE"""),"https://drive.google.com/open?id=187X5LE-edOEsobLPhVnOag5poB8IXsqj")</f>
        <v>https://drive.google.com/open?id=187X5LE-edOEsobLPhVnOag5poB8IXsqj</v>
      </c>
      <c r="J1041" s="59"/>
      <c r="K1041" s="59"/>
      <c r="L1041" s="59"/>
      <c r="M1041" s="59"/>
      <c r="N1041" s="59"/>
      <c r="O1041" s="59"/>
      <c r="P1041" s="59"/>
    </row>
    <row r="1042" spans="1:16">
      <c r="A1042" s="71">
        <f ca="1">IFERROR(__xludf.DUMMYFUNCTION("""COMPUTED_VALUE"""),44767.6475098495)</f>
        <v>44767.647509849499</v>
      </c>
      <c r="B1042" s="59" t="str">
        <f ca="1">IFERROR(__xludf.DUMMYFUNCTION("""COMPUTED_VALUE"""),"Chavda krish jayantibhai")</f>
        <v>Chavda krish jayantibhai</v>
      </c>
      <c r="C1042" s="72" t="str">
        <f ca="1">IFERROR(__xludf.DUMMYFUNCTION("""COMPUTED_VALUE"""),"21SDSCE01061")</f>
        <v>21SDSCE01061</v>
      </c>
      <c r="D1042" s="73">
        <f ca="1">IFERROR(__xludf.DUMMYFUNCTION("""COMPUTED_VALUE"""),44767)</f>
        <v>44767</v>
      </c>
      <c r="E1042" s="74">
        <f ca="1">IFERROR(__xludf.DUMMYFUNCTION("""COMPUTED_VALUE"""),28000)</f>
        <v>28000</v>
      </c>
      <c r="F1042" s="72"/>
      <c r="G1042" s="75"/>
      <c r="H1042" s="59" t="str">
        <f ca="1">IFERROR(__xludf.DUMMYFUNCTION("""COMPUTED_VALUE"""),"UPDATE")</f>
        <v>UPDATE</v>
      </c>
      <c r="I1042" s="76" t="str">
        <f ca="1">IFERROR(__xludf.DUMMYFUNCTION("""COMPUTED_VALUE"""),"https://drive.google.com/open?id=1pHNFcgDEvXbmEZ03Q2iOIDQyYq8gsOda")</f>
        <v>https://drive.google.com/open?id=1pHNFcgDEvXbmEZ03Q2iOIDQyYq8gsOda</v>
      </c>
      <c r="J1042" s="59"/>
      <c r="K1042" s="59"/>
      <c r="L1042" s="59"/>
      <c r="M1042" s="59"/>
      <c r="N1042" s="59"/>
      <c r="O1042" s="59"/>
      <c r="P1042" s="59"/>
    </row>
    <row r="1043" spans="1:16">
      <c r="A1043" s="71">
        <f ca="1">IFERROR(__xludf.DUMMYFUNCTION("""COMPUTED_VALUE"""),44766.5509998263)</f>
        <v>44766.550999826301</v>
      </c>
      <c r="B1043" s="59" t="str">
        <f ca="1">IFERROR(__xludf.DUMMYFUNCTION("""COMPUTED_VALUE"""),"JENISH KOTADIYA ")</f>
        <v xml:space="preserve">JENISH KOTADIYA </v>
      </c>
      <c r="C1043" s="72" t="str">
        <f ca="1">IFERROR(__xludf.DUMMYFUNCTION("""COMPUTED_VALUE"""),"21SDSCE01081")</f>
        <v>21SDSCE01081</v>
      </c>
      <c r="D1043" s="73">
        <f ca="1">IFERROR(__xludf.DUMMYFUNCTION("""COMPUTED_VALUE"""),44766)</f>
        <v>44766</v>
      </c>
      <c r="E1043" s="72"/>
      <c r="F1043" s="72">
        <f ca="1">IFERROR(__xludf.DUMMYFUNCTION("""COMPUTED_VALUE"""),2500)</f>
        <v>2500</v>
      </c>
      <c r="G1043" s="75"/>
      <c r="H1043" s="59" t="str">
        <f ca="1">IFERROR(__xludf.DUMMYFUNCTION("""COMPUTED_VALUE"""),"UPDATE")</f>
        <v>UPDATE</v>
      </c>
      <c r="I1043" s="76" t="str">
        <f ca="1">IFERROR(__xludf.DUMMYFUNCTION("""COMPUTED_VALUE"""),"https://drive.google.com/open?id=1oz3VYD0G3KOW6Dm2dev9FQPprdMZsODp")</f>
        <v>https://drive.google.com/open?id=1oz3VYD0G3KOW6Dm2dev9FQPprdMZsODp</v>
      </c>
      <c r="J1043" s="59"/>
      <c r="K1043" s="59"/>
      <c r="L1043" s="59"/>
      <c r="M1043" s="59"/>
      <c r="N1043" s="59"/>
      <c r="O1043" s="59"/>
      <c r="P1043" s="59"/>
    </row>
    <row r="1044" spans="1:16">
      <c r="A1044" s="71">
        <f ca="1">IFERROR(__xludf.DUMMYFUNCTION("""COMPUTED_VALUE"""),44766.549975324)</f>
        <v>44766.549975324</v>
      </c>
      <c r="B1044" s="59" t="str">
        <f ca="1">IFERROR(__xludf.DUMMYFUNCTION("""COMPUTED_VALUE"""),"JENISH KOTADIYA ")</f>
        <v xml:space="preserve">JENISH KOTADIYA </v>
      </c>
      <c r="C1044" s="72" t="str">
        <f ca="1">IFERROR(__xludf.DUMMYFUNCTION("""COMPUTED_VALUE"""),"21SDSCE01081")</f>
        <v>21SDSCE01081</v>
      </c>
      <c r="D1044" s="73">
        <f ca="1">IFERROR(__xludf.DUMMYFUNCTION("""COMPUTED_VALUE"""),44766)</f>
        <v>44766</v>
      </c>
      <c r="E1044" s="74">
        <f ca="1">IFERROR(__xludf.DUMMYFUNCTION("""COMPUTED_VALUE"""),25000)</f>
        <v>25000</v>
      </c>
      <c r="F1044" s="72"/>
      <c r="G1044" s="75"/>
      <c r="H1044" s="59" t="str">
        <f ca="1">IFERROR(__xludf.DUMMYFUNCTION("""COMPUTED_VALUE"""),"UPDATE")</f>
        <v>UPDATE</v>
      </c>
      <c r="I1044" s="76" t="str">
        <f ca="1">IFERROR(__xludf.DUMMYFUNCTION("""COMPUTED_VALUE"""),"https://drive.google.com/open?id=1-4s_xpomT5czkghRHxWtqaJRFG6W8dUN")</f>
        <v>https://drive.google.com/open?id=1-4s_xpomT5czkghRHxWtqaJRFG6W8dUN</v>
      </c>
      <c r="J1044" s="59"/>
      <c r="K1044" s="59"/>
      <c r="L1044" s="59"/>
      <c r="M1044" s="59"/>
      <c r="N1044" s="59"/>
      <c r="O1044" s="59"/>
      <c r="P1044" s="59"/>
    </row>
    <row r="1045" spans="1:16">
      <c r="A1045" s="71">
        <f ca="1">IFERROR(__xludf.DUMMYFUNCTION("""COMPUTED_VALUE"""),44763.8267899652)</f>
        <v>44763.826789965198</v>
      </c>
      <c r="B1045" s="59" t="str">
        <f ca="1">IFERROR(__xludf.DUMMYFUNCTION("""COMPUTED_VALUE"""),"Panchani prutha ")</f>
        <v xml:space="preserve">Panchani prutha </v>
      </c>
      <c r="C1045" s="72" t="str">
        <f ca="1">IFERROR(__xludf.DUMMYFUNCTION("""COMPUTED_VALUE"""),"21SDSCE01086")</f>
        <v>21SDSCE01086</v>
      </c>
      <c r="D1045" s="73">
        <f ca="1">IFERROR(__xludf.DUMMYFUNCTION("""COMPUTED_VALUE"""),44763)</f>
        <v>44763</v>
      </c>
      <c r="E1045" s="72"/>
      <c r="F1045" s="72"/>
      <c r="G1045" s="75"/>
      <c r="H1045" s="59" t="str">
        <f ca="1">IFERROR(__xludf.DUMMYFUNCTION("""COMPUTED_VALUE"""),"UPDATE")</f>
        <v>UPDATE</v>
      </c>
      <c r="I1045" s="76" t="str">
        <f ca="1">IFERROR(__xludf.DUMMYFUNCTION("""COMPUTED_VALUE"""),"https://drive.google.com/open?id=1TMSxKYMUxUS8cw_fhiecOXeTlu1skKYs")</f>
        <v>https://drive.google.com/open?id=1TMSxKYMUxUS8cw_fhiecOXeTlu1skKYs</v>
      </c>
      <c r="J1045" s="59"/>
      <c r="K1045" s="59"/>
      <c r="L1045" s="59"/>
      <c r="M1045" s="59"/>
      <c r="N1045" s="59"/>
      <c r="O1045" s="59"/>
      <c r="P1045" s="59"/>
    </row>
    <row r="1046" spans="1:16">
      <c r="A1046" s="71">
        <f ca="1">IFERROR(__xludf.DUMMYFUNCTION("""COMPUTED_VALUE"""),44762.4443526041)</f>
        <v>44762.4443526041</v>
      </c>
      <c r="B1046" s="59" t="str">
        <f ca="1">IFERROR(__xludf.DUMMYFUNCTION("""COMPUTED_VALUE"""),"Ramani Henish Jayeshbhai")</f>
        <v>Ramani Henish Jayeshbhai</v>
      </c>
      <c r="C1046" s="72" t="str">
        <f ca="1">IFERROR(__xludf.DUMMYFUNCTION("""COMPUTED_VALUE"""),"20sdsce01092")</f>
        <v>20sdsce01092</v>
      </c>
      <c r="D1046" s="73">
        <f ca="1">IFERROR(__xludf.DUMMYFUNCTION("""COMPUTED_VALUE"""),44706)</f>
        <v>44706</v>
      </c>
      <c r="E1046" s="72"/>
      <c r="F1046" s="72">
        <f ca="1">IFERROR(__xludf.DUMMYFUNCTION("""COMPUTED_VALUE"""),2500)</f>
        <v>2500</v>
      </c>
      <c r="G1046" s="75"/>
      <c r="H1046" s="59" t="str">
        <f ca="1">IFERROR(__xludf.DUMMYFUNCTION("""COMPUTED_VALUE"""),"UPDATE")</f>
        <v>UPDATE</v>
      </c>
      <c r="I1046" s="76" t="str">
        <f ca="1">IFERROR(__xludf.DUMMYFUNCTION("""COMPUTED_VALUE"""),"https://drive.google.com/open?id=1TqgR_BXdoFhckbgV_UfSZHaLh9zVFjWk")</f>
        <v>https://drive.google.com/open?id=1TqgR_BXdoFhckbgV_UfSZHaLh9zVFjWk</v>
      </c>
      <c r="J1046" s="59"/>
      <c r="K1046" s="59"/>
      <c r="L1046" s="59"/>
      <c r="M1046" s="59"/>
      <c r="N1046" s="59"/>
      <c r="O1046" s="59"/>
      <c r="P1046" s="59"/>
    </row>
    <row r="1047" spans="1:16">
      <c r="A1047" s="71">
        <f ca="1">IFERROR(__xludf.DUMMYFUNCTION("""COMPUTED_VALUE"""),44760.7833216319)</f>
        <v>44760.783321631898</v>
      </c>
      <c r="B1047" s="59" t="str">
        <f ca="1">IFERROR(__xludf.DUMMYFUNCTION("""COMPUTED_VALUE"""),"Varia Nikhil")</f>
        <v>Varia Nikhil</v>
      </c>
      <c r="C1047" s="72" t="str">
        <f ca="1">IFERROR(__xludf.DUMMYFUNCTION("""COMPUTED_VALUE"""),"21SDSEE01008")</f>
        <v>21SDSEE01008</v>
      </c>
      <c r="D1047" s="73">
        <f ca="1">IFERROR(__xludf.DUMMYFUNCTION("""COMPUTED_VALUE"""),44760)</f>
        <v>44760</v>
      </c>
      <c r="E1047" s="72"/>
      <c r="F1047" s="72"/>
      <c r="G1047" s="75"/>
      <c r="H1047" s="59" t="str">
        <f ca="1">IFERROR(__xludf.DUMMYFUNCTION("""COMPUTED_VALUE"""),"UPDATE")</f>
        <v>UPDATE</v>
      </c>
      <c r="I1047" s="76" t="str">
        <f ca="1">IFERROR(__xludf.DUMMYFUNCTION("""COMPUTED_VALUE"""),"https://drive.google.com/open?id=1vUXHQk3CY4IrBHKCDaZFN9KGL-rpgBip")</f>
        <v>https://drive.google.com/open?id=1vUXHQk3CY4IrBHKCDaZFN9KGL-rpgBip</v>
      </c>
      <c r="J1047" s="59"/>
      <c r="K1047" s="59"/>
      <c r="L1047" s="59"/>
      <c r="M1047" s="59"/>
      <c r="N1047" s="59"/>
      <c r="O1047" s="59"/>
      <c r="P1047" s="59"/>
    </row>
    <row r="1048" spans="1:16">
      <c r="A1048" s="71">
        <f ca="1">IFERROR(__xludf.DUMMYFUNCTION("""COMPUTED_VALUE"""),44760.6667042939)</f>
        <v>44760.666704293901</v>
      </c>
      <c r="B1048" s="59" t="str">
        <f ca="1">IFERROR(__xludf.DUMMYFUNCTION("""COMPUTED_VALUE"""),"Aashvi Atulbhai Kansagara ")</f>
        <v xml:space="preserve">Aashvi Atulbhai Kansagara </v>
      </c>
      <c r="C1048" s="72" t="str">
        <f ca="1">IFERROR(__xludf.DUMMYFUNCTION("""COMPUTED_VALUE"""),"20SDSCE01050")</f>
        <v>20SDSCE01050</v>
      </c>
      <c r="D1048" s="73">
        <f ca="1">IFERROR(__xludf.DUMMYFUNCTION("""COMPUTED_VALUE"""),44760)</f>
        <v>44760</v>
      </c>
      <c r="E1048" s="74">
        <f ca="1">IFERROR(__xludf.DUMMYFUNCTION("""COMPUTED_VALUE"""),25000)</f>
        <v>25000</v>
      </c>
      <c r="F1048" s="72"/>
      <c r="G1048" s="75"/>
      <c r="H1048" s="59" t="str">
        <f ca="1">IFERROR(__xludf.DUMMYFUNCTION("""COMPUTED_VALUE"""),"UPDATE")</f>
        <v>UPDATE</v>
      </c>
      <c r="I1048" s="76" t="str">
        <f ca="1">IFERROR(__xludf.DUMMYFUNCTION("""COMPUTED_VALUE"""),"https://drive.google.com/open?id=1U-jNkpy0Aqs6fZ5rDgueMvEMJX_6SjgJ")</f>
        <v>https://drive.google.com/open?id=1U-jNkpy0Aqs6fZ5rDgueMvEMJX_6SjgJ</v>
      </c>
      <c r="J1048" s="59"/>
      <c r="K1048" s="59"/>
      <c r="L1048" s="59"/>
      <c r="M1048" s="59"/>
      <c r="N1048" s="59"/>
      <c r="O1048" s="59"/>
      <c r="P1048" s="59"/>
    </row>
    <row r="1049" spans="1:16">
      <c r="A1049" s="71">
        <f ca="1">IFERROR(__xludf.DUMMYFUNCTION("""COMPUTED_VALUE"""),44756.7645643981)</f>
        <v>44756.764564398101</v>
      </c>
      <c r="B1049" s="59" t="str">
        <f ca="1">IFERROR(__xludf.DUMMYFUNCTION("""COMPUTED_VALUE"""),"Deep vadher ")</f>
        <v xml:space="preserve">Deep vadher </v>
      </c>
      <c r="C1049" s="72" t="str">
        <f ca="1">IFERROR(__xludf.DUMMYFUNCTION("""COMPUTED_VALUE"""),"20SDSCE01125")</f>
        <v>20SDSCE01125</v>
      </c>
      <c r="D1049" s="73">
        <f ca="1">IFERROR(__xludf.DUMMYFUNCTION("""COMPUTED_VALUE"""),44756)</f>
        <v>44756</v>
      </c>
      <c r="E1049" s="74">
        <f ca="1">IFERROR(__xludf.DUMMYFUNCTION("""COMPUTED_VALUE"""),28000)</f>
        <v>28000</v>
      </c>
      <c r="F1049" s="72"/>
      <c r="G1049" s="75"/>
      <c r="H1049" s="59" t="str">
        <f ca="1">IFERROR(__xludf.DUMMYFUNCTION("""COMPUTED_VALUE"""),"UPDATE")</f>
        <v>UPDATE</v>
      </c>
      <c r="I1049" s="76" t="str">
        <f ca="1">IFERROR(__xludf.DUMMYFUNCTION("""COMPUTED_VALUE"""),"https://drive.google.com/open?id=1Q5Dv35FHt4_ebRD_v8_VqPg_Ers6p1MY")</f>
        <v>https://drive.google.com/open?id=1Q5Dv35FHt4_ebRD_v8_VqPg_Ers6p1MY</v>
      </c>
      <c r="J1049" s="59"/>
      <c r="K1049" s="59"/>
      <c r="L1049" s="59"/>
      <c r="M1049" s="59"/>
      <c r="N1049" s="59"/>
      <c r="O1049" s="59"/>
      <c r="P1049" s="59"/>
    </row>
    <row r="1050" spans="1:16">
      <c r="A1050" s="71">
        <f ca="1">IFERROR(__xludf.DUMMYFUNCTION("""COMPUTED_VALUE"""),44756.4854978819)</f>
        <v>44756.485497881898</v>
      </c>
      <c r="B1050" s="59" t="str">
        <f ca="1">IFERROR(__xludf.DUMMYFUNCTION("""COMPUTED_VALUE"""),"Sidapara yashvi Sanjay Bhai ")</f>
        <v xml:space="preserve">Sidapara yashvi Sanjay Bhai </v>
      </c>
      <c r="C1050" s="72" t="str">
        <f ca="1">IFERROR(__xludf.DUMMYFUNCTION("""COMPUTED_VALUE"""),"21SDSCE01149")</f>
        <v>21SDSCE01149</v>
      </c>
      <c r="D1050" s="73">
        <f ca="1">IFERROR(__xludf.DUMMYFUNCTION("""COMPUTED_VALUE"""),44755)</f>
        <v>44755</v>
      </c>
      <c r="E1050" s="74">
        <f ca="1">IFERROR(__xludf.DUMMYFUNCTION("""COMPUTED_VALUE"""),0)</f>
        <v>0</v>
      </c>
      <c r="F1050" s="72">
        <f ca="1">IFERROR(__xludf.DUMMYFUNCTION("""COMPUTED_VALUE"""),0)</f>
        <v>0</v>
      </c>
      <c r="G1050" s="75"/>
      <c r="H1050" s="59" t="str">
        <f ca="1">IFERROR(__xludf.DUMMYFUNCTION("""COMPUTED_VALUE"""),"UPDATE")</f>
        <v>UPDATE</v>
      </c>
      <c r="I1050" s="76" t="str">
        <f ca="1">IFERROR(__xludf.DUMMYFUNCTION("""COMPUTED_VALUE"""),"https://drive.google.com/open?id=1r_8OEN0F17YkW7cL7pj_747RNNLzof_Y")</f>
        <v>https://drive.google.com/open?id=1r_8OEN0F17YkW7cL7pj_747RNNLzof_Y</v>
      </c>
      <c r="J1050" s="59"/>
      <c r="K1050" s="59"/>
      <c r="L1050" s="59"/>
      <c r="M1050" s="59"/>
      <c r="N1050" s="59"/>
      <c r="O1050" s="59"/>
      <c r="P1050" s="59"/>
    </row>
    <row r="1051" spans="1:16">
      <c r="A1051" s="71">
        <f ca="1">IFERROR(__xludf.DUMMYFUNCTION("""COMPUTED_VALUE"""),44751.6554957523)</f>
        <v>44751.655495752297</v>
      </c>
      <c r="B1051" s="59" t="str">
        <f ca="1">IFERROR(__xludf.DUMMYFUNCTION("""COMPUTED_VALUE"""),"Shubh rupapara Mukeshbhia ")</f>
        <v xml:space="preserve">Shubh rupapara Mukeshbhia </v>
      </c>
      <c r="C1051" s="72" t="str">
        <f ca="1">IFERROR(__xludf.DUMMYFUNCTION("""COMPUTED_VALUE"""),"20SDSCE01103")</f>
        <v>20SDSCE01103</v>
      </c>
      <c r="D1051" s="73">
        <f ca="1">IFERROR(__xludf.DUMMYFUNCTION("""COMPUTED_VALUE"""),44751)</f>
        <v>44751</v>
      </c>
      <c r="E1051" s="74">
        <f ca="1">IFERROR(__xludf.DUMMYFUNCTION("""COMPUTED_VALUE"""),25000)</f>
        <v>25000</v>
      </c>
      <c r="F1051" s="72"/>
      <c r="G1051" s="75"/>
      <c r="H1051" s="59" t="str">
        <f ca="1">IFERROR(__xludf.DUMMYFUNCTION("""COMPUTED_VALUE"""),"UPDATE")</f>
        <v>UPDATE</v>
      </c>
      <c r="I1051" s="76" t="str">
        <f ca="1">IFERROR(__xludf.DUMMYFUNCTION("""COMPUTED_VALUE"""),"https://drive.google.com/open?id=12Kg77NqU4uSEVQV6tDZaxIyJ91v_atMS")</f>
        <v>https://drive.google.com/open?id=12Kg77NqU4uSEVQV6tDZaxIyJ91v_atMS</v>
      </c>
      <c r="J1051" s="59"/>
      <c r="K1051" s="59"/>
      <c r="L1051" s="59"/>
      <c r="M1051" s="59"/>
      <c r="N1051" s="59"/>
      <c r="O1051" s="59"/>
      <c r="P1051" s="59"/>
    </row>
    <row r="1052" spans="1:16">
      <c r="A1052" s="71">
        <f ca="1">IFERROR(__xludf.DUMMYFUNCTION("""COMPUTED_VALUE"""),44751.4053506597)</f>
        <v>44751.405350659697</v>
      </c>
      <c r="B1052" s="59" t="str">
        <f ca="1">IFERROR(__xludf.DUMMYFUNCTION("""COMPUTED_VALUE"""),"Ratanpara Hetkumar Rajendra ")</f>
        <v xml:space="preserve">Ratanpara Hetkumar Rajendra </v>
      </c>
      <c r="C1052" s="72" t="str">
        <f ca="1">IFERROR(__xludf.DUMMYFUNCTION("""COMPUTED_VALUE"""),"20SDSCE01094")</f>
        <v>20SDSCE01094</v>
      </c>
      <c r="D1052" s="73">
        <f ca="1">IFERROR(__xludf.DUMMYFUNCTION("""COMPUTED_VALUE"""),44751)</f>
        <v>44751</v>
      </c>
      <c r="E1052" s="74">
        <f ca="1">IFERROR(__xludf.DUMMYFUNCTION("""COMPUTED_VALUE"""),0)</f>
        <v>0</v>
      </c>
      <c r="F1052" s="72">
        <f ca="1">IFERROR(__xludf.DUMMYFUNCTION("""COMPUTED_VALUE"""),0)</f>
        <v>0</v>
      </c>
      <c r="G1052" s="75"/>
      <c r="H1052" s="59" t="str">
        <f ca="1">IFERROR(__xludf.DUMMYFUNCTION("""COMPUTED_VALUE"""),"UPDATE")</f>
        <v>UPDATE</v>
      </c>
      <c r="I1052" s="76" t="str">
        <f ca="1">IFERROR(__xludf.DUMMYFUNCTION("""COMPUTED_VALUE"""),"https://drive.google.com/open?id=11p1tT9oxeotab7mfaczJJ-a9pOtWWbEL")</f>
        <v>https://drive.google.com/open?id=11p1tT9oxeotab7mfaczJJ-a9pOtWWbEL</v>
      </c>
      <c r="J1052" s="59"/>
      <c r="K1052" s="59"/>
      <c r="L1052" s="59"/>
      <c r="M1052" s="59"/>
      <c r="N1052" s="59"/>
      <c r="O1052" s="59"/>
      <c r="P1052" s="59"/>
    </row>
    <row r="1053" spans="1:16">
      <c r="A1053" s="71">
        <f ca="1">IFERROR(__xludf.DUMMYFUNCTION("""COMPUTED_VALUE"""),44750.8142593171)</f>
        <v>44750.8142593171</v>
      </c>
      <c r="B1053" s="59" t="str">
        <f ca="1">IFERROR(__xludf.DUMMYFUNCTION("""COMPUTED_VALUE"""),"Ratanpara Hetkumar Rajendra ")</f>
        <v xml:space="preserve">Ratanpara Hetkumar Rajendra </v>
      </c>
      <c r="C1053" s="72" t="str">
        <f ca="1">IFERROR(__xludf.DUMMYFUNCTION("""COMPUTED_VALUE"""),"20SDSCE01094")</f>
        <v>20SDSCE01094</v>
      </c>
      <c r="D1053" s="73">
        <f ca="1">IFERROR(__xludf.DUMMYFUNCTION("""COMPUTED_VALUE"""),44750)</f>
        <v>44750</v>
      </c>
      <c r="E1053" s="74">
        <f ca="1">IFERROR(__xludf.DUMMYFUNCTION("""COMPUTED_VALUE"""),0)</f>
        <v>0</v>
      </c>
      <c r="F1053" s="72">
        <f ca="1">IFERROR(__xludf.DUMMYFUNCTION("""COMPUTED_VALUE"""),2500)</f>
        <v>2500</v>
      </c>
      <c r="G1053" s="75"/>
      <c r="H1053" s="59" t="str">
        <f ca="1">IFERROR(__xludf.DUMMYFUNCTION("""COMPUTED_VALUE"""),"UPDATE")</f>
        <v>UPDATE</v>
      </c>
      <c r="I1053" s="76" t="str">
        <f ca="1">IFERROR(__xludf.DUMMYFUNCTION("""COMPUTED_VALUE"""),"https://drive.google.com/open?id=1Z3bsi-72N20DTcrhbFgZImhqy4PHX-ZC")</f>
        <v>https://drive.google.com/open?id=1Z3bsi-72N20DTcrhbFgZImhqy4PHX-ZC</v>
      </c>
      <c r="J1053" s="59"/>
      <c r="K1053" s="59"/>
      <c r="L1053" s="59"/>
      <c r="M1053" s="59"/>
      <c r="N1053" s="59"/>
      <c r="O1053" s="59"/>
      <c r="P1053" s="59"/>
    </row>
    <row r="1054" spans="1:16">
      <c r="A1054" s="71">
        <f ca="1">IFERROR(__xludf.DUMMYFUNCTION("""COMPUTED_VALUE"""),44748.803345081)</f>
        <v>44748.803345081003</v>
      </c>
      <c r="B1054" s="59" t="str">
        <f ca="1">IFERROR(__xludf.DUMMYFUNCTION("""COMPUTED_VALUE"""),"Karan ajani")</f>
        <v>Karan ajani</v>
      </c>
      <c r="C1054" s="72" t="str">
        <f ca="1">IFERROR(__xludf.DUMMYFUNCTION("""COMPUTED_VALUE"""),"20sdsee01001 ")</f>
        <v xml:space="preserve">20sdsee01001 </v>
      </c>
      <c r="D1054" s="73">
        <f ca="1">IFERROR(__xludf.DUMMYFUNCTION("""COMPUTED_VALUE"""),44748)</f>
        <v>44748</v>
      </c>
      <c r="E1054" s="74">
        <f ca="1">IFERROR(__xludf.DUMMYFUNCTION("""COMPUTED_VALUE"""),12500)</f>
        <v>12500</v>
      </c>
      <c r="F1054" s="72"/>
      <c r="G1054" s="75"/>
      <c r="H1054" s="59" t="str">
        <f ca="1">IFERROR(__xludf.DUMMYFUNCTION("""COMPUTED_VALUE"""),"UPDATE")</f>
        <v>UPDATE</v>
      </c>
      <c r="I1054" s="76" t="str">
        <f ca="1">IFERROR(__xludf.DUMMYFUNCTION("""COMPUTED_VALUE"""),"https://drive.google.com/open?id=1cmG1-sGsyuxslsJ1oxWnJMwC7uMMOxIr")</f>
        <v>https://drive.google.com/open?id=1cmG1-sGsyuxslsJ1oxWnJMwC7uMMOxIr</v>
      </c>
      <c r="J1054" s="59"/>
      <c r="K1054" s="59"/>
      <c r="L1054" s="59"/>
      <c r="M1054" s="59"/>
      <c r="N1054" s="59"/>
      <c r="O1054" s="59"/>
      <c r="P1054" s="59"/>
    </row>
    <row r="1055" spans="1:16">
      <c r="A1055" s="71">
        <f ca="1">IFERROR(__xludf.DUMMYFUNCTION("""COMPUTED_VALUE"""),44748.80248125)</f>
        <v>44748.802481250001</v>
      </c>
      <c r="B1055" s="59" t="str">
        <f ca="1">IFERROR(__xludf.DUMMYFUNCTION("""COMPUTED_VALUE"""),"Karan Ajani")</f>
        <v>Karan Ajani</v>
      </c>
      <c r="C1055" s="72" t="str">
        <f ca="1">IFERROR(__xludf.DUMMYFUNCTION("""COMPUTED_VALUE"""),"20sdsee01001 ")</f>
        <v xml:space="preserve">20sdsee01001 </v>
      </c>
      <c r="D1055" s="73">
        <f ca="1">IFERROR(__xludf.DUMMYFUNCTION("""COMPUTED_VALUE"""),44748)</f>
        <v>44748</v>
      </c>
      <c r="E1055" s="72"/>
      <c r="F1055" s="72">
        <f ca="1">IFERROR(__xludf.DUMMYFUNCTION("""COMPUTED_VALUE"""),2500)</f>
        <v>2500</v>
      </c>
      <c r="G1055" s="75"/>
      <c r="H1055" s="59" t="str">
        <f ca="1">IFERROR(__xludf.DUMMYFUNCTION("""COMPUTED_VALUE"""),"UPDATE")</f>
        <v>UPDATE</v>
      </c>
      <c r="I1055" s="76" t="str">
        <f ca="1">IFERROR(__xludf.DUMMYFUNCTION("""COMPUTED_VALUE"""),"https://drive.google.com/open?id=1VaKUFD3b5Ale8ILRcBxRZes-VrMsWFC2")</f>
        <v>https://drive.google.com/open?id=1VaKUFD3b5Ale8ILRcBxRZes-VrMsWFC2</v>
      </c>
      <c r="J1055" s="59"/>
      <c r="K1055" s="59"/>
      <c r="L1055" s="59"/>
      <c r="M1055" s="59"/>
      <c r="N1055" s="59"/>
      <c r="O1055" s="59"/>
      <c r="P1055" s="59"/>
    </row>
    <row r="1056" spans="1:16">
      <c r="A1056" s="71">
        <f ca="1">IFERROR(__xludf.DUMMYFUNCTION("""COMPUTED_VALUE"""),44748.6229131481)</f>
        <v>44748.622913148101</v>
      </c>
      <c r="B1056" s="59" t="str">
        <f ca="1">IFERROR(__xludf.DUMMYFUNCTION("""COMPUTED_VALUE"""),"DEEP KATESHIYA")</f>
        <v>DEEP KATESHIYA</v>
      </c>
      <c r="C1056" s="72" t="str">
        <f ca="1">IFERROR(__xludf.DUMMYFUNCTION("""COMPUTED_VALUE"""),"20SDSME01018")</f>
        <v>20SDSME01018</v>
      </c>
      <c r="D1056" s="73">
        <f ca="1">IFERROR(__xludf.DUMMYFUNCTION("""COMPUTED_VALUE"""),44732)</f>
        <v>44732</v>
      </c>
      <c r="E1056" s="74">
        <f ca="1">IFERROR(__xludf.DUMMYFUNCTION("""COMPUTED_VALUE"""),12500)</f>
        <v>12500</v>
      </c>
      <c r="F1056" s="72">
        <f ca="1">IFERROR(__xludf.DUMMYFUNCTION("""COMPUTED_VALUE"""),0)</f>
        <v>0</v>
      </c>
      <c r="G1056" s="75"/>
      <c r="H1056" s="59" t="str">
        <f ca="1">IFERROR(__xludf.DUMMYFUNCTION("""COMPUTED_VALUE"""),"UPDATE")</f>
        <v>UPDATE</v>
      </c>
      <c r="I1056" s="76" t="str">
        <f ca="1">IFERROR(__xludf.DUMMYFUNCTION("""COMPUTED_VALUE"""),"https://drive.google.com/open?id=1SF2iv4OjoWeSGwpcQr-o5rA8oEA5mjuU")</f>
        <v>https://drive.google.com/open?id=1SF2iv4OjoWeSGwpcQr-o5rA8oEA5mjuU</v>
      </c>
      <c r="J1056" s="59"/>
      <c r="K1056" s="59"/>
      <c r="L1056" s="59"/>
      <c r="M1056" s="59"/>
      <c r="N1056" s="59"/>
      <c r="O1056" s="59"/>
      <c r="P1056" s="59"/>
    </row>
    <row r="1057" spans="1:16">
      <c r="A1057" s="71">
        <f ca="1">IFERROR(__xludf.DUMMYFUNCTION("""COMPUTED_VALUE"""),44748.6200044791)</f>
        <v>44748.620004479097</v>
      </c>
      <c r="B1057" s="59" t="str">
        <f ca="1">IFERROR(__xludf.DUMMYFUNCTION("""COMPUTED_VALUE"""),"DEEP KATESHIYA")</f>
        <v>DEEP KATESHIYA</v>
      </c>
      <c r="C1057" s="72" t="str">
        <f ca="1">IFERROR(__xludf.DUMMYFUNCTION("""COMPUTED_VALUE"""),"20SDSME01018")</f>
        <v>20SDSME01018</v>
      </c>
      <c r="D1057" s="73">
        <f ca="1">IFERROR(__xludf.DUMMYFUNCTION("""COMPUTED_VALUE"""),44732)</f>
        <v>44732</v>
      </c>
      <c r="E1057" s="74">
        <f ca="1">IFERROR(__xludf.DUMMYFUNCTION("""COMPUTED_VALUE"""),0)</f>
        <v>0</v>
      </c>
      <c r="F1057" s="72">
        <f ca="1">IFERROR(__xludf.DUMMYFUNCTION("""COMPUTED_VALUE"""),2500)</f>
        <v>2500</v>
      </c>
      <c r="G1057" s="75"/>
      <c r="H1057" s="59" t="str">
        <f ca="1">IFERROR(__xludf.DUMMYFUNCTION("""COMPUTED_VALUE"""),"UPDATE")</f>
        <v>UPDATE</v>
      </c>
      <c r="I1057" s="76" t="str">
        <f ca="1">IFERROR(__xludf.DUMMYFUNCTION("""COMPUTED_VALUE"""),"https://drive.google.com/open?id=1rZEifSYM84u1FNu5-UWTrM1QDThUIc9_")</f>
        <v>https://drive.google.com/open?id=1rZEifSYM84u1FNu5-UWTrM1QDThUIc9_</v>
      </c>
      <c r="J1057" s="59"/>
      <c r="K1057" s="59"/>
      <c r="L1057" s="59"/>
      <c r="M1057" s="59"/>
      <c r="N1057" s="59"/>
      <c r="O1057" s="59"/>
      <c r="P1057" s="59"/>
    </row>
    <row r="1058" spans="1:16">
      <c r="A1058" s="71">
        <f ca="1">IFERROR(__xludf.DUMMYFUNCTION("""COMPUTED_VALUE"""),44748.6184576157)</f>
        <v>44748.618457615703</v>
      </c>
      <c r="B1058" s="59" t="str">
        <f ca="1">IFERROR(__xludf.DUMMYFUNCTION("""COMPUTED_VALUE"""),"Deep kateshiya")</f>
        <v>Deep kateshiya</v>
      </c>
      <c r="C1058" s="72" t="str">
        <f ca="1">IFERROR(__xludf.DUMMYFUNCTION("""COMPUTED_VALUE"""),"20SDSME01018")</f>
        <v>20SDSME01018</v>
      </c>
      <c r="D1058" s="73">
        <f ca="1">IFERROR(__xludf.DUMMYFUNCTION("""COMPUTED_VALUE"""),44714)</f>
        <v>44714</v>
      </c>
      <c r="E1058" s="74">
        <f ca="1">IFERROR(__xludf.DUMMYFUNCTION("""COMPUTED_VALUE"""),2500)</f>
        <v>2500</v>
      </c>
      <c r="F1058" s="72">
        <f ca="1">IFERROR(__xludf.DUMMYFUNCTION("""COMPUTED_VALUE"""),0)</f>
        <v>0</v>
      </c>
      <c r="G1058" s="75"/>
      <c r="H1058" s="59" t="str">
        <f ca="1">IFERROR(__xludf.DUMMYFUNCTION("""COMPUTED_VALUE"""),"UPDATE")</f>
        <v>UPDATE</v>
      </c>
      <c r="I1058" s="76" t="str">
        <f ca="1">IFERROR(__xludf.DUMMYFUNCTION("""COMPUTED_VALUE"""),"https://drive.google.com/open?id=1v9tCzOZAjfaGuhDqM_7sFqvJ-iNAAY6E")</f>
        <v>https://drive.google.com/open?id=1v9tCzOZAjfaGuhDqM_7sFqvJ-iNAAY6E</v>
      </c>
      <c r="J1058" s="59"/>
      <c r="K1058" s="59"/>
      <c r="L1058" s="59"/>
      <c r="M1058" s="59"/>
      <c r="N1058" s="59"/>
      <c r="O1058" s="59"/>
      <c r="P1058" s="59"/>
    </row>
    <row r="1059" spans="1:16">
      <c r="A1059" s="71">
        <f ca="1">IFERROR(__xludf.DUMMYFUNCTION("""COMPUTED_VALUE"""),44748.5997229861)</f>
        <v>44748.599722986102</v>
      </c>
      <c r="B1059" s="59" t="str">
        <f ca="1">IFERROR(__xludf.DUMMYFUNCTION("""COMPUTED_VALUE"""),"MEVADA NAMAN DILIPBHAI")</f>
        <v>MEVADA NAMAN DILIPBHAI</v>
      </c>
      <c r="C1059" s="72" t="str">
        <f ca="1">IFERROR(__xludf.DUMMYFUNCTION("""COMPUTED_VALUE"""),"20SDSME01026")</f>
        <v>20SDSME01026</v>
      </c>
      <c r="D1059" s="73">
        <f ca="1">IFERROR(__xludf.DUMMYFUNCTION("""COMPUTED_VALUE"""),44748)</f>
        <v>44748</v>
      </c>
      <c r="E1059" s="74">
        <f ca="1">IFERROR(__xludf.DUMMYFUNCTION("""COMPUTED_VALUE"""),0)</f>
        <v>0</v>
      </c>
      <c r="F1059" s="72">
        <f ca="1">IFERROR(__xludf.DUMMYFUNCTION("""COMPUTED_VALUE"""),0)</f>
        <v>0</v>
      </c>
      <c r="G1059" s="75"/>
      <c r="H1059" s="59" t="str">
        <f ca="1">IFERROR(__xludf.DUMMYFUNCTION("""COMPUTED_VALUE"""),"UPDATE")</f>
        <v>UPDATE</v>
      </c>
      <c r="I1059" s="76" t="str">
        <f ca="1">IFERROR(__xludf.DUMMYFUNCTION("""COMPUTED_VALUE"""),"https://drive.google.com/open?id=1f_53LntHK1zKjTmEBRdlckR2dKbUekbN")</f>
        <v>https://drive.google.com/open?id=1f_53LntHK1zKjTmEBRdlckR2dKbUekbN</v>
      </c>
      <c r="J1059" s="59"/>
      <c r="K1059" s="59"/>
      <c r="L1059" s="59"/>
      <c r="M1059" s="59"/>
      <c r="N1059" s="59"/>
      <c r="O1059" s="59"/>
      <c r="P1059" s="59"/>
    </row>
    <row r="1060" spans="1:16">
      <c r="A1060" s="71">
        <f ca="1">IFERROR(__xludf.DUMMYFUNCTION("""COMPUTED_VALUE"""),44747.6920101388)</f>
        <v>44747.692010138802</v>
      </c>
      <c r="B1060" s="59" t="str">
        <f ca="1">IFERROR(__xludf.DUMMYFUNCTION("""COMPUTED_VALUE"""),"Raj Ramani ")</f>
        <v xml:space="preserve">Raj Ramani </v>
      </c>
      <c r="C1060" s="72" t="str">
        <f ca="1">IFERROR(__xludf.DUMMYFUNCTION("""COMPUTED_VALUE"""),"20sdsce01093")</f>
        <v>20sdsce01093</v>
      </c>
      <c r="D1060" s="73">
        <f ca="1">IFERROR(__xludf.DUMMYFUNCTION("""COMPUTED_VALUE"""),44768)</f>
        <v>44768</v>
      </c>
      <c r="E1060" s="74">
        <f ca="1">IFERROR(__xludf.DUMMYFUNCTION("""COMPUTED_VALUE"""),4000)</f>
        <v>4000</v>
      </c>
      <c r="F1060" s="72"/>
      <c r="G1060" s="75"/>
      <c r="H1060" s="59" t="str">
        <f ca="1">IFERROR(__xludf.DUMMYFUNCTION("""COMPUTED_VALUE"""),"UPDATE")</f>
        <v>UPDATE</v>
      </c>
      <c r="I1060" s="76" t="str">
        <f ca="1">IFERROR(__xludf.DUMMYFUNCTION("""COMPUTED_VALUE"""),"https://drive.google.com/open?id=1iMXs7Nn1yXhkF8AYaJ_Ol1QHvNFLAfZR")</f>
        <v>https://drive.google.com/open?id=1iMXs7Nn1yXhkF8AYaJ_Ol1QHvNFLAfZR</v>
      </c>
      <c r="J1060" s="59"/>
      <c r="K1060" s="59"/>
      <c r="L1060" s="59"/>
      <c r="M1060" s="59"/>
      <c r="N1060" s="59"/>
      <c r="O1060" s="59"/>
      <c r="P1060" s="59"/>
    </row>
    <row r="1061" spans="1:16">
      <c r="A1061" s="71">
        <f ca="1">IFERROR(__xludf.DUMMYFUNCTION("""COMPUTED_VALUE"""),44746.4589929398)</f>
        <v>44746.458992939799</v>
      </c>
      <c r="B1061" s="59" t="str">
        <f ca="1">IFERROR(__xludf.DUMMYFUNCTION("""COMPUTED_VALUE"""),"Durva Parmar")</f>
        <v>Durva Parmar</v>
      </c>
      <c r="C1061" s="72" t="str">
        <f ca="1">IFERROR(__xludf.DUMMYFUNCTION("""COMPUTED_VALUE"""),"21SDSCE03901")</f>
        <v>21SDSCE03901</v>
      </c>
      <c r="D1061" s="73">
        <f ca="1">IFERROR(__xludf.DUMMYFUNCTION("""COMPUTED_VALUE"""),44729)</f>
        <v>44729</v>
      </c>
      <c r="E1061" s="72"/>
      <c r="F1061" s="72"/>
      <c r="G1061" s="75"/>
      <c r="H1061" s="59" t="str">
        <f ca="1">IFERROR(__xludf.DUMMYFUNCTION("""COMPUTED_VALUE"""),"UPDATE")</f>
        <v>UPDATE</v>
      </c>
      <c r="I1061" s="76" t="str">
        <f ca="1">IFERROR(__xludf.DUMMYFUNCTION("""COMPUTED_VALUE"""),"https://drive.google.com/open?id=1W33XtJ9VqYDjCZglKSdmaOZvSXg2yzP2")</f>
        <v>https://drive.google.com/open?id=1W33XtJ9VqYDjCZglKSdmaOZvSXg2yzP2</v>
      </c>
      <c r="J1061" s="59"/>
      <c r="K1061" s="59"/>
      <c r="L1061" s="59"/>
      <c r="M1061" s="59"/>
      <c r="N1061" s="59"/>
      <c r="O1061" s="59"/>
      <c r="P1061" s="59"/>
    </row>
    <row r="1062" spans="1:16">
      <c r="A1062" s="71">
        <f ca="1">IFERROR(__xludf.DUMMYFUNCTION("""COMPUTED_VALUE"""),44746.4573502893)</f>
        <v>44746.457350289304</v>
      </c>
      <c r="B1062" s="59" t="str">
        <f ca="1">IFERROR(__xludf.DUMMYFUNCTION("""COMPUTED_VALUE"""),"Durva Parmar")</f>
        <v>Durva Parmar</v>
      </c>
      <c r="C1062" s="72" t="str">
        <f ca="1">IFERROR(__xludf.DUMMYFUNCTION("""COMPUTED_VALUE"""),"21SDSCE03901")</f>
        <v>21SDSCE03901</v>
      </c>
      <c r="D1062" s="73">
        <f ca="1">IFERROR(__xludf.DUMMYFUNCTION("""COMPUTED_VALUE"""),44727)</f>
        <v>44727</v>
      </c>
      <c r="E1062" s="74">
        <f ca="1">IFERROR(__xludf.DUMMYFUNCTION("""COMPUTED_VALUE"""),25000)</f>
        <v>25000</v>
      </c>
      <c r="F1062" s="72">
        <f ca="1">IFERROR(__xludf.DUMMYFUNCTION("""COMPUTED_VALUE"""),2500)</f>
        <v>2500</v>
      </c>
      <c r="G1062" s="75"/>
      <c r="H1062" s="59" t="str">
        <f ca="1">IFERROR(__xludf.DUMMYFUNCTION("""COMPUTED_VALUE"""),"UPDATE")</f>
        <v>UPDATE</v>
      </c>
      <c r="I1062" s="76" t="str">
        <f ca="1">IFERROR(__xludf.DUMMYFUNCTION("""COMPUTED_VALUE"""),"https://drive.google.com/open?id=1xfImJi3tOvirmiwmDmUtFDAwGUbVImGy")</f>
        <v>https://drive.google.com/open?id=1xfImJi3tOvirmiwmDmUtFDAwGUbVImGy</v>
      </c>
      <c r="J1062" s="59"/>
      <c r="K1062" s="59"/>
      <c r="L1062" s="59"/>
      <c r="M1062" s="59"/>
      <c r="N1062" s="59"/>
      <c r="O1062" s="59"/>
      <c r="P1062" s="59"/>
    </row>
    <row r="1063" spans="1:16">
      <c r="A1063" s="71">
        <f ca="1">IFERROR(__xludf.DUMMYFUNCTION("""COMPUTED_VALUE"""),44743.5114464351)</f>
        <v>44743.511446435099</v>
      </c>
      <c r="B1063" s="59" t="str">
        <f ca="1">IFERROR(__xludf.DUMMYFUNCTION("""COMPUTED_VALUE"""),"Khushi bhimani ")</f>
        <v xml:space="preserve">Khushi bhimani </v>
      </c>
      <c r="C1063" s="72" t="str">
        <f ca="1">IFERROR(__xludf.DUMMYFUNCTION("""COMPUTED_VALUE"""),"20SDSCE01013 ")</f>
        <v xml:space="preserve">20SDSCE01013 </v>
      </c>
      <c r="D1063" s="73">
        <f ca="1">IFERROR(__xludf.DUMMYFUNCTION("""COMPUTED_VALUE"""),44728)</f>
        <v>44728</v>
      </c>
      <c r="E1063" s="74">
        <f ca="1">IFERROR(__xludf.DUMMYFUNCTION("""COMPUTED_VALUE"""),25000)</f>
        <v>25000</v>
      </c>
      <c r="F1063" s="72">
        <f ca="1">IFERROR(__xludf.DUMMYFUNCTION("""COMPUTED_VALUE"""),2500)</f>
        <v>2500</v>
      </c>
      <c r="G1063" s="75"/>
      <c r="H1063" s="59" t="str">
        <f ca="1">IFERROR(__xludf.DUMMYFUNCTION("""COMPUTED_VALUE"""),"UPDATE")</f>
        <v>UPDATE</v>
      </c>
      <c r="I1063" s="76" t="str">
        <f ca="1">IFERROR(__xludf.DUMMYFUNCTION("""COMPUTED_VALUE"""),"https://drive.google.com/open?id=1na6JWH1VHdLvF_ASSyNRJzYl95N8Lv__")</f>
        <v>https://drive.google.com/open?id=1na6JWH1VHdLvF_ASSyNRJzYl95N8Lv__</v>
      </c>
      <c r="J1063" s="59"/>
      <c r="K1063" s="59"/>
      <c r="L1063" s="59"/>
      <c r="M1063" s="59"/>
      <c r="N1063" s="59"/>
      <c r="O1063" s="59"/>
      <c r="P1063" s="59"/>
    </row>
    <row r="1064" spans="1:16">
      <c r="A1064" s="71">
        <f ca="1">IFERROR(__xludf.DUMMYFUNCTION("""COMPUTED_VALUE"""),44743.4558061921)</f>
        <v>44743.455806192098</v>
      </c>
      <c r="B1064" s="59" t="str">
        <f ca="1">IFERROR(__xludf.DUMMYFUNCTION("""COMPUTED_VALUE"""),"Patoliya shruti shyambhai")</f>
        <v>Patoliya shruti shyambhai</v>
      </c>
      <c r="C1064" s="72" t="str">
        <f ca="1">IFERROR(__xludf.DUMMYFUNCTION("""COMPUTED_VALUE"""),"20sdsce01089")</f>
        <v>20sdsce01089</v>
      </c>
      <c r="D1064" s="73">
        <f ca="1">IFERROR(__xludf.DUMMYFUNCTION("""COMPUTED_VALUE"""),44741)</f>
        <v>44741</v>
      </c>
      <c r="E1064" s="74">
        <f ca="1">IFERROR(__xludf.DUMMYFUNCTION("""COMPUTED_VALUE"""),25000)</f>
        <v>25000</v>
      </c>
      <c r="F1064" s="72"/>
      <c r="G1064" s="75"/>
      <c r="H1064" s="59" t="str">
        <f ca="1">IFERROR(__xludf.DUMMYFUNCTION("""COMPUTED_VALUE"""),"UPDATE")</f>
        <v>UPDATE</v>
      </c>
      <c r="I1064" s="76" t="str">
        <f ca="1">IFERROR(__xludf.DUMMYFUNCTION("""COMPUTED_VALUE"""),"https://drive.google.com/open?id=1bc3_FHgpBM7A0cqKXJnezvhHUiDYeA3M")</f>
        <v>https://drive.google.com/open?id=1bc3_FHgpBM7A0cqKXJnezvhHUiDYeA3M</v>
      </c>
      <c r="J1064" s="59"/>
      <c r="K1064" s="59"/>
      <c r="L1064" s="59"/>
      <c r="M1064" s="59"/>
      <c r="N1064" s="59"/>
      <c r="O1064" s="59"/>
      <c r="P1064" s="59"/>
    </row>
    <row r="1065" spans="1:16">
      <c r="A1065" s="71">
        <f ca="1">IFERROR(__xludf.DUMMYFUNCTION("""COMPUTED_VALUE"""),44743.3989799884)</f>
        <v>44743.3989799884</v>
      </c>
      <c r="B1065" s="59" t="str">
        <f ca="1">IFERROR(__xludf.DUMMYFUNCTION("""COMPUTED_VALUE"""),"Chavda krish ")</f>
        <v xml:space="preserve">Chavda krish </v>
      </c>
      <c r="C1065" s="72" t="str">
        <f ca="1">IFERROR(__xludf.DUMMYFUNCTION("""COMPUTED_VALUE"""),"21SDSCE01061")</f>
        <v>21SDSCE01061</v>
      </c>
      <c r="D1065" s="73">
        <f ca="1">IFERROR(__xludf.DUMMYFUNCTION("""COMPUTED_VALUE"""),44739)</f>
        <v>44739</v>
      </c>
      <c r="E1065" s="74">
        <f ca="1">IFERROR(__xludf.DUMMYFUNCTION("""COMPUTED_VALUE"""),22000)</f>
        <v>22000</v>
      </c>
      <c r="F1065" s="72"/>
      <c r="G1065" s="75"/>
      <c r="H1065" s="59" t="str">
        <f ca="1">IFERROR(__xludf.DUMMYFUNCTION("""COMPUTED_VALUE"""),"UPDATE")</f>
        <v>UPDATE</v>
      </c>
      <c r="I1065" s="76" t="str">
        <f ca="1">IFERROR(__xludf.DUMMYFUNCTION("""COMPUTED_VALUE"""),"https://drive.google.com/open?id=1Gx7IvQUMOAzN4ArVsRJc3RgGOfu9338s")</f>
        <v>https://drive.google.com/open?id=1Gx7IvQUMOAzN4ArVsRJc3RgGOfu9338s</v>
      </c>
      <c r="J1065" s="59"/>
      <c r="K1065" s="59"/>
      <c r="L1065" s="59"/>
      <c r="M1065" s="59"/>
      <c r="N1065" s="59"/>
      <c r="O1065" s="59"/>
      <c r="P1065" s="59"/>
    </row>
    <row r="1066" spans="1:16">
      <c r="A1066" s="71">
        <f ca="1">IFERROR(__xludf.DUMMYFUNCTION("""COMPUTED_VALUE"""),44742.5055406712)</f>
        <v>44742.505540671198</v>
      </c>
      <c r="B1066" s="59" t="str">
        <f ca="1">IFERROR(__xludf.DUMMYFUNCTION("""COMPUTED_VALUE"""),"Lalani Yash Anilbhai")</f>
        <v>Lalani Yash Anilbhai</v>
      </c>
      <c r="C1066" s="72" t="str">
        <f ca="1">IFERROR(__xludf.DUMMYFUNCTION("""COMPUTED_VALUE"""),"20SDSCE01058")</f>
        <v>20SDSCE01058</v>
      </c>
      <c r="D1066" s="73">
        <f ca="1">IFERROR(__xludf.DUMMYFUNCTION("""COMPUTED_VALUE"""),44732)</f>
        <v>44732</v>
      </c>
      <c r="E1066" s="74">
        <f ca="1">IFERROR(__xludf.DUMMYFUNCTION("""COMPUTED_VALUE"""),17500)</f>
        <v>17500</v>
      </c>
      <c r="F1066" s="72">
        <f ca="1">IFERROR(__xludf.DUMMYFUNCTION("""COMPUTED_VALUE"""),2500)</f>
        <v>2500</v>
      </c>
      <c r="G1066" s="75"/>
      <c r="H1066" s="59" t="str">
        <f ca="1">IFERROR(__xludf.DUMMYFUNCTION("""COMPUTED_VALUE"""),"UPDATE")</f>
        <v>UPDATE</v>
      </c>
      <c r="I1066" s="76" t="str">
        <f ca="1">IFERROR(__xludf.DUMMYFUNCTION("""COMPUTED_VALUE"""),"https://drive.google.com/open?id=1OZZUQ2lvl7_pkCEenLp0WQ19EKKPiZeW")</f>
        <v>https://drive.google.com/open?id=1OZZUQ2lvl7_pkCEenLp0WQ19EKKPiZeW</v>
      </c>
      <c r="J1066" s="59"/>
      <c r="K1066" s="59"/>
      <c r="L1066" s="59"/>
      <c r="M1066" s="59"/>
      <c r="N1066" s="59"/>
      <c r="O1066" s="59"/>
      <c r="P1066" s="59"/>
    </row>
    <row r="1067" spans="1:16">
      <c r="A1067" s="71">
        <f ca="1">IFERROR(__xludf.DUMMYFUNCTION("""COMPUTED_VALUE"""),44741.9527418286)</f>
        <v>44741.952741828602</v>
      </c>
      <c r="B1067" s="59" t="str">
        <f ca="1">IFERROR(__xludf.DUMMYFUNCTION("""COMPUTED_VALUE"""),"Smit Barbhaya")</f>
        <v>Smit Barbhaya</v>
      </c>
      <c r="C1067" s="72" t="str">
        <f ca="1">IFERROR(__xludf.DUMMYFUNCTION("""COMPUTED_VALUE"""),"20SDSCE01007")</f>
        <v>20SDSCE01007</v>
      </c>
      <c r="D1067" s="73">
        <f ca="1">IFERROR(__xludf.DUMMYFUNCTION("""COMPUTED_VALUE"""),44727)</f>
        <v>44727</v>
      </c>
      <c r="E1067" s="72"/>
      <c r="F1067" s="72">
        <f ca="1">IFERROR(__xludf.DUMMYFUNCTION("""COMPUTED_VALUE"""),2500)</f>
        <v>2500</v>
      </c>
      <c r="G1067" s="75"/>
      <c r="H1067" s="59" t="str">
        <f ca="1">IFERROR(__xludf.DUMMYFUNCTION("""COMPUTED_VALUE"""),"UPDATE")</f>
        <v>UPDATE</v>
      </c>
      <c r="I1067" s="76" t="str">
        <f ca="1">IFERROR(__xludf.DUMMYFUNCTION("""COMPUTED_VALUE"""),"https://drive.google.com/open?id=1F6o86et_ne8z90B_6PaBuYwKiVkJ_FZm")</f>
        <v>https://drive.google.com/open?id=1F6o86et_ne8z90B_6PaBuYwKiVkJ_FZm</v>
      </c>
      <c r="J1067" s="59"/>
      <c r="K1067" s="59"/>
      <c r="L1067" s="59"/>
      <c r="M1067" s="59"/>
      <c r="N1067" s="59"/>
      <c r="O1067" s="59"/>
      <c r="P1067" s="59"/>
    </row>
    <row r="1068" spans="1:16">
      <c r="A1068" s="71">
        <f ca="1">IFERROR(__xludf.DUMMYFUNCTION("""COMPUTED_VALUE"""),44741.9511956712)</f>
        <v>44741.951195671201</v>
      </c>
      <c r="B1068" s="59" t="str">
        <f ca="1">IFERROR(__xludf.DUMMYFUNCTION("""COMPUTED_VALUE"""),"Smit barbhaya")</f>
        <v>Smit barbhaya</v>
      </c>
      <c r="C1068" s="72" t="str">
        <f ca="1">IFERROR(__xludf.DUMMYFUNCTION("""COMPUTED_VALUE"""),"20SDSCE01007")</f>
        <v>20SDSCE01007</v>
      </c>
      <c r="D1068" s="73">
        <f ca="1">IFERROR(__xludf.DUMMYFUNCTION("""COMPUTED_VALUE"""),44732)</f>
        <v>44732</v>
      </c>
      <c r="E1068" s="74">
        <f ca="1">IFERROR(__xludf.DUMMYFUNCTION("""COMPUTED_VALUE"""),6250)</f>
        <v>6250</v>
      </c>
      <c r="F1068" s="72"/>
      <c r="G1068" s="75"/>
      <c r="H1068" s="59" t="str">
        <f ca="1">IFERROR(__xludf.DUMMYFUNCTION("""COMPUTED_VALUE"""),"UPDATE")</f>
        <v>UPDATE</v>
      </c>
      <c r="I1068" s="76" t="str">
        <f ca="1">IFERROR(__xludf.DUMMYFUNCTION("""COMPUTED_VALUE"""),"https://drive.google.com/open?id=1GBN2-YphFQO_Q2BIJ1oFahL3O0Iz1c63")</f>
        <v>https://drive.google.com/open?id=1GBN2-YphFQO_Q2BIJ1oFahL3O0Iz1c63</v>
      </c>
      <c r="J1068" s="59"/>
      <c r="K1068" s="59"/>
      <c r="L1068" s="59"/>
      <c r="M1068" s="59"/>
      <c r="N1068" s="59"/>
      <c r="O1068" s="59"/>
      <c r="P1068" s="59"/>
    </row>
    <row r="1069" spans="1:16">
      <c r="A1069" s="71">
        <f ca="1">IFERROR(__xludf.DUMMYFUNCTION("""COMPUTED_VALUE"""),44741.8783091782)</f>
        <v>44741.878309178202</v>
      </c>
      <c r="B1069" s="59" t="str">
        <f ca="1">IFERROR(__xludf.DUMMYFUNCTION("""COMPUTED_VALUE"""),"Dave Prem Naimishbhai ")</f>
        <v xml:space="preserve">Dave Prem Naimishbhai </v>
      </c>
      <c r="C1069" s="72" t="str">
        <f ca="1">IFERROR(__xludf.DUMMYFUNCTION("""COMPUTED_VALUE"""),"20sdsce01024")</f>
        <v>20sdsce01024</v>
      </c>
      <c r="D1069" s="73">
        <f ca="1">IFERROR(__xludf.DUMMYFUNCTION("""COMPUTED_VALUE"""),44738)</f>
        <v>44738</v>
      </c>
      <c r="E1069" s="72"/>
      <c r="F1069" s="72"/>
      <c r="G1069" s="75"/>
      <c r="H1069" s="59" t="str">
        <f ca="1">IFERROR(__xludf.DUMMYFUNCTION("""COMPUTED_VALUE"""),"UPDATE")</f>
        <v>UPDATE</v>
      </c>
      <c r="I1069" s="76" t="str">
        <f ca="1">IFERROR(__xludf.DUMMYFUNCTION("""COMPUTED_VALUE"""),"https://drive.google.com/open?id=1sw6ZYCg7d9UE8_D3kbZ7lIOIi_9poMy6")</f>
        <v>https://drive.google.com/open?id=1sw6ZYCg7d9UE8_D3kbZ7lIOIi_9poMy6</v>
      </c>
      <c r="J1069" s="59"/>
      <c r="K1069" s="59"/>
      <c r="L1069" s="59"/>
      <c r="M1069" s="59"/>
      <c r="N1069" s="59"/>
      <c r="O1069" s="59"/>
      <c r="P1069" s="59"/>
    </row>
    <row r="1070" spans="1:16">
      <c r="A1070" s="71">
        <f ca="1">IFERROR(__xludf.DUMMYFUNCTION("""COMPUTED_VALUE"""),44741.8773007523)</f>
        <v>44741.877300752298</v>
      </c>
      <c r="B1070" s="59" t="str">
        <f ca="1">IFERROR(__xludf.DUMMYFUNCTION("""COMPUTED_VALUE"""),"Dave Prem Naimishbhai ")</f>
        <v xml:space="preserve">Dave Prem Naimishbhai </v>
      </c>
      <c r="C1070" s="72" t="str">
        <f ca="1">IFERROR(__xludf.DUMMYFUNCTION("""COMPUTED_VALUE"""),"20sdsce01024")</f>
        <v>20sdsce01024</v>
      </c>
      <c r="D1070" s="73">
        <f ca="1">IFERROR(__xludf.DUMMYFUNCTION("""COMPUTED_VALUE"""),44731)</f>
        <v>44731</v>
      </c>
      <c r="E1070" s="72"/>
      <c r="F1070" s="72">
        <f ca="1">IFERROR(__xludf.DUMMYFUNCTION("""COMPUTED_VALUE"""),2500)</f>
        <v>2500</v>
      </c>
      <c r="G1070" s="75"/>
      <c r="H1070" s="59" t="str">
        <f ca="1">IFERROR(__xludf.DUMMYFUNCTION("""COMPUTED_VALUE"""),"UPDATE")</f>
        <v>UPDATE</v>
      </c>
      <c r="I1070" s="76" t="str">
        <f ca="1">IFERROR(__xludf.DUMMYFUNCTION("""COMPUTED_VALUE"""),"https://drive.google.com/open?id=1t_L0IjkRw-t8UdB8_FupdBqP1nyVR5hU")</f>
        <v>https://drive.google.com/open?id=1t_L0IjkRw-t8UdB8_FupdBqP1nyVR5hU</v>
      </c>
      <c r="J1070" s="59"/>
      <c r="K1070" s="59"/>
      <c r="L1070" s="59"/>
      <c r="M1070" s="59"/>
      <c r="N1070" s="59"/>
      <c r="O1070" s="59"/>
      <c r="P1070" s="59"/>
    </row>
    <row r="1071" spans="1:16">
      <c r="A1071" s="71">
        <f ca="1">IFERROR(__xludf.DUMMYFUNCTION("""COMPUTED_VALUE"""),44741.648503912)</f>
        <v>44741.648503912002</v>
      </c>
      <c r="B1071" s="59" t="str">
        <f ca="1">IFERROR(__xludf.DUMMYFUNCTION("""COMPUTED_VALUE"""),"Karansinh Chavda")</f>
        <v>Karansinh Chavda</v>
      </c>
      <c r="C1071" s="72" t="str">
        <f ca="1">IFERROR(__xludf.DUMMYFUNCTION("""COMPUTED_VALUE"""),"20sdsce01016")</f>
        <v>20sdsce01016</v>
      </c>
      <c r="D1071" s="73">
        <f ca="1">IFERROR(__xludf.DUMMYFUNCTION("""COMPUTED_VALUE"""),44723)</f>
        <v>44723</v>
      </c>
      <c r="E1071" s="72"/>
      <c r="F1071" s="72">
        <f ca="1">IFERROR(__xludf.DUMMYFUNCTION("""COMPUTED_VALUE"""),2500)</f>
        <v>2500</v>
      </c>
      <c r="G1071" s="75"/>
      <c r="H1071" s="59" t="str">
        <f ca="1">IFERROR(__xludf.DUMMYFUNCTION("""COMPUTED_VALUE"""),"UPDATE")</f>
        <v>UPDATE</v>
      </c>
      <c r="I1071" s="76" t="str">
        <f ca="1">IFERROR(__xludf.DUMMYFUNCTION("""COMPUTED_VALUE"""),"https://drive.google.com/open?id=1wJoCrCufQ6gYvAStDF89mt1LVfMhE682")</f>
        <v>https://drive.google.com/open?id=1wJoCrCufQ6gYvAStDF89mt1LVfMhE682</v>
      </c>
      <c r="J1071" s="59"/>
      <c r="K1071" s="59"/>
      <c r="L1071" s="59"/>
      <c r="M1071" s="59"/>
      <c r="N1071" s="59"/>
      <c r="O1071" s="59"/>
      <c r="P1071" s="59"/>
    </row>
    <row r="1072" spans="1:16">
      <c r="A1072" s="71">
        <f ca="1">IFERROR(__xludf.DUMMYFUNCTION("""COMPUTED_VALUE"""),44741.6465959606)</f>
        <v>44741.646595960599</v>
      </c>
      <c r="B1072" s="59" t="str">
        <f ca="1">IFERROR(__xludf.DUMMYFUNCTION("""COMPUTED_VALUE"""),"Karansinh Chavda")</f>
        <v>Karansinh Chavda</v>
      </c>
      <c r="C1072" s="72" t="str">
        <f ca="1">IFERROR(__xludf.DUMMYFUNCTION("""COMPUTED_VALUE"""),"20sdsce01016")</f>
        <v>20sdsce01016</v>
      </c>
      <c r="D1072" s="73">
        <f ca="1">IFERROR(__xludf.DUMMYFUNCTION("""COMPUTED_VALUE"""),43993)</f>
        <v>43993</v>
      </c>
      <c r="E1072" s="74">
        <f ca="1">IFERROR(__xludf.DUMMYFUNCTION("""COMPUTED_VALUE"""),25000)</f>
        <v>25000</v>
      </c>
      <c r="F1072" s="72"/>
      <c r="G1072" s="75"/>
      <c r="H1072" s="59" t="str">
        <f ca="1">IFERROR(__xludf.DUMMYFUNCTION("""COMPUTED_VALUE"""),"UPDATE")</f>
        <v>UPDATE</v>
      </c>
      <c r="I1072" s="76" t="str">
        <f ca="1">IFERROR(__xludf.DUMMYFUNCTION("""COMPUTED_VALUE"""),"https://drive.google.com/open?id=1vbM4CS_G5LYreIbi_9qdciAQQwyNqaMZ")</f>
        <v>https://drive.google.com/open?id=1vbM4CS_G5LYreIbi_9qdciAQQwyNqaMZ</v>
      </c>
      <c r="J1072" s="59"/>
      <c r="K1072" s="59"/>
      <c r="L1072" s="59"/>
      <c r="M1072" s="59"/>
      <c r="N1072" s="59"/>
      <c r="O1072" s="59"/>
      <c r="P1072" s="59"/>
    </row>
    <row r="1073" spans="1:16">
      <c r="A1073" s="71">
        <f ca="1">IFERROR(__xludf.DUMMYFUNCTION("""COMPUTED_VALUE"""),44741.624158993)</f>
        <v>44741.624158993</v>
      </c>
      <c r="B1073" s="59" t="str">
        <f ca="1">IFERROR(__xludf.DUMMYFUNCTION("""COMPUTED_VALUE"""),"Heet kanabar")</f>
        <v>Heet kanabar</v>
      </c>
      <c r="C1073" s="72" t="str">
        <f ca="1">IFERROR(__xludf.DUMMYFUNCTION("""COMPUTED_VALUE"""),"20sdsce01049")</f>
        <v>20sdsce01049</v>
      </c>
      <c r="D1073" s="73">
        <f ca="1">IFERROR(__xludf.DUMMYFUNCTION("""COMPUTED_VALUE"""),44731)</f>
        <v>44731</v>
      </c>
      <c r="E1073" s="72"/>
      <c r="F1073" s="72">
        <f ca="1">IFERROR(__xludf.DUMMYFUNCTION("""COMPUTED_VALUE"""),2500)</f>
        <v>2500</v>
      </c>
      <c r="G1073" s="75"/>
      <c r="H1073" s="59" t="str">
        <f ca="1">IFERROR(__xludf.DUMMYFUNCTION("""COMPUTED_VALUE"""),"UPDATE")</f>
        <v>UPDATE</v>
      </c>
      <c r="I1073" s="76" t="str">
        <f ca="1">IFERROR(__xludf.DUMMYFUNCTION("""COMPUTED_VALUE"""),"https://drive.google.com/open?id=1kp63yb7tZvY3Bh3kEmAn3E2S3mQPoiRq")</f>
        <v>https://drive.google.com/open?id=1kp63yb7tZvY3Bh3kEmAn3E2S3mQPoiRq</v>
      </c>
      <c r="J1073" s="59"/>
      <c r="K1073" s="59"/>
      <c r="L1073" s="59"/>
      <c r="M1073" s="59"/>
      <c r="N1073" s="59"/>
      <c r="O1073" s="59"/>
      <c r="P1073" s="59"/>
    </row>
    <row r="1074" spans="1:16">
      <c r="A1074" s="71">
        <f ca="1">IFERROR(__xludf.DUMMYFUNCTION("""COMPUTED_VALUE"""),44741.6231987963)</f>
        <v>44741.623198796296</v>
      </c>
      <c r="B1074" s="59" t="str">
        <f ca="1">IFERROR(__xludf.DUMMYFUNCTION("""COMPUTED_VALUE"""),"Heet kanabar")</f>
        <v>Heet kanabar</v>
      </c>
      <c r="C1074" s="72" t="str">
        <f ca="1">IFERROR(__xludf.DUMMYFUNCTION("""COMPUTED_VALUE"""),"20sdsce01049")</f>
        <v>20sdsce01049</v>
      </c>
      <c r="D1074" s="73">
        <f ca="1">IFERROR(__xludf.DUMMYFUNCTION("""COMPUTED_VALUE"""),44731)</f>
        <v>44731</v>
      </c>
      <c r="E1074" s="74">
        <f ca="1">IFERROR(__xludf.DUMMYFUNCTION("""COMPUTED_VALUE"""),12500)</f>
        <v>12500</v>
      </c>
      <c r="F1074" s="72"/>
      <c r="G1074" s="75"/>
      <c r="H1074" s="59" t="str">
        <f ca="1">IFERROR(__xludf.DUMMYFUNCTION("""COMPUTED_VALUE"""),"UPDATE")</f>
        <v>UPDATE</v>
      </c>
      <c r="I1074" s="76" t="str">
        <f ca="1">IFERROR(__xludf.DUMMYFUNCTION("""COMPUTED_VALUE"""),"https://drive.google.com/open?id=1jY7Ohd7Ko5IFc50qhFhcV7hfjBDNZgGQ")</f>
        <v>https://drive.google.com/open?id=1jY7Ohd7Ko5IFc50qhFhcV7hfjBDNZgGQ</v>
      </c>
      <c r="J1074" s="59"/>
      <c r="K1074" s="59"/>
      <c r="L1074" s="59"/>
      <c r="M1074" s="59"/>
      <c r="N1074" s="59"/>
      <c r="O1074" s="59"/>
      <c r="P1074" s="59"/>
    </row>
    <row r="1075" spans="1:16">
      <c r="A1075" s="71">
        <f ca="1">IFERROR(__xludf.DUMMYFUNCTION("""COMPUTED_VALUE"""),44741.4064817361)</f>
        <v>44741.4064817361</v>
      </c>
      <c r="B1075" s="59" t="str">
        <f ca="1">IFERROR(__xludf.DUMMYFUNCTION("""COMPUTED_VALUE"""),"Mayank gajera")</f>
        <v>Mayank gajera</v>
      </c>
      <c r="C1075" s="72" t="str">
        <f ca="1">IFERROR(__xludf.DUMMYFUNCTION("""COMPUTED_VALUE"""),"21SDSME01015")</f>
        <v>21SDSME01015</v>
      </c>
      <c r="D1075" s="73">
        <f ca="1">IFERROR(__xludf.DUMMYFUNCTION("""COMPUTED_VALUE"""),44711)</f>
        <v>44711</v>
      </c>
      <c r="E1075" s="74">
        <f ca="1">IFERROR(__xludf.DUMMYFUNCTION("""COMPUTED_VALUE"""),0)</f>
        <v>0</v>
      </c>
      <c r="F1075" s="72">
        <f ca="1">IFERROR(__xludf.DUMMYFUNCTION("""COMPUTED_VALUE"""),0)</f>
        <v>0</v>
      </c>
      <c r="G1075" s="75"/>
      <c r="H1075" s="59" t="str">
        <f ca="1">IFERROR(__xludf.DUMMYFUNCTION("""COMPUTED_VALUE"""),"UPDATE")</f>
        <v>UPDATE</v>
      </c>
      <c r="I1075" s="76" t="str">
        <f ca="1">IFERROR(__xludf.DUMMYFUNCTION("""COMPUTED_VALUE"""),"https://drive.google.com/open?id=1nlHgl8zWqsJJBaY3JpZNyNJglQ5HC70F")</f>
        <v>https://drive.google.com/open?id=1nlHgl8zWqsJJBaY3JpZNyNJglQ5HC70F</v>
      </c>
      <c r="J1075" s="59"/>
      <c r="K1075" s="59"/>
      <c r="L1075" s="59"/>
      <c r="M1075" s="59"/>
      <c r="N1075" s="59"/>
      <c r="O1075" s="59"/>
      <c r="P1075" s="59"/>
    </row>
    <row r="1076" spans="1:16">
      <c r="A1076" s="71">
        <f ca="1">IFERROR(__xludf.DUMMYFUNCTION("""COMPUTED_VALUE"""),44739.3686324421)</f>
        <v>44739.3686324421</v>
      </c>
      <c r="B1076" s="59" t="str">
        <f ca="1">IFERROR(__xludf.DUMMYFUNCTION("""COMPUTED_VALUE"""),"Pritesh Kishor Panchani ")</f>
        <v xml:space="preserve">Pritesh Kishor Panchani </v>
      </c>
      <c r="C1076" s="72" t="str">
        <f ca="1">IFERROR(__xludf.DUMMYFUNCTION("""COMPUTED_VALUE"""),"19SDSCE01035")</f>
        <v>19SDSCE01035</v>
      </c>
      <c r="D1076" s="73">
        <f ca="1">IFERROR(__xludf.DUMMYFUNCTION("""COMPUTED_VALUE"""),44738)</f>
        <v>44738</v>
      </c>
      <c r="E1076" s="74">
        <f ca="1">IFERROR(__xludf.DUMMYFUNCTION("""COMPUTED_VALUE"""),25000)</f>
        <v>25000</v>
      </c>
      <c r="F1076" s="72"/>
      <c r="G1076" s="75"/>
      <c r="H1076" s="59" t="str">
        <f ca="1">IFERROR(__xludf.DUMMYFUNCTION("""COMPUTED_VALUE"""),"UPDATE")</f>
        <v>UPDATE</v>
      </c>
      <c r="I1076" s="76" t="str">
        <f ca="1">IFERROR(__xludf.DUMMYFUNCTION("""COMPUTED_VALUE"""),"https://drive.google.com/open?id=1i7EeXw40l6B8lO2OmgrJCU5YQGynf3Ia")</f>
        <v>https://drive.google.com/open?id=1i7EeXw40l6B8lO2OmgrJCU5YQGynf3Ia</v>
      </c>
      <c r="J1076" s="59"/>
      <c r="K1076" s="59"/>
      <c r="L1076" s="59"/>
      <c r="M1076" s="59"/>
      <c r="N1076" s="59"/>
      <c r="O1076" s="59"/>
      <c r="P1076" s="59"/>
    </row>
    <row r="1077" spans="1:16">
      <c r="A1077" s="71">
        <f ca="1">IFERROR(__xludf.DUMMYFUNCTION("""COMPUTED_VALUE"""),44738.9034310995)</f>
        <v>44738.903431099498</v>
      </c>
      <c r="B1077" s="59" t="str">
        <f ca="1">IFERROR(__xludf.DUMMYFUNCTION("""COMPUTED_VALUE"""),"Urvisha Gajera ")</f>
        <v xml:space="preserve">Urvisha Gajera </v>
      </c>
      <c r="C1077" s="72" t="str">
        <f ca="1">IFERROR(__xludf.DUMMYFUNCTION("""COMPUTED_VALUE"""),"20SDSCE01034")</f>
        <v>20SDSCE01034</v>
      </c>
      <c r="D1077" s="73">
        <f ca="1">IFERROR(__xludf.DUMMYFUNCTION("""COMPUTED_VALUE"""),44738)</f>
        <v>44738</v>
      </c>
      <c r="E1077" s="72"/>
      <c r="F1077" s="72"/>
      <c r="G1077" s="75"/>
      <c r="H1077" s="59" t="str">
        <f ca="1">IFERROR(__xludf.DUMMYFUNCTION("""COMPUTED_VALUE"""),"UPDATE")</f>
        <v>UPDATE</v>
      </c>
      <c r="I1077" s="76" t="str">
        <f ca="1">IFERROR(__xludf.DUMMYFUNCTION("""COMPUTED_VALUE"""),"https://drive.google.com/open?id=1GGxbrhDmgiKzJUWMLNGiocaFaUm-LJMf")</f>
        <v>https://drive.google.com/open?id=1GGxbrhDmgiKzJUWMLNGiocaFaUm-LJMf</v>
      </c>
      <c r="J1077" s="59"/>
      <c r="K1077" s="59"/>
      <c r="L1077" s="59"/>
      <c r="M1077" s="59"/>
      <c r="N1077" s="59"/>
      <c r="O1077" s="59"/>
      <c r="P1077" s="59"/>
    </row>
    <row r="1078" spans="1:16">
      <c r="A1078" s="71">
        <f ca="1">IFERROR(__xludf.DUMMYFUNCTION("""COMPUTED_VALUE"""),44738.7829576736)</f>
        <v>44738.782957673597</v>
      </c>
      <c r="B1078" s="59" t="str">
        <f ca="1">IFERROR(__xludf.DUMMYFUNCTION("""COMPUTED_VALUE"""),"Dave Prem Naimishbhai ")</f>
        <v xml:space="preserve">Dave Prem Naimishbhai </v>
      </c>
      <c r="C1078" s="72" t="str">
        <f ca="1">IFERROR(__xludf.DUMMYFUNCTION("""COMPUTED_VALUE"""),"20sdsce01024")</f>
        <v>20sdsce01024</v>
      </c>
      <c r="D1078" s="73">
        <f ca="1">IFERROR(__xludf.DUMMYFUNCTION("""COMPUTED_VALUE"""),44738)</f>
        <v>44738</v>
      </c>
      <c r="E1078" s="72"/>
      <c r="F1078" s="72"/>
      <c r="G1078" s="75"/>
      <c r="H1078" s="59" t="str">
        <f ca="1">IFERROR(__xludf.DUMMYFUNCTION("""COMPUTED_VALUE"""),"UPDATE")</f>
        <v>UPDATE</v>
      </c>
      <c r="I1078" s="76" t="str">
        <f ca="1">IFERROR(__xludf.DUMMYFUNCTION("""COMPUTED_VALUE"""),"https://drive.google.com/open?id=1diVZXyS35CcTu5h6X_Hl1zJvLW79TsSE")</f>
        <v>https://drive.google.com/open?id=1diVZXyS35CcTu5h6X_Hl1zJvLW79TsSE</v>
      </c>
      <c r="J1078" s="59"/>
      <c r="K1078" s="59"/>
      <c r="L1078" s="59"/>
      <c r="M1078" s="59"/>
      <c r="N1078" s="59"/>
      <c r="O1078" s="59"/>
      <c r="P1078" s="59"/>
    </row>
    <row r="1079" spans="1:16">
      <c r="A1079" s="71">
        <f ca="1">IFERROR(__xludf.DUMMYFUNCTION("""COMPUTED_VALUE"""),44737.8657401388)</f>
        <v>44737.865740138797</v>
      </c>
      <c r="B1079" s="59" t="str">
        <f ca="1">IFERROR(__xludf.DUMMYFUNCTION("""COMPUTED_VALUE"""),"Khoradiya savan M ")</f>
        <v xml:space="preserve">Khoradiya savan M </v>
      </c>
      <c r="C1079" s="72" t="str">
        <f ca="1">IFERROR(__xludf.DUMMYFUNCTION("""COMPUTED_VALUE"""),"20SDSEE01013")</f>
        <v>20SDSEE01013</v>
      </c>
      <c r="D1079" s="73">
        <f ca="1">IFERROR(__xludf.DUMMYFUNCTION("""COMPUTED_VALUE"""),44737)</f>
        <v>44737</v>
      </c>
      <c r="E1079" s="74">
        <f ca="1">IFERROR(__xludf.DUMMYFUNCTION("""COMPUTED_VALUE"""),0)</f>
        <v>0</v>
      </c>
      <c r="F1079" s="72">
        <f ca="1">IFERROR(__xludf.DUMMYFUNCTION("""COMPUTED_VALUE"""),0)</f>
        <v>0</v>
      </c>
      <c r="G1079" s="75"/>
      <c r="H1079" s="59" t="str">
        <f ca="1">IFERROR(__xludf.DUMMYFUNCTION("""COMPUTED_VALUE"""),"UPDATE")</f>
        <v>UPDATE</v>
      </c>
      <c r="I1079" s="76" t="str">
        <f ca="1">IFERROR(__xludf.DUMMYFUNCTION("""COMPUTED_VALUE"""),"https://drive.google.com/open?id=1QQ4tQTJvUiVqWgwx8BXagsKj0EqjoZX-")</f>
        <v>https://drive.google.com/open?id=1QQ4tQTJvUiVqWgwx8BXagsKj0EqjoZX-</v>
      </c>
      <c r="J1079" s="59"/>
      <c r="K1079" s="59"/>
      <c r="L1079" s="59"/>
      <c r="M1079" s="59"/>
      <c r="N1079" s="59"/>
      <c r="O1079" s="59"/>
      <c r="P1079" s="59"/>
    </row>
    <row r="1080" spans="1:16">
      <c r="A1080" s="71">
        <f ca="1">IFERROR(__xludf.DUMMYFUNCTION("""COMPUTED_VALUE"""),44737.6965919212)</f>
        <v>44737.696591921202</v>
      </c>
      <c r="B1080" s="59" t="str">
        <f ca="1">IFERROR(__xludf.DUMMYFUNCTION("""COMPUTED_VALUE"""),"Smit Barbhaya")</f>
        <v>Smit Barbhaya</v>
      </c>
      <c r="C1080" s="72" t="str">
        <f ca="1">IFERROR(__xludf.DUMMYFUNCTION("""COMPUTED_VALUE"""),"20SDSCE01007")</f>
        <v>20SDSCE01007</v>
      </c>
      <c r="D1080" s="73">
        <f ca="1">IFERROR(__xludf.DUMMYFUNCTION("""COMPUTED_VALUE"""),44727)</f>
        <v>44727</v>
      </c>
      <c r="E1080" s="72"/>
      <c r="F1080" s="72">
        <f ca="1">IFERROR(__xludf.DUMMYFUNCTION("""COMPUTED_VALUE"""),2500)</f>
        <v>2500</v>
      </c>
      <c r="G1080" s="75"/>
      <c r="H1080" s="59" t="str">
        <f ca="1">IFERROR(__xludf.DUMMYFUNCTION("""COMPUTED_VALUE"""),"UPDATE")</f>
        <v>UPDATE</v>
      </c>
      <c r="I1080" s="76" t="str">
        <f ca="1">IFERROR(__xludf.DUMMYFUNCTION("""COMPUTED_VALUE"""),"https://drive.google.com/open?id=1dnNhOSVWDs15FP629b70g7JAOOTyyjgz")</f>
        <v>https://drive.google.com/open?id=1dnNhOSVWDs15FP629b70g7JAOOTyyjgz</v>
      </c>
      <c r="J1080" s="59"/>
      <c r="K1080" s="59"/>
      <c r="L1080" s="59"/>
      <c r="M1080" s="59"/>
      <c r="N1080" s="59"/>
      <c r="O1080" s="59"/>
      <c r="P1080" s="59"/>
    </row>
    <row r="1081" spans="1:16">
      <c r="A1081" s="71">
        <f ca="1">IFERROR(__xludf.DUMMYFUNCTION("""COMPUTED_VALUE"""),44737.6954939699)</f>
        <v>44737.695493969899</v>
      </c>
      <c r="B1081" s="59" t="str">
        <f ca="1">IFERROR(__xludf.DUMMYFUNCTION("""COMPUTED_VALUE"""),"Smit Barbhaya")</f>
        <v>Smit Barbhaya</v>
      </c>
      <c r="C1081" s="72" t="str">
        <f ca="1">IFERROR(__xludf.DUMMYFUNCTION("""COMPUTED_VALUE"""),"20SDSCE01007")</f>
        <v>20SDSCE01007</v>
      </c>
      <c r="D1081" s="73">
        <f ca="1">IFERROR(__xludf.DUMMYFUNCTION("""COMPUTED_VALUE"""),44732)</f>
        <v>44732</v>
      </c>
      <c r="E1081" s="74">
        <f ca="1">IFERROR(__xludf.DUMMYFUNCTION("""COMPUTED_VALUE"""),6250)</f>
        <v>6250</v>
      </c>
      <c r="F1081" s="72"/>
      <c r="G1081" s="75"/>
      <c r="H1081" s="59" t="str">
        <f ca="1">IFERROR(__xludf.DUMMYFUNCTION("""COMPUTED_VALUE"""),"UPDATE")</f>
        <v>UPDATE</v>
      </c>
      <c r="I1081" s="76" t="str">
        <f ca="1">IFERROR(__xludf.DUMMYFUNCTION("""COMPUTED_VALUE"""),"https://drive.google.com/open?id=1rwrFbQvai-fm-tiUaCsuTY5cxYmh56Hp")</f>
        <v>https://drive.google.com/open?id=1rwrFbQvai-fm-tiUaCsuTY5cxYmh56Hp</v>
      </c>
      <c r="J1081" s="59"/>
      <c r="K1081" s="59"/>
      <c r="L1081" s="59"/>
      <c r="M1081" s="59"/>
      <c r="N1081" s="59"/>
      <c r="O1081" s="59"/>
      <c r="P1081" s="59"/>
    </row>
    <row r="1082" spans="1:16">
      <c r="A1082" s="71">
        <f ca="1">IFERROR(__xludf.DUMMYFUNCTION("""COMPUTED_VALUE"""),44737.4067966898)</f>
        <v>44737.4067966898</v>
      </c>
      <c r="B1082" s="59" t="str">
        <f ca="1">IFERROR(__xludf.DUMMYFUNCTION("""COMPUTED_VALUE"""),"Yash bhatti")</f>
        <v>Yash bhatti</v>
      </c>
      <c r="C1082" s="72" t="str">
        <f ca="1">IFERROR(__xludf.DUMMYFUNCTION("""COMPUTED_VALUE"""),"20SDSCE01011")</f>
        <v>20SDSCE01011</v>
      </c>
      <c r="D1082" s="73">
        <f ca="1">IFERROR(__xludf.DUMMYFUNCTION("""COMPUTED_VALUE"""),44732)</f>
        <v>44732</v>
      </c>
      <c r="E1082" s="74">
        <f ca="1">IFERROR(__xludf.DUMMYFUNCTION("""COMPUTED_VALUE"""),25000)</f>
        <v>25000</v>
      </c>
      <c r="F1082" s="72">
        <f ca="1">IFERROR(__xludf.DUMMYFUNCTION("""COMPUTED_VALUE"""),2500)</f>
        <v>2500</v>
      </c>
      <c r="G1082" s="75"/>
      <c r="H1082" s="59" t="str">
        <f ca="1">IFERROR(__xludf.DUMMYFUNCTION("""COMPUTED_VALUE"""),"UPDATE")</f>
        <v>UPDATE</v>
      </c>
      <c r="I1082" s="76" t="str">
        <f ca="1">IFERROR(__xludf.DUMMYFUNCTION("""COMPUTED_VALUE"""),"https://drive.google.com/open?id=1MBw2Km9eFeP9TSKO-lyIGt3GA65nbpXg")</f>
        <v>https://drive.google.com/open?id=1MBw2Km9eFeP9TSKO-lyIGt3GA65nbpXg</v>
      </c>
      <c r="J1082" s="59"/>
      <c r="K1082" s="59"/>
      <c r="L1082" s="59"/>
      <c r="M1082" s="59"/>
      <c r="N1082" s="59"/>
      <c r="O1082" s="59"/>
      <c r="P1082" s="59"/>
    </row>
    <row r="1083" spans="1:16">
      <c r="A1083" s="71">
        <f ca="1">IFERROR(__xludf.DUMMYFUNCTION("""COMPUTED_VALUE"""),44737.4050227083)</f>
        <v>44737.405022708299</v>
      </c>
      <c r="B1083" s="59" t="str">
        <f ca="1">IFERROR(__xludf.DUMMYFUNCTION("""COMPUTED_VALUE"""),"Yash bhatti ")</f>
        <v xml:space="preserve">Yash bhatti </v>
      </c>
      <c r="C1083" s="72" t="str">
        <f ca="1">IFERROR(__xludf.DUMMYFUNCTION("""COMPUTED_VALUE"""),"20SDSCE01011")</f>
        <v>20SDSCE01011</v>
      </c>
      <c r="D1083" s="73">
        <f ca="1">IFERROR(__xludf.DUMMYFUNCTION("""COMPUTED_VALUE"""),44734)</f>
        <v>44734</v>
      </c>
      <c r="E1083" s="74">
        <f ca="1">IFERROR(__xludf.DUMMYFUNCTION("""COMPUTED_VALUE"""),25000)</f>
        <v>25000</v>
      </c>
      <c r="F1083" s="72">
        <f ca="1">IFERROR(__xludf.DUMMYFUNCTION("""COMPUTED_VALUE"""),2500)</f>
        <v>2500</v>
      </c>
      <c r="G1083" s="75"/>
      <c r="H1083" s="59" t="str">
        <f ca="1">IFERROR(__xludf.DUMMYFUNCTION("""COMPUTED_VALUE"""),"UPDATE")</f>
        <v>UPDATE</v>
      </c>
      <c r="I1083" s="76" t="str">
        <f ca="1">IFERROR(__xludf.DUMMYFUNCTION("""COMPUTED_VALUE"""),"https://drive.google.com/open?id=1VrKCtzjPIVP67m8t_sFNSLaYJswAMYqV")</f>
        <v>https://drive.google.com/open?id=1VrKCtzjPIVP67m8t_sFNSLaYJswAMYqV</v>
      </c>
      <c r="J1083" s="59"/>
      <c r="K1083" s="59"/>
      <c r="L1083" s="59"/>
      <c r="M1083" s="59"/>
      <c r="N1083" s="59"/>
      <c r="O1083" s="59"/>
      <c r="P1083" s="59"/>
    </row>
    <row r="1084" spans="1:16">
      <c r="A1084" s="71">
        <f ca="1">IFERROR(__xludf.DUMMYFUNCTION("""COMPUTED_VALUE"""),44736.3877742939)</f>
        <v>44736.3877742939</v>
      </c>
      <c r="B1084" s="59" t="str">
        <f ca="1">IFERROR(__xludf.DUMMYFUNCTION("""COMPUTED_VALUE"""),"Jesur Heet mukeshbhai ")</f>
        <v xml:space="preserve">Jesur Heet mukeshbhai </v>
      </c>
      <c r="C1084" s="72" t="str">
        <f ca="1">IFERROR(__xludf.DUMMYFUNCTION("""COMPUTED_VALUE"""),"20SDSEE01012")</f>
        <v>20SDSEE01012</v>
      </c>
      <c r="D1084" s="73">
        <f ca="1">IFERROR(__xludf.DUMMYFUNCTION("""COMPUTED_VALUE"""),44734)</f>
        <v>44734</v>
      </c>
      <c r="E1084" s="74">
        <f ca="1">IFERROR(__xludf.DUMMYFUNCTION("""COMPUTED_VALUE"""),0)</f>
        <v>0</v>
      </c>
      <c r="F1084" s="72">
        <f ca="1">IFERROR(__xludf.DUMMYFUNCTION("""COMPUTED_VALUE"""),2500)</f>
        <v>2500</v>
      </c>
      <c r="G1084" s="75"/>
      <c r="H1084" s="59" t="str">
        <f ca="1">IFERROR(__xludf.DUMMYFUNCTION("""COMPUTED_VALUE"""),"UPDATE")</f>
        <v>UPDATE</v>
      </c>
      <c r="I1084" s="76" t="str">
        <f ca="1">IFERROR(__xludf.DUMMYFUNCTION("""COMPUTED_VALUE"""),"https://drive.google.com/open?id=1kjF_R9GY23bqxIkvBjJc6Q9M1pcnJpSJ")</f>
        <v>https://drive.google.com/open?id=1kjF_R9GY23bqxIkvBjJc6Q9M1pcnJpSJ</v>
      </c>
      <c r="J1084" s="59"/>
      <c r="K1084" s="59"/>
      <c r="L1084" s="59"/>
      <c r="M1084" s="59"/>
      <c r="N1084" s="59"/>
      <c r="O1084" s="59"/>
      <c r="P1084" s="59"/>
    </row>
    <row r="1085" spans="1:16">
      <c r="A1085" s="71">
        <f ca="1">IFERROR(__xludf.DUMMYFUNCTION("""COMPUTED_VALUE"""),44736.3858573611)</f>
        <v>44736.3858573611</v>
      </c>
      <c r="B1085" s="59" t="str">
        <f ca="1">IFERROR(__xludf.DUMMYFUNCTION("""COMPUTED_VALUE"""),"Jesur Heet mukeshbhai")</f>
        <v>Jesur Heet mukeshbhai</v>
      </c>
      <c r="C1085" s="72" t="str">
        <f ca="1">IFERROR(__xludf.DUMMYFUNCTION("""COMPUTED_VALUE"""),"20SDSEE01012")</f>
        <v>20SDSEE01012</v>
      </c>
      <c r="D1085" s="73">
        <f ca="1">IFERROR(__xludf.DUMMYFUNCTION("""COMPUTED_VALUE"""),44734)</f>
        <v>44734</v>
      </c>
      <c r="E1085" s="74">
        <f ca="1">IFERROR(__xludf.DUMMYFUNCTION("""COMPUTED_VALUE"""),12500)</f>
        <v>12500</v>
      </c>
      <c r="F1085" s="72">
        <f ca="1">IFERROR(__xludf.DUMMYFUNCTION("""COMPUTED_VALUE"""),0)</f>
        <v>0</v>
      </c>
      <c r="G1085" s="75"/>
      <c r="H1085" s="59" t="str">
        <f ca="1">IFERROR(__xludf.DUMMYFUNCTION("""COMPUTED_VALUE"""),"UPDATE")</f>
        <v>UPDATE</v>
      </c>
      <c r="I1085" s="76" t="str">
        <f ca="1">IFERROR(__xludf.DUMMYFUNCTION("""COMPUTED_VALUE"""),"https://drive.google.com/open?id=1u_FdYK2C8QHbdlMUcUQMA87PpXpSri8y")</f>
        <v>https://drive.google.com/open?id=1u_FdYK2C8QHbdlMUcUQMA87PpXpSri8y</v>
      </c>
      <c r="J1085" s="59"/>
      <c r="K1085" s="59"/>
      <c r="L1085" s="59"/>
      <c r="M1085" s="59"/>
      <c r="N1085" s="59"/>
      <c r="O1085" s="59"/>
      <c r="P1085" s="59"/>
    </row>
    <row r="1086" spans="1:16">
      <c r="A1086" s="71">
        <f ca="1">IFERROR(__xludf.DUMMYFUNCTION("""COMPUTED_VALUE"""),44736.3226338078)</f>
        <v>44736.322633807802</v>
      </c>
      <c r="B1086" s="59" t="str">
        <f ca="1">IFERROR(__xludf.DUMMYFUNCTION("""COMPUTED_VALUE"""),"Pansuriya Jay Jigneshbhai ")</f>
        <v xml:space="preserve">Pansuriya Jay Jigneshbhai </v>
      </c>
      <c r="C1086" s="72" t="str">
        <f ca="1">IFERROR(__xludf.DUMMYFUNCTION("""COMPUTED_VALUE"""),"20SDSCE01076")</f>
        <v>20SDSCE01076</v>
      </c>
      <c r="D1086" s="73">
        <f ca="1">IFERROR(__xludf.DUMMYFUNCTION("""COMPUTED_VALUE"""),44735)</f>
        <v>44735</v>
      </c>
      <c r="E1086" s="72"/>
      <c r="F1086" s="72">
        <f ca="1">IFERROR(__xludf.DUMMYFUNCTION("""COMPUTED_VALUE"""),2500)</f>
        <v>2500</v>
      </c>
      <c r="G1086" s="75"/>
      <c r="H1086" s="59" t="str">
        <f ca="1">IFERROR(__xludf.DUMMYFUNCTION("""COMPUTED_VALUE"""),"UPDATE")</f>
        <v>UPDATE</v>
      </c>
      <c r="I1086" s="76" t="str">
        <f ca="1">IFERROR(__xludf.DUMMYFUNCTION("""COMPUTED_VALUE"""),"https://drive.google.com/open?id=1y1uX0lxjpYSxNRSmGXQ0ZZW5dNS5GRsB")</f>
        <v>https://drive.google.com/open?id=1y1uX0lxjpYSxNRSmGXQ0ZZW5dNS5GRsB</v>
      </c>
      <c r="J1086" s="59"/>
      <c r="K1086" s="59"/>
      <c r="L1086" s="59"/>
      <c r="M1086" s="59"/>
      <c r="N1086" s="59"/>
      <c r="O1086" s="59"/>
      <c r="P1086" s="59"/>
    </row>
    <row r="1087" spans="1:16">
      <c r="A1087" s="71">
        <f ca="1">IFERROR(__xludf.DUMMYFUNCTION("""COMPUTED_VALUE"""),44735.6256193287)</f>
        <v>44735.625619328697</v>
      </c>
      <c r="B1087" s="59" t="str">
        <f ca="1">IFERROR(__xludf.DUMMYFUNCTION("""COMPUTED_VALUE"""),"devdip vaghela")</f>
        <v>devdip vaghela</v>
      </c>
      <c r="C1087" s="72" t="str">
        <f ca="1">IFERROR(__xludf.DUMMYFUNCTION("""COMPUTED_VALUE"""),"20sdsce0128")</f>
        <v>20sdsce0128</v>
      </c>
      <c r="D1087" s="73">
        <f ca="1">IFERROR(__xludf.DUMMYFUNCTION("""COMPUTED_VALUE"""),44735)</f>
        <v>44735</v>
      </c>
      <c r="E1087" s="72"/>
      <c r="F1087" s="72"/>
      <c r="G1087" s="75"/>
      <c r="H1087" s="59" t="str">
        <f ca="1">IFERROR(__xludf.DUMMYFUNCTION("""COMPUTED_VALUE"""),"UPDATE")</f>
        <v>UPDATE</v>
      </c>
      <c r="I1087" s="76" t="str">
        <f ca="1">IFERROR(__xludf.DUMMYFUNCTION("""COMPUTED_VALUE"""),"https://drive.google.com/open?id=1nn84bAih4HV57BdCe5oqs6_86Bnr7bdK")</f>
        <v>https://drive.google.com/open?id=1nn84bAih4HV57BdCe5oqs6_86Bnr7bdK</v>
      </c>
      <c r="J1087" s="59"/>
      <c r="K1087" s="59"/>
      <c r="L1087" s="59"/>
      <c r="M1087" s="59"/>
      <c r="N1087" s="59"/>
      <c r="O1087" s="59"/>
      <c r="P1087" s="59"/>
    </row>
    <row r="1088" spans="1:16">
      <c r="A1088" s="71">
        <f ca="1">IFERROR(__xludf.DUMMYFUNCTION("""COMPUTED_VALUE"""),44735.5068852199)</f>
        <v>44735.506885219897</v>
      </c>
      <c r="B1088" s="59" t="str">
        <f ca="1">IFERROR(__xludf.DUMMYFUNCTION("""COMPUTED_VALUE"""),"Dev vyas")</f>
        <v>Dev vyas</v>
      </c>
      <c r="C1088" s="72" t="str">
        <f ca="1">IFERROR(__xludf.DUMMYFUNCTION("""COMPUTED_VALUE"""),"20sdsce01142")</f>
        <v>20sdsce01142</v>
      </c>
      <c r="D1088" s="73">
        <f ca="1">IFERROR(__xludf.DUMMYFUNCTION("""COMPUTED_VALUE"""),44735)</f>
        <v>44735</v>
      </c>
      <c r="E1088" s="74">
        <f ca="1">IFERROR(__xludf.DUMMYFUNCTION("""COMPUTED_VALUE"""),25000)</f>
        <v>25000</v>
      </c>
      <c r="F1088" s="72">
        <f ca="1">IFERROR(__xludf.DUMMYFUNCTION("""COMPUTED_VALUE"""),2500)</f>
        <v>2500</v>
      </c>
      <c r="G1088" s="75"/>
      <c r="H1088" s="59" t="str">
        <f ca="1">IFERROR(__xludf.DUMMYFUNCTION("""COMPUTED_VALUE"""),"UPDATE")</f>
        <v>UPDATE</v>
      </c>
      <c r="I1088" s="76" t="str">
        <f ca="1">IFERROR(__xludf.DUMMYFUNCTION("""COMPUTED_VALUE"""),"https://drive.google.com/open?id=1XY1ohQo8vMeoFP31p-5rvEkCWbidbbsw")</f>
        <v>https://drive.google.com/open?id=1XY1ohQo8vMeoFP31p-5rvEkCWbidbbsw</v>
      </c>
      <c r="J1088" s="59"/>
      <c r="K1088" s="59"/>
      <c r="L1088" s="59"/>
      <c r="M1088" s="59"/>
      <c r="N1088" s="59"/>
      <c r="O1088" s="59"/>
      <c r="P1088" s="59"/>
    </row>
    <row r="1089" spans="1:16">
      <c r="A1089" s="71">
        <f ca="1">IFERROR(__xludf.DUMMYFUNCTION("""COMPUTED_VALUE"""),44735.5059783912)</f>
        <v>44735.5059783912</v>
      </c>
      <c r="B1089" s="59" t="str">
        <f ca="1">IFERROR(__xludf.DUMMYFUNCTION("""COMPUTED_VALUE"""),"Dev vyas")</f>
        <v>Dev vyas</v>
      </c>
      <c r="C1089" s="72" t="str">
        <f ca="1">IFERROR(__xludf.DUMMYFUNCTION("""COMPUTED_VALUE"""),"20sdsce01142")</f>
        <v>20sdsce01142</v>
      </c>
      <c r="D1089" s="73">
        <f ca="1">IFERROR(__xludf.DUMMYFUNCTION("""COMPUTED_VALUE"""),44735)</f>
        <v>44735</v>
      </c>
      <c r="E1089" s="74">
        <f ca="1">IFERROR(__xludf.DUMMYFUNCTION("""COMPUTED_VALUE"""),25000)</f>
        <v>25000</v>
      </c>
      <c r="F1089" s="72">
        <f ca="1">IFERROR(__xludf.DUMMYFUNCTION("""COMPUTED_VALUE"""),2500)</f>
        <v>2500</v>
      </c>
      <c r="G1089" s="75"/>
      <c r="H1089" s="59" t="str">
        <f ca="1">IFERROR(__xludf.DUMMYFUNCTION("""COMPUTED_VALUE"""),"UPDATE")</f>
        <v>UPDATE</v>
      </c>
      <c r="I1089" s="76" t="str">
        <f ca="1">IFERROR(__xludf.DUMMYFUNCTION("""COMPUTED_VALUE"""),"https://drive.google.com/open?id=1LnXJWE0xflL_rvK6eM6IGFwdAO6YqYwp")</f>
        <v>https://drive.google.com/open?id=1LnXJWE0xflL_rvK6eM6IGFwdAO6YqYwp</v>
      </c>
      <c r="J1089" s="59"/>
      <c r="K1089" s="59"/>
      <c r="L1089" s="59"/>
      <c r="M1089" s="59"/>
      <c r="N1089" s="59"/>
      <c r="O1089" s="59"/>
      <c r="P1089" s="59"/>
    </row>
    <row r="1090" spans="1:16">
      <c r="A1090" s="71">
        <f ca="1">IFERROR(__xludf.DUMMYFUNCTION("""COMPUTED_VALUE"""),44735.4968399768)</f>
        <v>44735.496839976797</v>
      </c>
      <c r="B1090" s="59" t="str">
        <f ca="1">IFERROR(__xludf.DUMMYFUNCTION("""COMPUTED_VALUE"""),"Shubh Rupapara mukeshbhia")</f>
        <v>Shubh Rupapara mukeshbhia</v>
      </c>
      <c r="C1090" s="72" t="str">
        <f ca="1">IFERROR(__xludf.DUMMYFUNCTION("""COMPUTED_VALUE"""),"20SDSCE01103")</f>
        <v>20SDSCE01103</v>
      </c>
      <c r="D1090" s="73">
        <f ca="1">IFERROR(__xludf.DUMMYFUNCTION("""COMPUTED_VALUE"""),44735)</f>
        <v>44735</v>
      </c>
      <c r="E1090" s="74">
        <f ca="1">IFERROR(__xludf.DUMMYFUNCTION("""COMPUTED_VALUE"""),0)</f>
        <v>0</v>
      </c>
      <c r="F1090" s="72"/>
      <c r="G1090" s="75"/>
      <c r="H1090" s="59" t="str">
        <f ca="1">IFERROR(__xludf.DUMMYFUNCTION("""COMPUTED_VALUE"""),"UPDATE")</f>
        <v>UPDATE</v>
      </c>
      <c r="I1090" s="76" t="str">
        <f ca="1">IFERROR(__xludf.DUMMYFUNCTION("""COMPUTED_VALUE"""),"https://drive.google.com/open?id=1ZYz2UbOWu_akigJM0pPDvzZGDuoKHZbY")</f>
        <v>https://drive.google.com/open?id=1ZYz2UbOWu_akigJM0pPDvzZGDuoKHZbY</v>
      </c>
      <c r="J1090" s="59"/>
      <c r="K1090" s="59"/>
      <c r="L1090" s="59"/>
      <c r="M1090" s="59"/>
      <c r="N1090" s="59"/>
      <c r="O1090" s="59"/>
      <c r="P1090" s="59"/>
    </row>
    <row r="1091" spans="1:16">
      <c r="A1091" s="71">
        <f ca="1">IFERROR(__xludf.DUMMYFUNCTION("""COMPUTED_VALUE"""),44734.8912097916)</f>
        <v>44734.891209791604</v>
      </c>
      <c r="B1091" s="59" t="str">
        <f ca="1">IFERROR(__xludf.DUMMYFUNCTION("""COMPUTED_VALUE"""),"Patadiya Bhargav ")</f>
        <v xml:space="preserve">Patadiya Bhargav </v>
      </c>
      <c r="C1091" s="72" t="str">
        <f ca="1">IFERROR(__xludf.DUMMYFUNCTION("""COMPUTED_VALUE"""),"20SDSCE01084")</f>
        <v>20SDSCE01084</v>
      </c>
      <c r="D1091" s="73">
        <f ca="1">IFERROR(__xludf.DUMMYFUNCTION("""COMPUTED_VALUE"""),44734)</f>
        <v>44734</v>
      </c>
      <c r="E1091" s="74">
        <f ca="1">IFERROR(__xludf.DUMMYFUNCTION("""COMPUTED_VALUE"""),18750)</f>
        <v>18750</v>
      </c>
      <c r="F1091" s="72">
        <f ca="1">IFERROR(__xludf.DUMMYFUNCTION("""COMPUTED_VALUE"""),1500)</f>
        <v>1500</v>
      </c>
      <c r="G1091" s="75"/>
      <c r="H1091" s="59" t="str">
        <f ca="1">IFERROR(__xludf.DUMMYFUNCTION("""COMPUTED_VALUE"""),"UPDATE")</f>
        <v>UPDATE</v>
      </c>
      <c r="I1091" s="76" t="str">
        <f ca="1">IFERROR(__xludf.DUMMYFUNCTION("""COMPUTED_VALUE"""),"https://drive.google.com/open?id=1Qi2Tp1JUKQpSiC6aHimK6afSjU_LoMyQ")</f>
        <v>https://drive.google.com/open?id=1Qi2Tp1JUKQpSiC6aHimK6afSjU_LoMyQ</v>
      </c>
      <c r="J1091" s="59"/>
      <c r="K1091" s="59"/>
      <c r="L1091" s="59"/>
      <c r="M1091" s="59"/>
      <c r="N1091" s="59"/>
      <c r="O1091" s="59"/>
      <c r="P1091" s="59"/>
    </row>
    <row r="1092" spans="1:16">
      <c r="A1092" s="71">
        <f ca="1">IFERROR(__xludf.DUMMYFUNCTION("""COMPUTED_VALUE"""),44734.5052200926)</f>
        <v>44734.5052200926</v>
      </c>
      <c r="B1092" s="59" t="str">
        <f ca="1">IFERROR(__xludf.DUMMYFUNCTION("""COMPUTED_VALUE"""),"Himanshu Pansuriya ")</f>
        <v xml:space="preserve">Himanshu Pansuriya </v>
      </c>
      <c r="C1092" s="72" t="str">
        <f ca="1">IFERROR(__xludf.DUMMYFUNCTION("""COMPUTED_VALUE"""),"20SDSCE01075")</f>
        <v>20SDSCE01075</v>
      </c>
      <c r="D1092" s="73">
        <f ca="1">IFERROR(__xludf.DUMMYFUNCTION("""COMPUTED_VALUE"""),44733)</f>
        <v>44733</v>
      </c>
      <c r="E1092" s="72"/>
      <c r="F1092" s="72">
        <f ca="1">IFERROR(__xludf.DUMMYFUNCTION("""COMPUTED_VALUE"""),2500)</f>
        <v>2500</v>
      </c>
      <c r="G1092" s="75"/>
      <c r="H1092" s="59" t="str">
        <f ca="1">IFERROR(__xludf.DUMMYFUNCTION("""COMPUTED_VALUE"""),"UPDATE")</f>
        <v>UPDATE</v>
      </c>
      <c r="I1092" s="76" t="str">
        <f ca="1">IFERROR(__xludf.DUMMYFUNCTION("""COMPUTED_VALUE"""),"https://drive.google.com/open?id=1g7DzEmbH2akvEfXLZGxlraSQwruvXtpt")</f>
        <v>https://drive.google.com/open?id=1g7DzEmbH2akvEfXLZGxlraSQwruvXtpt</v>
      </c>
      <c r="J1092" s="59"/>
      <c r="K1092" s="59"/>
      <c r="L1092" s="59"/>
      <c r="M1092" s="59"/>
      <c r="N1092" s="59"/>
      <c r="O1092" s="59"/>
      <c r="P1092" s="59"/>
    </row>
    <row r="1093" spans="1:16">
      <c r="A1093" s="71">
        <f ca="1">IFERROR(__xludf.DUMMYFUNCTION("""COMPUTED_VALUE"""),44734.5040690277)</f>
        <v>44734.504069027702</v>
      </c>
      <c r="B1093" s="59" t="str">
        <f ca="1">IFERROR(__xludf.DUMMYFUNCTION("""COMPUTED_VALUE"""),"Himanshu Pansuriya ")</f>
        <v xml:space="preserve">Himanshu Pansuriya </v>
      </c>
      <c r="C1093" s="72" t="str">
        <f ca="1">IFERROR(__xludf.DUMMYFUNCTION("""COMPUTED_VALUE"""),"20SDSCE01075")</f>
        <v>20SDSCE01075</v>
      </c>
      <c r="D1093" s="73">
        <f ca="1">IFERROR(__xludf.DUMMYFUNCTION("""COMPUTED_VALUE"""),44733)</f>
        <v>44733</v>
      </c>
      <c r="E1093" s="74">
        <f ca="1">IFERROR(__xludf.DUMMYFUNCTION("""COMPUTED_VALUE"""),12500)</f>
        <v>12500</v>
      </c>
      <c r="F1093" s="72"/>
      <c r="G1093" s="75"/>
      <c r="H1093" s="59" t="str">
        <f ca="1">IFERROR(__xludf.DUMMYFUNCTION("""COMPUTED_VALUE"""),"UPDATE")</f>
        <v>UPDATE</v>
      </c>
      <c r="I1093" s="76" t="str">
        <f ca="1">IFERROR(__xludf.DUMMYFUNCTION("""COMPUTED_VALUE"""),"https://drive.google.com/open?id=1OD3_2GUeskvP41XOvUFxNejjHXFHHkup")</f>
        <v>https://drive.google.com/open?id=1OD3_2GUeskvP41XOvUFxNejjHXFHHkup</v>
      </c>
      <c r="J1093" s="59"/>
      <c r="K1093" s="59"/>
      <c r="L1093" s="59"/>
      <c r="M1093" s="59"/>
      <c r="N1093" s="59"/>
      <c r="O1093" s="59"/>
      <c r="P1093" s="59"/>
    </row>
    <row r="1094" spans="1:16">
      <c r="A1094" s="71">
        <f ca="1">IFERROR(__xludf.DUMMYFUNCTION("""COMPUTED_VALUE"""),44734.4115481712)</f>
        <v>44734.4115481712</v>
      </c>
      <c r="B1094" s="59" t="str">
        <f ca="1">IFERROR(__xludf.DUMMYFUNCTION("""COMPUTED_VALUE"""),"Meet Thumar Jamanbhai")</f>
        <v>Meet Thumar Jamanbhai</v>
      </c>
      <c r="C1094" s="72" t="str">
        <f ca="1">IFERROR(__xludf.DUMMYFUNCTION("""COMPUTED_VALUE"""),"20SDSCE01120")</f>
        <v>20SDSCE01120</v>
      </c>
      <c r="D1094" s="73">
        <f ca="1">IFERROR(__xludf.DUMMYFUNCTION("""COMPUTED_VALUE"""),44732)</f>
        <v>44732</v>
      </c>
      <c r="E1094" s="74">
        <f ca="1">IFERROR(__xludf.DUMMYFUNCTION("""COMPUTED_VALUE"""),12500)</f>
        <v>12500</v>
      </c>
      <c r="F1094" s="72">
        <f ca="1">IFERROR(__xludf.DUMMYFUNCTION("""COMPUTED_VALUE"""),2500)</f>
        <v>2500</v>
      </c>
      <c r="G1094" s="75"/>
      <c r="H1094" s="59" t="str">
        <f ca="1">IFERROR(__xludf.DUMMYFUNCTION("""COMPUTED_VALUE"""),"UPDATE")</f>
        <v>UPDATE</v>
      </c>
      <c r="I1094" s="76" t="str">
        <f ca="1">IFERROR(__xludf.DUMMYFUNCTION("""COMPUTED_VALUE"""),"https://drive.google.com/open?id=1nD1Cvh-AAfxildknRM4vUa-vSyVCaIDh")</f>
        <v>https://drive.google.com/open?id=1nD1Cvh-AAfxildknRM4vUa-vSyVCaIDh</v>
      </c>
      <c r="J1094" s="59"/>
      <c r="K1094" s="59"/>
      <c r="L1094" s="59"/>
      <c r="M1094" s="59"/>
      <c r="N1094" s="59"/>
      <c r="O1094" s="59"/>
      <c r="P1094" s="59"/>
    </row>
    <row r="1095" spans="1:16">
      <c r="A1095" s="71">
        <f ca="1">IFERROR(__xludf.DUMMYFUNCTION("""COMPUTED_VALUE"""),44734.4105152314)</f>
        <v>44734.4105152314</v>
      </c>
      <c r="B1095" s="59" t="str">
        <f ca="1">IFERROR(__xludf.DUMMYFUNCTION("""COMPUTED_VALUE"""),"Nakrani mansi ashokbhai")</f>
        <v>Nakrani mansi ashokbhai</v>
      </c>
      <c r="C1095" s="72" t="str">
        <f ca="1">IFERROR(__xludf.DUMMYFUNCTION("""COMPUTED_VALUE"""),"20Sdsce01067")</f>
        <v>20Sdsce01067</v>
      </c>
      <c r="D1095" s="73">
        <f ca="1">IFERROR(__xludf.DUMMYFUNCTION("""COMPUTED_VALUE"""),44732)</f>
        <v>44732</v>
      </c>
      <c r="E1095" s="72"/>
      <c r="F1095" s="72">
        <f ca="1">IFERROR(__xludf.DUMMYFUNCTION("""COMPUTED_VALUE"""),2500)</f>
        <v>2500</v>
      </c>
      <c r="G1095" s="75"/>
      <c r="H1095" s="59" t="str">
        <f ca="1">IFERROR(__xludf.DUMMYFUNCTION("""COMPUTED_VALUE"""),"UPDATE")</f>
        <v>UPDATE</v>
      </c>
      <c r="I1095" s="76" t="str">
        <f ca="1">IFERROR(__xludf.DUMMYFUNCTION("""COMPUTED_VALUE"""),"https://drive.google.com/open?id=1dRX5QfwlNyoTDtLHHsJb9nWr22fdoaC2")</f>
        <v>https://drive.google.com/open?id=1dRX5QfwlNyoTDtLHHsJb9nWr22fdoaC2</v>
      </c>
      <c r="J1095" s="59"/>
      <c r="K1095" s="59"/>
      <c r="L1095" s="59"/>
      <c r="M1095" s="59"/>
      <c r="N1095" s="59"/>
      <c r="O1095" s="59"/>
      <c r="P1095" s="59"/>
    </row>
    <row r="1096" spans="1:16">
      <c r="A1096" s="71">
        <f ca="1">IFERROR(__xludf.DUMMYFUNCTION("""COMPUTED_VALUE"""),44734.4092817708)</f>
        <v>44734.409281770801</v>
      </c>
      <c r="B1096" s="59" t="str">
        <f ca="1">IFERROR(__xludf.DUMMYFUNCTION("""COMPUTED_VALUE"""),"Nakrani mansi ashokbhai")</f>
        <v>Nakrani mansi ashokbhai</v>
      </c>
      <c r="C1096" s="72" t="str">
        <f ca="1">IFERROR(__xludf.DUMMYFUNCTION("""COMPUTED_VALUE"""),"20Sdsce01067")</f>
        <v>20Sdsce01067</v>
      </c>
      <c r="D1096" s="73">
        <f ca="1">IFERROR(__xludf.DUMMYFUNCTION("""COMPUTED_VALUE"""),44732)</f>
        <v>44732</v>
      </c>
      <c r="E1096" s="74">
        <f ca="1">IFERROR(__xludf.DUMMYFUNCTION("""COMPUTED_VALUE"""),12500)</f>
        <v>12500</v>
      </c>
      <c r="F1096" s="72">
        <f ca="1">IFERROR(__xludf.DUMMYFUNCTION("""COMPUTED_VALUE"""),2500)</f>
        <v>2500</v>
      </c>
      <c r="G1096" s="75"/>
      <c r="H1096" s="59" t="str">
        <f ca="1">IFERROR(__xludf.DUMMYFUNCTION("""COMPUTED_VALUE"""),"UPDATE")</f>
        <v>UPDATE</v>
      </c>
      <c r="I1096" s="76" t="str">
        <f ca="1">IFERROR(__xludf.DUMMYFUNCTION("""COMPUTED_VALUE"""),"https://drive.google.com/open?id=1U5JCwcg9Ul-6sTdLBg5YipLavkNQelBM")</f>
        <v>https://drive.google.com/open?id=1U5JCwcg9Ul-6sTdLBg5YipLavkNQelBM</v>
      </c>
      <c r="J1096" s="59"/>
      <c r="K1096" s="59"/>
      <c r="L1096" s="59"/>
      <c r="M1096" s="59"/>
      <c r="N1096" s="59"/>
      <c r="O1096" s="59"/>
      <c r="P1096" s="59"/>
    </row>
    <row r="1097" spans="1:16">
      <c r="A1097" s="71">
        <f ca="1">IFERROR(__xludf.DUMMYFUNCTION("""COMPUTED_VALUE"""),44734.35662728)</f>
        <v>44734.356627280002</v>
      </c>
      <c r="B1097" s="59" t="str">
        <f ca="1">IFERROR(__xludf.DUMMYFUNCTION("""COMPUTED_VALUE"""),"Khushi Bhimani ")</f>
        <v xml:space="preserve">Khushi Bhimani </v>
      </c>
      <c r="C1097" s="72" t="str">
        <f ca="1">IFERROR(__xludf.DUMMYFUNCTION("""COMPUTED_VALUE"""),"20SDSCE01013 ")</f>
        <v xml:space="preserve">20SDSCE01013 </v>
      </c>
      <c r="D1097" s="73">
        <f ca="1">IFERROR(__xludf.DUMMYFUNCTION("""COMPUTED_VALUE"""),44728)</f>
        <v>44728</v>
      </c>
      <c r="E1097" s="74">
        <f ca="1">IFERROR(__xludf.DUMMYFUNCTION("""COMPUTED_VALUE"""),25000)</f>
        <v>25000</v>
      </c>
      <c r="F1097" s="72">
        <f ca="1">IFERROR(__xludf.DUMMYFUNCTION("""COMPUTED_VALUE"""),2500)</f>
        <v>2500</v>
      </c>
      <c r="G1097" s="75"/>
      <c r="H1097" s="59" t="str">
        <f ca="1">IFERROR(__xludf.DUMMYFUNCTION("""COMPUTED_VALUE"""),"UPDATE")</f>
        <v>UPDATE</v>
      </c>
      <c r="I1097" s="76" t="str">
        <f ca="1">IFERROR(__xludf.DUMMYFUNCTION("""COMPUTED_VALUE"""),"https://drive.google.com/open?id=10a-4gofi2_ceUoHfW1_n8ZX2lB4fT-FN")</f>
        <v>https://drive.google.com/open?id=10a-4gofi2_ceUoHfW1_n8ZX2lB4fT-FN</v>
      </c>
      <c r="J1097" s="59"/>
      <c r="K1097" s="59"/>
      <c r="L1097" s="59"/>
      <c r="M1097" s="59"/>
      <c r="N1097" s="59"/>
      <c r="O1097" s="59"/>
      <c r="P1097" s="59"/>
    </row>
    <row r="1098" spans="1:16">
      <c r="A1098" s="71">
        <f ca="1">IFERROR(__xludf.DUMMYFUNCTION("""COMPUTED_VALUE"""),44734.3301532638)</f>
        <v>44734.3301532638</v>
      </c>
      <c r="B1098" s="59" t="str">
        <f ca="1">IFERROR(__xludf.DUMMYFUNCTION("""COMPUTED_VALUE"""),"Panara SmitKumar Sureshbhai ")</f>
        <v xml:space="preserve">Panara SmitKumar Sureshbhai </v>
      </c>
      <c r="C1098" s="72" t="str">
        <f ca="1">IFERROR(__xludf.DUMMYFUNCTION("""COMPUTED_VALUE"""),"20SDSCE01074")</f>
        <v>20SDSCE01074</v>
      </c>
      <c r="D1098" s="73">
        <f ca="1">IFERROR(__xludf.DUMMYFUNCTION("""COMPUTED_VALUE"""),44725)</f>
        <v>44725</v>
      </c>
      <c r="E1098" s="74">
        <f ca="1">IFERROR(__xludf.DUMMYFUNCTION("""COMPUTED_VALUE"""),6250)</f>
        <v>6250</v>
      </c>
      <c r="F1098" s="72">
        <f ca="1">IFERROR(__xludf.DUMMYFUNCTION("""COMPUTED_VALUE"""),2500)</f>
        <v>2500</v>
      </c>
      <c r="G1098" s="75"/>
      <c r="H1098" s="59" t="str">
        <f ca="1">IFERROR(__xludf.DUMMYFUNCTION("""COMPUTED_VALUE"""),"UPDATE")</f>
        <v>UPDATE</v>
      </c>
      <c r="I1098" s="76" t="str">
        <f ca="1">IFERROR(__xludf.DUMMYFUNCTION("""COMPUTED_VALUE"""),"https://drive.google.com/open?id=12HjtV31NNI1B7DzfgmWKDgaVbMvz9KAN")</f>
        <v>https://drive.google.com/open?id=12HjtV31NNI1B7DzfgmWKDgaVbMvz9KAN</v>
      </c>
      <c r="J1098" s="59"/>
      <c r="K1098" s="59"/>
      <c r="L1098" s="59"/>
      <c r="M1098" s="59"/>
      <c r="N1098" s="59"/>
      <c r="O1098" s="59"/>
      <c r="P1098" s="59"/>
    </row>
    <row r="1099" spans="1:16">
      <c r="A1099" s="71">
        <f ca="1">IFERROR(__xludf.DUMMYFUNCTION("""COMPUTED_VALUE"""),44734.3084703125)</f>
        <v>44734.308470312499</v>
      </c>
      <c r="B1099" s="59" t="str">
        <f ca="1">IFERROR(__xludf.DUMMYFUNCTION("""COMPUTED_VALUE"""),"Dave Prem")</f>
        <v>Dave Prem</v>
      </c>
      <c r="C1099" s="72" t="str">
        <f ca="1">IFERROR(__xludf.DUMMYFUNCTION("""COMPUTED_VALUE"""),"20sdsce01024")</f>
        <v>20sdsce01024</v>
      </c>
      <c r="D1099" s="73">
        <f ca="1">IFERROR(__xludf.DUMMYFUNCTION("""COMPUTED_VALUE"""),44731)</f>
        <v>44731</v>
      </c>
      <c r="E1099" s="72"/>
      <c r="F1099" s="72">
        <f ca="1">IFERROR(__xludf.DUMMYFUNCTION("""COMPUTED_VALUE"""),2500)</f>
        <v>2500</v>
      </c>
      <c r="G1099" s="75"/>
      <c r="H1099" s="59" t="str">
        <f ca="1">IFERROR(__xludf.DUMMYFUNCTION("""COMPUTED_VALUE"""),"UPDATE")</f>
        <v>UPDATE</v>
      </c>
      <c r="I1099" s="76" t="str">
        <f ca="1">IFERROR(__xludf.DUMMYFUNCTION("""COMPUTED_VALUE"""),"https://drive.google.com/open?id=1STIyqf83cVDYKorKliOUeqpP7Bm3E_s1")</f>
        <v>https://drive.google.com/open?id=1STIyqf83cVDYKorKliOUeqpP7Bm3E_s1</v>
      </c>
      <c r="J1099" s="59"/>
      <c r="K1099" s="59"/>
      <c r="L1099" s="59"/>
      <c r="M1099" s="59"/>
      <c r="N1099" s="59"/>
      <c r="O1099" s="59"/>
      <c r="P1099" s="59"/>
    </row>
    <row r="1100" spans="1:16">
      <c r="A1100" s="71">
        <f ca="1">IFERROR(__xludf.DUMMYFUNCTION("""COMPUTED_VALUE"""),44734.3068433564)</f>
        <v>44734.306843356397</v>
      </c>
      <c r="B1100" s="59" t="str">
        <f ca="1">IFERROR(__xludf.DUMMYFUNCTION("""COMPUTED_VALUE"""),"Dhruv koladiya girishbhai")</f>
        <v>Dhruv koladiya girishbhai</v>
      </c>
      <c r="C1100" s="72" t="str">
        <f ca="1">IFERROR(__xludf.DUMMYFUNCTION("""COMPUTED_VALUE"""),"20sdsce01056")</f>
        <v>20sdsce01056</v>
      </c>
      <c r="D1100" s="73">
        <f ca="1">IFERROR(__xludf.DUMMYFUNCTION("""COMPUTED_VALUE"""),44732)</f>
        <v>44732</v>
      </c>
      <c r="E1100" s="72"/>
      <c r="F1100" s="72">
        <f ca="1">IFERROR(__xludf.DUMMYFUNCTION("""COMPUTED_VALUE"""),2500)</f>
        <v>2500</v>
      </c>
      <c r="G1100" s="75"/>
      <c r="H1100" s="59" t="str">
        <f ca="1">IFERROR(__xludf.DUMMYFUNCTION("""COMPUTED_VALUE"""),"UPDATE")</f>
        <v>UPDATE</v>
      </c>
      <c r="I1100" s="76" t="str">
        <f ca="1">IFERROR(__xludf.DUMMYFUNCTION("""COMPUTED_VALUE"""),"https://drive.google.com/open?id=1u2hLWwHKBskMYAcrOMGSo3zS61FccN4R")</f>
        <v>https://drive.google.com/open?id=1u2hLWwHKBskMYAcrOMGSo3zS61FccN4R</v>
      </c>
      <c r="J1100" s="59"/>
      <c r="K1100" s="59"/>
      <c r="L1100" s="59"/>
      <c r="M1100" s="59"/>
      <c r="N1100" s="59"/>
      <c r="O1100" s="59"/>
      <c r="P1100" s="59"/>
    </row>
    <row r="1101" spans="1:16">
      <c r="A1101" s="71">
        <f ca="1">IFERROR(__xludf.DUMMYFUNCTION("""COMPUTED_VALUE"""),44733.7659608912)</f>
        <v>44733.7659608912</v>
      </c>
      <c r="B1101" s="59" t="str">
        <f ca="1">IFERROR(__xludf.DUMMYFUNCTION("""COMPUTED_VALUE"""),"Rignesh Kalpeshbhai Raiyani ")</f>
        <v xml:space="preserve">Rignesh Kalpeshbhai Raiyani </v>
      </c>
      <c r="C1101" s="72" t="str">
        <f ca="1">IFERROR(__xludf.DUMMYFUNCTION("""COMPUTED_VALUE"""),"20SDSCE01091")</f>
        <v>20SDSCE01091</v>
      </c>
      <c r="D1101" s="73">
        <f ca="1">IFERROR(__xludf.DUMMYFUNCTION("""COMPUTED_VALUE"""),44733)</f>
        <v>44733</v>
      </c>
      <c r="E1101" s="74">
        <f ca="1">IFERROR(__xludf.DUMMYFUNCTION("""COMPUTED_VALUE"""),0)</f>
        <v>0</v>
      </c>
      <c r="F1101" s="72">
        <f ca="1">IFERROR(__xludf.DUMMYFUNCTION("""COMPUTED_VALUE"""),2500)</f>
        <v>2500</v>
      </c>
      <c r="G1101" s="75"/>
      <c r="H1101" s="59" t="str">
        <f ca="1">IFERROR(__xludf.DUMMYFUNCTION("""COMPUTED_VALUE"""),"UPDATE")</f>
        <v>UPDATE</v>
      </c>
      <c r="I1101" s="76" t="str">
        <f ca="1">IFERROR(__xludf.DUMMYFUNCTION("""COMPUTED_VALUE"""),"https://drive.google.com/open?id=1P5kL6awA8bTqGqVzbfzXSITaFIPUgKQg")</f>
        <v>https://drive.google.com/open?id=1P5kL6awA8bTqGqVzbfzXSITaFIPUgKQg</v>
      </c>
      <c r="J1101" s="59"/>
      <c r="K1101" s="59"/>
      <c r="L1101" s="59"/>
      <c r="M1101" s="59"/>
      <c r="N1101" s="59"/>
      <c r="O1101" s="59"/>
      <c r="P1101" s="59"/>
    </row>
    <row r="1102" spans="1:16">
      <c r="A1102" s="71">
        <f ca="1">IFERROR(__xludf.DUMMYFUNCTION("""COMPUTED_VALUE"""),44733.675163206)</f>
        <v>44733.675163205997</v>
      </c>
      <c r="B1102" s="59" t="str">
        <f ca="1">IFERROR(__xludf.DUMMYFUNCTION("""COMPUTED_VALUE"""),"Dabhi mayur")</f>
        <v>Dabhi mayur</v>
      </c>
      <c r="C1102" s="72" t="str">
        <f ca="1">IFERROR(__xludf.DUMMYFUNCTION("""COMPUTED_VALUE"""),"20sdsme01007")</f>
        <v>20sdsme01007</v>
      </c>
      <c r="D1102" s="73">
        <f ca="1">IFERROR(__xludf.DUMMYFUNCTION("""COMPUTED_VALUE"""),44733)</f>
        <v>44733</v>
      </c>
      <c r="E1102" s="72"/>
      <c r="F1102" s="72">
        <f ca="1">IFERROR(__xludf.DUMMYFUNCTION("""COMPUTED_VALUE"""),2500)</f>
        <v>2500</v>
      </c>
      <c r="G1102" s="75"/>
      <c r="H1102" s="59" t="str">
        <f ca="1">IFERROR(__xludf.DUMMYFUNCTION("""COMPUTED_VALUE"""),"UPDATE")</f>
        <v>UPDATE</v>
      </c>
      <c r="I1102" s="76" t="str">
        <f ca="1">IFERROR(__xludf.DUMMYFUNCTION("""COMPUTED_VALUE"""),"https://drive.google.com/open?id=15YVudvtlBZsaXYYgoomt-u1Gs0ebJwx8")</f>
        <v>https://drive.google.com/open?id=15YVudvtlBZsaXYYgoomt-u1Gs0ebJwx8</v>
      </c>
      <c r="J1102" s="59"/>
      <c r="K1102" s="59"/>
      <c r="L1102" s="59"/>
      <c r="M1102" s="59"/>
      <c r="N1102" s="59"/>
      <c r="O1102" s="59"/>
      <c r="P1102" s="59"/>
    </row>
    <row r="1103" spans="1:16">
      <c r="A1103" s="71">
        <f ca="1">IFERROR(__xludf.DUMMYFUNCTION("""COMPUTED_VALUE"""),44733.6738062731)</f>
        <v>44733.673806273102</v>
      </c>
      <c r="B1103" s="59" t="str">
        <f ca="1">IFERROR(__xludf.DUMMYFUNCTION("""COMPUTED_VALUE"""),"Dabhi mayur")</f>
        <v>Dabhi mayur</v>
      </c>
      <c r="C1103" s="72" t="str">
        <f ca="1">IFERROR(__xludf.DUMMYFUNCTION("""COMPUTED_VALUE"""),"20sdsme01007")</f>
        <v>20sdsme01007</v>
      </c>
      <c r="D1103" s="73">
        <f ca="1">IFERROR(__xludf.DUMMYFUNCTION("""COMPUTED_VALUE"""),44733)</f>
        <v>44733</v>
      </c>
      <c r="E1103" s="74">
        <f ca="1">IFERROR(__xludf.DUMMYFUNCTION("""COMPUTED_VALUE"""),25000)</f>
        <v>25000</v>
      </c>
      <c r="F1103" s="72"/>
      <c r="G1103" s="75"/>
      <c r="H1103" s="59" t="str">
        <f ca="1">IFERROR(__xludf.DUMMYFUNCTION("""COMPUTED_VALUE"""),"UPDATE")</f>
        <v>UPDATE</v>
      </c>
      <c r="I1103" s="76" t="str">
        <f ca="1">IFERROR(__xludf.DUMMYFUNCTION("""COMPUTED_VALUE"""),"https://drive.google.com/open?id=1N70VZpoBIdvM6O33ml54b28A1vOvhVu6")</f>
        <v>https://drive.google.com/open?id=1N70VZpoBIdvM6O33ml54b28A1vOvhVu6</v>
      </c>
      <c r="J1103" s="59"/>
      <c r="K1103" s="59"/>
      <c r="L1103" s="59"/>
      <c r="M1103" s="59"/>
      <c r="N1103" s="59"/>
      <c r="O1103" s="59"/>
      <c r="P1103" s="59"/>
    </row>
    <row r="1104" spans="1:16">
      <c r="A1104" s="71">
        <f ca="1">IFERROR(__xludf.DUMMYFUNCTION("""COMPUTED_VALUE"""),44733.5796452777)</f>
        <v>44733.579645277699</v>
      </c>
      <c r="B1104" s="59" t="str">
        <f ca="1">IFERROR(__xludf.DUMMYFUNCTION("""COMPUTED_VALUE"""),"Lunagariya krunal ")</f>
        <v xml:space="preserve">Lunagariya krunal </v>
      </c>
      <c r="C1104" s="72" t="str">
        <f ca="1">IFERROR(__xludf.DUMMYFUNCTION("""COMPUTED_VALUE"""),"20sdsce01060")</f>
        <v>20sdsce01060</v>
      </c>
      <c r="D1104" s="73">
        <f ca="1">IFERROR(__xludf.DUMMYFUNCTION("""COMPUTED_VALUE"""),44732)</f>
        <v>44732</v>
      </c>
      <c r="E1104" s="74">
        <f ca="1">IFERROR(__xludf.DUMMYFUNCTION("""COMPUTED_VALUE"""),25000)</f>
        <v>25000</v>
      </c>
      <c r="F1104" s="72"/>
      <c r="G1104" s="75"/>
      <c r="H1104" s="59" t="str">
        <f ca="1">IFERROR(__xludf.DUMMYFUNCTION("""COMPUTED_VALUE"""),"UPDATE")</f>
        <v>UPDATE</v>
      </c>
      <c r="I1104" s="76" t="str">
        <f ca="1">IFERROR(__xludf.DUMMYFUNCTION("""COMPUTED_VALUE"""),"https://drive.google.com/open?id=14jdUm5uUln4kvlNjiWBAaQ98toexVD9T")</f>
        <v>https://drive.google.com/open?id=14jdUm5uUln4kvlNjiWBAaQ98toexVD9T</v>
      </c>
      <c r="J1104" s="59"/>
      <c r="K1104" s="59"/>
      <c r="L1104" s="59"/>
      <c r="M1104" s="59"/>
      <c r="N1104" s="59"/>
      <c r="O1104" s="59"/>
      <c r="P1104" s="59"/>
    </row>
    <row r="1105" spans="1:16">
      <c r="A1105" s="71">
        <f ca="1">IFERROR(__xludf.DUMMYFUNCTION("""COMPUTED_VALUE"""),44733.5335117245)</f>
        <v>44733.533511724498</v>
      </c>
      <c r="B1105" s="59" t="str">
        <f ca="1">IFERROR(__xludf.DUMMYFUNCTION("""COMPUTED_VALUE"""),"Uddhav Prafulbhai Kanabar")</f>
        <v>Uddhav Prafulbhai Kanabar</v>
      </c>
      <c r="C1105" s="72" t="str">
        <f ca="1">IFERROR(__xludf.DUMMYFUNCTION("""COMPUTED_VALUE"""),"21SDSCV01011")</f>
        <v>21SDSCV01011</v>
      </c>
      <c r="D1105" s="73">
        <f ca="1">IFERROR(__xludf.DUMMYFUNCTION("""COMPUTED_VALUE"""),44614)</f>
        <v>44614</v>
      </c>
      <c r="E1105" s="74">
        <f ca="1">IFERROR(__xludf.DUMMYFUNCTION("""COMPUTED_VALUE"""),50000)</f>
        <v>50000</v>
      </c>
      <c r="F1105" s="72">
        <f ca="1">IFERROR(__xludf.DUMMYFUNCTION("""COMPUTED_VALUE"""),13000)</f>
        <v>13000</v>
      </c>
      <c r="G1105" s="75"/>
      <c r="H1105" s="59" t="str">
        <f ca="1">IFERROR(__xludf.DUMMYFUNCTION("""COMPUTED_VALUE"""),"UPDATE")</f>
        <v>UPDATE</v>
      </c>
      <c r="I1105" s="76" t="str">
        <f ca="1">IFERROR(__xludf.DUMMYFUNCTION("""COMPUTED_VALUE"""),"https://drive.google.com/open?id=1Iat-AqKSEu3VCHb1bcOY7zpGB_Vv6h_3")</f>
        <v>https://drive.google.com/open?id=1Iat-AqKSEu3VCHb1bcOY7zpGB_Vv6h_3</v>
      </c>
      <c r="J1105" s="59"/>
      <c r="K1105" s="59"/>
      <c r="L1105" s="59"/>
      <c r="M1105" s="59"/>
      <c r="N1105" s="59"/>
      <c r="O1105" s="59"/>
      <c r="P1105" s="59"/>
    </row>
    <row r="1106" spans="1:16">
      <c r="A1106" s="71">
        <f ca="1">IFERROR(__xludf.DUMMYFUNCTION("""COMPUTED_VALUE"""),44733.4226890046)</f>
        <v>44733.422689004597</v>
      </c>
      <c r="B1106" s="59" t="str">
        <f ca="1">IFERROR(__xludf.DUMMYFUNCTION("""COMPUTED_VALUE"""),"Prince Maheshwari ")</f>
        <v xml:space="preserve">Prince Maheshwari </v>
      </c>
      <c r="C1106" s="72" t="str">
        <f ca="1">IFERROR(__xludf.DUMMYFUNCTION("""COMPUTED_VALUE"""),"20sdsme01023")</f>
        <v>20sdsme01023</v>
      </c>
      <c r="D1106" s="73">
        <f ca="1">IFERROR(__xludf.DUMMYFUNCTION("""COMPUTED_VALUE"""),44730)</f>
        <v>44730</v>
      </c>
      <c r="E1106" s="72"/>
      <c r="F1106" s="72"/>
      <c r="G1106" s="75"/>
      <c r="H1106" s="59" t="str">
        <f ca="1">IFERROR(__xludf.DUMMYFUNCTION("""COMPUTED_VALUE"""),"UPDATE")</f>
        <v>UPDATE</v>
      </c>
      <c r="I1106" s="76" t="str">
        <f ca="1">IFERROR(__xludf.DUMMYFUNCTION("""COMPUTED_VALUE"""),"https://drive.google.com/open?id=1CX65uz7g13PbL6MvuIn-et7hf4-iVfpb")</f>
        <v>https://drive.google.com/open?id=1CX65uz7g13PbL6MvuIn-et7hf4-iVfpb</v>
      </c>
      <c r="J1106" s="59"/>
      <c r="K1106" s="59"/>
      <c r="L1106" s="59"/>
      <c r="M1106" s="59"/>
      <c r="N1106" s="59"/>
      <c r="O1106" s="59"/>
      <c r="P1106" s="59"/>
    </row>
    <row r="1107" spans="1:16">
      <c r="A1107" s="71">
        <f ca="1">IFERROR(__xludf.DUMMYFUNCTION("""COMPUTED_VALUE"""),44733.2865172106)</f>
        <v>44733.286517210603</v>
      </c>
      <c r="B1107" s="59" t="str">
        <f ca="1">IFERROR(__xludf.DUMMYFUNCTION("""COMPUTED_VALUE"""),"RAJ_ATKOTIYA_MUKESHBHAI")</f>
        <v>RAJ_ATKOTIYA_MUKESHBHAI</v>
      </c>
      <c r="C1107" s="72" t="str">
        <f ca="1">IFERROR(__xludf.DUMMYFUNCTION("""COMPUTED_VALUE"""),"20SDSCE01005")</f>
        <v>20SDSCE01005</v>
      </c>
      <c r="D1107" s="73">
        <f ca="1">IFERROR(__xludf.DUMMYFUNCTION("""COMPUTED_VALUE"""),44732)</f>
        <v>44732</v>
      </c>
      <c r="E1107" s="74">
        <f ca="1">IFERROR(__xludf.DUMMYFUNCTION("""COMPUTED_VALUE"""),12500)</f>
        <v>12500</v>
      </c>
      <c r="F1107" s="72">
        <f ca="1">IFERROR(__xludf.DUMMYFUNCTION("""COMPUTED_VALUE"""),2500)</f>
        <v>2500</v>
      </c>
      <c r="G1107" s="75"/>
      <c r="H1107" s="59" t="str">
        <f ca="1">IFERROR(__xludf.DUMMYFUNCTION("""COMPUTED_VALUE"""),"UPDATE")</f>
        <v>UPDATE</v>
      </c>
      <c r="I1107" s="76" t="str">
        <f ca="1">IFERROR(__xludf.DUMMYFUNCTION("""COMPUTED_VALUE"""),"https://drive.google.com/open?id=15Q5mCWbymAYjZitjXJfyRf_yhH2rFU5z")</f>
        <v>https://drive.google.com/open?id=15Q5mCWbymAYjZitjXJfyRf_yhH2rFU5z</v>
      </c>
      <c r="J1107" s="59"/>
      <c r="K1107" s="59"/>
      <c r="L1107" s="59"/>
      <c r="M1107" s="59"/>
      <c r="N1107" s="59"/>
      <c r="O1107" s="59"/>
      <c r="P1107" s="59"/>
    </row>
    <row r="1108" spans="1:16">
      <c r="A1108" s="71">
        <f ca="1">IFERROR(__xludf.DUMMYFUNCTION("""COMPUTED_VALUE"""),44732.944066331)</f>
        <v>44732.944066331002</v>
      </c>
      <c r="B1108" s="59" t="str">
        <f ca="1">IFERROR(__xludf.DUMMYFUNCTION("""COMPUTED_VALUE"""),"Koladiya Nirmal RameshBhai ")</f>
        <v xml:space="preserve">Koladiya Nirmal RameshBhai </v>
      </c>
      <c r="C1108" s="72" t="str">
        <f ca="1">IFERROR(__xludf.DUMMYFUNCTION("""COMPUTED_VALUE"""),"20SDSCE01057")</f>
        <v>20SDSCE01057</v>
      </c>
      <c r="D1108" s="73">
        <f ca="1">IFERROR(__xludf.DUMMYFUNCTION("""COMPUTED_VALUE"""),44732)</f>
        <v>44732</v>
      </c>
      <c r="E1108" s="74">
        <f ca="1">IFERROR(__xludf.DUMMYFUNCTION("""COMPUTED_VALUE"""),27500)</f>
        <v>27500</v>
      </c>
      <c r="F1108" s="72"/>
      <c r="G1108" s="75"/>
      <c r="H1108" s="59" t="str">
        <f ca="1">IFERROR(__xludf.DUMMYFUNCTION("""COMPUTED_VALUE"""),"UPDATE")</f>
        <v>UPDATE</v>
      </c>
      <c r="I1108" s="76" t="str">
        <f ca="1">IFERROR(__xludf.DUMMYFUNCTION("""COMPUTED_VALUE"""),"https://drive.google.com/open?id=1YYEuzCrSN5gHKz1KvZmPy-B3ZmGVhgBK")</f>
        <v>https://drive.google.com/open?id=1YYEuzCrSN5gHKz1KvZmPy-B3ZmGVhgBK</v>
      </c>
      <c r="J1108" s="59"/>
      <c r="K1108" s="59"/>
      <c r="L1108" s="59"/>
      <c r="M1108" s="59"/>
      <c r="N1108" s="59"/>
      <c r="O1108" s="59"/>
      <c r="P1108" s="59"/>
    </row>
    <row r="1109" spans="1:16">
      <c r="A1109" s="71">
        <f ca="1">IFERROR(__xludf.DUMMYFUNCTION("""COMPUTED_VALUE"""),44732.9188639467)</f>
        <v>44732.918863946703</v>
      </c>
      <c r="B1109" s="59" t="str">
        <f ca="1">IFERROR(__xludf.DUMMYFUNCTION("""COMPUTED_VALUE"""),"Dharmik gadhiya")</f>
        <v>Dharmik gadhiya</v>
      </c>
      <c r="C1109" s="72" t="str">
        <f ca="1">IFERROR(__xludf.DUMMYFUNCTION("""COMPUTED_VALUE"""),"20SDSCE01033")</f>
        <v>20SDSCE01033</v>
      </c>
      <c r="D1109" s="73">
        <f ca="1">IFERROR(__xludf.DUMMYFUNCTION("""COMPUTED_VALUE"""),44731)</f>
        <v>44731</v>
      </c>
      <c r="E1109" s="72"/>
      <c r="F1109" s="72">
        <f ca="1">IFERROR(__xludf.DUMMYFUNCTION("""COMPUTED_VALUE"""),2500)</f>
        <v>2500</v>
      </c>
      <c r="G1109" s="75"/>
      <c r="H1109" s="59" t="str">
        <f ca="1">IFERROR(__xludf.DUMMYFUNCTION("""COMPUTED_VALUE"""),"UPDATE")</f>
        <v>UPDATE</v>
      </c>
      <c r="I1109" s="76" t="str">
        <f ca="1">IFERROR(__xludf.DUMMYFUNCTION("""COMPUTED_VALUE"""),"https://drive.google.com/open?id=1ZhhG98MUBMFVbL0YjSp44uqc6VMEyvnj")</f>
        <v>https://drive.google.com/open?id=1ZhhG98MUBMFVbL0YjSp44uqc6VMEyvnj</v>
      </c>
      <c r="J1109" s="59"/>
      <c r="K1109" s="59"/>
      <c r="L1109" s="59"/>
      <c r="M1109" s="59"/>
      <c r="N1109" s="59"/>
      <c r="O1109" s="59"/>
      <c r="P1109" s="59"/>
    </row>
    <row r="1110" spans="1:16">
      <c r="A1110" s="71">
        <f ca="1">IFERROR(__xludf.DUMMYFUNCTION("""COMPUTED_VALUE"""),44732.9175355439)</f>
        <v>44732.9175355439</v>
      </c>
      <c r="B1110" s="59" t="str">
        <f ca="1">IFERROR(__xludf.DUMMYFUNCTION("""COMPUTED_VALUE"""),"Dharmik gadhiya")</f>
        <v>Dharmik gadhiya</v>
      </c>
      <c r="C1110" s="72" t="str">
        <f ca="1">IFERROR(__xludf.DUMMYFUNCTION("""COMPUTED_VALUE"""),"20SDSCE01033")</f>
        <v>20SDSCE01033</v>
      </c>
      <c r="D1110" s="73">
        <f ca="1">IFERROR(__xludf.DUMMYFUNCTION("""COMPUTED_VALUE"""),44731)</f>
        <v>44731</v>
      </c>
      <c r="E1110" s="74">
        <f ca="1">IFERROR(__xludf.DUMMYFUNCTION("""COMPUTED_VALUE"""),12500)</f>
        <v>12500</v>
      </c>
      <c r="F1110" s="72"/>
      <c r="G1110" s="75"/>
      <c r="H1110" s="59" t="str">
        <f ca="1">IFERROR(__xludf.DUMMYFUNCTION("""COMPUTED_VALUE"""),"UPDATE")</f>
        <v>UPDATE</v>
      </c>
      <c r="I1110" s="76" t="str">
        <f ca="1">IFERROR(__xludf.DUMMYFUNCTION("""COMPUTED_VALUE"""),"https://drive.google.com/open?id=16fl3SwAEK7LlpUUCsGeXsiUeXmz88ACu")</f>
        <v>https://drive.google.com/open?id=16fl3SwAEK7LlpUUCsGeXsiUeXmz88ACu</v>
      </c>
      <c r="J1110" s="59"/>
      <c r="K1110" s="59"/>
      <c r="L1110" s="59"/>
      <c r="M1110" s="59"/>
      <c r="N1110" s="59"/>
      <c r="O1110" s="59"/>
      <c r="P1110" s="59"/>
    </row>
    <row r="1111" spans="1:16">
      <c r="A1111" s="71">
        <f ca="1">IFERROR(__xludf.DUMMYFUNCTION("""COMPUTED_VALUE"""),44732.8409504745)</f>
        <v>44732.8409504745</v>
      </c>
      <c r="B1111" s="59" t="str">
        <f ca="1">IFERROR(__xludf.DUMMYFUNCTION("""COMPUTED_VALUE"""),"KALARIYA JIGAR KIRANBHAI ")</f>
        <v xml:space="preserve">KALARIYA JIGAR KIRANBHAI </v>
      </c>
      <c r="C1111" s="72" t="str">
        <f ca="1">IFERROR(__xludf.DUMMYFUNCTION("""COMPUTED_VALUE"""),"20SDSCE01048")</f>
        <v>20SDSCE01048</v>
      </c>
      <c r="D1111" s="73">
        <f ca="1">IFERROR(__xludf.DUMMYFUNCTION("""COMPUTED_VALUE"""),44732)</f>
        <v>44732</v>
      </c>
      <c r="E1111" s="74">
        <f ca="1">IFERROR(__xludf.DUMMYFUNCTION("""COMPUTED_VALUE"""),6250)</f>
        <v>6250</v>
      </c>
      <c r="F1111" s="72"/>
      <c r="G1111" s="75"/>
      <c r="H1111" s="59" t="str">
        <f ca="1">IFERROR(__xludf.DUMMYFUNCTION("""COMPUTED_VALUE"""),"UPDATE")</f>
        <v>UPDATE</v>
      </c>
      <c r="I1111" s="76" t="str">
        <f ca="1">IFERROR(__xludf.DUMMYFUNCTION("""COMPUTED_VALUE"""),"https://drive.google.com/open?id=12nDz5TTBMKC-g2rElawPLqZIGWyMOMls")</f>
        <v>https://drive.google.com/open?id=12nDz5TTBMKC-g2rElawPLqZIGWyMOMls</v>
      </c>
      <c r="J1111" s="59"/>
      <c r="K1111" s="59"/>
      <c r="L1111" s="59"/>
      <c r="M1111" s="59"/>
      <c r="N1111" s="59"/>
      <c r="O1111" s="59"/>
      <c r="P1111" s="59"/>
    </row>
    <row r="1112" spans="1:16">
      <c r="A1112" s="71">
        <f ca="1">IFERROR(__xludf.DUMMYFUNCTION("""COMPUTED_VALUE"""),44732.8348182523)</f>
        <v>44732.834818252297</v>
      </c>
      <c r="B1112" s="59" t="str">
        <f ca="1">IFERROR(__xludf.DUMMYFUNCTION("""COMPUTED_VALUE"""),"Shubh rupapara mukeshbhia")</f>
        <v>Shubh rupapara mukeshbhia</v>
      </c>
      <c r="C1112" s="72" t="str">
        <f ca="1">IFERROR(__xludf.DUMMYFUNCTION("""COMPUTED_VALUE"""),"20SDSCE01103")</f>
        <v>20SDSCE01103</v>
      </c>
      <c r="D1112" s="73">
        <f ca="1">IFERROR(__xludf.DUMMYFUNCTION("""COMPUTED_VALUE"""),44732)</f>
        <v>44732</v>
      </c>
      <c r="E1112" s="74">
        <f ca="1">IFERROR(__xludf.DUMMYFUNCTION("""COMPUTED_VALUE"""),0)</f>
        <v>0</v>
      </c>
      <c r="F1112" s="72">
        <f ca="1">IFERROR(__xludf.DUMMYFUNCTION("""COMPUTED_VALUE"""),2500)</f>
        <v>2500</v>
      </c>
      <c r="G1112" s="75"/>
      <c r="H1112" s="59" t="str">
        <f ca="1">IFERROR(__xludf.DUMMYFUNCTION("""COMPUTED_VALUE"""),"UPDATE")</f>
        <v>UPDATE</v>
      </c>
      <c r="I1112" s="76" t="str">
        <f ca="1">IFERROR(__xludf.DUMMYFUNCTION("""COMPUTED_VALUE"""),"https://drive.google.com/open?id=1YQhhYulM3zmP2XKZEPuKbvMhTI3bNAAR")</f>
        <v>https://drive.google.com/open?id=1YQhhYulM3zmP2XKZEPuKbvMhTI3bNAAR</v>
      </c>
      <c r="J1112" s="59"/>
      <c r="K1112" s="59"/>
      <c r="L1112" s="59"/>
      <c r="M1112" s="59"/>
      <c r="N1112" s="59"/>
      <c r="O1112" s="59"/>
      <c r="P1112" s="59"/>
    </row>
    <row r="1113" spans="1:16">
      <c r="A1113" s="71">
        <f ca="1">IFERROR(__xludf.DUMMYFUNCTION("""COMPUTED_VALUE"""),44732.8334734606)</f>
        <v>44732.833473460603</v>
      </c>
      <c r="B1113" s="59" t="str">
        <f ca="1">IFERROR(__xludf.DUMMYFUNCTION("""COMPUTED_VALUE"""),"Shubh rupapara mukeshbhia")</f>
        <v>Shubh rupapara mukeshbhia</v>
      </c>
      <c r="C1113" s="72" t="str">
        <f ca="1">IFERROR(__xludf.DUMMYFUNCTION("""COMPUTED_VALUE"""),"20SDSCE01103")</f>
        <v>20SDSCE01103</v>
      </c>
      <c r="D1113" s="73">
        <f ca="1">IFERROR(__xludf.DUMMYFUNCTION("""COMPUTED_VALUE"""),44732)</f>
        <v>44732</v>
      </c>
      <c r="E1113" s="74">
        <f ca="1">IFERROR(__xludf.DUMMYFUNCTION("""COMPUTED_VALUE"""),12500)</f>
        <v>12500</v>
      </c>
      <c r="F1113" s="72"/>
      <c r="G1113" s="75"/>
      <c r="H1113" s="59" t="str">
        <f ca="1">IFERROR(__xludf.DUMMYFUNCTION("""COMPUTED_VALUE"""),"UPDATE")</f>
        <v>UPDATE</v>
      </c>
      <c r="I1113" s="76" t="str">
        <f ca="1">IFERROR(__xludf.DUMMYFUNCTION("""COMPUTED_VALUE"""),"https://drive.google.com/open?id=1BgrwK0VgEQBpI2gRoznhjXR1J5sqfA81")</f>
        <v>https://drive.google.com/open?id=1BgrwK0VgEQBpI2gRoznhjXR1J5sqfA81</v>
      </c>
      <c r="J1113" s="59"/>
      <c r="K1113" s="59"/>
      <c r="L1113" s="59"/>
      <c r="M1113" s="59"/>
      <c r="N1113" s="59"/>
      <c r="O1113" s="59"/>
      <c r="P1113" s="59"/>
    </row>
    <row r="1114" spans="1:16">
      <c r="A1114" s="71">
        <f ca="1">IFERROR(__xludf.DUMMYFUNCTION("""COMPUTED_VALUE"""),44732.8313559375)</f>
        <v>44732.831355937502</v>
      </c>
      <c r="B1114" s="59" t="str">
        <f ca="1">IFERROR(__xludf.DUMMYFUNCTION("""COMPUTED_VALUE"""),"Kariya jay Maheshbhai ")</f>
        <v xml:space="preserve">Kariya jay Maheshbhai </v>
      </c>
      <c r="C1114" s="72" t="str">
        <f ca="1">IFERROR(__xludf.DUMMYFUNCTION("""COMPUTED_VALUE"""),"20sdsce01052")</f>
        <v>20sdsce01052</v>
      </c>
      <c r="D1114" s="73">
        <f ca="1">IFERROR(__xludf.DUMMYFUNCTION("""COMPUTED_VALUE"""),44732)</f>
        <v>44732</v>
      </c>
      <c r="E1114" s="72"/>
      <c r="F1114" s="72">
        <f ca="1">IFERROR(__xludf.DUMMYFUNCTION("""COMPUTED_VALUE"""),5000)</f>
        <v>5000</v>
      </c>
      <c r="G1114" s="75"/>
      <c r="H1114" s="59" t="str">
        <f ca="1">IFERROR(__xludf.DUMMYFUNCTION("""COMPUTED_VALUE"""),"UPDATE")</f>
        <v>UPDATE</v>
      </c>
      <c r="I1114" s="76" t="str">
        <f ca="1">IFERROR(__xludf.DUMMYFUNCTION("""COMPUTED_VALUE"""),"https://drive.google.com/open?id=1IvwBwrZSoBtjxD9TN9OqlJc3hnTb-U5x")</f>
        <v>https://drive.google.com/open?id=1IvwBwrZSoBtjxD9TN9OqlJc3hnTb-U5x</v>
      </c>
      <c r="J1114" s="59"/>
      <c r="K1114" s="59"/>
      <c r="L1114" s="59"/>
      <c r="M1114" s="59"/>
      <c r="N1114" s="59"/>
      <c r="O1114" s="59"/>
      <c r="P1114" s="59"/>
    </row>
    <row r="1115" spans="1:16">
      <c r="A1115" s="71">
        <f ca="1">IFERROR(__xludf.DUMMYFUNCTION("""COMPUTED_VALUE"""),44732.8303309143)</f>
        <v>44732.830330914301</v>
      </c>
      <c r="B1115" s="59" t="str">
        <f ca="1">IFERROR(__xludf.DUMMYFUNCTION("""COMPUTED_VALUE"""),"Kariya Jay Maheshbhai")</f>
        <v>Kariya Jay Maheshbhai</v>
      </c>
      <c r="C1115" s="72" t="str">
        <f ca="1">IFERROR(__xludf.DUMMYFUNCTION("""COMPUTED_VALUE"""),"20sdsce01052")</f>
        <v>20sdsce01052</v>
      </c>
      <c r="D1115" s="73">
        <f ca="1">IFERROR(__xludf.DUMMYFUNCTION("""COMPUTED_VALUE"""),44732)</f>
        <v>44732</v>
      </c>
      <c r="E1115" s="74">
        <f ca="1">IFERROR(__xludf.DUMMYFUNCTION("""COMPUTED_VALUE"""),12500)</f>
        <v>12500</v>
      </c>
      <c r="F1115" s="72"/>
      <c r="G1115" s="75"/>
      <c r="H1115" s="59" t="str">
        <f ca="1">IFERROR(__xludf.DUMMYFUNCTION("""COMPUTED_VALUE"""),"UPDATE")</f>
        <v>UPDATE</v>
      </c>
      <c r="I1115" s="76" t="str">
        <f ca="1">IFERROR(__xludf.DUMMYFUNCTION("""COMPUTED_VALUE"""),"https://drive.google.com/open?id=1JB57E6GR8Y6vCezbXgYJ1cX-Qp3efhTe")</f>
        <v>https://drive.google.com/open?id=1JB57E6GR8Y6vCezbXgYJ1cX-Qp3efhTe</v>
      </c>
      <c r="J1115" s="59"/>
      <c r="K1115" s="59"/>
      <c r="L1115" s="59"/>
      <c r="M1115" s="59"/>
      <c r="N1115" s="59"/>
      <c r="O1115" s="59"/>
      <c r="P1115" s="59"/>
    </row>
    <row r="1116" spans="1:16">
      <c r="A1116" s="71">
        <f ca="1">IFERROR(__xludf.DUMMYFUNCTION("""COMPUTED_VALUE"""),44732.7821182175)</f>
        <v>44732.782118217503</v>
      </c>
      <c r="B1116" s="59" t="str">
        <f ca="1">IFERROR(__xludf.DUMMYFUNCTION("""COMPUTED_VALUE"""),"Vadariya ishva Nilesh Bhai ")</f>
        <v xml:space="preserve">Vadariya ishva Nilesh Bhai </v>
      </c>
      <c r="C1116" s="72" t="str">
        <f ca="1">IFERROR(__xludf.DUMMYFUNCTION("""COMPUTED_VALUE"""),"20SDSCE01124")</f>
        <v>20SDSCE01124</v>
      </c>
      <c r="D1116" s="73">
        <f ca="1">IFERROR(__xludf.DUMMYFUNCTION("""COMPUTED_VALUE"""),44732)</f>
        <v>44732</v>
      </c>
      <c r="E1116" s="72"/>
      <c r="F1116" s="72"/>
      <c r="G1116" s="75"/>
      <c r="H1116" s="59" t="str">
        <f ca="1">IFERROR(__xludf.DUMMYFUNCTION("""COMPUTED_VALUE"""),"UPDATE")</f>
        <v>UPDATE</v>
      </c>
      <c r="I1116" s="76" t="str">
        <f ca="1">IFERROR(__xludf.DUMMYFUNCTION("""COMPUTED_VALUE"""),"https://drive.google.com/open?id=141K-u1BeYkwUX6ftF6Mkuq551mJgSREb")</f>
        <v>https://drive.google.com/open?id=141K-u1BeYkwUX6ftF6Mkuq551mJgSREb</v>
      </c>
      <c r="J1116" s="59"/>
      <c r="K1116" s="59"/>
      <c r="L1116" s="59"/>
      <c r="M1116" s="59"/>
      <c r="N1116" s="59"/>
      <c r="O1116" s="59"/>
      <c r="P1116" s="59"/>
    </row>
    <row r="1117" spans="1:16">
      <c r="A1117" s="71">
        <f ca="1">IFERROR(__xludf.DUMMYFUNCTION("""COMPUTED_VALUE"""),44732.7804955787)</f>
        <v>44732.7804955787</v>
      </c>
      <c r="B1117" s="59" t="str">
        <f ca="1">IFERROR(__xludf.DUMMYFUNCTION("""COMPUTED_VALUE"""),"Vadariya ishva Nilesh Bhai ")</f>
        <v xml:space="preserve">Vadariya ishva Nilesh Bhai </v>
      </c>
      <c r="C1117" s="72" t="str">
        <f ca="1">IFERROR(__xludf.DUMMYFUNCTION("""COMPUTED_VALUE"""),"20SDSCE01124")</f>
        <v>20SDSCE01124</v>
      </c>
      <c r="D1117" s="73">
        <f ca="1">IFERROR(__xludf.DUMMYFUNCTION("""COMPUTED_VALUE"""),44732)</f>
        <v>44732</v>
      </c>
      <c r="E1117" s="72"/>
      <c r="F1117" s="72">
        <f ca="1">IFERROR(__xludf.DUMMYFUNCTION("""COMPUTED_VALUE"""),2500)</f>
        <v>2500</v>
      </c>
      <c r="G1117" s="75"/>
      <c r="H1117" s="59" t="str">
        <f ca="1">IFERROR(__xludf.DUMMYFUNCTION("""COMPUTED_VALUE"""),"UPDATE")</f>
        <v>UPDATE</v>
      </c>
      <c r="I1117" s="76" t="str">
        <f ca="1">IFERROR(__xludf.DUMMYFUNCTION("""COMPUTED_VALUE"""),"https://drive.google.com/open?id=1WZG9h-rq8P8pSk3hvde8DlvQ3ab8tCQN")</f>
        <v>https://drive.google.com/open?id=1WZG9h-rq8P8pSk3hvde8DlvQ3ab8tCQN</v>
      </c>
      <c r="J1117" s="59"/>
      <c r="K1117" s="59"/>
      <c r="L1117" s="59"/>
      <c r="M1117" s="59"/>
      <c r="N1117" s="59"/>
      <c r="O1117" s="59"/>
      <c r="P1117" s="59"/>
    </row>
    <row r="1118" spans="1:16">
      <c r="A1118" s="71">
        <f ca="1">IFERROR(__xludf.DUMMYFUNCTION("""COMPUTED_VALUE"""),44732.77908103)</f>
        <v>44732.779081029999</v>
      </c>
      <c r="B1118" s="59" t="str">
        <f ca="1">IFERROR(__xludf.DUMMYFUNCTION("""COMPUTED_VALUE"""),"Vadariya ishva Nilesh Bhai ")</f>
        <v xml:space="preserve">Vadariya ishva Nilesh Bhai </v>
      </c>
      <c r="C1118" s="72" t="str">
        <f ca="1">IFERROR(__xludf.DUMMYFUNCTION("""COMPUTED_VALUE"""),"20SDSCE01124")</f>
        <v>20SDSCE01124</v>
      </c>
      <c r="D1118" s="73">
        <f ca="1">IFERROR(__xludf.DUMMYFUNCTION("""COMPUTED_VALUE"""),44732)</f>
        <v>44732</v>
      </c>
      <c r="E1118" s="74">
        <f ca="1">IFERROR(__xludf.DUMMYFUNCTION("""COMPUTED_VALUE"""),6250)</f>
        <v>6250</v>
      </c>
      <c r="F1118" s="72"/>
      <c r="G1118" s="75"/>
      <c r="H1118" s="59" t="str">
        <f ca="1">IFERROR(__xludf.DUMMYFUNCTION("""COMPUTED_VALUE"""),"UPDATE")</f>
        <v>UPDATE</v>
      </c>
      <c r="I1118" s="76" t="str">
        <f ca="1">IFERROR(__xludf.DUMMYFUNCTION("""COMPUTED_VALUE"""),"https://drive.google.com/open?id=1Hwv7zo-ueimymlCvK3Uak_aT_uEjGqHp")</f>
        <v>https://drive.google.com/open?id=1Hwv7zo-ueimymlCvK3Uak_aT_uEjGqHp</v>
      </c>
      <c r="J1118" s="59"/>
      <c r="K1118" s="59"/>
      <c r="L1118" s="59"/>
      <c r="M1118" s="59"/>
      <c r="N1118" s="59"/>
      <c r="O1118" s="59"/>
      <c r="P1118" s="59"/>
    </row>
    <row r="1119" spans="1:16">
      <c r="A1119" s="71">
        <f ca="1">IFERROR(__xludf.DUMMYFUNCTION("""COMPUTED_VALUE"""),44732.7324029745)</f>
        <v>44732.7324029745</v>
      </c>
      <c r="B1119" s="59" t="str">
        <f ca="1">IFERROR(__xludf.DUMMYFUNCTION("""COMPUTED_VALUE"""),"Raj Ramani ")</f>
        <v xml:space="preserve">Raj Ramani </v>
      </c>
      <c r="C1119" s="72" t="str">
        <f ca="1">IFERROR(__xludf.DUMMYFUNCTION("""COMPUTED_VALUE"""),"20sdsce01093")</f>
        <v>20sdsce01093</v>
      </c>
      <c r="D1119" s="73">
        <f ca="1">IFERROR(__xludf.DUMMYFUNCTION("""COMPUTED_VALUE"""),44728)</f>
        <v>44728</v>
      </c>
      <c r="E1119" s="74">
        <f ca="1">IFERROR(__xludf.DUMMYFUNCTION("""COMPUTED_VALUE"""),12500)</f>
        <v>12500</v>
      </c>
      <c r="F1119" s="72">
        <f ca="1">IFERROR(__xludf.DUMMYFUNCTION("""COMPUTED_VALUE"""),2500)</f>
        <v>2500</v>
      </c>
      <c r="G1119" s="75"/>
      <c r="H1119" s="59" t="str">
        <f ca="1">IFERROR(__xludf.DUMMYFUNCTION("""COMPUTED_VALUE"""),"UPDATE")</f>
        <v>UPDATE</v>
      </c>
      <c r="I1119" s="76" t="str">
        <f ca="1">IFERROR(__xludf.DUMMYFUNCTION("""COMPUTED_VALUE"""),"https://drive.google.com/open?id=1fWJCyCOtC1-dx9MmUzMPEdFBeySgKm8v")</f>
        <v>https://drive.google.com/open?id=1fWJCyCOtC1-dx9MmUzMPEdFBeySgKm8v</v>
      </c>
      <c r="J1119" s="59"/>
      <c r="K1119" s="59"/>
      <c r="L1119" s="59"/>
      <c r="M1119" s="59"/>
      <c r="N1119" s="59"/>
      <c r="O1119" s="59"/>
      <c r="P1119" s="59"/>
    </row>
    <row r="1120" spans="1:16">
      <c r="A1120" s="71">
        <f ca="1">IFERROR(__xludf.DUMMYFUNCTION("""COMPUTED_VALUE"""),44732.7311943634)</f>
        <v>44732.731194363398</v>
      </c>
      <c r="B1120" s="59" t="str">
        <f ca="1">IFERROR(__xludf.DUMMYFUNCTION("""COMPUTED_VALUE"""),"Raj Ramani ")</f>
        <v xml:space="preserve">Raj Ramani </v>
      </c>
      <c r="C1120" s="72" t="str">
        <f ca="1">IFERROR(__xludf.DUMMYFUNCTION("""COMPUTED_VALUE"""),"20sdsce01093")</f>
        <v>20sdsce01093</v>
      </c>
      <c r="D1120" s="73">
        <f ca="1">IFERROR(__xludf.DUMMYFUNCTION("""COMPUTED_VALUE"""),44728)</f>
        <v>44728</v>
      </c>
      <c r="E1120" s="74">
        <f ca="1">IFERROR(__xludf.DUMMYFUNCTION("""COMPUTED_VALUE"""),12500)</f>
        <v>12500</v>
      </c>
      <c r="F1120" s="72">
        <f ca="1">IFERROR(__xludf.DUMMYFUNCTION("""COMPUTED_VALUE"""),2500)</f>
        <v>2500</v>
      </c>
      <c r="G1120" s="75"/>
      <c r="H1120" s="59" t="str">
        <f ca="1">IFERROR(__xludf.DUMMYFUNCTION("""COMPUTED_VALUE"""),"UPDATE")</f>
        <v>UPDATE</v>
      </c>
      <c r="I1120" s="76" t="str">
        <f ca="1">IFERROR(__xludf.DUMMYFUNCTION("""COMPUTED_VALUE"""),"https://drive.google.com/open?id=1-hsjGElO9RtSZ0OG5cdwDJVZ0YGvfIuW")</f>
        <v>https://drive.google.com/open?id=1-hsjGElO9RtSZ0OG5cdwDJVZ0YGvfIuW</v>
      </c>
      <c r="J1120" s="59"/>
      <c r="K1120" s="59"/>
      <c r="L1120" s="59"/>
      <c r="M1120" s="59"/>
      <c r="N1120" s="59"/>
      <c r="O1120" s="59"/>
      <c r="P1120" s="59"/>
    </row>
    <row r="1121" spans="1:16">
      <c r="A1121" s="71">
        <f ca="1">IFERROR(__xludf.DUMMYFUNCTION("""COMPUTED_VALUE"""),44732.7170506481)</f>
        <v>44732.717050648098</v>
      </c>
      <c r="B1121" s="59" t="str">
        <f ca="1">IFERROR(__xludf.DUMMYFUNCTION("""COMPUTED_VALUE"""),"Aman sumra")</f>
        <v>Aman sumra</v>
      </c>
      <c r="C1121" s="72" t="str">
        <f ca="1">IFERROR(__xludf.DUMMYFUNCTION("""COMPUTED_VALUE"""),"20sdsce01115")</f>
        <v>20sdsce01115</v>
      </c>
      <c r="D1121" s="73">
        <f ca="1">IFERROR(__xludf.DUMMYFUNCTION("""COMPUTED_VALUE"""),44732)</f>
        <v>44732</v>
      </c>
      <c r="E1121" s="72"/>
      <c r="F1121" s="72">
        <f ca="1">IFERROR(__xludf.DUMMYFUNCTION("""COMPUTED_VALUE"""),2500)</f>
        <v>2500</v>
      </c>
      <c r="G1121" s="75"/>
      <c r="H1121" s="59" t="str">
        <f ca="1">IFERROR(__xludf.DUMMYFUNCTION("""COMPUTED_VALUE"""),"UPDATE")</f>
        <v>UPDATE</v>
      </c>
      <c r="I1121" s="76" t="str">
        <f ca="1">IFERROR(__xludf.DUMMYFUNCTION("""COMPUTED_VALUE"""),"https://drive.google.com/open?id=1Qf0Wt5DvgoXofZ4PEniV4f5bMM0IPQyv")</f>
        <v>https://drive.google.com/open?id=1Qf0Wt5DvgoXofZ4PEniV4f5bMM0IPQyv</v>
      </c>
      <c r="J1121" s="59"/>
      <c r="K1121" s="59"/>
      <c r="L1121" s="59"/>
      <c r="M1121" s="59"/>
      <c r="N1121" s="59"/>
      <c r="O1121" s="59"/>
      <c r="P1121" s="59"/>
    </row>
    <row r="1122" spans="1:16">
      <c r="A1122" s="71">
        <f ca="1">IFERROR(__xludf.DUMMYFUNCTION("""COMPUTED_VALUE"""),44732.6578503472)</f>
        <v>44732.657850347197</v>
      </c>
      <c r="B1122" s="59" t="str">
        <f ca="1">IFERROR(__xludf.DUMMYFUNCTION("""COMPUTED_VALUE"""),"Shubh rupapara mukeshbhia")</f>
        <v>Shubh rupapara mukeshbhia</v>
      </c>
      <c r="C1122" s="72" t="str">
        <f ca="1">IFERROR(__xludf.DUMMYFUNCTION("""COMPUTED_VALUE"""),"20SDSCE01103")</f>
        <v>20SDSCE01103</v>
      </c>
      <c r="D1122" s="73">
        <f ca="1">IFERROR(__xludf.DUMMYFUNCTION("""COMPUTED_VALUE"""),44732)</f>
        <v>44732</v>
      </c>
      <c r="E1122" s="74">
        <f ca="1">IFERROR(__xludf.DUMMYFUNCTION("""COMPUTED_VALUE"""),12500)</f>
        <v>12500</v>
      </c>
      <c r="F1122" s="72"/>
      <c r="G1122" s="75"/>
      <c r="H1122" s="59" t="str">
        <f ca="1">IFERROR(__xludf.DUMMYFUNCTION("""COMPUTED_VALUE"""),"UPDATE")</f>
        <v>UPDATE</v>
      </c>
      <c r="I1122" s="76" t="str">
        <f ca="1">IFERROR(__xludf.DUMMYFUNCTION("""COMPUTED_VALUE"""),"https://drive.google.com/open?id=1-Tds2dneP06fAEX11ni733m2R-Qdm5uf")</f>
        <v>https://drive.google.com/open?id=1-Tds2dneP06fAEX11ni733m2R-Qdm5uf</v>
      </c>
      <c r="J1122" s="59"/>
      <c r="K1122" s="59"/>
      <c r="L1122" s="59"/>
      <c r="M1122" s="59"/>
      <c r="N1122" s="59"/>
      <c r="O1122" s="59"/>
      <c r="P1122" s="59"/>
    </row>
    <row r="1123" spans="1:16">
      <c r="A1123" s="71">
        <f ca="1">IFERROR(__xludf.DUMMYFUNCTION("""COMPUTED_VALUE"""),44732.6561139467)</f>
        <v>44732.656113946701</v>
      </c>
      <c r="B1123" s="59" t="str">
        <f ca="1">IFERROR(__xludf.DUMMYFUNCTION("""COMPUTED_VALUE"""),"Rupapara shubh mukeshbhia")</f>
        <v>Rupapara shubh mukeshbhia</v>
      </c>
      <c r="C1123" s="72" t="str">
        <f ca="1">IFERROR(__xludf.DUMMYFUNCTION("""COMPUTED_VALUE"""),"20SDSCE01103")</f>
        <v>20SDSCE01103</v>
      </c>
      <c r="D1123" s="73">
        <f ca="1">IFERROR(__xludf.DUMMYFUNCTION("""COMPUTED_VALUE"""),44732)</f>
        <v>44732</v>
      </c>
      <c r="E1123" s="72"/>
      <c r="F1123" s="72">
        <f ca="1">IFERROR(__xludf.DUMMYFUNCTION("""COMPUTED_VALUE"""),2500)</f>
        <v>2500</v>
      </c>
      <c r="G1123" s="75"/>
      <c r="H1123" s="59" t="str">
        <f ca="1">IFERROR(__xludf.DUMMYFUNCTION("""COMPUTED_VALUE"""),"UPDATE")</f>
        <v>UPDATE</v>
      </c>
      <c r="I1123" s="76" t="str">
        <f ca="1">IFERROR(__xludf.DUMMYFUNCTION("""COMPUTED_VALUE"""),"https://drive.google.com/open?id=1c8esT_9W8fLs55ohNECj-H99skvQwFg2")</f>
        <v>https://drive.google.com/open?id=1c8esT_9W8fLs55ohNECj-H99skvQwFg2</v>
      </c>
      <c r="J1123" s="59"/>
      <c r="K1123" s="59"/>
      <c r="L1123" s="59"/>
      <c r="M1123" s="59"/>
      <c r="N1123" s="59"/>
      <c r="O1123" s="59"/>
      <c r="P1123" s="59"/>
    </row>
    <row r="1124" spans="1:16">
      <c r="A1124" s="71">
        <f ca="1">IFERROR(__xludf.DUMMYFUNCTION("""COMPUTED_VALUE"""),44732.6480041319)</f>
        <v>44732.648004131901</v>
      </c>
      <c r="B1124" s="59" t="str">
        <f ca="1">IFERROR(__xludf.DUMMYFUNCTION("""COMPUTED_VALUE"""),"Vaghela devdipsinh")</f>
        <v>Vaghela devdipsinh</v>
      </c>
      <c r="C1124" s="72" t="str">
        <f ca="1">IFERROR(__xludf.DUMMYFUNCTION("""COMPUTED_VALUE"""),"20sdsce01128")</f>
        <v>20sdsce01128</v>
      </c>
      <c r="D1124" s="73">
        <f ca="1">IFERROR(__xludf.DUMMYFUNCTION("""COMPUTED_VALUE"""),44732)</f>
        <v>44732</v>
      </c>
      <c r="E1124" s="74">
        <f ca="1">IFERROR(__xludf.DUMMYFUNCTION("""COMPUTED_VALUE"""),25000)</f>
        <v>25000</v>
      </c>
      <c r="F1124" s="72"/>
      <c r="G1124" s="75"/>
      <c r="H1124" s="59" t="str">
        <f ca="1">IFERROR(__xludf.DUMMYFUNCTION("""COMPUTED_VALUE"""),"UPDATE")</f>
        <v>UPDATE</v>
      </c>
      <c r="I1124" s="76" t="str">
        <f ca="1">IFERROR(__xludf.DUMMYFUNCTION("""COMPUTED_VALUE"""),"https://drive.google.com/open?id=16FmM9Y5O6pLeq154ahe725zjZDZs39gm")</f>
        <v>https://drive.google.com/open?id=16FmM9Y5O6pLeq154ahe725zjZDZs39gm</v>
      </c>
      <c r="J1124" s="59"/>
      <c r="K1124" s="59"/>
      <c r="L1124" s="59"/>
      <c r="M1124" s="59"/>
      <c r="N1124" s="59"/>
      <c r="O1124" s="59"/>
      <c r="P1124" s="59"/>
    </row>
    <row r="1125" spans="1:16">
      <c r="A1125" s="71">
        <f ca="1">IFERROR(__xludf.DUMMYFUNCTION("""COMPUTED_VALUE"""),44732.6223477662)</f>
        <v>44732.622347766199</v>
      </c>
      <c r="B1125" s="59" t="str">
        <f ca="1">IFERROR(__xludf.DUMMYFUNCTION("""COMPUTED_VALUE"""),"limbasiya utsav dipak bhai")</f>
        <v>limbasiya utsav dipak bhai</v>
      </c>
      <c r="C1125" s="72" t="str">
        <f ca="1">IFERROR(__xludf.DUMMYFUNCTION("""COMPUTED_VALUE"""),"20sdsce01059")</f>
        <v>20sdsce01059</v>
      </c>
      <c r="D1125" s="73">
        <f ca="1">IFERROR(__xludf.DUMMYFUNCTION("""COMPUTED_VALUE"""),44732)</f>
        <v>44732</v>
      </c>
      <c r="E1125" s="74">
        <f ca="1">IFERROR(__xludf.DUMMYFUNCTION("""COMPUTED_VALUE"""),10000)</f>
        <v>10000</v>
      </c>
      <c r="F1125" s="72">
        <f ca="1">IFERROR(__xludf.DUMMYFUNCTION("""COMPUTED_VALUE"""),2500)</f>
        <v>2500</v>
      </c>
      <c r="G1125" s="75"/>
      <c r="H1125" s="59" t="str">
        <f ca="1">IFERROR(__xludf.DUMMYFUNCTION("""COMPUTED_VALUE"""),"UPDATE")</f>
        <v>UPDATE</v>
      </c>
      <c r="I1125" s="76" t="str">
        <f ca="1">IFERROR(__xludf.DUMMYFUNCTION("""COMPUTED_VALUE"""),"https://drive.google.com/open?id=13xdciDkLZxM2LWDpECqRoCD88oLWOo38")</f>
        <v>https://drive.google.com/open?id=13xdciDkLZxM2LWDpECqRoCD88oLWOo38</v>
      </c>
      <c r="J1125" s="59"/>
      <c r="K1125" s="59"/>
      <c r="L1125" s="59"/>
      <c r="M1125" s="59"/>
      <c r="N1125" s="59"/>
      <c r="O1125" s="59"/>
      <c r="P1125" s="59"/>
    </row>
    <row r="1126" spans="1:16">
      <c r="A1126" s="71">
        <f ca="1">IFERROR(__xludf.DUMMYFUNCTION("""COMPUTED_VALUE"""),44732.6179691782)</f>
        <v>44732.617969178202</v>
      </c>
      <c r="B1126" s="59" t="str">
        <f ca="1">IFERROR(__xludf.DUMMYFUNCTION("""COMPUTED_VALUE"""),"Hadiyal harshil Maheshbhai ")</f>
        <v xml:space="preserve">Hadiyal harshil Maheshbhai </v>
      </c>
      <c r="C1126" s="72" t="str">
        <f ca="1">IFERROR(__xludf.DUMMYFUNCTION("""COMPUTED_VALUE"""),"20SDSCE01041")</f>
        <v>20SDSCE01041</v>
      </c>
      <c r="D1126" s="73">
        <f ca="1">IFERROR(__xludf.DUMMYFUNCTION("""COMPUTED_VALUE"""),44732)</f>
        <v>44732</v>
      </c>
      <c r="E1126" s="74">
        <f ca="1">IFERROR(__xludf.DUMMYFUNCTION("""COMPUTED_VALUE"""),25000)</f>
        <v>25000</v>
      </c>
      <c r="F1126" s="72"/>
      <c r="G1126" s="75"/>
      <c r="H1126" s="59" t="str">
        <f ca="1">IFERROR(__xludf.DUMMYFUNCTION("""COMPUTED_VALUE"""),"UPDATE")</f>
        <v>UPDATE</v>
      </c>
      <c r="I1126" s="76" t="str">
        <f ca="1">IFERROR(__xludf.DUMMYFUNCTION("""COMPUTED_VALUE"""),"https://drive.google.com/open?id=1jyNb0XtQIxKXryFwbFgq_2bFQripZvKO")</f>
        <v>https://drive.google.com/open?id=1jyNb0XtQIxKXryFwbFgq_2bFQripZvKO</v>
      </c>
      <c r="J1126" s="59"/>
      <c r="K1126" s="59"/>
      <c r="L1126" s="59"/>
      <c r="M1126" s="59"/>
      <c r="N1126" s="59"/>
      <c r="O1126" s="59"/>
      <c r="P1126" s="59"/>
    </row>
    <row r="1127" spans="1:16">
      <c r="A1127" s="71">
        <f ca="1">IFERROR(__xludf.DUMMYFUNCTION("""COMPUTED_VALUE"""),44732.6165767129)</f>
        <v>44732.616576712899</v>
      </c>
      <c r="B1127" s="59" t="str">
        <f ca="1">IFERROR(__xludf.DUMMYFUNCTION("""COMPUTED_VALUE"""),"Hadiyal harshil Maheshbhai ")</f>
        <v xml:space="preserve">Hadiyal harshil Maheshbhai </v>
      </c>
      <c r="C1127" s="72" t="str">
        <f ca="1">IFERROR(__xludf.DUMMYFUNCTION("""COMPUTED_VALUE"""),"20SDSCE01041")</f>
        <v>20SDSCE01041</v>
      </c>
      <c r="D1127" s="73">
        <f ca="1">IFERROR(__xludf.DUMMYFUNCTION("""COMPUTED_VALUE"""),44732)</f>
        <v>44732</v>
      </c>
      <c r="E1127" s="72"/>
      <c r="F1127" s="72">
        <f ca="1">IFERROR(__xludf.DUMMYFUNCTION("""COMPUTED_VALUE"""),2500)</f>
        <v>2500</v>
      </c>
      <c r="G1127" s="75"/>
      <c r="H1127" s="59" t="str">
        <f ca="1">IFERROR(__xludf.DUMMYFUNCTION("""COMPUTED_VALUE"""),"UPDATE")</f>
        <v>UPDATE</v>
      </c>
      <c r="I1127" s="76" t="str">
        <f ca="1">IFERROR(__xludf.DUMMYFUNCTION("""COMPUTED_VALUE"""),"https://drive.google.com/open?id=1h8KHDuMENAmEe627PIP5c1EIji6Z-Iux")</f>
        <v>https://drive.google.com/open?id=1h8KHDuMENAmEe627PIP5c1EIji6Z-Iux</v>
      </c>
      <c r="J1127" s="59"/>
      <c r="K1127" s="59"/>
      <c r="L1127" s="59"/>
      <c r="M1127" s="59"/>
      <c r="N1127" s="59"/>
      <c r="O1127" s="59"/>
      <c r="P1127" s="59"/>
    </row>
    <row r="1128" spans="1:16">
      <c r="A1128" s="71">
        <f ca="1">IFERROR(__xludf.DUMMYFUNCTION("""COMPUTED_VALUE"""),44732.6158198726)</f>
        <v>44732.615819872597</v>
      </c>
      <c r="B1128" s="59" t="str">
        <f ca="1">IFERROR(__xludf.DUMMYFUNCTION("""COMPUTED_VALUE"""),"ADROJA AKSHIT DAMJIBHAI ")</f>
        <v xml:space="preserve">ADROJA AKSHIT DAMJIBHAI </v>
      </c>
      <c r="C1128" s="72" t="str">
        <f ca="1">IFERROR(__xludf.DUMMYFUNCTION("""COMPUTED_VALUE"""),"20SDSCE01002")</f>
        <v>20SDSCE01002</v>
      </c>
      <c r="D1128" s="73">
        <f ca="1">IFERROR(__xludf.DUMMYFUNCTION("""COMPUTED_VALUE"""),44732)</f>
        <v>44732</v>
      </c>
      <c r="E1128" s="74">
        <f ca="1">IFERROR(__xludf.DUMMYFUNCTION("""COMPUTED_VALUE"""),25000)</f>
        <v>25000</v>
      </c>
      <c r="F1128" s="72"/>
      <c r="G1128" s="75"/>
      <c r="H1128" s="59" t="str">
        <f ca="1">IFERROR(__xludf.DUMMYFUNCTION("""COMPUTED_VALUE"""),"UPDATE")</f>
        <v>UPDATE</v>
      </c>
      <c r="I1128" s="76" t="str">
        <f ca="1">IFERROR(__xludf.DUMMYFUNCTION("""COMPUTED_VALUE"""),"https://drive.google.com/open?id=1pl8ymiRPYPnxV-mdM3t2wG-q_qg2t_cP")</f>
        <v>https://drive.google.com/open?id=1pl8ymiRPYPnxV-mdM3t2wG-q_qg2t_cP</v>
      </c>
      <c r="J1128" s="59"/>
      <c r="K1128" s="59"/>
      <c r="L1128" s="59"/>
      <c r="M1128" s="59"/>
      <c r="N1128" s="59"/>
      <c r="O1128" s="59"/>
      <c r="P1128" s="59"/>
    </row>
    <row r="1129" spans="1:16">
      <c r="A1129" s="71">
        <f ca="1">IFERROR(__xludf.DUMMYFUNCTION("""COMPUTED_VALUE"""),44732.6135367361)</f>
        <v>44732.613536736098</v>
      </c>
      <c r="B1129" s="59" t="str">
        <f ca="1">IFERROR(__xludf.DUMMYFUNCTION("""COMPUTED_VALUE"""),"ADROJA AKSHIT DAMJIBHAI ")</f>
        <v xml:space="preserve">ADROJA AKSHIT DAMJIBHAI </v>
      </c>
      <c r="C1129" s="72" t="str">
        <f ca="1">IFERROR(__xludf.DUMMYFUNCTION("""COMPUTED_VALUE"""),"20SDSCE01002")</f>
        <v>20SDSCE01002</v>
      </c>
      <c r="D1129" s="73">
        <f ca="1">IFERROR(__xludf.DUMMYFUNCTION("""COMPUTED_VALUE"""),44732)</f>
        <v>44732</v>
      </c>
      <c r="E1129" s="72"/>
      <c r="F1129" s="72">
        <f ca="1">IFERROR(__xludf.DUMMYFUNCTION("""COMPUTED_VALUE"""),2500)</f>
        <v>2500</v>
      </c>
      <c r="G1129" s="75"/>
      <c r="H1129" s="59" t="str">
        <f ca="1">IFERROR(__xludf.DUMMYFUNCTION("""COMPUTED_VALUE"""),"UPDATE")</f>
        <v>UPDATE</v>
      </c>
      <c r="I1129" s="76" t="str">
        <f ca="1">IFERROR(__xludf.DUMMYFUNCTION("""COMPUTED_VALUE"""),"https://drive.google.com/open?id=1gLuNUGZFPQRJL106o61TA65DzqH02tFL")</f>
        <v>https://drive.google.com/open?id=1gLuNUGZFPQRJL106o61TA65DzqH02tFL</v>
      </c>
      <c r="J1129" s="59"/>
      <c r="K1129" s="59"/>
      <c r="L1129" s="59"/>
      <c r="M1129" s="59"/>
      <c r="N1129" s="59"/>
      <c r="O1129" s="59"/>
      <c r="P1129" s="59"/>
    </row>
    <row r="1130" spans="1:16">
      <c r="A1130" s="71">
        <f ca="1">IFERROR(__xludf.DUMMYFUNCTION("""COMPUTED_VALUE"""),44732.6118578009)</f>
        <v>44732.611857800897</v>
      </c>
      <c r="B1130" s="59" t="str">
        <f ca="1">IFERROR(__xludf.DUMMYFUNCTION("""COMPUTED_VALUE"""),"Archit Asodariya ")</f>
        <v xml:space="preserve">Archit Asodariya </v>
      </c>
      <c r="C1130" s="72" t="str">
        <f ca="1">IFERROR(__xludf.DUMMYFUNCTION("""COMPUTED_VALUE"""),"20SDSME01002")</f>
        <v>20SDSME01002</v>
      </c>
      <c r="D1130" s="73">
        <f ca="1">IFERROR(__xludf.DUMMYFUNCTION("""COMPUTED_VALUE"""),44732)</f>
        <v>44732</v>
      </c>
      <c r="E1130" s="74">
        <f ca="1">IFERROR(__xludf.DUMMYFUNCTION("""COMPUTED_VALUE"""),12500)</f>
        <v>12500</v>
      </c>
      <c r="F1130" s="72">
        <f ca="1">IFERROR(__xludf.DUMMYFUNCTION("""COMPUTED_VALUE"""),2500)</f>
        <v>2500</v>
      </c>
      <c r="G1130" s="75"/>
      <c r="H1130" s="59" t="str">
        <f ca="1">IFERROR(__xludf.DUMMYFUNCTION("""COMPUTED_VALUE"""),"UPDATE")</f>
        <v>UPDATE</v>
      </c>
      <c r="I1130" s="76" t="str">
        <f ca="1">IFERROR(__xludf.DUMMYFUNCTION("""COMPUTED_VALUE"""),"https://drive.google.com/open?id=1YPfIC4Wz3CsS9_KKdjliS2wFlwLsLP_Z")</f>
        <v>https://drive.google.com/open?id=1YPfIC4Wz3CsS9_KKdjliS2wFlwLsLP_Z</v>
      </c>
      <c r="J1130" s="59"/>
      <c r="K1130" s="59"/>
      <c r="L1130" s="59"/>
      <c r="M1130" s="59"/>
      <c r="N1130" s="59"/>
      <c r="O1130" s="59"/>
      <c r="P1130" s="59"/>
    </row>
    <row r="1131" spans="1:16">
      <c r="A1131" s="71">
        <f ca="1">IFERROR(__xludf.DUMMYFUNCTION("""COMPUTED_VALUE"""),44732.6098751736)</f>
        <v>44732.609875173599</v>
      </c>
      <c r="B1131" s="59" t="str">
        <f ca="1">IFERROR(__xludf.DUMMYFUNCTION("""COMPUTED_VALUE"""),"ADROJA AKSHIT DAMJIBHAI")</f>
        <v>ADROJA AKSHIT DAMJIBHAI</v>
      </c>
      <c r="C1131" s="72" t="str">
        <f ca="1">IFERROR(__xludf.DUMMYFUNCTION("""COMPUTED_VALUE"""),"20sdsce01002")</f>
        <v>20sdsce01002</v>
      </c>
      <c r="D1131" s="73">
        <f ca="1">IFERROR(__xludf.DUMMYFUNCTION("""COMPUTED_VALUE"""),44732)</f>
        <v>44732</v>
      </c>
      <c r="E1131" s="74">
        <f ca="1">IFERROR(__xludf.DUMMYFUNCTION("""COMPUTED_VALUE"""),25000)</f>
        <v>25000</v>
      </c>
      <c r="F1131" s="72"/>
      <c r="G1131" s="75"/>
      <c r="H1131" s="59" t="str">
        <f ca="1">IFERROR(__xludf.DUMMYFUNCTION("""COMPUTED_VALUE"""),"UPDATE")</f>
        <v>UPDATE</v>
      </c>
      <c r="I1131" s="76" t="str">
        <f ca="1">IFERROR(__xludf.DUMMYFUNCTION("""COMPUTED_VALUE"""),"https://drive.google.com/open?id=1dDe0gUCmQARTcnogQp3X0QpncZcSB5NF")</f>
        <v>https://drive.google.com/open?id=1dDe0gUCmQARTcnogQp3X0QpncZcSB5NF</v>
      </c>
      <c r="J1131" s="59"/>
      <c r="K1131" s="59"/>
      <c r="L1131" s="59"/>
      <c r="M1131" s="59"/>
      <c r="N1131" s="59"/>
      <c r="O1131" s="59"/>
      <c r="P1131" s="59"/>
    </row>
    <row r="1132" spans="1:16">
      <c r="A1132" s="71">
        <f ca="1">IFERROR(__xludf.DUMMYFUNCTION("""COMPUTED_VALUE"""),44732.6044528125)</f>
        <v>44732.604452812498</v>
      </c>
      <c r="B1132" s="59" t="str">
        <f ca="1">IFERROR(__xludf.DUMMYFUNCTION("""COMPUTED_VALUE"""),"Meet Thumar Jamanbhai")</f>
        <v>Meet Thumar Jamanbhai</v>
      </c>
      <c r="C1132" s="72" t="str">
        <f ca="1">IFERROR(__xludf.DUMMYFUNCTION("""COMPUTED_VALUE"""),"20SDSCE01120")</f>
        <v>20SDSCE01120</v>
      </c>
      <c r="D1132" s="73">
        <f ca="1">IFERROR(__xludf.DUMMYFUNCTION("""COMPUTED_VALUE"""),44732)</f>
        <v>44732</v>
      </c>
      <c r="E1132" s="74">
        <f ca="1">IFERROR(__xludf.DUMMYFUNCTION("""COMPUTED_VALUE"""),12500)</f>
        <v>12500</v>
      </c>
      <c r="F1132" s="72">
        <f ca="1">IFERROR(__xludf.DUMMYFUNCTION("""COMPUTED_VALUE"""),2500)</f>
        <v>2500</v>
      </c>
      <c r="G1132" s="75"/>
      <c r="H1132" s="59" t="str">
        <f ca="1">IFERROR(__xludf.DUMMYFUNCTION("""COMPUTED_VALUE"""),"UPDATE")</f>
        <v>UPDATE</v>
      </c>
      <c r="I1132" s="76" t="str">
        <f ca="1">IFERROR(__xludf.DUMMYFUNCTION("""COMPUTED_VALUE"""),"https://drive.google.com/open?id=1_QllbU2wBkCPmEJCRAvmatU8ZTbA0f_3")</f>
        <v>https://drive.google.com/open?id=1_QllbU2wBkCPmEJCRAvmatU8ZTbA0f_3</v>
      </c>
      <c r="J1132" s="59"/>
      <c r="K1132" s="59"/>
      <c r="L1132" s="59"/>
      <c r="M1132" s="59"/>
      <c r="N1132" s="59"/>
      <c r="O1132" s="59"/>
      <c r="P1132" s="59"/>
    </row>
    <row r="1133" spans="1:16">
      <c r="A1133" s="71">
        <f ca="1">IFERROR(__xludf.DUMMYFUNCTION("""COMPUTED_VALUE"""),44732.6038578472)</f>
        <v>44732.6038578472</v>
      </c>
      <c r="B1133" s="59" t="str">
        <f ca="1">IFERROR(__xludf.DUMMYFUNCTION("""COMPUTED_VALUE"""),"Lunagariya krunal")</f>
        <v>Lunagariya krunal</v>
      </c>
      <c r="C1133" s="72" t="str">
        <f ca="1">IFERROR(__xludf.DUMMYFUNCTION("""COMPUTED_VALUE"""),"20sdsce01060")</f>
        <v>20sdsce01060</v>
      </c>
      <c r="D1133" s="73">
        <f ca="1">IFERROR(__xludf.DUMMYFUNCTION("""COMPUTED_VALUE"""),44732)</f>
        <v>44732</v>
      </c>
      <c r="E1133" s="72"/>
      <c r="F1133" s="72">
        <f ca="1">IFERROR(__xludf.DUMMYFUNCTION("""COMPUTED_VALUE"""),2500)</f>
        <v>2500</v>
      </c>
      <c r="G1133" s="75"/>
      <c r="H1133" s="59" t="str">
        <f ca="1">IFERROR(__xludf.DUMMYFUNCTION("""COMPUTED_VALUE"""),"UPDATE")</f>
        <v>UPDATE</v>
      </c>
      <c r="I1133" s="76" t="str">
        <f ca="1">IFERROR(__xludf.DUMMYFUNCTION("""COMPUTED_VALUE"""),"https://drive.google.com/open?id=1Ie9_sAwDHUQt3hrfG9_GeZjtGiMszYjS")</f>
        <v>https://drive.google.com/open?id=1Ie9_sAwDHUQt3hrfG9_GeZjtGiMszYjS</v>
      </c>
      <c r="J1133" s="59"/>
      <c r="K1133" s="59"/>
      <c r="L1133" s="59"/>
      <c r="M1133" s="59"/>
      <c r="N1133" s="59"/>
      <c r="O1133" s="59"/>
      <c r="P1133" s="59"/>
    </row>
    <row r="1134" spans="1:16">
      <c r="A1134" s="71">
        <f ca="1">IFERROR(__xludf.DUMMYFUNCTION("""COMPUTED_VALUE"""),44732.6029169907)</f>
        <v>44732.602916990698</v>
      </c>
      <c r="B1134" s="59" t="str">
        <f ca="1">IFERROR(__xludf.DUMMYFUNCTION("""COMPUTED_VALUE"""),"Lunagariya krunal")</f>
        <v>Lunagariya krunal</v>
      </c>
      <c r="C1134" s="72" t="str">
        <f ca="1">IFERROR(__xludf.DUMMYFUNCTION("""COMPUTED_VALUE"""),"20sdsce01060")</f>
        <v>20sdsce01060</v>
      </c>
      <c r="D1134" s="73">
        <f ca="1">IFERROR(__xludf.DUMMYFUNCTION("""COMPUTED_VALUE"""),44732)</f>
        <v>44732</v>
      </c>
      <c r="E1134" s="74">
        <f ca="1">IFERROR(__xludf.DUMMYFUNCTION("""COMPUTED_VALUE"""),12500)</f>
        <v>12500</v>
      </c>
      <c r="F1134" s="72"/>
      <c r="G1134" s="75"/>
      <c r="H1134" s="59" t="str">
        <f ca="1">IFERROR(__xludf.DUMMYFUNCTION("""COMPUTED_VALUE"""),"UPDATE")</f>
        <v>UPDATE</v>
      </c>
      <c r="I1134" s="76" t="str">
        <f ca="1">IFERROR(__xludf.DUMMYFUNCTION("""COMPUTED_VALUE"""),"https://drive.google.com/open?id=1Th_Aw328QDzgBYZhY3SwtqXaP5Xo75HM")</f>
        <v>https://drive.google.com/open?id=1Th_Aw328QDzgBYZhY3SwtqXaP5Xo75HM</v>
      </c>
      <c r="J1134" s="59"/>
      <c r="K1134" s="59"/>
      <c r="L1134" s="59"/>
      <c r="M1134" s="59"/>
      <c r="N1134" s="59"/>
      <c r="O1134" s="59"/>
      <c r="P1134" s="59"/>
    </row>
    <row r="1135" spans="1:16">
      <c r="A1135" s="71">
        <f ca="1">IFERROR(__xludf.DUMMYFUNCTION("""COMPUTED_VALUE"""),44732.6020542592)</f>
        <v>44732.602054259201</v>
      </c>
      <c r="B1135" s="59" t="str">
        <f ca="1">IFERROR(__xludf.DUMMYFUNCTION("""COMPUTED_VALUE"""),"Samarth Kalpeshbhai Dadhaniya")</f>
        <v>Samarth Kalpeshbhai Dadhaniya</v>
      </c>
      <c r="C1135" s="72" t="str">
        <f ca="1">IFERROR(__xludf.DUMMYFUNCTION("""COMPUTED_VALUE"""),"20SDSCE01023")</f>
        <v>20SDSCE01023</v>
      </c>
      <c r="D1135" s="73">
        <f ca="1">IFERROR(__xludf.DUMMYFUNCTION("""COMPUTED_VALUE"""),44730)</f>
        <v>44730</v>
      </c>
      <c r="E1135" s="74">
        <f ca="1">IFERROR(__xludf.DUMMYFUNCTION("""COMPUTED_VALUE"""),12500)</f>
        <v>12500</v>
      </c>
      <c r="F1135" s="72"/>
      <c r="G1135" s="75"/>
      <c r="H1135" s="59" t="str">
        <f ca="1">IFERROR(__xludf.DUMMYFUNCTION("""COMPUTED_VALUE"""),"UPDATE")</f>
        <v>UPDATE</v>
      </c>
      <c r="I1135" s="76" t="str">
        <f ca="1">IFERROR(__xludf.DUMMYFUNCTION("""COMPUTED_VALUE"""),"https://drive.google.com/open?id=1K3yVrVlLMuoJTO8K6o9wr2nWkc3yqU3x")</f>
        <v>https://drive.google.com/open?id=1K3yVrVlLMuoJTO8K6o9wr2nWkc3yqU3x</v>
      </c>
      <c r="J1135" s="59"/>
      <c r="K1135" s="59"/>
      <c r="L1135" s="59"/>
      <c r="M1135" s="59"/>
      <c r="N1135" s="59"/>
      <c r="O1135" s="59"/>
      <c r="P1135" s="59"/>
    </row>
    <row r="1136" spans="1:16">
      <c r="A1136" s="71">
        <f ca="1">IFERROR(__xludf.DUMMYFUNCTION("""COMPUTED_VALUE"""),44732.6015011574)</f>
        <v>44732.601501157398</v>
      </c>
      <c r="B1136" s="59" t="str">
        <f ca="1">IFERROR(__xludf.DUMMYFUNCTION("""COMPUTED_VALUE"""),"Romil Dobariya ")</f>
        <v xml:space="preserve">Romil Dobariya </v>
      </c>
      <c r="C1136" s="72" t="str">
        <f ca="1">IFERROR(__xludf.DUMMYFUNCTION("""COMPUTED_VALUE"""),"20SDSCE01029")</f>
        <v>20SDSCE01029</v>
      </c>
      <c r="D1136" s="73">
        <f ca="1">IFERROR(__xludf.DUMMYFUNCTION("""COMPUTED_VALUE"""),44732)</f>
        <v>44732</v>
      </c>
      <c r="E1136" s="72"/>
      <c r="F1136" s="72">
        <f ca="1">IFERROR(__xludf.DUMMYFUNCTION("""COMPUTED_VALUE"""),2500)</f>
        <v>2500</v>
      </c>
      <c r="G1136" s="75"/>
      <c r="H1136" s="59" t="str">
        <f ca="1">IFERROR(__xludf.DUMMYFUNCTION("""COMPUTED_VALUE"""),"UPDATE")</f>
        <v>UPDATE</v>
      </c>
      <c r="I1136" s="76" t="str">
        <f ca="1">IFERROR(__xludf.DUMMYFUNCTION("""COMPUTED_VALUE"""),"https://drive.google.com/open?id=1w-PSYkhLeNjqAPgs-QfquhcFC7aNw6xV")</f>
        <v>https://drive.google.com/open?id=1w-PSYkhLeNjqAPgs-QfquhcFC7aNw6xV</v>
      </c>
      <c r="J1136" s="59"/>
      <c r="K1136" s="59"/>
      <c r="L1136" s="59"/>
      <c r="M1136" s="59"/>
      <c r="N1136" s="59"/>
      <c r="O1136" s="59"/>
      <c r="P1136" s="59"/>
    </row>
    <row r="1137" spans="1:16">
      <c r="A1137" s="71">
        <f ca="1">IFERROR(__xludf.DUMMYFUNCTION("""COMPUTED_VALUE"""),44732.6001035532)</f>
        <v>44732.600103553203</v>
      </c>
      <c r="B1137" s="59" t="str">
        <f ca="1">IFERROR(__xludf.DUMMYFUNCTION("""COMPUTED_VALUE"""),"Romil Dobariya ")</f>
        <v xml:space="preserve">Romil Dobariya </v>
      </c>
      <c r="C1137" s="72" t="str">
        <f ca="1">IFERROR(__xludf.DUMMYFUNCTION("""COMPUTED_VALUE"""),"20SDSCE01029")</f>
        <v>20SDSCE01029</v>
      </c>
      <c r="D1137" s="73">
        <f ca="1">IFERROR(__xludf.DUMMYFUNCTION("""COMPUTED_VALUE"""),44723)</f>
        <v>44723</v>
      </c>
      <c r="E1137" s="74">
        <f ca="1">IFERROR(__xludf.DUMMYFUNCTION("""COMPUTED_VALUE"""),10000)</f>
        <v>10000</v>
      </c>
      <c r="F1137" s="72"/>
      <c r="G1137" s="75"/>
      <c r="H1137" s="59" t="str">
        <f ca="1">IFERROR(__xludf.DUMMYFUNCTION("""COMPUTED_VALUE"""),"UPDATE")</f>
        <v>UPDATE</v>
      </c>
      <c r="I1137" s="76" t="str">
        <f ca="1">IFERROR(__xludf.DUMMYFUNCTION("""COMPUTED_VALUE"""),"https://drive.google.com/open?id=1BWkWZW-Oj43XxcbKumVDtdXwYe-40PHP")</f>
        <v>https://drive.google.com/open?id=1BWkWZW-Oj43XxcbKumVDtdXwYe-40PHP</v>
      </c>
      <c r="J1137" s="59"/>
      <c r="K1137" s="59"/>
      <c r="L1137" s="59"/>
      <c r="M1137" s="59"/>
      <c r="N1137" s="59"/>
      <c r="O1137" s="59"/>
      <c r="P1137" s="59"/>
    </row>
    <row r="1138" spans="1:16">
      <c r="A1138" s="71">
        <f ca="1">IFERROR(__xludf.DUMMYFUNCTION("""COMPUTED_VALUE"""),44732.5979629398)</f>
        <v>44732.597962939799</v>
      </c>
      <c r="B1138" s="59" t="str">
        <f ca="1">IFERROR(__xludf.DUMMYFUNCTION("""COMPUTED_VALUE"""),"Nakrani Mansi Ashokbhai")</f>
        <v>Nakrani Mansi Ashokbhai</v>
      </c>
      <c r="C1138" s="72" t="str">
        <f ca="1">IFERROR(__xludf.DUMMYFUNCTION("""COMPUTED_VALUE"""),"20Sdsce01067")</f>
        <v>20Sdsce01067</v>
      </c>
      <c r="D1138" s="73">
        <f ca="1">IFERROR(__xludf.DUMMYFUNCTION("""COMPUTED_VALUE"""),44732)</f>
        <v>44732</v>
      </c>
      <c r="E1138" s="74">
        <f ca="1">IFERROR(__xludf.DUMMYFUNCTION("""COMPUTED_VALUE"""),2500)</f>
        <v>2500</v>
      </c>
      <c r="F1138" s="72">
        <f ca="1">IFERROR(__xludf.DUMMYFUNCTION("""COMPUTED_VALUE"""),12500)</f>
        <v>12500</v>
      </c>
      <c r="G1138" s="75"/>
      <c r="H1138" s="59" t="str">
        <f ca="1">IFERROR(__xludf.DUMMYFUNCTION("""COMPUTED_VALUE"""),"UPDATE")</f>
        <v>UPDATE</v>
      </c>
      <c r="I1138" s="76" t="str">
        <f ca="1">IFERROR(__xludf.DUMMYFUNCTION("""COMPUTED_VALUE"""),"https://drive.google.com/open?id=1LVmVyM_Le0GHuumefY-r7wYcoGvj0wkI")</f>
        <v>https://drive.google.com/open?id=1LVmVyM_Le0GHuumefY-r7wYcoGvj0wkI</v>
      </c>
      <c r="J1138" s="59"/>
      <c r="K1138" s="59"/>
      <c r="L1138" s="59"/>
      <c r="M1138" s="59"/>
      <c r="N1138" s="59"/>
      <c r="O1138" s="59"/>
      <c r="P1138" s="59"/>
    </row>
    <row r="1139" spans="1:16">
      <c r="A1139" s="71">
        <f ca="1">IFERROR(__xludf.DUMMYFUNCTION("""COMPUTED_VALUE"""),44732.596743912)</f>
        <v>44732.596743912</v>
      </c>
      <c r="B1139" s="59" t="str">
        <f ca="1">IFERROR(__xludf.DUMMYFUNCTION("""COMPUTED_VALUE"""),"Nakrani Mansi Ashokbhai")</f>
        <v>Nakrani Mansi Ashokbhai</v>
      </c>
      <c r="C1139" s="72" t="str">
        <f ca="1">IFERROR(__xludf.DUMMYFUNCTION("""COMPUTED_VALUE"""),"20Sdsce01067")</f>
        <v>20Sdsce01067</v>
      </c>
      <c r="D1139" s="73">
        <f ca="1">IFERROR(__xludf.DUMMYFUNCTION("""COMPUTED_VALUE"""),44732)</f>
        <v>44732</v>
      </c>
      <c r="E1139" s="74">
        <f ca="1">IFERROR(__xludf.DUMMYFUNCTION("""COMPUTED_VALUE"""),12500)</f>
        <v>12500</v>
      </c>
      <c r="F1139" s="72">
        <f ca="1">IFERROR(__xludf.DUMMYFUNCTION("""COMPUTED_VALUE"""),2500)</f>
        <v>2500</v>
      </c>
      <c r="G1139" s="75"/>
      <c r="H1139" s="59" t="str">
        <f ca="1">IFERROR(__xludf.DUMMYFUNCTION("""COMPUTED_VALUE"""),"UPDATE")</f>
        <v>UPDATE</v>
      </c>
      <c r="I1139" s="76" t="str">
        <f ca="1">IFERROR(__xludf.DUMMYFUNCTION("""COMPUTED_VALUE"""),"https://drive.google.com/open?id=1zBJhMrbx25KJBTN3OD2QwFRN2ZZC0QOC")</f>
        <v>https://drive.google.com/open?id=1zBJhMrbx25KJBTN3OD2QwFRN2ZZC0QOC</v>
      </c>
      <c r="J1139" s="59"/>
      <c r="K1139" s="59"/>
      <c r="L1139" s="59"/>
      <c r="M1139" s="59"/>
      <c r="N1139" s="59"/>
      <c r="O1139" s="59"/>
      <c r="P1139" s="59"/>
    </row>
    <row r="1140" spans="1:16">
      <c r="A1140" s="71">
        <f ca="1">IFERROR(__xludf.DUMMYFUNCTION("""COMPUTED_VALUE"""),44732.593639375)</f>
        <v>44732.593639375002</v>
      </c>
      <c r="B1140" s="59" t="str">
        <f ca="1">IFERROR(__xludf.DUMMYFUNCTION("""COMPUTED_VALUE"""),"Hadiyal harshil Maheshbhai ")</f>
        <v xml:space="preserve">Hadiyal harshil Maheshbhai </v>
      </c>
      <c r="C1140" s="72" t="str">
        <f ca="1">IFERROR(__xludf.DUMMYFUNCTION("""COMPUTED_VALUE"""),"20SDSCE01041")</f>
        <v>20SDSCE01041</v>
      </c>
      <c r="D1140" s="73">
        <f ca="1">IFERROR(__xludf.DUMMYFUNCTION("""COMPUTED_VALUE"""),44729)</f>
        <v>44729</v>
      </c>
      <c r="E1140" s="72"/>
      <c r="F1140" s="72"/>
      <c r="G1140" s="75"/>
      <c r="H1140" s="59" t="str">
        <f ca="1">IFERROR(__xludf.DUMMYFUNCTION("""COMPUTED_VALUE"""),"UPDATE")</f>
        <v>UPDATE</v>
      </c>
      <c r="I1140" s="76" t="str">
        <f ca="1">IFERROR(__xludf.DUMMYFUNCTION("""COMPUTED_VALUE"""),"https://drive.google.com/open?id=1_jczt0LfBzIyrkq4dc10iEbTI1-O3nyd")</f>
        <v>https://drive.google.com/open?id=1_jczt0LfBzIyrkq4dc10iEbTI1-O3nyd</v>
      </c>
      <c r="J1140" s="59"/>
      <c r="K1140" s="59"/>
      <c r="L1140" s="59"/>
      <c r="M1140" s="59"/>
      <c r="N1140" s="59"/>
      <c r="O1140" s="59"/>
      <c r="P1140" s="59"/>
    </row>
    <row r="1141" spans="1:16">
      <c r="A1141" s="71">
        <f ca="1">IFERROR(__xludf.DUMMYFUNCTION("""COMPUTED_VALUE"""),44732.5602882638)</f>
        <v>44732.560288263798</v>
      </c>
      <c r="B1141" s="59" t="str">
        <f ca="1">IFERROR(__xludf.DUMMYFUNCTION("""COMPUTED_VALUE"""),"Karansinh chavda")</f>
        <v>Karansinh chavda</v>
      </c>
      <c r="C1141" s="72" t="str">
        <f ca="1">IFERROR(__xludf.DUMMYFUNCTION("""COMPUTED_VALUE"""),"20sdsce01016")</f>
        <v>20sdsce01016</v>
      </c>
      <c r="D1141" s="73">
        <f ca="1">IFERROR(__xludf.DUMMYFUNCTION("""COMPUTED_VALUE"""),44701)</f>
        <v>44701</v>
      </c>
      <c r="E1141" s="72"/>
      <c r="F1141" s="72"/>
      <c r="G1141" s="75"/>
      <c r="H1141" s="59" t="str">
        <f ca="1">IFERROR(__xludf.DUMMYFUNCTION("""COMPUTED_VALUE"""),"UPDATE")</f>
        <v>UPDATE</v>
      </c>
      <c r="I1141" s="76" t="str">
        <f ca="1">IFERROR(__xludf.DUMMYFUNCTION("""COMPUTED_VALUE"""),"https://drive.google.com/open?id=1TioHRsRnJLelLTjGE06Hi9gFadeZe54Q")</f>
        <v>https://drive.google.com/open?id=1TioHRsRnJLelLTjGE06Hi9gFadeZe54Q</v>
      </c>
      <c r="J1141" s="59"/>
      <c r="K1141" s="59"/>
      <c r="L1141" s="59"/>
      <c r="M1141" s="59"/>
      <c r="N1141" s="59"/>
      <c r="O1141" s="59"/>
      <c r="P1141" s="59"/>
    </row>
    <row r="1142" spans="1:16">
      <c r="A1142" s="71">
        <f ca="1">IFERROR(__xludf.DUMMYFUNCTION("""COMPUTED_VALUE"""),44732.4143244097)</f>
        <v>44732.414324409699</v>
      </c>
      <c r="B1142" s="59" t="str">
        <f ca="1">IFERROR(__xludf.DUMMYFUNCTION("""COMPUTED_VALUE"""),"Dharmik gadhiya")</f>
        <v>Dharmik gadhiya</v>
      </c>
      <c r="C1142" s="72" t="str">
        <f ca="1">IFERROR(__xludf.DUMMYFUNCTION("""COMPUTED_VALUE"""),"20SDSCE01033")</f>
        <v>20SDSCE01033</v>
      </c>
      <c r="D1142" s="73">
        <f ca="1">IFERROR(__xludf.DUMMYFUNCTION("""COMPUTED_VALUE"""),44731)</f>
        <v>44731</v>
      </c>
      <c r="E1142" s="74">
        <f ca="1">IFERROR(__xludf.DUMMYFUNCTION("""COMPUTED_VALUE"""),12500)</f>
        <v>12500</v>
      </c>
      <c r="F1142" s="72"/>
      <c r="G1142" s="75"/>
      <c r="H1142" s="59" t="str">
        <f ca="1">IFERROR(__xludf.DUMMYFUNCTION("""COMPUTED_VALUE"""),"UPDATE")</f>
        <v>UPDATE</v>
      </c>
      <c r="I1142" s="76" t="str">
        <f ca="1">IFERROR(__xludf.DUMMYFUNCTION("""COMPUTED_VALUE"""),"https://drive.google.com/open?id=1m4UPXsvgaWotNTZ1NEaH7u1_TiBp41KG")</f>
        <v>https://drive.google.com/open?id=1m4UPXsvgaWotNTZ1NEaH7u1_TiBp41KG</v>
      </c>
      <c r="J1142" s="59"/>
      <c r="K1142" s="59"/>
      <c r="L1142" s="59"/>
      <c r="M1142" s="59"/>
      <c r="N1142" s="59"/>
      <c r="O1142" s="59"/>
      <c r="P1142" s="59"/>
    </row>
    <row r="1143" spans="1:16">
      <c r="A1143" s="71">
        <f ca="1">IFERROR(__xludf.DUMMYFUNCTION("""COMPUTED_VALUE"""),44732.3706331018)</f>
        <v>44732.370633101797</v>
      </c>
      <c r="B1143" s="59" t="str">
        <f ca="1">IFERROR(__xludf.DUMMYFUNCTION("""COMPUTED_VALUE"""),"Himanshu Pansuriya")</f>
        <v>Himanshu Pansuriya</v>
      </c>
      <c r="C1143" s="72" t="str">
        <f ca="1">IFERROR(__xludf.DUMMYFUNCTION("""COMPUTED_VALUE"""),"20SDSCE01075")</f>
        <v>20SDSCE01075</v>
      </c>
      <c r="D1143" s="73">
        <f ca="1">IFERROR(__xludf.DUMMYFUNCTION("""COMPUTED_VALUE"""),44572)</f>
        <v>44572</v>
      </c>
      <c r="E1143" s="74">
        <f ca="1">IFERROR(__xludf.DUMMYFUNCTION("""COMPUTED_VALUE"""),10000)</f>
        <v>10000</v>
      </c>
      <c r="F1143" s="72"/>
      <c r="G1143" s="75"/>
      <c r="H1143" s="59" t="str">
        <f ca="1">IFERROR(__xludf.DUMMYFUNCTION("""COMPUTED_VALUE"""),"UPDATE")</f>
        <v>UPDATE</v>
      </c>
      <c r="I1143" s="76" t="str">
        <f ca="1">IFERROR(__xludf.DUMMYFUNCTION("""COMPUTED_VALUE"""),"https://drive.google.com/open?id=1kAhIUzMyNlj9a29HzaBIhSX-c3d4ytP1")</f>
        <v>https://drive.google.com/open?id=1kAhIUzMyNlj9a29HzaBIhSX-c3d4ytP1</v>
      </c>
      <c r="J1143" s="59"/>
      <c r="K1143" s="59"/>
      <c r="L1143" s="59"/>
      <c r="M1143" s="59"/>
      <c r="N1143" s="59"/>
      <c r="O1143" s="59"/>
      <c r="P1143" s="59"/>
    </row>
    <row r="1144" spans="1:16">
      <c r="A1144" s="71">
        <f ca="1">IFERROR(__xludf.DUMMYFUNCTION("""COMPUTED_VALUE"""),44732.3692806134)</f>
        <v>44732.369280613399</v>
      </c>
      <c r="B1144" s="59" t="str">
        <f ca="1">IFERROR(__xludf.DUMMYFUNCTION("""COMPUTED_VALUE"""),"Himanshu Pansuriya")</f>
        <v>Himanshu Pansuriya</v>
      </c>
      <c r="C1144" s="72" t="str">
        <f ca="1">IFERROR(__xludf.DUMMYFUNCTION("""COMPUTED_VALUE"""),"20SDSCE01075")</f>
        <v>20SDSCE01075</v>
      </c>
      <c r="D1144" s="73">
        <f ca="1">IFERROR(__xludf.DUMMYFUNCTION("""COMPUTED_VALUE"""),44571)</f>
        <v>44571</v>
      </c>
      <c r="E1144" s="72"/>
      <c r="F1144" s="72">
        <f ca="1">IFERROR(__xludf.DUMMYFUNCTION("""COMPUTED_VALUE"""),2500)</f>
        <v>2500</v>
      </c>
      <c r="G1144" s="75"/>
      <c r="H1144" s="59" t="str">
        <f ca="1">IFERROR(__xludf.DUMMYFUNCTION("""COMPUTED_VALUE"""),"UPDATE")</f>
        <v>UPDATE</v>
      </c>
      <c r="I1144" s="76" t="str">
        <f ca="1">IFERROR(__xludf.DUMMYFUNCTION("""COMPUTED_VALUE"""),"https://drive.google.com/open?id=1OUfthL2ZZk05POYY6owZHpg_rlPLLQiX")</f>
        <v>https://drive.google.com/open?id=1OUfthL2ZZk05POYY6owZHpg_rlPLLQiX</v>
      </c>
      <c r="J1144" s="59"/>
      <c r="K1144" s="59"/>
      <c r="L1144" s="59"/>
      <c r="M1144" s="59"/>
      <c r="N1144" s="59"/>
      <c r="O1144" s="59"/>
      <c r="P1144" s="59"/>
    </row>
    <row r="1145" spans="1:16">
      <c r="A1145" s="71">
        <f ca="1">IFERROR(__xludf.DUMMYFUNCTION("""COMPUTED_VALUE"""),44732.3681558912)</f>
        <v>44732.368155891199</v>
      </c>
      <c r="B1145" s="59" t="str">
        <f ca="1">IFERROR(__xludf.DUMMYFUNCTION("""COMPUTED_VALUE"""),"Himanshu Pansuriya")</f>
        <v>Himanshu Pansuriya</v>
      </c>
      <c r="C1145" s="72" t="str">
        <f ca="1">IFERROR(__xludf.DUMMYFUNCTION("""COMPUTED_VALUE"""),"20SDSCE01075")</f>
        <v>20SDSCE01075</v>
      </c>
      <c r="D1145" s="73">
        <f ca="1">IFERROR(__xludf.DUMMYFUNCTION("""COMPUTED_VALUE"""),44571)</f>
        <v>44571</v>
      </c>
      <c r="E1145" s="74">
        <f ca="1">IFERROR(__xludf.DUMMYFUNCTION("""COMPUTED_VALUE"""),2500)</f>
        <v>2500</v>
      </c>
      <c r="F1145" s="72"/>
      <c r="G1145" s="75"/>
      <c r="H1145" s="59" t="str">
        <f ca="1">IFERROR(__xludf.DUMMYFUNCTION("""COMPUTED_VALUE"""),"UPDATE")</f>
        <v>UPDATE</v>
      </c>
      <c r="I1145" s="76" t="str">
        <f ca="1">IFERROR(__xludf.DUMMYFUNCTION("""COMPUTED_VALUE"""),"https://drive.google.com/open?id=1Yp6cntn1eEEoCRGlwzm6iGgX3-Nzx3QF")</f>
        <v>https://drive.google.com/open?id=1Yp6cntn1eEEoCRGlwzm6iGgX3-Nzx3QF</v>
      </c>
      <c r="J1145" s="59"/>
      <c r="K1145" s="59"/>
      <c r="L1145" s="59"/>
      <c r="M1145" s="59"/>
      <c r="N1145" s="59"/>
      <c r="O1145" s="59"/>
      <c r="P1145" s="59"/>
    </row>
    <row r="1146" spans="1:16">
      <c r="A1146" s="71">
        <f ca="1">IFERROR(__xludf.DUMMYFUNCTION("""COMPUTED_VALUE"""),44732.3649614351)</f>
        <v>44732.364961435102</v>
      </c>
      <c r="B1146" s="59" t="str">
        <f ca="1">IFERROR(__xludf.DUMMYFUNCTION("""COMPUTED_VALUE"""),"Vaghamshi sumit prafulbhai ")</f>
        <v xml:space="preserve">Vaghamshi sumit prafulbhai </v>
      </c>
      <c r="C1146" s="72" t="str">
        <f ca="1">IFERROR(__xludf.DUMMYFUNCTION("""COMPUTED_VALUE"""),"20SDSCE01127")</f>
        <v>20SDSCE01127</v>
      </c>
      <c r="D1146" s="73">
        <f ca="1">IFERROR(__xludf.DUMMYFUNCTION("""COMPUTED_VALUE"""),44640)</f>
        <v>44640</v>
      </c>
      <c r="E1146" s="72"/>
      <c r="F1146" s="72">
        <f ca="1">IFERROR(__xludf.DUMMYFUNCTION("""COMPUTED_VALUE"""),1000)</f>
        <v>1000</v>
      </c>
      <c r="G1146" s="75"/>
      <c r="H1146" s="59" t="str">
        <f ca="1">IFERROR(__xludf.DUMMYFUNCTION("""COMPUTED_VALUE"""),"UPDATE")</f>
        <v>UPDATE</v>
      </c>
      <c r="I1146" s="76" t="str">
        <f ca="1">IFERROR(__xludf.DUMMYFUNCTION("""COMPUTED_VALUE"""),"https://drive.google.com/open?id=1lgBB2csoZmQZfE662sAH4do0MsQNansc")</f>
        <v>https://drive.google.com/open?id=1lgBB2csoZmQZfE662sAH4do0MsQNansc</v>
      </c>
      <c r="J1146" s="59"/>
      <c r="K1146" s="59"/>
      <c r="L1146" s="59"/>
      <c r="M1146" s="59"/>
      <c r="N1146" s="59"/>
      <c r="O1146" s="59"/>
      <c r="P1146" s="59"/>
    </row>
    <row r="1147" spans="1:16">
      <c r="A1147" s="71">
        <f ca="1">IFERROR(__xludf.DUMMYFUNCTION("""COMPUTED_VALUE"""),44732.3637130787)</f>
        <v>44732.363713078703</v>
      </c>
      <c r="B1147" s="59" t="str">
        <f ca="1">IFERROR(__xludf.DUMMYFUNCTION("""COMPUTED_VALUE"""),"Vaghamshi sumit prafulbhai")</f>
        <v>Vaghamshi sumit prafulbhai</v>
      </c>
      <c r="C1147" s="72" t="str">
        <f ca="1">IFERROR(__xludf.DUMMYFUNCTION("""COMPUTED_VALUE"""),"20SDSCE01127")</f>
        <v>20SDSCE01127</v>
      </c>
      <c r="D1147" s="73">
        <f ca="1">IFERROR(__xludf.DUMMYFUNCTION("""COMPUTED_VALUE"""),44640)</f>
        <v>44640</v>
      </c>
      <c r="E1147" s="72"/>
      <c r="F1147" s="72">
        <f ca="1">IFERROR(__xludf.DUMMYFUNCTION("""COMPUTED_VALUE"""),2500)</f>
        <v>2500</v>
      </c>
      <c r="G1147" s="75"/>
      <c r="H1147" s="59" t="str">
        <f ca="1">IFERROR(__xludf.DUMMYFUNCTION("""COMPUTED_VALUE"""),"UPDATE")</f>
        <v>UPDATE</v>
      </c>
      <c r="I1147" s="76" t="str">
        <f ca="1">IFERROR(__xludf.DUMMYFUNCTION("""COMPUTED_VALUE"""),"https://drive.google.com/open?id=1yxloaYKn3cN7Jvh7q7OVinPeHpKgun9S")</f>
        <v>https://drive.google.com/open?id=1yxloaYKn3cN7Jvh7q7OVinPeHpKgun9S</v>
      </c>
      <c r="J1147" s="59"/>
      <c r="K1147" s="59"/>
      <c r="L1147" s="59"/>
      <c r="M1147" s="59"/>
      <c r="N1147" s="59"/>
      <c r="O1147" s="59"/>
      <c r="P1147" s="59"/>
    </row>
    <row r="1148" spans="1:16">
      <c r="A1148" s="71">
        <f ca="1">IFERROR(__xludf.DUMMYFUNCTION("""COMPUTED_VALUE"""),44731.9526647106)</f>
        <v>44731.952664710603</v>
      </c>
      <c r="B1148" s="59" t="str">
        <f ca="1">IFERROR(__xludf.DUMMYFUNCTION("""COMPUTED_VALUE"""),"Dharmik gadhiya")</f>
        <v>Dharmik gadhiya</v>
      </c>
      <c r="C1148" s="72" t="str">
        <f ca="1">IFERROR(__xludf.DUMMYFUNCTION("""COMPUTED_VALUE"""),"20SDSCE01033")</f>
        <v>20SDSCE01033</v>
      </c>
      <c r="D1148" s="73">
        <f ca="1">IFERROR(__xludf.DUMMYFUNCTION("""COMPUTED_VALUE"""),44731)</f>
        <v>44731</v>
      </c>
      <c r="E1148" s="72"/>
      <c r="F1148" s="72">
        <f ca="1">IFERROR(__xludf.DUMMYFUNCTION("""COMPUTED_VALUE"""),2500)</f>
        <v>2500</v>
      </c>
      <c r="G1148" s="75"/>
      <c r="H1148" s="59" t="str">
        <f ca="1">IFERROR(__xludf.DUMMYFUNCTION("""COMPUTED_VALUE"""),"UPDATE")</f>
        <v>UPDATE</v>
      </c>
      <c r="I1148" s="76" t="str">
        <f ca="1">IFERROR(__xludf.DUMMYFUNCTION("""COMPUTED_VALUE"""),"https://drive.google.com/open?id=1WkAbDRQeo46KrDtC9aCK-cHuCM_owRQd")</f>
        <v>https://drive.google.com/open?id=1WkAbDRQeo46KrDtC9aCK-cHuCM_owRQd</v>
      </c>
      <c r="J1148" s="59"/>
      <c r="K1148" s="59"/>
      <c r="L1148" s="59"/>
      <c r="M1148" s="59"/>
      <c r="N1148" s="59"/>
      <c r="O1148" s="59"/>
      <c r="P1148" s="59"/>
    </row>
    <row r="1149" spans="1:16">
      <c r="A1149" s="71">
        <f ca="1">IFERROR(__xludf.DUMMYFUNCTION("""COMPUTED_VALUE"""),44731.9515578819)</f>
        <v>44731.951557881897</v>
      </c>
      <c r="B1149" s="59" t="str">
        <f ca="1">IFERROR(__xludf.DUMMYFUNCTION("""COMPUTED_VALUE"""),"Heet kanabar")</f>
        <v>Heet kanabar</v>
      </c>
      <c r="C1149" s="72" t="str">
        <f ca="1">IFERROR(__xludf.DUMMYFUNCTION("""COMPUTED_VALUE"""),"20SDSCE01049")</f>
        <v>20SDSCE01049</v>
      </c>
      <c r="D1149" s="73">
        <f ca="1">IFERROR(__xludf.DUMMYFUNCTION("""COMPUTED_VALUE"""),44731)</f>
        <v>44731</v>
      </c>
      <c r="E1149" s="72"/>
      <c r="F1149" s="72">
        <f ca="1">IFERROR(__xludf.DUMMYFUNCTION("""COMPUTED_VALUE"""),2500)</f>
        <v>2500</v>
      </c>
      <c r="G1149" s="75"/>
      <c r="H1149" s="59" t="str">
        <f ca="1">IFERROR(__xludf.DUMMYFUNCTION("""COMPUTED_VALUE"""),"UPDATE")</f>
        <v>UPDATE</v>
      </c>
      <c r="I1149" s="76" t="str">
        <f ca="1">IFERROR(__xludf.DUMMYFUNCTION("""COMPUTED_VALUE"""),"https://drive.google.com/open?id=1pCu1xwZHmDSrbIgdNMFSm0R9h7n78oKV")</f>
        <v>https://drive.google.com/open?id=1pCu1xwZHmDSrbIgdNMFSm0R9h7n78oKV</v>
      </c>
      <c r="J1149" s="59"/>
      <c r="K1149" s="59"/>
      <c r="L1149" s="59"/>
      <c r="M1149" s="59"/>
      <c r="N1149" s="59"/>
      <c r="O1149" s="59"/>
      <c r="P1149" s="59"/>
    </row>
    <row r="1150" spans="1:16">
      <c r="A1150" s="71">
        <f ca="1">IFERROR(__xludf.DUMMYFUNCTION("""COMPUTED_VALUE"""),44731.9504476041)</f>
        <v>44731.950447604097</v>
      </c>
      <c r="B1150" s="59" t="str">
        <f ca="1">IFERROR(__xludf.DUMMYFUNCTION("""COMPUTED_VALUE"""),"Heet kanabar")</f>
        <v>Heet kanabar</v>
      </c>
      <c r="C1150" s="72" t="str">
        <f ca="1">IFERROR(__xludf.DUMMYFUNCTION("""COMPUTED_VALUE"""),"20SDSCE01049")</f>
        <v>20SDSCE01049</v>
      </c>
      <c r="D1150" s="73">
        <f ca="1">IFERROR(__xludf.DUMMYFUNCTION("""COMPUTED_VALUE"""),44731)</f>
        <v>44731</v>
      </c>
      <c r="E1150" s="74">
        <f ca="1">IFERROR(__xludf.DUMMYFUNCTION("""COMPUTED_VALUE"""),12500)</f>
        <v>12500</v>
      </c>
      <c r="F1150" s="72"/>
      <c r="G1150" s="75"/>
      <c r="H1150" s="59" t="str">
        <f ca="1">IFERROR(__xludf.DUMMYFUNCTION("""COMPUTED_VALUE"""),"UPDATE")</f>
        <v>UPDATE</v>
      </c>
      <c r="I1150" s="76" t="str">
        <f ca="1">IFERROR(__xludf.DUMMYFUNCTION("""COMPUTED_VALUE"""),"https://drive.google.com/open?id=1t6T7Vn--9jiGwFRs0DsnqwLdI0gLShJS")</f>
        <v>https://drive.google.com/open?id=1t6T7Vn--9jiGwFRs0DsnqwLdI0gLShJS</v>
      </c>
      <c r="J1150" s="59"/>
      <c r="K1150" s="59"/>
      <c r="L1150" s="59"/>
      <c r="M1150" s="59"/>
      <c r="N1150" s="59"/>
      <c r="O1150" s="59"/>
      <c r="P1150" s="59"/>
    </row>
    <row r="1151" spans="1:16">
      <c r="A1151" s="71">
        <f ca="1">IFERROR(__xludf.DUMMYFUNCTION("""COMPUTED_VALUE"""),44731.9342459838)</f>
        <v>44731.934245983801</v>
      </c>
      <c r="B1151" s="59" t="str">
        <f ca="1">IFERROR(__xludf.DUMMYFUNCTION("""COMPUTED_VALUE"""),"VAGHASIA BHARGISH HARESHBHAI")</f>
        <v>VAGHASIA BHARGISH HARESHBHAI</v>
      </c>
      <c r="C1151" s="72" t="str">
        <f ca="1">IFERROR(__xludf.DUMMYFUNCTION("""COMPUTED_VALUE"""),"20SDSCV01013")</f>
        <v>20SDSCV01013</v>
      </c>
      <c r="D1151" s="73">
        <f ca="1">IFERROR(__xludf.DUMMYFUNCTION("""COMPUTED_VALUE"""),44731)</f>
        <v>44731</v>
      </c>
      <c r="E1151" s="74">
        <f ca="1">IFERROR(__xludf.DUMMYFUNCTION("""COMPUTED_VALUE"""),12500)</f>
        <v>12500</v>
      </c>
      <c r="F1151" s="72">
        <f ca="1">IFERROR(__xludf.DUMMYFUNCTION("""COMPUTED_VALUE"""),2500)</f>
        <v>2500</v>
      </c>
      <c r="G1151" s="75"/>
      <c r="H1151" s="59" t="str">
        <f ca="1">IFERROR(__xludf.DUMMYFUNCTION("""COMPUTED_VALUE"""),"UPDATE")</f>
        <v>UPDATE</v>
      </c>
      <c r="I1151" s="76" t="str">
        <f ca="1">IFERROR(__xludf.DUMMYFUNCTION("""COMPUTED_VALUE"""),"https://drive.google.com/open?id=1953t4sZfpp3CagVnrOjIKsZXtVZVQX6a")</f>
        <v>https://drive.google.com/open?id=1953t4sZfpp3CagVnrOjIKsZXtVZVQX6a</v>
      </c>
      <c r="J1151" s="59"/>
      <c r="K1151" s="59"/>
      <c r="L1151" s="59"/>
      <c r="M1151" s="59"/>
      <c r="N1151" s="59"/>
      <c r="O1151" s="59"/>
      <c r="P1151" s="59"/>
    </row>
    <row r="1152" spans="1:16">
      <c r="A1152" s="71">
        <f ca="1">IFERROR(__xludf.DUMMYFUNCTION("""COMPUTED_VALUE"""),44731.9334865046)</f>
        <v>44731.933486504597</v>
      </c>
      <c r="B1152" s="59" t="str">
        <f ca="1">IFERROR(__xludf.DUMMYFUNCTION("""COMPUTED_VALUE"""),"VAGHASIA BHARGISH HARESHBHAI")</f>
        <v>VAGHASIA BHARGISH HARESHBHAI</v>
      </c>
      <c r="C1152" s="72" t="str">
        <f ca="1">IFERROR(__xludf.DUMMYFUNCTION("""COMPUTED_VALUE"""),"20SDSCV01013")</f>
        <v>20SDSCV01013</v>
      </c>
      <c r="D1152" s="73">
        <f ca="1">IFERROR(__xludf.DUMMYFUNCTION("""COMPUTED_VALUE"""),44731)</f>
        <v>44731</v>
      </c>
      <c r="E1152" s="74">
        <f ca="1">IFERROR(__xludf.DUMMYFUNCTION("""COMPUTED_VALUE"""),12500)</f>
        <v>12500</v>
      </c>
      <c r="F1152" s="72">
        <f ca="1">IFERROR(__xludf.DUMMYFUNCTION("""COMPUTED_VALUE"""),2500)</f>
        <v>2500</v>
      </c>
      <c r="G1152" s="75"/>
      <c r="H1152" s="59" t="str">
        <f ca="1">IFERROR(__xludf.DUMMYFUNCTION("""COMPUTED_VALUE"""),"UPDATE")</f>
        <v>UPDATE</v>
      </c>
      <c r="I1152" s="76" t="str">
        <f ca="1">IFERROR(__xludf.DUMMYFUNCTION("""COMPUTED_VALUE"""),"https://drive.google.com/open?id=1J526Z9Me6SvJxUnNHPJHathyfVNXTkVn")</f>
        <v>https://drive.google.com/open?id=1J526Z9Me6SvJxUnNHPJHathyfVNXTkVn</v>
      </c>
      <c r="J1152" s="59"/>
      <c r="K1152" s="59"/>
      <c r="L1152" s="59"/>
      <c r="M1152" s="59"/>
      <c r="N1152" s="59"/>
      <c r="O1152" s="59"/>
      <c r="P1152" s="59"/>
    </row>
    <row r="1153" spans="1:16">
      <c r="A1153" s="71">
        <f ca="1">IFERROR(__xludf.DUMMYFUNCTION("""COMPUTED_VALUE"""),44730.6494443055)</f>
        <v>44730.649444305498</v>
      </c>
      <c r="B1153" s="59" t="str">
        <f ca="1">IFERROR(__xludf.DUMMYFUNCTION("""COMPUTED_VALUE"""),"Asodariya keyur Hareshbhai")</f>
        <v>Asodariya keyur Hareshbhai</v>
      </c>
      <c r="C1153" s="72" t="str">
        <f ca="1">IFERROR(__xludf.DUMMYFUNCTION("""COMPUTED_VALUE"""),"20SDSEE01003")</f>
        <v>20SDSEE01003</v>
      </c>
      <c r="D1153" s="73">
        <f ca="1">IFERROR(__xludf.DUMMYFUNCTION("""COMPUTED_VALUE"""),44728)</f>
        <v>44728</v>
      </c>
      <c r="E1153" s="72"/>
      <c r="F1153" s="72">
        <f ca="1">IFERROR(__xludf.DUMMYFUNCTION("""COMPUTED_VALUE"""),2500)</f>
        <v>2500</v>
      </c>
      <c r="G1153" s="75"/>
      <c r="H1153" s="59" t="str">
        <f ca="1">IFERROR(__xludf.DUMMYFUNCTION("""COMPUTED_VALUE"""),"UPDATE")</f>
        <v>UPDATE</v>
      </c>
      <c r="I1153" s="76" t="str">
        <f ca="1">IFERROR(__xludf.DUMMYFUNCTION("""COMPUTED_VALUE"""),"https://drive.google.com/open?id=1c8zg4Rn4BrEBAQbABMfYKguAHPjXUTGQ")</f>
        <v>https://drive.google.com/open?id=1c8zg4Rn4BrEBAQbABMfYKguAHPjXUTGQ</v>
      </c>
      <c r="J1153" s="59"/>
      <c r="K1153" s="59"/>
      <c r="L1153" s="59"/>
      <c r="M1153" s="59"/>
      <c r="N1153" s="59"/>
      <c r="O1153" s="59"/>
      <c r="P1153" s="59"/>
    </row>
    <row r="1154" spans="1:16">
      <c r="A1154" s="71">
        <f ca="1">IFERROR(__xludf.DUMMYFUNCTION("""COMPUTED_VALUE"""),44730.6476498148)</f>
        <v>44730.647649814797</v>
      </c>
      <c r="B1154" s="59" t="str">
        <f ca="1">IFERROR(__xludf.DUMMYFUNCTION("""COMPUTED_VALUE"""),"Asodariya keyur hareshbhai")</f>
        <v>Asodariya keyur hareshbhai</v>
      </c>
      <c r="C1154" s="72" t="str">
        <f ca="1">IFERROR(__xludf.DUMMYFUNCTION("""COMPUTED_VALUE"""),"20SDSEE01003")</f>
        <v>20SDSEE01003</v>
      </c>
      <c r="D1154" s="73">
        <f ca="1">IFERROR(__xludf.DUMMYFUNCTION("""COMPUTED_VALUE"""),44728)</f>
        <v>44728</v>
      </c>
      <c r="E1154" s="74">
        <f ca="1">IFERROR(__xludf.DUMMYFUNCTION("""COMPUTED_VALUE"""),12500)</f>
        <v>12500</v>
      </c>
      <c r="F1154" s="72"/>
      <c r="G1154" s="75"/>
      <c r="H1154" s="59" t="str">
        <f ca="1">IFERROR(__xludf.DUMMYFUNCTION("""COMPUTED_VALUE"""),"UPDATE")</f>
        <v>UPDATE</v>
      </c>
      <c r="I1154" s="76" t="str">
        <f ca="1">IFERROR(__xludf.DUMMYFUNCTION("""COMPUTED_VALUE"""),"https://drive.google.com/open?id=1c0WrbsDdmTrOzoF4TtYegcsnK4Ry2SoU")</f>
        <v>https://drive.google.com/open?id=1c0WrbsDdmTrOzoF4TtYegcsnK4Ry2SoU</v>
      </c>
      <c r="J1154" s="59"/>
      <c r="K1154" s="59"/>
      <c r="L1154" s="59"/>
      <c r="M1154" s="59"/>
      <c r="N1154" s="59"/>
      <c r="O1154" s="59"/>
      <c r="P1154" s="59"/>
    </row>
    <row r="1155" spans="1:16">
      <c r="A1155" s="71">
        <f ca="1">IFERROR(__xludf.DUMMYFUNCTION("""COMPUTED_VALUE"""),44730.4505968634)</f>
        <v>44730.450596863397</v>
      </c>
      <c r="B1155" s="59" t="str">
        <f ca="1">IFERROR(__xludf.DUMMYFUNCTION("""COMPUTED_VALUE"""),"Bhatvasiya vivek ashokbhai")</f>
        <v>Bhatvasiya vivek ashokbhai</v>
      </c>
      <c r="C1155" s="72" t="str">
        <f ca="1">IFERROR(__xludf.DUMMYFUNCTION("""COMPUTED_VALUE"""),"20sdsme01003")</f>
        <v>20sdsme01003</v>
      </c>
      <c r="D1155" s="73">
        <f ca="1">IFERROR(__xludf.DUMMYFUNCTION("""COMPUTED_VALUE"""),44730)</f>
        <v>44730</v>
      </c>
      <c r="E1155" s="74">
        <f ca="1">IFERROR(__xludf.DUMMYFUNCTION("""COMPUTED_VALUE"""),12500)</f>
        <v>12500</v>
      </c>
      <c r="F1155" s="72">
        <f ca="1">IFERROR(__xludf.DUMMYFUNCTION("""COMPUTED_VALUE"""),2500)</f>
        <v>2500</v>
      </c>
      <c r="G1155" s="75"/>
      <c r="H1155" s="59" t="str">
        <f ca="1">IFERROR(__xludf.DUMMYFUNCTION("""COMPUTED_VALUE"""),"UPDATE")</f>
        <v>UPDATE</v>
      </c>
      <c r="I1155" s="76" t="str">
        <f ca="1">IFERROR(__xludf.DUMMYFUNCTION("""COMPUTED_VALUE"""),"https://drive.google.com/open?id=1OFRmI2qQqt9AjwAXSCSP-3-czcwwyz2l")</f>
        <v>https://drive.google.com/open?id=1OFRmI2qQqt9AjwAXSCSP-3-czcwwyz2l</v>
      </c>
      <c r="J1155" s="59"/>
      <c r="K1155" s="59"/>
      <c r="L1155" s="59"/>
      <c r="M1155" s="59"/>
      <c r="N1155" s="59"/>
      <c r="O1155" s="59"/>
      <c r="P1155" s="59"/>
    </row>
    <row r="1156" spans="1:16">
      <c r="A1156" s="71">
        <f ca="1">IFERROR(__xludf.DUMMYFUNCTION("""COMPUTED_VALUE"""),44729.8841536689)</f>
        <v>44729.8841536689</v>
      </c>
      <c r="B1156" s="59" t="str">
        <f ca="1">IFERROR(__xludf.DUMMYFUNCTION("""COMPUTED_VALUE"""),"Dhaduk Sarthak Sanjaybhai")</f>
        <v>Dhaduk Sarthak Sanjaybhai</v>
      </c>
      <c r="C1156" s="72" t="str">
        <f ca="1">IFERROR(__xludf.DUMMYFUNCTION("""COMPUTED_VALUE"""),"20SDSCE01027")</f>
        <v>20SDSCE01027</v>
      </c>
      <c r="D1156" s="73">
        <f ca="1">IFERROR(__xludf.DUMMYFUNCTION("""COMPUTED_VALUE"""),44729)</f>
        <v>44729</v>
      </c>
      <c r="E1156" s="74">
        <f ca="1">IFERROR(__xludf.DUMMYFUNCTION("""COMPUTED_VALUE"""),0)</f>
        <v>0</v>
      </c>
      <c r="F1156" s="72">
        <f ca="1">IFERROR(__xludf.DUMMYFUNCTION("""COMPUTED_VALUE"""),2500)</f>
        <v>2500</v>
      </c>
      <c r="G1156" s="75"/>
      <c r="H1156" s="59" t="str">
        <f ca="1">IFERROR(__xludf.DUMMYFUNCTION("""COMPUTED_VALUE"""),"UPDATE")</f>
        <v>UPDATE</v>
      </c>
      <c r="I1156" s="76" t="str">
        <f ca="1">IFERROR(__xludf.DUMMYFUNCTION("""COMPUTED_VALUE"""),"https://drive.google.com/open?id=1QpSHxnegLx_EiH4jnVZwgg0XLBh8KwgW")</f>
        <v>https://drive.google.com/open?id=1QpSHxnegLx_EiH4jnVZwgg0XLBh8KwgW</v>
      </c>
      <c r="J1156" s="59"/>
      <c r="K1156" s="59"/>
      <c r="L1156" s="59"/>
      <c r="M1156" s="59"/>
      <c r="N1156" s="59"/>
      <c r="O1156" s="59"/>
      <c r="P1156" s="59"/>
    </row>
    <row r="1157" spans="1:16">
      <c r="A1157" s="71">
        <f ca="1">IFERROR(__xludf.DUMMYFUNCTION("""COMPUTED_VALUE"""),44729.8809487037)</f>
        <v>44729.8809487037</v>
      </c>
      <c r="B1157" s="59" t="str">
        <f ca="1">IFERROR(__xludf.DUMMYFUNCTION("""COMPUTED_VALUE"""),"Dhaduk Sarthak Sanjaybhai")</f>
        <v>Dhaduk Sarthak Sanjaybhai</v>
      </c>
      <c r="C1157" s="72" t="str">
        <f ca="1">IFERROR(__xludf.DUMMYFUNCTION("""COMPUTED_VALUE"""),"20sdsce01027")</f>
        <v>20sdsce01027</v>
      </c>
      <c r="D1157" s="73">
        <f ca="1">IFERROR(__xludf.DUMMYFUNCTION("""COMPUTED_VALUE"""),44729)</f>
        <v>44729</v>
      </c>
      <c r="E1157" s="74">
        <f ca="1">IFERROR(__xludf.DUMMYFUNCTION("""COMPUTED_VALUE"""),12500)</f>
        <v>12500</v>
      </c>
      <c r="F1157" s="72">
        <f ca="1">IFERROR(__xludf.DUMMYFUNCTION("""COMPUTED_VALUE"""),0)</f>
        <v>0</v>
      </c>
      <c r="G1157" s="75"/>
      <c r="H1157" s="59" t="str">
        <f ca="1">IFERROR(__xludf.DUMMYFUNCTION("""COMPUTED_VALUE"""),"UPDATE")</f>
        <v>UPDATE</v>
      </c>
      <c r="I1157" s="76" t="str">
        <f ca="1">IFERROR(__xludf.DUMMYFUNCTION("""COMPUTED_VALUE"""),"https://drive.google.com/open?id=1_menBsJeenkr44wfwbMMTBAXh6dE8-bH")</f>
        <v>https://drive.google.com/open?id=1_menBsJeenkr44wfwbMMTBAXh6dE8-bH</v>
      </c>
      <c r="J1157" s="59"/>
      <c r="K1157" s="59"/>
      <c r="L1157" s="59"/>
      <c r="M1157" s="59"/>
      <c r="N1157" s="59"/>
      <c r="O1157" s="59"/>
      <c r="P1157" s="59"/>
    </row>
    <row r="1158" spans="1:16">
      <c r="A1158" s="71">
        <f ca="1">IFERROR(__xludf.DUMMYFUNCTION("""COMPUTED_VALUE"""),44729.8778767592)</f>
        <v>44729.877876759201</v>
      </c>
      <c r="B1158" s="59" t="str">
        <f ca="1">IFERROR(__xludf.DUMMYFUNCTION("""COMPUTED_VALUE"""),"Dhaduk Sarthak Sanjaybhai")</f>
        <v>Dhaduk Sarthak Sanjaybhai</v>
      </c>
      <c r="C1158" s="72" t="str">
        <f ca="1">IFERROR(__xludf.DUMMYFUNCTION("""COMPUTED_VALUE"""),"20sdsce01027")</f>
        <v>20sdsce01027</v>
      </c>
      <c r="D1158" s="73">
        <f ca="1">IFERROR(__xludf.DUMMYFUNCTION("""COMPUTED_VALUE"""),44729)</f>
        <v>44729</v>
      </c>
      <c r="E1158" s="74">
        <f ca="1">IFERROR(__xludf.DUMMYFUNCTION("""COMPUTED_VALUE"""),0)</f>
        <v>0</v>
      </c>
      <c r="F1158" s="72">
        <f ca="1">IFERROR(__xludf.DUMMYFUNCTION("""COMPUTED_VALUE"""),0)</f>
        <v>0</v>
      </c>
      <c r="G1158" s="75"/>
      <c r="H1158" s="59" t="str">
        <f ca="1">IFERROR(__xludf.DUMMYFUNCTION("""COMPUTED_VALUE"""),"UPDATE")</f>
        <v>UPDATE</v>
      </c>
      <c r="I1158" s="76" t="str">
        <f ca="1">IFERROR(__xludf.DUMMYFUNCTION("""COMPUTED_VALUE"""),"https://drive.google.com/open?id=1Mn3VDdWy7yPJe1lfJG07n5PkMCbnt-mq")</f>
        <v>https://drive.google.com/open?id=1Mn3VDdWy7yPJe1lfJG07n5PkMCbnt-mq</v>
      </c>
      <c r="J1158" s="59"/>
      <c r="K1158" s="59"/>
      <c r="L1158" s="59"/>
      <c r="M1158" s="59"/>
      <c r="N1158" s="59"/>
      <c r="O1158" s="59"/>
      <c r="P1158" s="59"/>
    </row>
    <row r="1159" spans="1:16">
      <c r="A1159" s="71">
        <f ca="1">IFERROR(__xludf.DUMMYFUNCTION("""COMPUTED_VALUE"""),44729.8237882523)</f>
        <v>44729.823788252303</v>
      </c>
      <c r="B1159" s="59" t="str">
        <f ca="1">IFERROR(__xludf.DUMMYFUNCTION("""COMPUTED_VALUE"""),"Tilwani dhaval")</f>
        <v>Tilwani dhaval</v>
      </c>
      <c r="C1159" s="72" t="str">
        <f ca="1">IFERROR(__xludf.DUMMYFUNCTION("""COMPUTED_VALUE"""),"20sdsme01038")</f>
        <v>20sdsme01038</v>
      </c>
      <c r="D1159" s="73">
        <f ca="1">IFERROR(__xludf.DUMMYFUNCTION("""COMPUTED_VALUE"""),44729)</f>
        <v>44729</v>
      </c>
      <c r="E1159" s="72"/>
      <c r="F1159" s="72">
        <f ca="1">IFERROR(__xludf.DUMMYFUNCTION("""COMPUTED_VALUE"""),2500)</f>
        <v>2500</v>
      </c>
      <c r="G1159" s="75"/>
      <c r="H1159" s="59" t="str">
        <f ca="1">IFERROR(__xludf.DUMMYFUNCTION("""COMPUTED_VALUE"""),"UPDATE")</f>
        <v>UPDATE</v>
      </c>
      <c r="I1159" s="76" t="str">
        <f ca="1">IFERROR(__xludf.DUMMYFUNCTION("""COMPUTED_VALUE"""),"https://drive.google.com/open?id=1eQfNLoEgRk10uolfzV280v50F1FqwurW")</f>
        <v>https://drive.google.com/open?id=1eQfNLoEgRk10uolfzV280v50F1FqwurW</v>
      </c>
      <c r="J1159" s="59"/>
      <c r="K1159" s="59"/>
      <c r="L1159" s="59"/>
      <c r="M1159" s="59"/>
      <c r="N1159" s="59"/>
      <c r="O1159" s="59"/>
      <c r="P1159" s="59"/>
    </row>
    <row r="1160" spans="1:16">
      <c r="A1160" s="71">
        <f ca="1">IFERROR(__xludf.DUMMYFUNCTION("""COMPUTED_VALUE"""),44729.6356404629)</f>
        <v>44729.635640462897</v>
      </c>
      <c r="B1160" s="59" t="str">
        <f ca="1">IFERROR(__xludf.DUMMYFUNCTION("""COMPUTED_VALUE"""),"Dabhi mayur")</f>
        <v>Dabhi mayur</v>
      </c>
      <c r="C1160" s="72" t="str">
        <f ca="1">IFERROR(__xludf.DUMMYFUNCTION("""COMPUTED_VALUE"""),"20sdsme01007")</f>
        <v>20sdsme01007</v>
      </c>
      <c r="D1160" s="73">
        <f ca="1">IFERROR(__xludf.DUMMYFUNCTION("""COMPUTED_VALUE"""),44729)</f>
        <v>44729</v>
      </c>
      <c r="E1160" s="72"/>
      <c r="F1160" s="72"/>
      <c r="G1160" s="75"/>
      <c r="H1160" s="59" t="str">
        <f ca="1">IFERROR(__xludf.DUMMYFUNCTION("""COMPUTED_VALUE"""),"UPDATE")</f>
        <v>UPDATE</v>
      </c>
      <c r="I1160" s="76" t="str">
        <f ca="1">IFERROR(__xludf.DUMMYFUNCTION("""COMPUTED_VALUE"""),"https://drive.google.com/open?id=1mQ_d4fpe-LilWjxOjVv8TqJbuNYICXJr")</f>
        <v>https://drive.google.com/open?id=1mQ_d4fpe-LilWjxOjVv8TqJbuNYICXJr</v>
      </c>
      <c r="J1160" s="59"/>
      <c r="K1160" s="59"/>
      <c r="L1160" s="59"/>
      <c r="M1160" s="59"/>
      <c r="N1160" s="59"/>
      <c r="O1160" s="59"/>
      <c r="P1160" s="59"/>
    </row>
    <row r="1161" spans="1:16">
      <c r="A1161" s="71">
        <f ca="1">IFERROR(__xludf.DUMMYFUNCTION("""COMPUTED_VALUE"""),44729.6015335416)</f>
        <v>44729.601533541601</v>
      </c>
      <c r="B1161" s="59" t="str">
        <f ca="1">IFERROR(__xludf.DUMMYFUNCTION("""COMPUTED_VALUE"""),"Om Vaghasiya")</f>
        <v>Om Vaghasiya</v>
      </c>
      <c r="C1161" s="72" t="str">
        <f ca="1">IFERROR(__xludf.DUMMYFUNCTION("""COMPUTED_VALUE"""),"21SDSCE01157")</f>
        <v>21SDSCE01157</v>
      </c>
      <c r="D1161" s="73">
        <f ca="1">IFERROR(__xludf.DUMMYFUNCTION("""COMPUTED_VALUE"""),44660)</f>
        <v>44660</v>
      </c>
      <c r="E1161" s="74">
        <f ca="1">IFERROR(__xludf.DUMMYFUNCTION("""COMPUTED_VALUE"""),0)</f>
        <v>0</v>
      </c>
      <c r="F1161" s="72">
        <f ca="1">IFERROR(__xludf.DUMMYFUNCTION("""COMPUTED_VALUE"""),2500)</f>
        <v>2500</v>
      </c>
      <c r="G1161" s="75"/>
      <c r="H1161" s="59" t="str">
        <f ca="1">IFERROR(__xludf.DUMMYFUNCTION("""COMPUTED_VALUE"""),"UPDATE")</f>
        <v>UPDATE</v>
      </c>
      <c r="I1161" s="76" t="str">
        <f ca="1">IFERROR(__xludf.DUMMYFUNCTION("""COMPUTED_VALUE"""),"https://drive.google.com/open?id=19BeIReWg_yNqEiBgyu1h90jlggtZG3Dz")</f>
        <v>https://drive.google.com/open?id=19BeIReWg_yNqEiBgyu1h90jlggtZG3Dz</v>
      </c>
      <c r="J1161" s="59"/>
      <c r="K1161" s="59"/>
      <c r="L1161" s="59"/>
      <c r="M1161" s="59"/>
      <c r="N1161" s="59"/>
      <c r="O1161" s="59"/>
      <c r="P1161" s="59"/>
    </row>
    <row r="1162" spans="1:16">
      <c r="A1162" s="71">
        <f ca="1">IFERROR(__xludf.DUMMYFUNCTION("""COMPUTED_VALUE"""),44729.5920444675)</f>
        <v>44729.592044467499</v>
      </c>
      <c r="B1162" s="59" t="str">
        <f ca="1">IFERROR(__xludf.DUMMYFUNCTION("""COMPUTED_VALUE"""),"PARMAR KELVIN BALUBHAI")</f>
        <v>PARMAR KELVIN BALUBHAI</v>
      </c>
      <c r="C1162" s="72" t="str">
        <f ca="1">IFERROR(__xludf.DUMMYFUNCTION("""COMPUTED_VALUE"""),"20SDSCE01152")</f>
        <v>20SDSCE01152</v>
      </c>
      <c r="D1162" s="73">
        <f ca="1">IFERROR(__xludf.DUMMYFUNCTION("""COMPUTED_VALUE"""),44707)</f>
        <v>44707</v>
      </c>
      <c r="E1162" s="72"/>
      <c r="F1162" s="72"/>
      <c r="G1162" s="75"/>
      <c r="H1162" s="59" t="str">
        <f ca="1">IFERROR(__xludf.DUMMYFUNCTION("""COMPUTED_VALUE"""),"UPDATE")</f>
        <v>UPDATE</v>
      </c>
      <c r="I1162" s="76" t="str">
        <f ca="1">IFERROR(__xludf.DUMMYFUNCTION("""COMPUTED_VALUE"""),"https://drive.google.com/open?id=1Gz_HS-IHHofrxE0VoJ4u6ECFRr2Sf33O")</f>
        <v>https://drive.google.com/open?id=1Gz_HS-IHHofrxE0VoJ4u6ECFRr2Sf33O</v>
      </c>
      <c r="J1162" s="59"/>
      <c r="K1162" s="59"/>
      <c r="L1162" s="59"/>
      <c r="M1162" s="59"/>
      <c r="N1162" s="59"/>
      <c r="O1162" s="59"/>
      <c r="P1162" s="59"/>
    </row>
    <row r="1163" spans="1:16">
      <c r="A1163" s="71">
        <f ca="1">IFERROR(__xludf.DUMMYFUNCTION("""COMPUTED_VALUE"""),44729.5455517013)</f>
        <v>44729.545551701303</v>
      </c>
      <c r="B1163" s="59" t="str">
        <f ca="1">IFERROR(__xludf.DUMMYFUNCTION("""COMPUTED_VALUE"""),"Hiren vaghela")</f>
        <v>Hiren vaghela</v>
      </c>
      <c r="C1163" s="72" t="str">
        <f ca="1">IFERROR(__xludf.DUMMYFUNCTION("""COMPUTED_VALUE"""),"20SDSCE01130")</f>
        <v>20SDSCE01130</v>
      </c>
      <c r="D1163" s="73">
        <f ca="1">IFERROR(__xludf.DUMMYFUNCTION("""COMPUTED_VALUE"""),44728)</f>
        <v>44728</v>
      </c>
      <c r="E1163" s="74">
        <f ca="1">IFERROR(__xludf.DUMMYFUNCTION("""COMPUTED_VALUE"""),18750)</f>
        <v>18750</v>
      </c>
      <c r="F1163" s="72">
        <f ca="1">IFERROR(__xludf.DUMMYFUNCTION("""COMPUTED_VALUE"""),2500)</f>
        <v>2500</v>
      </c>
      <c r="G1163" s="75"/>
      <c r="H1163" s="59" t="str">
        <f ca="1">IFERROR(__xludf.DUMMYFUNCTION("""COMPUTED_VALUE"""),"UPDATE")</f>
        <v>UPDATE</v>
      </c>
      <c r="I1163" s="76" t="str">
        <f ca="1">IFERROR(__xludf.DUMMYFUNCTION("""COMPUTED_VALUE"""),"https://drive.google.com/open?id=1kIwRdvsATdR84MhrzmLc3Sh-gBuqbiap")</f>
        <v>https://drive.google.com/open?id=1kIwRdvsATdR84MhrzmLc3Sh-gBuqbiap</v>
      </c>
      <c r="J1163" s="59"/>
      <c r="K1163" s="59"/>
      <c r="L1163" s="59"/>
      <c r="M1163" s="59"/>
      <c r="N1163" s="59"/>
      <c r="O1163" s="59"/>
      <c r="P1163" s="59"/>
    </row>
    <row r="1164" spans="1:16">
      <c r="A1164" s="71">
        <f ca="1">IFERROR(__xludf.DUMMYFUNCTION("""COMPUTED_VALUE"""),44729.5084338773)</f>
        <v>44729.508433877301</v>
      </c>
      <c r="B1164" s="59" t="str">
        <f ca="1">IFERROR(__xludf.DUMMYFUNCTION("""COMPUTED_VALUE"""),"Mihir C. Jungiwala")</f>
        <v>Mihir C. Jungiwala</v>
      </c>
      <c r="C1164" s="72" t="str">
        <f ca="1">IFERROR(__xludf.DUMMYFUNCTION("""COMPUTED_VALUE"""),"21SDSCE01023")</f>
        <v>21SDSCE01023</v>
      </c>
      <c r="D1164" s="73">
        <f ca="1">IFERROR(__xludf.DUMMYFUNCTION("""COMPUTED_VALUE"""),44725)</f>
        <v>44725</v>
      </c>
      <c r="E1164" s="74">
        <f ca="1">IFERROR(__xludf.DUMMYFUNCTION("""COMPUTED_VALUE"""),12500)</f>
        <v>12500</v>
      </c>
      <c r="F1164" s="72"/>
      <c r="G1164" s="75"/>
      <c r="H1164" s="59" t="str">
        <f ca="1">IFERROR(__xludf.DUMMYFUNCTION("""COMPUTED_VALUE"""),"UPDATE")</f>
        <v>UPDATE</v>
      </c>
      <c r="I1164" s="76" t="str">
        <f ca="1">IFERROR(__xludf.DUMMYFUNCTION("""COMPUTED_VALUE"""),"https://drive.google.com/open?id=1Gv4reEq9X1_oQ9cI0qhWl9Mz7G0XHxzE")</f>
        <v>https://drive.google.com/open?id=1Gv4reEq9X1_oQ9cI0qhWl9Mz7G0XHxzE</v>
      </c>
      <c r="J1164" s="59"/>
      <c r="K1164" s="59"/>
      <c r="L1164" s="59"/>
      <c r="M1164" s="59"/>
      <c r="N1164" s="59"/>
      <c r="O1164" s="59"/>
      <c r="P1164" s="59"/>
    </row>
    <row r="1165" spans="1:16">
      <c r="A1165" s="71">
        <f ca="1">IFERROR(__xludf.DUMMYFUNCTION("""COMPUTED_VALUE"""),44729.3423109606)</f>
        <v>44729.342310960601</v>
      </c>
      <c r="B1165" s="59" t="str">
        <f ca="1">IFERROR(__xludf.DUMMYFUNCTION("""COMPUTED_VALUE"""),"Prince Maheshwari ")</f>
        <v xml:space="preserve">Prince Maheshwari </v>
      </c>
      <c r="C1165" s="72" t="str">
        <f ca="1">IFERROR(__xludf.DUMMYFUNCTION("""COMPUTED_VALUE"""),"20SDSME01023")</f>
        <v>20SDSME01023</v>
      </c>
      <c r="D1165" s="73">
        <f ca="1">IFERROR(__xludf.DUMMYFUNCTION("""COMPUTED_VALUE"""),44728)</f>
        <v>44728</v>
      </c>
      <c r="E1165" s="74">
        <f ca="1">IFERROR(__xludf.DUMMYFUNCTION("""COMPUTED_VALUE"""),12500)</f>
        <v>12500</v>
      </c>
      <c r="F1165" s="72">
        <f ca="1">IFERROR(__xludf.DUMMYFUNCTION("""COMPUTED_VALUE"""),2500)</f>
        <v>2500</v>
      </c>
      <c r="G1165" s="75"/>
      <c r="H1165" s="59" t="str">
        <f ca="1">IFERROR(__xludf.DUMMYFUNCTION("""COMPUTED_VALUE"""),"UPDATE")</f>
        <v>UPDATE</v>
      </c>
      <c r="I1165" s="76" t="str">
        <f ca="1">IFERROR(__xludf.DUMMYFUNCTION("""COMPUTED_VALUE"""),"https://drive.google.com/open?id=1swNFT1oepcZ5t_4iwadxoC6im4l_-bGr")</f>
        <v>https://drive.google.com/open?id=1swNFT1oepcZ5t_4iwadxoC6im4l_-bGr</v>
      </c>
      <c r="J1165" s="59"/>
      <c r="K1165" s="59"/>
      <c r="L1165" s="59"/>
      <c r="M1165" s="59"/>
      <c r="N1165" s="59"/>
      <c r="O1165" s="59"/>
      <c r="P1165" s="59"/>
    </row>
    <row r="1166" spans="1:16">
      <c r="A1166" s="71">
        <f ca="1">IFERROR(__xludf.DUMMYFUNCTION("""COMPUTED_VALUE"""),44728.785176875)</f>
        <v>44728.785176874997</v>
      </c>
      <c r="B1166" s="59" t="str">
        <f ca="1">IFERROR(__xludf.DUMMYFUNCTION("""COMPUTED_VALUE"""),"Aniruddh Manoj Sharma")</f>
        <v>Aniruddh Manoj Sharma</v>
      </c>
      <c r="C1166" s="72" t="str">
        <f ca="1">IFERROR(__xludf.DUMMYFUNCTION("""COMPUTED_VALUE"""),"20SDSEE01025")</f>
        <v>20SDSEE01025</v>
      </c>
      <c r="D1166" s="73">
        <f ca="1">IFERROR(__xludf.DUMMYFUNCTION("""COMPUTED_VALUE"""),44728)</f>
        <v>44728</v>
      </c>
      <c r="E1166" s="74">
        <f ca="1">IFERROR(__xludf.DUMMYFUNCTION("""COMPUTED_VALUE"""),12500)</f>
        <v>12500</v>
      </c>
      <c r="F1166" s="72">
        <f ca="1">IFERROR(__xludf.DUMMYFUNCTION("""COMPUTED_VALUE"""),2500)</f>
        <v>2500</v>
      </c>
      <c r="G1166" s="75"/>
      <c r="H1166" s="59" t="str">
        <f ca="1">IFERROR(__xludf.DUMMYFUNCTION("""COMPUTED_VALUE"""),"UPDATE")</f>
        <v>UPDATE</v>
      </c>
      <c r="I1166" s="76" t="str">
        <f ca="1">IFERROR(__xludf.DUMMYFUNCTION("""COMPUTED_VALUE"""),"https://drive.google.com/open?id=1nh4I-S9jMygxYtrdFIWpv4tvpL5nG_DT")</f>
        <v>https://drive.google.com/open?id=1nh4I-S9jMygxYtrdFIWpv4tvpL5nG_DT</v>
      </c>
      <c r="J1166" s="59"/>
      <c r="K1166" s="59"/>
      <c r="L1166" s="59"/>
      <c r="M1166" s="59"/>
      <c r="N1166" s="59"/>
      <c r="O1166" s="59"/>
      <c r="P1166" s="59"/>
    </row>
    <row r="1167" spans="1:16">
      <c r="A1167" s="71">
        <f ca="1">IFERROR(__xludf.DUMMYFUNCTION("""COMPUTED_VALUE"""),44728.7766347916)</f>
        <v>44728.776634791597</v>
      </c>
      <c r="B1167" s="59" t="str">
        <f ca="1">IFERROR(__xludf.DUMMYFUNCTION("""COMPUTED_VALUE"""),"Asodariya keyur hareshbhai")</f>
        <v>Asodariya keyur hareshbhai</v>
      </c>
      <c r="C1167" s="72" t="str">
        <f ca="1">IFERROR(__xludf.DUMMYFUNCTION("""COMPUTED_VALUE"""),"20SDSEE01003")</f>
        <v>20SDSEE01003</v>
      </c>
      <c r="D1167" s="73">
        <f ca="1">IFERROR(__xludf.DUMMYFUNCTION("""COMPUTED_VALUE"""),44728)</f>
        <v>44728</v>
      </c>
      <c r="E1167" s="74">
        <f ca="1">IFERROR(__xludf.DUMMYFUNCTION("""COMPUTED_VALUE"""),12500)</f>
        <v>12500</v>
      </c>
      <c r="F1167" s="72"/>
      <c r="G1167" s="75"/>
      <c r="H1167" s="59" t="str">
        <f ca="1">IFERROR(__xludf.DUMMYFUNCTION("""COMPUTED_VALUE"""),"UPDATE")</f>
        <v>UPDATE</v>
      </c>
      <c r="I1167" s="76" t="str">
        <f ca="1">IFERROR(__xludf.DUMMYFUNCTION("""COMPUTED_VALUE"""),"https://drive.google.com/open?id=12vs8JWr_OXzz-BXfgtavxreC7IReKDpq")</f>
        <v>https://drive.google.com/open?id=12vs8JWr_OXzz-BXfgtavxreC7IReKDpq</v>
      </c>
      <c r="J1167" s="59"/>
      <c r="K1167" s="59"/>
      <c r="L1167" s="59"/>
      <c r="M1167" s="59"/>
      <c r="N1167" s="59"/>
      <c r="O1167" s="59"/>
      <c r="P1167" s="59"/>
    </row>
    <row r="1168" spans="1:16">
      <c r="A1168" s="71">
        <f ca="1">IFERROR(__xludf.DUMMYFUNCTION("""COMPUTED_VALUE"""),44728.77433978)</f>
        <v>44728.77433978</v>
      </c>
      <c r="B1168" s="59" t="str">
        <f ca="1">IFERROR(__xludf.DUMMYFUNCTION("""COMPUTED_VALUE"""),"Asodariya  keyur hareshbhai")</f>
        <v>Asodariya  keyur hareshbhai</v>
      </c>
      <c r="C1168" s="72" t="str">
        <f ca="1">IFERROR(__xludf.DUMMYFUNCTION("""COMPUTED_VALUE"""),"20SDSEE01003")</f>
        <v>20SDSEE01003</v>
      </c>
      <c r="D1168" s="73">
        <f ca="1">IFERROR(__xludf.DUMMYFUNCTION("""COMPUTED_VALUE"""),44728)</f>
        <v>44728</v>
      </c>
      <c r="E1168" s="72"/>
      <c r="F1168" s="72">
        <f ca="1">IFERROR(__xludf.DUMMYFUNCTION("""COMPUTED_VALUE"""),2500)</f>
        <v>2500</v>
      </c>
      <c r="G1168" s="75"/>
      <c r="H1168" s="59" t="str">
        <f ca="1">IFERROR(__xludf.DUMMYFUNCTION("""COMPUTED_VALUE"""),"UPDATE")</f>
        <v>UPDATE</v>
      </c>
      <c r="I1168" s="76" t="str">
        <f ca="1">IFERROR(__xludf.DUMMYFUNCTION("""COMPUTED_VALUE"""),"https://drive.google.com/open?id=1KsowRzZpeb1wsfZMlBygH8oTSgAreRm1")</f>
        <v>https://drive.google.com/open?id=1KsowRzZpeb1wsfZMlBygH8oTSgAreRm1</v>
      </c>
      <c r="J1168" s="59"/>
      <c r="K1168" s="59"/>
      <c r="L1168" s="59"/>
      <c r="M1168" s="59"/>
      <c r="N1168" s="59"/>
      <c r="O1168" s="59"/>
      <c r="P1168" s="59"/>
    </row>
    <row r="1169" spans="1:16">
      <c r="A1169" s="71">
        <f ca="1">IFERROR(__xludf.DUMMYFUNCTION("""COMPUTED_VALUE"""),44728.4839608333)</f>
        <v>44728.483960833299</v>
      </c>
      <c r="B1169" s="59" t="str">
        <f ca="1">IFERROR(__xludf.DUMMYFUNCTION("""COMPUTED_VALUE"""),"Urvisha Gajera ")</f>
        <v xml:space="preserve">Urvisha Gajera </v>
      </c>
      <c r="C1169" s="72" t="str">
        <f ca="1">IFERROR(__xludf.DUMMYFUNCTION("""COMPUTED_VALUE"""),"20SDSCE01034 ")</f>
        <v xml:space="preserve">20SDSCE01034 </v>
      </c>
      <c r="D1169" s="73">
        <f ca="1">IFERROR(__xludf.DUMMYFUNCTION("""COMPUTED_VALUE"""),44727)</f>
        <v>44727</v>
      </c>
      <c r="E1169" s="72"/>
      <c r="F1169" s="72">
        <f ca="1">IFERROR(__xludf.DUMMYFUNCTION("""COMPUTED_VALUE"""),2500)</f>
        <v>2500</v>
      </c>
      <c r="G1169" s="75"/>
      <c r="H1169" s="59" t="str">
        <f ca="1">IFERROR(__xludf.DUMMYFUNCTION("""COMPUTED_VALUE"""),"UPDATE")</f>
        <v>UPDATE</v>
      </c>
      <c r="I1169" s="76" t="str">
        <f ca="1">IFERROR(__xludf.DUMMYFUNCTION("""COMPUTED_VALUE"""),"https://drive.google.com/open?id=1HhpWBk2bwUDI7Z0E9dz1XwDG-b8HJTJO")</f>
        <v>https://drive.google.com/open?id=1HhpWBk2bwUDI7Z0E9dz1XwDG-b8HJTJO</v>
      </c>
      <c r="J1169" s="59"/>
      <c r="K1169" s="59"/>
      <c r="L1169" s="59"/>
      <c r="M1169" s="59"/>
      <c r="N1169" s="59"/>
      <c r="O1169" s="59"/>
      <c r="P1169" s="59"/>
    </row>
    <row r="1170" spans="1:16">
      <c r="A1170" s="71">
        <f ca="1">IFERROR(__xludf.DUMMYFUNCTION("""COMPUTED_VALUE"""),44728.4824023842)</f>
        <v>44728.482402384201</v>
      </c>
      <c r="B1170" s="59" t="str">
        <f ca="1">IFERROR(__xludf.DUMMYFUNCTION("""COMPUTED_VALUE"""),"Khushi bhimani ")</f>
        <v xml:space="preserve">Khushi bhimani </v>
      </c>
      <c r="C1170" s="72" t="str">
        <f ca="1">IFERROR(__xludf.DUMMYFUNCTION("""COMPUTED_VALUE"""),"20SDSCE01013 ")</f>
        <v xml:space="preserve">20SDSCE01013 </v>
      </c>
      <c r="D1170" s="73">
        <f ca="1">IFERROR(__xludf.DUMMYFUNCTION("""COMPUTED_VALUE"""),44728)</f>
        <v>44728</v>
      </c>
      <c r="E1170" s="72"/>
      <c r="F1170" s="72">
        <f ca="1">IFERROR(__xludf.DUMMYFUNCTION("""COMPUTED_VALUE"""),2500)</f>
        <v>2500</v>
      </c>
      <c r="G1170" s="75"/>
      <c r="H1170" s="59" t="str">
        <f ca="1">IFERROR(__xludf.DUMMYFUNCTION("""COMPUTED_VALUE"""),"UPDATE")</f>
        <v>UPDATE</v>
      </c>
      <c r="I1170" s="76" t="str">
        <f ca="1">IFERROR(__xludf.DUMMYFUNCTION("""COMPUTED_VALUE"""),"https://drive.google.com/open?id=1xqepiuz7Szot3mWu3-KZm1H-wexhgJAg")</f>
        <v>https://drive.google.com/open?id=1xqepiuz7Szot3mWu3-KZm1H-wexhgJAg</v>
      </c>
      <c r="J1170" s="59"/>
      <c r="K1170" s="59"/>
      <c r="L1170" s="59"/>
      <c r="M1170" s="59"/>
      <c r="N1170" s="59"/>
      <c r="O1170" s="59"/>
      <c r="P1170" s="59"/>
    </row>
    <row r="1171" spans="1:16">
      <c r="A1171" s="71">
        <f ca="1">IFERROR(__xludf.DUMMYFUNCTION("""COMPUTED_VALUE"""),44727.8362886689)</f>
        <v>44727.836288668899</v>
      </c>
      <c r="B1171" s="59" t="str">
        <f ca="1">IFERROR(__xludf.DUMMYFUNCTION("""COMPUTED_VALUE"""),"Urvisha Gajera ")</f>
        <v xml:space="preserve">Urvisha Gajera </v>
      </c>
      <c r="C1171" s="72" t="str">
        <f ca="1">IFERROR(__xludf.DUMMYFUNCTION("""COMPUTED_VALUE"""),"20SDSCE01034 ")</f>
        <v xml:space="preserve">20SDSCE01034 </v>
      </c>
      <c r="D1171" s="73">
        <f ca="1">IFERROR(__xludf.DUMMYFUNCTION("""COMPUTED_VALUE"""),44727)</f>
        <v>44727</v>
      </c>
      <c r="E1171" s="74">
        <f ca="1">IFERROR(__xludf.DUMMYFUNCTION("""COMPUTED_VALUE"""),2500)</f>
        <v>2500</v>
      </c>
      <c r="F1171" s="72"/>
      <c r="G1171" s="75"/>
      <c r="H1171" s="59" t="str">
        <f ca="1">IFERROR(__xludf.DUMMYFUNCTION("""COMPUTED_VALUE"""),"UPDATE")</f>
        <v>UPDATE</v>
      </c>
      <c r="I1171" s="76" t="str">
        <f ca="1">IFERROR(__xludf.DUMMYFUNCTION("""COMPUTED_VALUE"""),"https://drive.google.com/open?id=1tPc3ZkzWAZDVG4e-M3WLpzLwh_8HPFp-")</f>
        <v>https://drive.google.com/open?id=1tPc3ZkzWAZDVG4e-M3WLpzLwh_8HPFp-</v>
      </c>
      <c r="J1171" s="59"/>
      <c r="K1171" s="59"/>
      <c r="L1171" s="59"/>
      <c r="M1171" s="59"/>
      <c r="N1171" s="59"/>
      <c r="O1171" s="59"/>
      <c r="P1171" s="59"/>
    </row>
    <row r="1172" spans="1:16">
      <c r="A1172" s="71">
        <f ca="1">IFERROR(__xludf.DUMMYFUNCTION("""COMPUTED_VALUE"""),44727.4490922801)</f>
        <v>44727.449092280098</v>
      </c>
      <c r="B1172" s="59" t="str">
        <f ca="1">IFERROR(__xludf.DUMMYFUNCTION("""COMPUTED_VALUE"""),"VAGH MEHUL KARSHANBHAI")</f>
        <v>VAGH MEHUL KARSHANBHAI</v>
      </c>
      <c r="C1172" s="72" t="str">
        <f ca="1">IFERROR(__xludf.DUMMYFUNCTION("""COMPUTED_VALUE"""),"20SDSCE01126")</f>
        <v>20SDSCE01126</v>
      </c>
      <c r="D1172" s="73">
        <f ca="1">IFERROR(__xludf.DUMMYFUNCTION("""COMPUTED_VALUE"""),44727)</f>
        <v>44727</v>
      </c>
      <c r="E1172" s="74">
        <f ca="1">IFERROR(__xludf.DUMMYFUNCTION("""COMPUTED_VALUE"""),27980)</f>
        <v>27980</v>
      </c>
      <c r="F1172" s="72"/>
      <c r="G1172" s="75"/>
      <c r="H1172" s="59" t="str">
        <f ca="1">IFERROR(__xludf.DUMMYFUNCTION("""COMPUTED_VALUE"""),"UPDATE")</f>
        <v>UPDATE</v>
      </c>
      <c r="I1172" s="76" t="str">
        <f ca="1">IFERROR(__xludf.DUMMYFUNCTION("""COMPUTED_VALUE"""),"https://drive.google.com/open?id=1gYxRzJ_f43wSG7sfDDWF_XbkoPArV-b6")</f>
        <v>https://drive.google.com/open?id=1gYxRzJ_f43wSG7sfDDWF_XbkoPArV-b6</v>
      </c>
      <c r="J1172" s="59"/>
      <c r="K1172" s="59"/>
      <c r="L1172" s="59"/>
      <c r="M1172" s="59"/>
      <c r="N1172" s="59"/>
      <c r="O1172" s="59"/>
      <c r="P1172" s="59"/>
    </row>
    <row r="1173" spans="1:16">
      <c r="A1173" s="71">
        <f ca="1">IFERROR(__xludf.DUMMYFUNCTION("""COMPUTED_VALUE"""),44725.8560603819)</f>
        <v>44725.856060381899</v>
      </c>
      <c r="B1173" s="59" t="str">
        <f ca="1">IFERROR(__xludf.DUMMYFUNCTION("""COMPUTED_VALUE"""),"MIHIR")</f>
        <v>MIHIR</v>
      </c>
      <c r="C1173" s="72" t="str">
        <f ca="1">IFERROR(__xludf.DUMMYFUNCTION("""COMPUTED_VALUE"""),"21SDSCE01023")</f>
        <v>21SDSCE01023</v>
      </c>
      <c r="D1173" s="73">
        <f ca="1">IFERROR(__xludf.DUMMYFUNCTION("""COMPUTED_VALUE"""),44725)</f>
        <v>44725</v>
      </c>
      <c r="E1173" s="74">
        <f ca="1">IFERROR(__xludf.DUMMYFUNCTION("""COMPUTED_VALUE"""),12500)</f>
        <v>12500</v>
      </c>
      <c r="F1173" s="72"/>
      <c r="G1173" s="75"/>
      <c r="H1173" s="59" t="str">
        <f ca="1">IFERROR(__xludf.DUMMYFUNCTION("""COMPUTED_VALUE"""),"UPDATE")</f>
        <v>UPDATE</v>
      </c>
      <c r="I1173" s="76" t="str">
        <f ca="1">IFERROR(__xludf.DUMMYFUNCTION("""COMPUTED_VALUE"""),"https://drive.google.com/open?id=11-XY7NmF-jnOaylJ2zEbmOC6QHhtzzhL")</f>
        <v>https://drive.google.com/open?id=11-XY7NmF-jnOaylJ2zEbmOC6QHhtzzhL</v>
      </c>
      <c r="J1173" s="59"/>
      <c r="K1173" s="59"/>
      <c r="L1173" s="59"/>
      <c r="M1173" s="59"/>
      <c r="N1173" s="59"/>
      <c r="O1173" s="59"/>
      <c r="P1173" s="59"/>
    </row>
    <row r="1174" spans="1:16">
      <c r="A1174" s="71">
        <f ca="1">IFERROR(__xludf.DUMMYFUNCTION("""COMPUTED_VALUE"""),44725.5182083796)</f>
        <v>44725.518208379603</v>
      </c>
      <c r="B1174" s="59" t="str">
        <f ca="1">IFERROR(__xludf.DUMMYFUNCTION("""COMPUTED_VALUE"""),"Mayank gajera")</f>
        <v>Mayank gajera</v>
      </c>
      <c r="C1174" s="72" t="str">
        <f ca="1">IFERROR(__xludf.DUMMYFUNCTION("""COMPUTED_VALUE"""),"21sdsme01015")</f>
        <v>21sdsme01015</v>
      </c>
      <c r="D1174" s="73">
        <f ca="1">IFERROR(__xludf.DUMMYFUNCTION("""COMPUTED_VALUE"""),44630)</f>
        <v>44630</v>
      </c>
      <c r="E1174" s="74">
        <f ca="1">IFERROR(__xludf.DUMMYFUNCTION("""COMPUTED_VALUE"""),0)</f>
        <v>0</v>
      </c>
      <c r="F1174" s="72">
        <f ca="1">IFERROR(__xludf.DUMMYFUNCTION("""COMPUTED_VALUE"""),2500)</f>
        <v>2500</v>
      </c>
      <c r="G1174" s="75"/>
      <c r="H1174" s="59" t="str">
        <f ca="1">IFERROR(__xludf.DUMMYFUNCTION("""COMPUTED_VALUE"""),"UPDATE")</f>
        <v>UPDATE</v>
      </c>
      <c r="I1174" s="76" t="str">
        <f ca="1">IFERROR(__xludf.DUMMYFUNCTION("""COMPUTED_VALUE"""),"https://drive.google.com/open?id=1mC59PV_zmyR_TIlkAWZiXJz8gXcCweu2")</f>
        <v>https://drive.google.com/open?id=1mC59PV_zmyR_TIlkAWZiXJz8gXcCweu2</v>
      </c>
      <c r="J1174" s="59"/>
      <c r="K1174" s="59"/>
      <c r="L1174" s="59"/>
      <c r="M1174" s="59"/>
      <c r="N1174" s="59"/>
      <c r="O1174" s="59"/>
      <c r="P1174" s="59"/>
    </row>
    <row r="1175" spans="1:16">
      <c r="A1175" s="71">
        <f ca="1">IFERROR(__xludf.DUMMYFUNCTION("""COMPUTED_VALUE"""),44725.5080784722)</f>
        <v>44725.508078472201</v>
      </c>
      <c r="B1175" s="59" t="str">
        <f ca="1">IFERROR(__xludf.DUMMYFUNCTION("""COMPUTED_VALUE"""),"Mayank gajera")</f>
        <v>Mayank gajera</v>
      </c>
      <c r="C1175" s="72" t="str">
        <f ca="1">IFERROR(__xludf.DUMMYFUNCTION("""COMPUTED_VALUE"""),"21sdsme01015")</f>
        <v>21sdsme01015</v>
      </c>
      <c r="D1175" s="73">
        <f ca="1">IFERROR(__xludf.DUMMYFUNCTION("""COMPUTED_VALUE"""),44630)</f>
        <v>44630</v>
      </c>
      <c r="E1175" s="74">
        <f ca="1">IFERROR(__xludf.DUMMYFUNCTION("""COMPUTED_VALUE"""),25000)</f>
        <v>25000</v>
      </c>
      <c r="F1175" s="72">
        <f ca="1">IFERROR(__xludf.DUMMYFUNCTION("""COMPUTED_VALUE"""),0)</f>
        <v>0</v>
      </c>
      <c r="G1175" s="75"/>
      <c r="H1175" s="59" t="str">
        <f ca="1">IFERROR(__xludf.DUMMYFUNCTION("""COMPUTED_VALUE"""),"UPDATE")</f>
        <v>UPDATE</v>
      </c>
      <c r="I1175" s="76" t="str">
        <f ca="1">IFERROR(__xludf.DUMMYFUNCTION("""COMPUTED_VALUE"""),"https://drive.google.com/open?id=10E4ifhEM9mgEdl3PTjj2B9G4wQy7VG1n")</f>
        <v>https://drive.google.com/open?id=10E4ifhEM9mgEdl3PTjj2B9G4wQy7VG1n</v>
      </c>
      <c r="J1175" s="59"/>
      <c r="K1175" s="59"/>
      <c r="L1175" s="59"/>
      <c r="M1175" s="59"/>
      <c r="N1175" s="59"/>
      <c r="O1175" s="59"/>
      <c r="P1175" s="59"/>
    </row>
    <row r="1176" spans="1:16">
      <c r="A1176" s="71">
        <f ca="1">IFERROR(__xludf.DUMMYFUNCTION("""COMPUTED_VALUE"""),44724.3293714814)</f>
        <v>44724.329371481399</v>
      </c>
      <c r="B1176" s="59" t="str">
        <f ca="1">IFERROR(__xludf.DUMMYFUNCTION("""COMPUTED_VALUE"""),"CHAVDA KARANSINH HEMRAJSINH")</f>
        <v>CHAVDA KARANSINH HEMRAJSINH</v>
      </c>
      <c r="C1176" s="72" t="str">
        <f ca="1">IFERROR(__xludf.DUMMYFUNCTION("""COMPUTED_VALUE"""),"20SDSCE01016")</f>
        <v>20SDSCE01016</v>
      </c>
      <c r="D1176" s="73">
        <f ca="1">IFERROR(__xludf.DUMMYFUNCTION("""COMPUTED_VALUE"""),44723)</f>
        <v>44723</v>
      </c>
      <c r="E1176" s="74">
        <f ca="1">IFERROR(__xludf.DUMMYFUNCTION("""COMPUTED_VALUE"""),25000)</f>
        <v>25000</v>
      </c>
      <c r="F1176" s="72">
        <f ca="1">IFERROR(__xludf.DUMMYFUNCTION("""COMPUTED_VALUE"""),2500)</f>
        <v>2500</v>
      </c>
      <c r="G1176" s="75"/>
      <c r="H1176" s="59" t="str">
        <f ca="1">IFERROR(__xludf.DUMMYFUNCTION("""COMPUTED_VALUE"""),"UPDATE")</f>
        <v>UPDATE</v>
      </c>
      <c r="I1176" s="76" t="str">
        <f ca="1">IFERROR(__xludf.DUMMYFUNCTION("""COMPUTED_VALUE"""),"https://drive.google.com/open?id=1XwbhZ50UC3RSX9vPOoCdyxkl3dIhjuZB")</f>
        <v>https://drive.google.com/open?id=1XwbhZ50UC3RSX9vPOoCdyxkl3dIhjuZB</v>
      </c>
      <c r="J1176" s="59"/>
      <c r="K1176" s="59"/>
      <c r="L1176" s="59"/>
      <c r="M1176" s="59"/>
      <c r="N1176" s="59"/>
      <c r="O1176" s="59"/>
      <c r="P1176" s="59"/>
    </row>
    <row r="1177" spans="1:16">
      <c r="A1177" s="71">
        <f ca="1">IFERROR(__xludf.DUMMYFUNCTION("""COMPUTED_VALUE"""),44723.5466575462)</f>
        <v>44723.546657546198</v>
      </c>
      <c r="B1177" s="59" t="str">
        <f ca="1">IFERROR(__xludf.DUMMYFUNCTION("""COMPUTED_VALUE"""),"Panchani prutha")</f>
        <v>Panchani prutha</v>
      </c>
      <c r="C1177" s="72" t="str">
        <f ca="1">IFERROR(__xludf.DUMMYFUNCTION("""COMPUTED_VALUE"""),"21SDSCE01086")</f>
        <v>21SDSCE01086</v>
      </c>
      <c r="D1177" s="73">
        <f ca="1">IFERROR(__xludf.DUMMYFUNCTION("""COMPUTED_VALUE"""),44634)</f>
        <v>44634</v>
      </c>
      <c r="E1177" s="74">
        <f ca="1">IFERROR(__xludf.DUMMYFUNCTION("""COMPUTED_VALUE"""),25000)</f>
        <v>25000</v>
      </c>
      <c r="F1177" s="72">
        <f ca="1">IFERROR(__xludf.DUMMYFUNCTION("""COMPUTED_VALUE"""),2500)</f>
        <v>2500</v>
      </c>
      <c r="G1177" s="75"/>
      <c r="H1177" s="59" t="str">
        <f ca="1">IFERROR(__xludf.DUMMYFUNCTION("""COMPUTED_VALUE"""),"UPDATE")</f>
        <v>UPDATE</v>
      </c>
      <c r="I1177" s="76" t="str">
        <f ca="1">IFERROR(__xludf.DUMMYFUNCTION("""COMPUTED_VALUE"""),"https://drive.google.com/open?id=1RKLWlZi7PwDhRWhbI5kPYFGZdll4EaPw")</f>
        <v>https://drive.google.com/open?id=1RKLWlZi7PwDhRWhbI5kPYFGZdll4EaPw</v>
      </c>
      <c r="J1177" s="59"/>
      <c r="K1177" s="59"/>
      <c r="L1177" s="59"/>
      <c r="M1177" s="59"/>
      <c r="N1177" s="59"/>
      <c r="O1177" s="59"/>
      <c r="P1177" s="59"/>
    </row>
    <row r="1178" spans="1:16">
      <c r="A1178" s="71">
        <f ca="1">IFERROR(__xludf.DUMMYFUNCTION("""COMPUTED_VALUE"""),44714.689629618)</f>
        <v>44714.689629617998</v>
      </c>
      <c r="B1178" s="59" t="str">
        <f ca="1">IFERROR(__xludf.DUMMYFUNCTION("""COMPUTED_VALUE"""),"Dipbhai Ghelubhai vadher")</f>
        <v>Dipbhai Ghelubhai vadher</v>
      </c>
      <c r="C1178" s="72" t="str">
        <f ca="1">IFERROR(__xludf.DUMMYFUNCTION("""COMPUTED_VALUE"""),"20SDSCE01125")</f>
        <v>20SDSCE01125</v>
      </c>
      <c r="D1178" s="73">
        <f ca="1">IFERROR(__xludf.DUMMYFUNCTION("""COMPUTED_VALUE"""),44714)</f>
        <v>44714</v>
      </c>
      <c r="E1178" s="74">
        <f ca="1">IFERROR(__xludf.DUMMYFUNCTION("""COMPUTED_VALUE"""),22000)</f>
        <v>22000</v>
      </c>
      <c r="F1178" s="72"/>
      <c r="G1178" s="75"/>
      <c r="H1178" s="59" t="str">
        <f ca="1">IFERROR(__xludf.DUMMYFUNCTION("""COMPUTED_VALUE"""),"UPDATE")</f>
        <v>UPDATE</v>
      </c>
      <c r="I1178" s="76" t="str">
        <f ca="1">IFERROR(__xludf.DUMMYFUNCTION("""COMPUTED_VALUE"""),"https://drive.google.com/open?id=1CXe1zGyNnHlkZ5G_XfTs_peNS0B5w0FD")</f>
        <v>https://drive.google.com/open?id=1CXe1zGyNnHlkZ5G_XfTs_peNS0B5w0FD</v>
      </c>
      <c r="J1178" s="59"/>
      <c r="K1178" s="59"/>
      <c r="L1178" s="59"/>
      <c r="M1178" s="59"/>
      <c r="N1178" s="59"/>
      <c r="O1178" s="59"/>
      <c r="P1178" s="59"/>
    </row>
    <row r="1179" spans="1:16">
      <c r="A1179" s="71">
        <f ca="1">IFERROR(__xludf.DUMMYFUNCTION("""COMPUTED_VALUE"""),44713.685202905)</f>
        <v>44713.685202904999</v>
      </c>
      <c r="B1179" s="59" t="str">
        <f ca="1">IFERROR(__xludf.DUMMYFUNCTION("""COMPUTED_VALUE"""),"Koradiya isha")</f>
        <v>Koradiya isha</v>
      </c>
      <c r="C1179" s="72" t="str">
        <f ca="1">IFERROR(__xludf.DUMMYFUNCTION("""COMPUTED_VALUE"""),"21SDSCE01080")</f>
        <v>21SDSCE01080</v>
      </c>
      <c r="D1179" s="73">
        <f ca="1">IFERROR(__xludf.DUMMYFUNCTION("""COMPUTED_VALUE"""),44713)</f>
        <v>44713</v>
      </c>
      <c r="E1179" s="72"/>
      <c r="F1179" s="72"/>
      <c r="G1179" s="75"/>
      <c r="H1179" s="59" t="str">
        <f ca="1">IFERROR(__xludf.DUMMYFUNCTION("""COMPUTED_VALUE"""),"UPDATE")</f>
        <v>UPDATE</v>
      </c>
      <c r="I1179" s="76" t="str">
        <f ca="1">IFERROR(__xludf.DUMMYFUNCTION("""COMPUTED_VALUE"""),"https://drive.google.com/open?id=14L8K2mEj_hIPiR7rKwWiqgwiRcdPzwXd")</f>
        <v>https://drive.google.com/open?id=14L8K2mEj_hIPiR7rKwWiqgwiRcdPzwXd</v>
      </c>
      <c r="J1179" s="59"/>
      <c r="K1179" s="59"/>
      <c r="L1179" s="59"/>
      <c r="M1179" s="59"/>
      <c r="N1179" s="59"/>
      <c r="O1179" s="59"/>
      <c r="P1179" s="59"/>
    </row>
    <row r="1180" spans="1:16">
      <c r="A1180" s="71">
        <f ca="1">IFERROR(__xludf.DUMMYFUNCTION("""COMPUTED_VALUE"""),44713.6810291666)</f>
        <v>44713.681029166597</v>
      </c>
      <c r="B1180" s="59" t="str">
        <f ca="1">IFERROR(__xludf.DUMMYFUNCTION("""COMPUTED_VALUE"""),"Koradiya isha")</f>
        <v>Koradiya isha</v>
      </c>
      <c r="C1180" s="72" t="str">
        <f ca="1">IFERROR(__xludf.DUMMYFUNCTION("""COMPUTED_VALUE"""),"21SDSCE01080")</f>
        <v>21SDSCE01080</v>
      </c>
      <c r="D1180" s="73">
        <f ca="1">IFERROR(__xludf.DUMMYFUNCTION("""COMPUTED_VALUE"""),44713)</f>
        <v>44713</v>
      </c>
      <c r="E1180" s="72"/>
      <c r="F1180" s="72"/>
      <c r="G1180" s="75"/>
      <c r="H1180" s="59" t="str">
        <f ca="1">IFERROR(__xludf.DUMMYFUNCTION("""COMPUTED_VALUE"""),"UPDATE")</f>
        <v>UPDATE</v>
      </c>
      <c r="I1180" s="76" t="str">
        <f ca="1">IFERROR(__xludf.DUMMYFUNCTION("""COMPUTED_VALUE"""),"https://drive.google.com/open?id=1oUjixGRhp6FhkmXSRhaK0YC-gtbFdGDQ")</f>
        <v>https://drive.google.com/open?id=1oUjixGRhp6FhkmXSRhaK0YC-gtbFdGDQ</v>
      </c>
      <c r="J1180" s="59"/>
      <c r="K1180" s="59"/>
      <c r="L1180" s="59"/>
      <c r="M1180" s="59"/>
      <c r="N1180" s="59"/>
      <c r="O1180" s="59"/>
      <c r="P1180" s="59"/>
    </row>
    <row r="1181" spans="1:16">
      <c r="A1181" s="71">
        <f ca="1">IFERROR(__xludf.DUMMYFUNCTION("""COMPUTED_VALUE"""),44711.405611412)</f>
        <v>44711.405611412003</v>
      </c>
      <c r="B1181" s="59" t="str">
        <f ca="1">IFERROR(__xludf.DUMMYFUNCTION("""COMPUTED_VALUE"""),"Kapupara kaushal ")</f>
        <v xml:space="preserve">Kapupara kaushal </v>
      </c>
      <c r="C1181" s="72" t="str">
        <f ca="1">IFERROR(__xludf.DUMMYFUNCTION("""COMPUTED_VALUE"""),"21SDSCE01026")</f>
        <v>21SDSCE01026</v>
      </c>
      <c r="D1181" s="73">
        <f ca="1">IFERROR(__xludf.DUMMYFUNCTION("""COMPUTED_VALUE"""),44703)</f>
        <v>44703</v>
      </c>
      <c r="E1181" s="72"/>
      <c r="F1181" s="72"/>
      <c r="G1181" s="75"/>
      <c r="H1181" s="59" t="str">
        <f ca="1">IFERROR(__xludf.DUMMYFUNCTION("""COMPUTED_VALUE"""),"UPDATE")</f>
        <v>UPDATE</v>
      </c>
      <c r="I1181" s="76" t="str">
        <f ca="1">IFERROR(__xludf.DUMMYFUNCTION("""COMPUTED_VALUE"""),"https://drive.google.com/open?id=1fB_KFNV56gL09X77ZeZ5W9rHY04Noq8g")</f>
        <v>https://drive.google.com/open?id=1fB_KFNV56gL09X77ZeZ5W9rHY04Noq8g</v>
      </c>
      <c r="J1181" s="59"/>
      <c r="K1181" s="59"/>
      <c r="L1181" s="59"/>
      <c r="M1181" s="59"/>
      <c r="N1181" s="59"/>
      <c r="O1181" s="59"/>
      <c r="P1181" s="59"/>
    </row>
    <row r="1182" spans="1:16">
      <c r="A1182" s="71">
        <f ca="1">IFERROR(__xludf.DUMMYFUNCTION("""COMPUTED_VALUE"""),44709.6072861458)</f>
        <v>44709.607286145801</v>
      </c>
      <c r="B1182" s="59" t="str">
        <f ca="1">IFERROR(__xludf.DUMMYFUNCTION("""COMPUTED_VALUE"""),"Maheshwari Prince Prakashbhai ")</f>
        <v xml:space="preserve">Maheshwari Prince Prakashbhai </v>
      </c>
      <c r="C1182" s="72" t="str">
        <f ca="1">IFERROR(__xludf.DUMMYFUNCTION("""COMPUTED_VALUE"""),"20SDSME01023")</f>
        <v>20SDSME01023</v>
      </c>
      <c r="D1182" s="73">
        <f ca="1">IFERROR(__xludf.DUMMYFUNCTION("""COMPUTED_VALUE"""),44708)</f>
        <v>44708</v>
      </c>
      <c r="E1182" s="72"/>
      <c r="F1182" s="72"/>
      <c r="G1182" s="75"/>
      <c r="H1182" s="59" t="str">
        <f ca="1">IFERROR(__xludf.DUMMYFUNCTION("""COMPUTED_VALUE"""),"UPDATE")</f>
        <v>UPDATE</v>
      </c>
      <c r="I1182" s="76" t="str">
        <f ca="1">IFERROR(__xludf.DUMMYFUNCTION("""COMPUTED_VALUE"""),"https://drive.google.com/open?id=1j_gWNxEhK5T2d7w-18I8rZ4J2PY-pJVY")</f>
        <v>https://drive.google.com/open?id=1j_gWNxEhK5T2d7w-18I8rZ4J2PY-pJVY</v>
      </c>
      <c r="J1182" s="59"/>
      <c r="K1182" s="59"/>
      <c r="L1182" s="59"/>
      <c r="M1182" s="59"/>
      <c r="N1182" s="59"/>
      <c r="O1182" s="59"/>
      <c r="P1182" s="59"/>
    </row>
    <row r="1183" spans="1:16">
      <c r="A1183" s="71">
        <f ca="1">IFERROR(__xludf.DUMMYFUNCTION("""COMPUTED_VALUE"""),44708.8721364236)</f>
        <v>44708.872136423597</v>
      </c>
      <c r="B1183" s="59" t="str">
        <f ca="1">IFERROR(__xludf.DUMMYFUNCTION("""COMPUTED_VALUE"""),"Mohit Paddhariya Kaushikbhai")</f>
        <v>Mohit Paddhariya Kaushikbhai</v>
      </c>
      <c r="C1183" s="72" t="str">
        <f ca="1">IFERROR(__xludf.DUMMYFUNCTION("""COMPUTED_VALUE"""),"21SDSCE01038")</f>
        <v>21SDSCE01038</v>
      </c>
      <c r="D1183" s="73">
        <f ca="1">IFERROR(__xludf.DUMMYFUNCTION("""COMPUTED_VALUE"""),44708)</f>
        <v>44708</v>
      </c>
      <c r="E1183" s="72"/>
      <c r="F1183" s="72"/>
      <c r="G1183" s="75"/>
      <c r="H1183" s="59" t="str">
        <f ca="1">IFERROR(__xludf.DUMMYFUNCTION("""COMPUTED_VALUE"""),"UPDATE")</f>
        <v>UPDATE</v>
      </c>
      <c r="I1183" s="76" t="str">
        <f ca="1">IFERROR(__xludf.DUMMYFUNCTION("""COMPUTED_VALUE"""),"https://drive.google.com/open?id=1JE2uPzw9jkf47Zn45rGWnxwhG13UEOf3")</f>
        <v>https://drive.google.com/open?id=1JE2uPzw9jkf47Zn45rGWnxwhG13UEOf3</v>
      </c>
      <c r="J1183" s="59"/>
      <c r="K1183" s="59"/>
      <c r="L1183" s="59"/>
      <c r="M1183" s="59"/>
      <c r="N1183" s="59"/>
      <c r="O1183" s="59"/>
      <c r="P1183" s="59"/>
    </row>
    <row r="1184" spans="1:16">
      <c r="A1184" s="71">
        <f ca="1">IFERROR(__xludf.DUMMYFUNCTION("""COMPUTED_VALUE"""),44708.7864930439)</f>
        <v>44708.786493043903</v>
      </c>
      <c r="B1184" s="59" t="str">
        <f ca="1">IFERROR(__xludf.DUMMYFUNCTION("""COMPUTED_VALUE"""),"Bhadaliya krishil Shaileshbhai ")</f>
        <v xml:space="preserve">Bhadaliya krishil Shaileshbhai </v>
      </c>
      <c r="C1184" s="72" t="str">
        <f ca="1">IFERROR(__xludf.DUMMYFUNCTION("""COMPUTED_VALUE"""),"21SDSCE01005")</f>
        <v>21SDSCE01005</v>
      </c>
      <c r="D1184" s="73">
        <f ca="1">IFERROR(__xludf.DUMMYFUNCTION("""COMPUTED_VALUE"""),44708)</f>
        <v>44708</v>
      </c>
      <c r="E1184" s="72"/>
      <c r="F1184" s="72"/>
      <c r="G1184" s="75"/>
      <c r="H1184" s="59" t="str">
        <f ca="1">IFERROR(__xludf.DUMMYFUNCTION("""COMPUTED_VALUE"""),"UPDATE")</f>
        <v>UPDATE</v>
      </c>
      <c r="I1184" s="76" t="str">
        <f ca="1">IFERROR(__xludf.DUMMYFUNCTION("""COMPUTED_VALUE"""),"https://drive.google.com/open?id=1C8iRgyRXkh7e1Mx7y4ulyjhY51dAdeGB")</f>
        <v>https://drive.google.com/open?id=1C8iRgyRXkh7e1Mx7y4ulyjhY51dAdeGB</v>
      </c>
      <c r="J1184" s="59"/>
      <c r="K1184" s="59"/>
      <c r="L1184" s="59"/>
      <c r="M1184" s="59"/>
      <c r="N1184" s="59"/>
      <c r="O1184" s="59"/>
      <c r="P1184" s="59"/>
    </row>
    <row r="1185" spans="1:16">
      <c r="A1185" s="71">
        <f ca="1">IFERROR(__xludf.DUMMYFUNCTION("""COMPUTED_VALUE"""),44706.6602592708)</f>
        <v>44706.6602592708</v>
      </c>
      <c r="B1185" s="59" t="str">
        <f ca="1">IFERROR(__xludf.DUMMYFUNCTION("""COMPUTED_VALUE"""),"Vaghela devdipsinh")</f>
        <v>Vaghela devdipsinh</v>
      </c>
      <c r="C1185" s="72" t="str">
        <f ca="1">IFERROR(__xludf.DUMMYFUNCTION("""COMPUTED_VALUE"""),"20sdsce01128")</f>
        <v>20sdsce01128</v>
      </c>
      <c r="D1185" s="73">
        <f ca="1">IFERROR(__xludf.DUMMYFUNCTION("""COMPUTED_VALUE"""),44706)</f>
        <v>44706</v>
      </c>
      <c r="E1185" s="72"/>
      <c r="F1185" s="72"/>
      <c r="G1185" s="75"/>
      <c r="H1185" s="59" t="str">
        <f ca="1">IFERROR(__xludf.DUMMYFUNCTION("""COMPUTED_VALUE"""),"UPDATE")</f>
        <v>UPDATE</v>
      </c>
      <c r="I1185" s="76" t="str">
        <f ca="1">IFERROR(__xludf.DUMMYFUNCTION("""COMPUTED_VALUE"""),"https://drive.google.com/open?id=1XPZHg4xaiYyt1gCMzbQyQbgLlWsI6EI_")</f>
        <v>https://drive.google.com/open?id=1XPZHg4xaiYyt1gCMzbQyQbgLlWsI6EI_</v>
      </c>
      <c r="J1185" s="59"/>
      <c r="K1185" s="59"/>
      <c r="L1185" s="59"/>
      <c r="M1185" s="59"/>
      <c r="N1185" s="59"/>
      <c r="O1185" s="59"/>
      <c r="P1185" s="59"/>
    </row>
    <row r="1186" spans="1:16">
      <c r="A1186" s="71">
        <f ca="1">IFERROR(__xludf.DUMMYFUNCTION("""COMPUTED_VALUE"""),44706.3724559606)</f>
        <v>44706.372455960598</v>
      </c>
      <c r="B1186" s="59" t="str">
        <f ca="1">IFERROR(__xludf.DUMMYFUNCTION("""COMPUTED_VALUE"""),"VAGH MEHUL KARSHANBHAI")</f>
        <v>VAGH MEHUL KARSHANBHAI</v>
      </c>
      <c r="C1186" s="72" t="str">
        <f ca="1">IFERROR(__xludf.DUMMYFUNCTION("""COMPUTED_VALUE"""),"20SDSCE01126")</f>
        <v>20SDSCE01126</v>
      </c>
      <c r="D1186" s="73">
        <f ca="1">IFERROR(__xludf.DUMMYFUNCTION("""COMPUTED_VALUE"""),44706)</f>
        <v>44706</v>
      </c>
      <c r="E1186" s="74">
        <f ca="1">IFERROR(__xludf.DUMMYFUNCTION("""COMPUTED_VALUE"""),22040)</f>
        <v>22040</v>
      </c>
      <c r="F1186" s="72"/>
      <c r="G1186" s="75"/>
      <c r="H1186" s="59" t="str">
        <f ca="1">IFERROR(__xludf.DUMMYFUNCTION("""COMPUTED_VALUE"""),"UPDATE")</f>
        <v>UPDATE</v>
      </c>
      <c r="I1186" s="76" t="str">
        <f ca="1">IFERROR(__xludf.DUMMYFUNCTION("""COMPUTED_VALUE"""),"https://drive.google.com/open?id=1OygOiUBB39Hypt3qddSTa5F9foG_ESIf")</f>
        <v>https://drive.google.com/open?id=1OygOiUBB39Hypt3qddSTa5F9foG_ESIf</v>
      </c>
      <c r="J1186" s="59"/>
      <c r="K1186" s="59"/>
      <c r="L1186" s="59"/>
      <c r="M1186" s="59"/>
      <c r="N1186" s="59"/>
      <c r="O1186" s="59"/>
      <c r="P1186" s="59"/>
    </row>
    <row r="1187" spans="1:16">
      <c r="A1187" s="71">
        <f ca="1">IFERROR(__xludf.DUMMYFUNCTION("""COMPUTED_VALUE"""),44705.685781655)</f>
        <v>44705.685781654996</v>
      </c>
      <c r="B1187" s="59" t="str">
        <f ca="1">IFERROR(__xludf.DUMMYFUNCTION("""COMPUTED_VALUE"""),"Dabhi mayur")</f>
        <v>Dabhi mayur</v>
      </c>
      <c r="C1187" s="72" t="str">
        <f ca="1">IFERROR(__xludf.DUMMYFUNCTION("""COMPUTED_VALUE"""),"20sdsme01007")</f>
        <v>20sdsme01007</v>
      </c>
      <c r="D1187" s="73">
        <f ca="1">IFERROR(__xludf.DUMMYFUNCTION("""COMPUTED_VALUE"""),44705)</f>
        <v>44705</v>
      </c>
      <c r="E1187" s="72"/>
      <c r="F1187" s="72"/>
      <c r="G1187" s="75"/>
      <c r="H1187" s="59" t="str">
        <f ca="1">IFERROR(__xludf.DUMMYFUNCTION("""COMPUTED_VALUE"""),"UPDATE")</f>
        <v>UPDATE</v>
      </c>
      <c r="I1187" s="76" t="str">
        <f ca="1">IFERROR(__xludf.DUMMYFUNCTION("""COMPUTED_VALUE"""),"https://drive.google.com/open?id=19NtrgqHNRLRwdmFKhwGm7kQpmCKO2o-7")</f>
        <v>https://drive.google.com/open?id=19NtrgqHNRLRwdmFKhwGm7kQpmCKO2o-7</v>
      </c>
      <c r="J1187" s="59"/>
      <c r="K1187" s="59"/>
      <c r="L1187" s="59"/>
      <c r="M1187" s="59"/>
      <c r="N1187" s="59"/>
      <c r="O1187" s="59"/>
      <c r="P1187" s="59"/>
    </row>
    <row r="1188" spans="1:16">
      <c r="A1188" s="71">
        <f ca="1">IFERROR(__xludf.DUMMYFUNCTION("""COMPUTED_VALUE"""),44705.615272037)</f>
        <v>44705.615272037001</v>
      </c>
      <c r="B1188" s="59" t="str">
        <f ca="1">IFERROR(__xludf.DUMMYFUNCTION("""COMPUTED_VALUE"""),"Savaliya bhavya v.")</f>
        <v>Savaliya bhavya v.</v>
      </c>
      <c r="C1188" s="72" t="str">
        <f ca="1">IFERROR(__xludf.DUMMYFUNCTION("""COMPUTED_VALUE"""),"20SDSCE01109")</f>
        <v>20SDSCE01109</v>
      </c>
      <c r="D1188" s="73">
        <f ca="1">IFERROR(__xludf.DUMMYFUNCTION("""COMPUTED_VALUE"""),44705)</f>
        <v>44705</v>
      </c>
      <c r="E1188" s="72"/>
      <c r="F1188" s="72"/>
      <c r="G1188" s="75"/>
      <c r="H1188" s="59" t="str">
        <f ca="1">IFERROR(__xludf.DUMMYFUNCTION("""COMPUTED_VALUE"""),"UPDATE")</f>
        <v>UPDATE</v>
      </c>
      <c r="I1188" s="76" t="str">
        <f ca="1">IFERROR(__xludf.DUMMYFUNCTION("""COMPUTED_VALUE"""),"https://drive.google.com/open?id=179z93TaXvAgsOFMB7HQP5eX5yFrNlIJM")</f>
        <v>https://drive.google.com/open?id=179z93TaXvAgsOFMB7HQP5eX5yFrNlIJM</v>
      </c>
      <c r="J1188" s="59"/>
      <c r="K1188" s="59"/>
      <c r="L1188" s="59"/>
      <c r="M1188" s="59"/>
      <c r="N1188" s="59"/>
      <c r="O1188" s="59"/>
      <c r="P1188" s="59"/>
    </row>
    <row r="1189" spans="1:16">
      <c r="A1189" s="71">
        <f ca="1">IFERROR(__xludf.DUMMYFUNCTION("""COMPUTED_VALUE"""),44704.4879678703)</f>
        <v>44704.4879678703</v>
      </c>
      <c r="B1189" s="59" t="str">
        <f ca="1">IFERROR(__xludf.DUMMYFUNCTION("""COMPUTED_VALUE"""),"Shubh Rupapara")</f>
        <v>Shubh Rupapara</v>
      </c>
      <c r="C1189" s="72" t="str">
        <f ca="1">IFERROR(__xludf.DUMMYFUNCTION("""COMPUTED_VALUE"""),"20SDSCE01103")</f>
        <v>20SDSCE01103</v>
      </c>
      <c r="D1189" s="73">
        <f ca="1">IFERROR(__xludf.DUMMYFUNCTION("""COMPUTED_VALUE"""),44704)</f>
        <v>44704</v>
      </c>
      <c r="E1189" s="72"/>
      <c r="F1189" s="72"/>
      <c r="G1189" s="75"/>
      <c r="H1189" s="59" t="str">
        <f ca="1">IFERROR(__xludf.DUMMYFUNCTION("""COMPUTED_VALUE"""),"UPDATE")</f>
        <v>UPDATE</v>
      </c>
      <c r="I1189" s="76" t="str">
        <f ca="1">IFERROR(__xludf.DUMMYFUNCTION("""COMPUTED_VALUE"""),"https://drive.google.com/open?id=1552dGFWVeC-p0IK3Y5uHOGrptCLRq-5i")</f>
        <v>https://drive.google.com/open?id=1552dGFWVeC-p0IK3Y5uHOGrptCLRq-5i</v>
      </c>
      <c r="J1189" s="59"/>
      <c r="K1189" s="59"/>
      <c r="L1189" s="59"/>
      <c r="M1189" s="59"/>
      <c r="N1189" s="59"/>
      <c r="O1189" s="59"/>
      <c r="P1189" s="59"/>
    </row>
    <row r="1190" spans="1:16">
      <c r="A1190" s="71">
        <f ca="1">IFERROR(__xludf.DUMMYFUNCTION("""COMPUTED_VALUE"""),44702.6453578472)</f>
        <v>44702.645357847199</v>
      </c>
      <c r="B1190" s="59" t="str">
        <f ca="1">IFERROR(__xludf.DUMMYFUNCTION("""COMPUTED_VALUE"""),"Agravat deep dineshbhai")</f>
        <v>Agravat deep dineshbhai</v>
      </c>
      <c r="C1190" s="72" t="str">
        <f ca="1">IFERROR(__xludf.DUMMYFUNCTION("""COMPUTED_VALUE"""),"21SDSME01002")</f>
        <v>21SDSME01002</v>
      </c>
      <c r="D1190" s="73">
        <f ca="1">IFERROR(__xludf.DUMMYFUNCTION("""COMPUTED_VALUE"""),44702)</f>
        <v>44702</v>
      </c>
      <c r="E1190" s="72"/>
      <c r="F1190" s="72"/>
      <c r="G1190" s="75"/>
      <c r="H1190" s="59" t="str">
        <f ca="1">IFERROR(__xludf.DUMMYFUNCTION("""COMPUTED_VALUE"""),"UPDATE")</f>
        <v>UPDATE</v>
      </c>
      <c r="I1190" s="76" t="str">
        <f ca="1">IFERROR(__xludf.DUMMYFUNCTION("""COMPUTED_VALUE"""),"https://drive.google.com/open?id=1uGKnOn9ewHa2zgJrCfWsTr1ADv4H1qdx")</f>
        <v>https://drive.google.com/open?id=1uGKnOn9ewHa2zgJrCfWsTr1ADv4H1qdx</v>
      </c>
      <c r="J1190" s="59"/>
      <c r="K1190" s="59"/>
      <c r="L1190" s="59"/>
      <c r="M1190" s="59"/>
      <c r="N1190" s="59"/>
      <c r="O1190" s="59"/>
      <c r="P1190" s="59"/>
    </row>
    <row r="1191" spans="1:16">
      <c r="A1191" s="71">
        <f ca="1">IFERROR(__xludf.DUMMYFUNCTION("""COMPUTED_VALUE"""),44701.6049711111)</f>
        <v>44701.604971111097</v>
      </c>
      <c r="B1191" s="59" t="str">
        <f ca="1">IFERROR(__xludf.DUMMYFUNCTION("""COMPUTED_VALUE"""),"Gajjar Harshil")</f>
        <v>Gajjar Harshil</v>
      </c>
      <c r="C1191" s="72" t="str">
        <f ca="1">IFERROR(__xludf.DUMMYFUNCTION("""COMPUTED_VALUE"""),"20SDSCE01036")</f>
        <v>20SDSCE01036</v>
      </c>
      <c r="D1191" s="73">
        <f ca="1">IFERROR(__xludf.DUMMYFUNCTION("""COMPUTED_VALUE"""),44699)</f>
        <v>44699</v>
      </c>
      <c r="E1191" s="72"/>
      <c r="F1191" s="72"/>
      <c r="G1191" s="75"/>
      <c r="H1191" s="59" t="str">
        <f ca="1">IFERROR(__xludf.DUMMYFUNCTION("""COMPUTED_VALUE"""),"UPDATE")</f>
        <v>UPDATE</v>
      </c>
      <c r="I1191" s="76" t="str">
        <f ca="1">IFERROR(__xludf.DUMMYFUNCTION("""COMPUTED_VALUE"""),"https://drive.google.com/open?id=1ZUoem0vZWgOpc7ZTRjB0TXIptSVId2TR")</f>
        <v>https://drive.google.com/open?id=1ZUoem0vZWgOpc7ZTRjB0TXIptSVId2TR</v>
      </c>
      <c r="J1191" s="59"/>
      <c r="K1191" s="59"/>
      <c r="L1191" s="59"/>
      <c r="M1191" s="59"/>
      <c r="N1191" s="59"/>
      <c r="O1191" s="59"/>
      <c r="P1191" s="59"/>
    </row>
    <row r="1192" spans="1:16">
      <c r="A1192" s="71">
        <f ca="1">IFERROR(__xludf.DUMMYFUNCTION("""COMPUTED_VALUE"""),44699.5107725115)</f>
        <v>44699.510772511501</v>
      </c>
      <c r="B1192" s="59" t="str">
        <f ca="1">IFERROR(__xludf.DUMMYFUNCTION("""COMPUTED_VALUE"""),"Kandarp Vyas")</f>
        <v>Kandarp Vyas</v>
      </c>
      <c r="C1192" s="72" t="str">
        <f ca="1">IFERROR(__xludf.DUMMYFUNCTION("""COMPUTED_VALUE"""),"21SDSCE010154")</f>
        <v>21SDSCE010154</v>
      </c>
      <c r="D1192" s="73">
        <f ca="1">IFERROR(__xludf.DUMMYFUNCTION("""COMPUTED_VALUE"""),44699)</f>
        <v>44699</v>
      </c>
      <c r="E1192" s="72"/>
      <c r="F1192" s="72"/>
      <c r="G1192" s="75"/>
      <c r="H1192" s="59" t="str">
        <f ca="1">IFERROR(__xludf.DUMMYFUNCTION("""COMPUTED_VALUE"""),"UPDATE")</f>
        <v>UPDATE</v>
      </c>
      <c r="I1192" s="76" t="str">
        <f ca="1">IFERROR(__xludf.DUMMYFUNCTION("""COMPUTED_VALUE"""),"https://drive.google.com/open?id=1oqbuEwy4Aw5Qor0UVhhvtXJtVkwiaydx")</f>
        <v>https://drive.google.com/open?id=1oqbuEwy4Aw5Qor0UVhhvtXJtVkwiaydx</v>
      </c>
      <c r="J1192" s="59"/>
      <c r="K1192" s="59"/>
      <c r="L1192" s="59"/>
      <c r="M1192" s="59"/>
      <c r="N1192" s="59"/>
      <c r="O1192" s="59"/>
      <c r="P1192" s="59"/>
    </row>
    <row r="1193" spans="1:16">
      <c r="A1193" s="71">
        <f ca="1">IFERROR(__xludf.DUMMYFUNCTION("""COMPUTED_VALUE"""),44699.4700251041)</f>
        <v>44699.470025104099</v>
      </c>
      <c r="B1193" s="59" t="str">
        <f ca="1">IFERROR(__xludf.DUMMYFUNCTION("""COMPUTED_VALUE"""),"Gajjar Harshil Jayeshbhai")</f>
        <v>Gajjar Harshil Jayeshbhai</v>
      </c>
      <c r="C1193" s="72" t="str">
        <f ca="1">IFERROR(__xludf.DUMMYFUNCTION("""COMPUTED_VALUE"""),"20SDSCE01036")</f>
        <v>20SDSCE01036</v>
      </c>
      <c r="D1193" s="73">
        <f ca="1">IFERROR(__xludf.DUMMYFUNCTION("""COMPUTED_VALUE"""),44699)</f>
        <v>44699</v>
      </c>
      <c r="E1193" s="72"/>
      <c r="F1193" s="72"/>
      <c r="G1193" s="75"/>
      <c r="H1193" s="59" t="str">
        <f ca="1">IFERROR(__xludf.DUMMYFUNCTION("""COMPUTED_VALUE"""),"UPDATE")</f>
        <v>UPDATE</v>
      </c>
      <c r="I1193" s="76" t="str">
        <f ca="1">IFERROR(__xludf.DUMMYFUNCTION("""COMPUTED_VALUE"""),"https://drive.google.com/open?id=10f_pgFUsnN2DXp1uISWvuneSz_Z5Fxfl")</f>
        <v>https://drive.google.com/open?id=10f_pgFUsnN2DXp1uISWvuneSz_Z5Fxfl</v>
      </c>
      <c r="J1193" s="59"/>
      <c r="K1193" s="59"/>
      <c r="L1193" s="59"/>
      <c r="M1193" s="59"/>
      <c r="N1193" s="59"/>
      <c r="O1193" s="59"/>
      <c r="P1193" s="59"/>
    </row>
    <row r="1194" spans="1:16">
      <c r="A1194" s="71">
        <f ca="1">IFERROR(__xludf.DUMMYFUNCTION("""COMPUTED_VALUE"""),44698.4128973958)</f>
        <v>44698.4128973958</v>
      </c>
      <c r="B1194" s="59" t="str">
        <f ca="1">IFERROR(__xludf.DUMMYFUNCTION("""COMPUTED_VALUE"""),"Kariya jay Maheshbhai")</f>
        <v>Kariya jay Maheshbhai</v>
      </c>
      <c r="C1194" s="72" t="str">
        <f ca="1">IFERROR(__xludf.DUMMYFUNCTION("""COMPUTED_VALUE"""),"20SDSCE01052")</f>
        <v>20SDSCE01052</v>
      </c>
      <c r="D1194" s="73">
        <f ca="1">IFERROR(__xludf.DUMMYFUNCTION("""COMPUTED_VALUE"""),44698)</f>
        <v>44698</v>
      </c>
      <c r="E1194" s="72"/>
      <c r="F1194" s="72"/>
      <c r="G1194" s="75"/>
      <c r="H1194" s="59" t="str">
        <f ca="1">IFERROR(__xludf.DUMMYFUNCTION("""COMPUTED_VALUE"""),"UPDATE")</f>
        <v>UPDATE</v>
      </c>
      <c r="I1194" s="76" t="str">
        <f ca="1">IFERROR(__xludf.DUMMYFUNCTION("""COMPUTED_VALUE"""),"https://drive.google.com/open?id=1LdPd__IfVOwI0R9ZhUouvE3afz1c1ogl")</f>
        <v>https://drive.google.com/open?id=1LdPd__IfVOwI0R9ZhUouvE3afz1c1ogl</v>
      </c>
      <c r="J1194" s="59"/>
      <c r="K1194" s="59"/>
      <c r="L1194" s="59"/>
      <c r="M1194" s="59"/>
      <c r="N1194" s="59"/>
      <c r="O1194" s="59"/>
      <c r="P1194" s="59"/>
    </row>
    <row r="1195" spans="1:16">
      <c r="A1195" s="71">
        <f ca="1">IFERROR(__xludf.DUMMYFUNCTION("""COMPUTED_VALUE"""),44698.3819821412)</f>
        <v>44698.381982141203</v>
      </c>
      <c r="B1195" s="59" t="str">
        <f ca="1">IFERROR(__xludf.DUMMYFUNCTION("""COMPUTED_VALUE"""),"Vaghasia Bhargish Hareshbhai")</f>
        <v>Vaghasia Bhargish Hareshbhai</v>
      </c>
      <c r="C1195" s="72" t="str">
        <f ca="1">IFERROR(__xludf.DUMMYFUNCTION("""COMPUTED_VALUE"""),"20SDSCV01013")</f>
        <v>20SDSCV01013</v>
      </c>
      <c r="D1195" s="73">
        <f ca="1">IFERROR(__xludf.DUMMYFUNCTION("""COMPUTED_VALUE"""),44698)</f>
        <v>44698</v>
      </c>
      <c r="E1195" s="72"/>
      <c r="F1195" s="72">
        <f ca="1">IFERROR(__xludf.DUMMYFUNCTION("""COMPUTED_VALUE"""),2500)</f>
        <v>2500</v>
      </c>
      <c r="G1195" s="75"/>
      <c r="H1195" s="59" t="str">
        <f ca="1">IFERROR(__xludf.DUMMYFUNCTION("""COMPUTED_VALUE"""),"UPDATE")</f>
        <v>UPDATE</v>
      </c>
      <c r="I1195" s="76" t="str">
        <f ca="1">IFERROR(__xludf.DUMMYFUNCTION("""COMPUTED_VALUE"""),"https://drive.google.com/open?id=1rIlSmOM4-tkc5wSeZi2ttKbwqbgxn7O5")</f>
        <v>https://drive.google.com/open?id=1rIlSmOM4-tkc5wSeZi2ttKbwqbgxn7O5</v>
      </c>
      <c r="J1195" s="59"/>
      <c r="K1195" s="59"/>
      <c r="L1195" s="59"/>
      <c r="M1195" s="59"/>
      <c r="N1195" s="59"/>
      <c r="O1195" s="59"/>
      <c r="P1195" s="59"/>
    </row>
    <row r="1196" spans="1:16">
      <c r="A1196" s="71">
        <f ca="1">IFERROR(__xludf.DUMMYFUNCTION("""COMPUTED_VALUE"""),44696.466806493)</f>
        <v>44696.466806493001</v>
      </c>
      <c r="B1196" s="59" t="str">
        <f ca="1">IFERROR(__xludf.DUMMYFUNCTION("""COMPUTED_VALUE"""),"Dabhi mayur")</f>
        <v>Dabhi mayur</v>
      </c>
      <c r="C1196" s="72" t="str">
        <f ca="1">IFERROR(__xludf.DUMMYFUNCTION("""COMPUTED_VALUE"""),"20SDSME01007")</f>
        <v>20SDSME01007</v>
      </c>
      <c r="D1196" s="73">
        <f ca="1">IFERROR(__xludf.DUMMYFUNCTION("""COMPUTED_VALUE"""),44696)</f>
        <v>44696</v>
      </c>
      <c r="E1196" s="74">
        <f ca="1">IFERROR(__xludf.DUMMYFUNCTION("""COMPUTED_VALUE"""),25000)</f>
        <v>25000</v>
      </c>
      <c r="F1196" s="72">
        <f ca="1">IFERROR(__xludf.DUMMYFUNCTION("""COMPUTED_VALUE"""),1000)</f>
        <v>1000</v>
      </c>
      <c r="G1196" s="75"/>
      <c r="H1196" s="59" t="str">
        <f ca="1">IFERROR(__xludf.DUMMYFUNCTION("""COMPUTED_VALUE"""),"UPDATE")</f>
        <v>UPDATE</v>
      </c>
      <c r="I1196" s="76" t="str">
        <f ca="1">IFERROR(__xludf.DUMMYFUNCTION("""COMPUTED_VALUE"""),"https://drive.google.com/open?id=1B5zpJ4ffpDJbwYeyEzsFZ189QqKy8OUQ")</f>
        <v>https://drive.google.com/open?id=1B5zpJ4ffpDJbwYeyEzsFZ189QqKy8OUQ</v>
      </c>
      <c r="J1196" s="59"/>
      <c r="K1196" s="59"/>
      <c r="L1196" s="59"/>
      <c r="M1196" s="59"/>
      <c r="N1196" s="59"/>
      <c r="O1196" s="59"/>
      <c r="P1196" s="59"/>
    </row>
    <row r="1197" spans="1:16">
      <c r="A1197" s="71">
        <f ca="1">IFERROR(__xludf.DUMMYFUNCTION("""COMPUTED_VALUE"""),44695.6000653935)</f>
        <v>44695.600065393497</v>
      </c>
      <c r="B1197" s="59" t="str">
        <f ca="1">IFERROR(__xludf.DUMMYFUNCTION("""COMPUTED_VALUE"""),"Dabhi mayur")</f>
        <v>Dabhi mayur</v>
      </c>
      <c r="C1197" s="72" t="str">
        <f ca="1">IFERROR(__xludf.DUMMYFUNCTION("""COMPUTED_VALUE"""),"20SDSME01007")</f>
        <v>20SDSME01007</v>
      </c>
      <c r="D1197" s="73">
        <f ca="1">IFERROR(__xludf.DUMMYFUNCTION("""COMPUTED_VALUE"""),44685)</f>
        <v>44685</v>
      </c>
      <c r="E1197" s="72"/>
      <c r="F1197" s="72">
        <f ca="1">IFERROR(__xludf.DUMMYFUNCTION("""COMPUTED_VALUE"""),2500)</f>
        <v>2500</v>
      </c>
      <c r="G1197" s="75"/>
      <c r="H1197" s="59" t="str">
        <f ca="1">IFERROR(__xludf.DUMMYFUNCTION("""COMPUTED_VALUE"""),"UPDATE")</f>
        <v>UPDATE</v>
      </c>
      <c r="I1197" s="76" t="str">
        <f ca="1">IFERROR(__xludf.DUMMYFUNCTION("""COMPUTED_VALUE"""),"https://drive.google.com/open?id=1Obq2S1O1trAakdsYzMTAJ1ArD8tea6D4")</f>
        <v>https://drive.google.com/open?id=1Obq2S1O1trAakdsYzMTAJ1ArD8tea6D4</v>
      </c>
      <c r="J1197" s="59"/>
      <c r="K1197" s="59"/>
      <c r="L1197" s="59"/>
      <c r="M1197" s="59"/>
      <c r="N1197" s="59"/>
      <c r="O1197" s="59"/>
      <c r="P1197" s="59"/>
    </row>
    <row r="1198" spans="1:16">
      <c r="A1198" s="71">
        <f ca="1">IFERROR(__xludf.DUMMYFUNCTION("""COMPUTED_VALUE"""),44693.5426637731)</f>
        <v>44693.5426637731</v>
      </c>
      <c r="B1198" s="59" t="str">
        <f ca="1">IFERROR(__xludf.DUMMYFUNCTION("""COMPUTED_VALUE"""),"Zala girirajsinh balvantsinh")</f>
        <v>Zala girirajsinh balvantsinh</v>
      </c>
      <c r="C1198" s="72" t="str">
        <f ca="1">IFERROR(__xludf.DUMMYFUNCTION("""COMPUTED_VALUE"""),"21SDSCH11024")</f>
        <v>21SDSCH11024</v>
      </c>
      <c r="D1198" s="73">
        <f ca="1">IFERROR(__xludf.DUMMYFUNCTION("""COMPUTED_VALUE"""),44688)</f>
        <v>44688</v>
      </c>
      <c r="E1198" s="74">
        <f ca="1">IFERROR(__xludf.DUMMYFUNCTION("""COMPUTED_VALUE"""),20000)</f>
        <v>20000</v>
      </c>
      <c r="F1198" s="72">
        <f ca="1">IFERROR(__xludf.DUMMYFUNCTION("""COMPUTED_VALUE"""),2500)</f>
        <v>2500</v>
      </c>
      <c r="G1198" s="75"/>
      <c r="H1198" s="59" t="str">
        <f ca="1">IFERROR(__xludf.DUMMYFUNCTION("""COMPUTED_VALUE"""),"UPDATE")</f>
        <v>UPDATE</v>
      </c>
      <c r="I1198" s="76" t="str">
        <f ca="1">IFERROR(__xludf.DUMMYFUNCTION("""COMPUTED_VALUE"""),"https://drive.google.com/open?id=1OfJNbe_v7ifxwA1n4zXBaIxNmm_bQnkG")</f>
        <v>https://drive.google.com/open?id=1OfJNbe_v7ifxwA1n4zXBaIxNmm_bQnkG</v>
      </c>
      <c r="J1198" s="59"/>
      <c r="K1198" s="59"/>
      <c r="L1198" s="59"/>
      <c r="M1198" s="59"/>
      <c r="N1198" s="59"/>
      <c r="O1198" s="59"/>
      <c r="P1198" s="59"/>
    </row>
    <row r="1199" spans="1:16">
      <c r="A1199" s="71">
        <f ca="1">IFERROR(__xludf.DUMMYFUNCTION("""COMPUTED_VALUE"""),44693.4364472106)</f>
        <v>44693.436447210603</v>
      </c>
      <c r="B1199" s="59" t="str">
        <f ca="1">IFERROR(__xludf.DUMMYFUNCTION("""COMPUTED_VALUE"""),"Hadiyal harshil Maheshbhai ")</f>
        <v xml:space="preserve">Hadiyal harshil Maheshbhai </v>
      </c>
      <c r="C1199" s="72" t="str">
        <f ca="1">IFERROR(__xludf.DUMMYFUNCTION("""COMPUTED_VALUE"""),"20SDSCE01041")</f>
        <v>20SDSCE01041</v>
      </c>
      <c r="D1199" s="73">
        <f ca="1">IFERROR(__xludf.DUMMYFUNCTION("""COMPUTED_VALUE"""),44690)</f>
        <v>44690</v>
      </c>
      <c r="E1199" s="72"/>
      <c r="F1199" s="72"/>
      <c r="G1199" s="75"/>
      <c r="H1199" s="59" t="str">
        <f ca="1">IFERROR(__xludf.DUMMYFUNCTION("""COMPUTED_VALUE"""),"UPDATE")</f>
        <v>UPDATE</v>
      </c>
      <c r="I1199" s="76" t="str">
        <f ca="1">IFERROR(__xludf.DUMMYFUNCTION("""COMPUTED_VALUE"""),"https://drive.google.com/open?id=1oY6Jye0tmUpZRVllfOjphBmfvfjAEcgE")</f>
        <v>https://drive.google.com/open?id=1oY6Jye0tmUpZRVllfOjphBmfvfjAEcgE</v>
      </c>
      <c r="J1199" s="59"/>
      <c r="K1199" s="59"/>
      <c r="L1199" s="59"/>
      <c r="M1199" s="59"/>
      <c r="N1199" s="59"/>
      <c r="O1199" s="59"/>
      <c r="P1199" s="59"/>
    </row>
    <row r="1200" spans="1:16">
      <c r="A1200" s="71">
        <f ca="1">IFERROR(__xludf.DUMMYFUNCTION("""COMPUTED_VALUE"""),44693.4321949305)</f>
        <v>44693.432194930501</v>
      </c>
      <c r="B1200" s="59" t="str">
        <f ca="1">IFERROR(__xludf.DUMMYFUNCTION("""COMPUTED_VALUE"""),"Samarth Dadhaniya")</f>
        <v>Samarth Dadhaniya</v>
      </c>
      <c r="C1200" s="72" t="str">
        <f ca="1">IFERROR(__xludf.DUMMYFUNCTION("""COMPUTED_VALUE"""),"20SDSCE01023")</f>
        <v>20SDSCE01023</v>
      </c>
      <c r="D1200" s="73">
        <f ca="1">IFERROR(__xludf.DUMMYFUNCTION("""COMPUTED_VALUE"""),44693)</f>
        <v>44693</v>
      </c>
      <c r="E1200" s="74">
        <f ca="1">IFERROR(__xludf.DUMMYFUNCTION("""COMPUTED_VALUE"""),0)</f>
        <v>0</v>
      </c>
      <c r="F1200" s="72">
        <f ca="1">IFERROR(__xludf.DUMMYFUNCTION("""COMPUTED_VALUE"""),0)</f>
        <v>0</v>
      </c>
      <c r="G1200" s="75"/>
      <c r="H1200" s="59" t="str">
        <f ca="1">IFERROR(__xludf.DUMMYFUNCTION("""COMPUTED_VALUE"""),"UPDATE")</f>
        <v>UPDATE</v>
      </c>
      <c r="I1200" s="76" t="str">
        <f ca="1">IFERROR(__xludf.DUMMYFUNCTION("""COMPUTED_VALUE"""),"https://drive.google.com/open?id=1YexeMEAtiuf3Qw_KFAKTlNpz2uN7nlDr")</f>
        <v>https://drive.google.com/open?id=1YexeMEAtiuf3Qw_KFAKTlNpz2uN7nlDr</v>
      </c>
      <c r="J1200" s="59"/>
      <c r="K1200" s="59"/>
      <c r="L1200" s="59"/>
      <c r="M1200" s="59"/>
      <c r="N1200" s="59"/>
      <c r="O1200" s="59"/>
      <c r="P1200" s="59"/>
    </row>
    <row r="1201" spans="1:16">
      <c r="A1201" s="71">
        <f ca="1">IFERROR(__xludf.DUMMYFUNCTION("""COMPUTED_VALUE"""),44691.6107290625)</f>
        <v>44691.6107290625</v>
      </c>
      <c r="B1201" s="59" t="str">
        <f ca="1">IFERROR(__xludf.DUMMYFUNCTION("""COMPUTED_VALUE"""),"Raviraj Jagdishbhai Sarvaiya")</f>
        <v>Raviraj Jagdishbhai Sarvaiya</v>
      </c>
      <c r="C1201" s="72" t="str">
        <f ca="1">IFERROR(__xludf.DUMMYFUNCTION("""COMPUTED_VALUE"""),"21SDSCE01045")</f>
        <v>21SDSCE01045</v>
      </c>
      <c r="D1201" s="73">
        <f ca="1">IFERROR(__xludf.DUMMYFUNCTION("""COMPUTED_VALUE"""),44691)</f>
        <v>44691</v>
      </c>
      <c r="E1201" s="72"/>
      <c r="F1201" s="72"/>
      <c r="G1201" s="75"/>
      <c r="H1201" s="59" t="str">
        <f ca="1">IFERROR(__xludf.DUMMYFUNCTION("""COMPUTED_VALUE"""),"UPDATE")</f>
        <v>UPDATE</v>
      </c>
      <c r="I1201" s="76" t="str">
        <f ca="1">IFERROR(__xludf.DUMMYFUNCTION("""COMPUTED_VALUE"""),"https://drive.google.com/open?id=1KNGN_BCKn2Z0K6Efh7imxm5IhcsS4AoQ")</f>
        <v>https://drive.google.com/open?id=1KNGN_BCKn2Z0K6Efh7imxm5IhcsS4AoQ</v>
      </c>
      <c r="J1201" s="59"/>
      <c r="K1201" s="59"/>
      <c r="L1201" s="59"/>
      <c r="M1201" s="59"/>
      <c r="N1201" s="59"/>
      <c r="O1201" s="59"/>
      <c r="P1201" s="59"/>
    </row>
    <row r="1202" spans="1:16">
      <c r="A1202" s="71">
        <f ca="1">IFERROR(__xludf.DUMMYFUNCTION("""COMPUTED_VALUE"""),44691.4079798611)</f>
        <v>44691.407979861098</v>
      </c>
      <c r="B1202" s="59" t="str">
        <f ca="1">IFERROR(__xludf.DUMMYFUNCTION("""COMPUTED_VALUE"""),"Tilwani dhaval")</f>
        <v>Tilwani dhaval</v>
      </c>
      <c r="C1202" s="72" t="str">
        <f ca="1">IFERROR(__xludf.DUMMYFUNCTION("""COMPUTED_VALUE"""),"20sdsme01038")</f>
        <v>20sdsme01038</v>
      </c>
      <c r="D1202" s="73">
        <f ca="1">IFERROR(__xludf.DUMMYFUNCTION("""COMPUTED_VALUE"""),44691)</f>
        <v>44691</v>
      </c>
      <c r="E1202" s="72"/>
      <c r="F1202" s="72">
        <f ca="1">IFERROR(__xludf.DUMMYFUNCTION("""COMPUTED_VALUE"""),200)</f>
        <v>200</v>
      </c>
      <c r="G1202" s="75"/>
      <c r="H1202" s="59" t="str">
        <f ca="1">IFERROR(__xludf.DUMMYFUNCTION("""COMPUTED_VALUE"""),"UPDATE")</f>
        <v>UPDATE</v>
      </c>
      <c r="I1202" s="76" t="str">
        <f ca="1">IFERROR(__xludf.DUMMYFUNCTION("""COMPUTED_VALUE"""),"https://drive.google.com/open?id=1dKUGY_q0IevZWR34nvRVGSiWLiOh9GCL")</f>
        <v>https://drive.google.com/open?id=1dKUGY_q0IevZWR34nvRVGSiWLiOh9GCL</v>
      </c>
      <c r="J1202" s="59"/>
      <c r="K1202" s="59"/>
      <c r="L1202" s="59"/>
      <c r="M1202" s="59"/>
      <c r="N1202" s="59"/>
      <c r="O1202" s="59"/>
      <c r="P1202" s="59"/>
    </row>
    <row r="1203" spans="1:16">
      <c r="A1203" s="71">
        <f ca="1">IFERROR(__xludf.DUMMYFUNCTION("""COMPUTED_VALUE"""),44690.5990413425)</f>
        <v>44690.599041342502</v>
      </c>
      <c r="B1203" s="59" t="str">
        <f ca="1">IFERROR(__xludf.DUMMYFUNCTION("""COMPUTED_VALUE"""),"Hadiyal harshil Maheshbhai ")</f>
        <v xml:space="preserve">Hadiyal harshil Maheshbhai </v>
      </c>
      <c r="C1203" s="72" t="str">
        <f ca="1">IFERROR(__xludf.DUMMYFUNCTION("""COMPUTED_VALUE"""),"20SDSCE01041")</f>
        <v>20SDSCE01041</v>
      </c>
      <c r="D1203" s="73">
        <f ca="1">IFERROR(__xludf.DUMMYFUNCTION("""COMPUTED_VALUE"""),44337)</f>
        <v>44337</v>
      </c>
      <c r="E1203" s="72"/>
      <c r="F1203" s="72">
        <f ca="1">IFERROR(__xludf.DUMMYFUNCTION("""COMPUTED_VALUE"""),400)</f>
        <v>400</v>
      </c>
      <c r="G1203" s="75"/>
      <c r="H1203" s="59" t="str">
        <f ca="1">IFERROR(__xludf.DUMMYFUNCTION("""COMPUTED_VALUE"""),"UPDATE")</f>
        <v>UPDATE</v>
      </c>
      <c r="I1203" s="76" t="str">
        <f ca="1">IFERROR(__xludf.DUMMYFUNCTION("""COMPUTED_VALUE"""),"https://drive.google.com/open?id=1fDfyPV7ug50gWb_IuKenwiKeLIQw-R9H")</f>
        <v>https://drive.google.com/open?id=1fDfyPV7ug50gWb_IuKenwiKeLIQw-R9H</v>
      </c>
      <c r="J1203" s="59"/>
      <c r="K1203" s="59"/>
      <c r="L1203" s="59"/>
      <c r="M1203" s="59"/>
      <c r="N1203" s="59"/>
      <c r="O1203" s="59"/>
      <c r="P1203" s="59"/>
    </row>
    <row r="1204" spans="1:16">
      <c r="A1204" s="71">
        <f ca="1">IFERROR(__xludf.DUMMYFUNCTION("""COMPUTED_VALUE"""),44690.5560204282)</f>
        <v>44690.556020428201</v>
      </c>
      <c r="B1204" s="59" t="str">
        <f ca="1">IFERROR(__xludf.DUMMYFUNCTION("""COMPUTED_VALUE"""),"Bhavya Savaliya ")</f>
        <v xml:space="preserve">Bhavya Savaliya </v>
      </c>
      <c r="C1204" s="72" t="str">
        <f ca="1">IFERROR(__xludf.DUMMYFUNCTION("""COMPUTED_VALUE"""),"20SDSCE01109 ")</f>
        <v xml:space="preserve">20SDSCE01109 </v>
      </c>
      <c r="D1204" s="73">
        <f ca="1">IFERROR(__xludf.DUMMYFUNCTION("""COMPUTED_VALUE"""),44689)</f>
        <v>44689</v>
      </c>
      <c r="E1204" s="74">
        <f ca="1">IFERROR(__xludf.DUMMYFUNCTION("""COMPUTED_VALUE"""),25000)</f>
        <v>25000</v>
      </c>
      <c r="F1204" s="72"/>
      <c r="G1204" s="75"/>
      <c r="H1204" s="59" t="str">
        <f ca="1">IFERROR(__xludf.DUMMYFUNCTION("""COMPUTED_VALUE"""),"UPDATE")</f>
        <v>UPDATE</v>
      </c>
      <c r="I1204" s="76" t="str">
        <f ca="1">IFERROR(__xludf.DUMMYFUNCTION("""COMPUTED_VALUE"""),"https://drive.google.com/open?id=1iPWHWPTbsam2rrp53EO2MICCGwgwwKw1")</f>
        <v>https://drive.google.com/open?id=1iPWHWPTbsam2rrp53EO2MICCGwgwwKw1</v>
      </c>
      <c r="J1204" s="59"/>
      <c r="K1204" s="59"/>
      <c r="L1204" s="59"/>
      <c r="M1204" s="59"/>
      <c r="N1204" s="59"/>
      <c r="O1204" s="59"/>
      <c r="P1204" s="59"/>
    </row>
    <row r="1205" spans="1:16">
      <c r="A1205" s="71">
        <f ca="1">IFERROR(__xludf.DUMMYFUNCTION("""COMPUTED_VALUE"""),44689.8705866898)</f>
        <v>44689.870586689802</v>
      </c>
      <c r="B1205" s="59" t="str">
        <f ca="1">IFERROR(__xludf.DUMMYFUNCTION("""COMPUTED_VALUE"""),"Thummar Prashit Chimanbhai")</f>
        <v>Thummar Prashit Chimanbhai</v>
      </c>
      <c r="C1205" s="72" t="str">
        <f ca="1">IFERROR(__xludf.DUMMYFUNCTION("""COMPUTED_VALUE"""),"20SDSCE01121")</f>
        <v>20SDSCE01121</v>
      </c>
      <c r="D1205" s="73">
        <f ca="1">IFERROR(__xludf.DUMMYFUNCTION("""COMPUTED_VALUE"""),44689)</f>
        <v>44689</v>
      </c>
      <c r="E1205" s="74">
        <f ca="1">IFERROR(__xludf.DUMMYFUNCTION("""COMPUTED_VALUE"""),0)</f>
        <v>0</v>
      </c>
      <c r="F1205" s="72">
        <f ca="1">IFERROR(__xludf.DUMMYFUNCTION("""COMPUTED_VALUE"""),2500)</f>
        <v>2500</v>
      </c>
      <c r="G1205" s="75"/>
      <c r="H1205" s="59" t="str">
        <f ca="1">IFERROR(__xludf.DUMMYFUNCTION("""COMPUTED_VALUE"""),"UPDATE")</f>
        <v>UPDATE</v>
      </c>
      <c r="I1205" s="76" t="str">
        <f ca="1">IFERROR(__xludf.DUMMYFUNCTION("""COMPUTED_VALUE"""),"https://drive.google.com/open?id=1a_ZsyobJ1jDYDhnNLRh4WfqDv4SU-7PJ")</f>
        <v>https://drive.google.com/open?id=1a_ZsyobJ1jDYDhnNLRh4WfqDv4SU-7PJ</v>
      </c>
      <c r="J1205" s="59"/>
      <c r="K1205" s="59"/>
      <c r="L1205" s="59"/>
      <c r="M1205" s="59"/>
      <c r="N1205" s="59"/>
      <c r="O1205" s="59"/>
      <c r="P1205" s="59"/>
    </row>
    <row r="1206" spans="1:16">
      <c r="A1206" s="71">
        <f ca="1">IFERROR(__xludf.DUMMYFUNCTION("""COMPUTED_VALUE"""),44689.7289101388)</f>
        <v>44689.728910138801</v>
      </c>
      <c r="B1206" s="59" t="str">
        <f ca="1">IFERROR(__xludf.DUMMYFUNCTION("""COMPUTED_VALUE"""),"NeNs Patel")</f>
        <v>NeNs Patel</v>
      </c>
      <c r="C1206" s="72" t="str">
        <f ca="1">IFERROR(__xludf.DUMMYFUNCTION("""COMPUTED_VALUE"""),"20SDSME01035")</f>
        <v>20SDSME01035</v>
      </c>
      <c r="D1206" s="73">
        <f ca="1">IFERROR(__xludf.DUMMYFUNCTION("""COMPUTED_VALUE"""),44689)</f>
        <v>44689</v>
      </c>
      <c r="E1206" s="72"/>
      <c r="F1206" s="72">
        <f ca="1">IFERROR(__xludf.DUMMYFUNCTION("""COMPUTED_VALUE"""),200)</f>
        <v>200</v>
      </c>
      <c r="G1206" s="75"/>
      <c r="H1206" s="59" t="str">
        <f ca="1">IFERROR(__xludf.DUMMYFUNCTION("""COMPUTED_VALUE"""),"UPDATE")</f>
        <v>UPDATE</v>
      </c>
      <c r="I1206" s="76" t="str">
        <f ca="1">IFERROR(__xludf.DUMMYFUNCTION("""COMPUTED_VALUE"""),"https://drive.google.com/open?id=1SS0RG1Mb8syH8eNoyF9QYbPM83vfA7rR")</f>
        <v>https://drive.google.com/open?id=1SS0RG1Mb8syH8eNoyF9QYbPM83vfA7rR</v>
      </c>
      <c r="J1206" s="59"/>
      <c r="K1206" s="59"/>
      <c r="L1206" s="59"/>
      <c r="M1206" s="59"/>
      <c r="N1206" s="59"/>
      <c r="O1206" s="59"/>
      <c r="P1206" s="59"/>
    </row>
    <row r="1207" spans="1:16">
      <c r="A1207" s="71">
        <f ca="1">IFERROR(__xludf.DUMMYFUNCTION("""COMPUTED_VALUE"""),44688.3592767129)</f>
        <v>44688.359276712901</v>
      </c>
      <c r="B1207" s="59" t="str">
        <f ca="1">IFERROR(__xludf.DUMMYFUNCTION("""COMPUTED_VALUE"""),"Dhaduk Sarthak Sanjaybhai")</f>
        <v>Dhaduk Sarthak Sanjaybhai</v>
      </c>
      <c r="C1207" s="72" t="str">
        <f ca="1">IFERROR(__xludf.DUMMYFUNCTION("""COMPUTED_VALUE"""),"20SDSCE01027")</f>
        <v>20SDSCE01027</v>
      </c>
      <c r="D1207" s="73">
        <f ca="1">IFERROR(__xludf.DUMMYFUNCTION("""COMPUTED_VALUE"""),44687)</f>
        <v>44687</v>
      </c>
      <c r="E1207" s="74">
        <f ca="1">IFERROR(__xludf.DUMMYFUNCTION("""COMPUTED_VALUE"""),0)</f>
        <v>0</v>
      </c>
      <c r="F1207" s="72">
        <f ca="1">IFERROR(__xludf.DUMMYFUNCTION("""COMPUTED_VALUE"""),0)</f>
        <v>0</v>
      </c>
      <c r="G1207" s="75"/>
      <c r="H1207" s="59" t="str">
        <f ca="1">IFERROR(__xludf.DUMMYFUNCTION("""COMPUTED_VALUE"""),"UPDATE")</f>
        <v>UPDATE</v>
      </c>
      <c r="I1207" s="76" t="str">
        <f ca="1">IFERROR(__xludf.DUMMYFUNCTION("""COMPUTED_VALUE"""),"https://drive.google.com/open?id=1o_FmVqf5NiP84Zyh-Y1_dza1_t6U9o-2")</f>
        <v>https://drive.google.com/open?id=1o_FmVqf5NiP84Zyh-Y1_dza1_t6U9o-2</v>
      </c>
      <c r="J1207" s="59"/>
      <c r="K1207" s="59"/>
      <c r="L1207" s="59"/>
      <c r="M1207" s="59"/>
      <c r="N1207" s="59"/>
      <c r="O1207" s="59"/>
      <c r="P1207" s="59"/>
    </row>
    <row r="1208" spans="1:16">
      <c r="A1208" s="71">
        <f ca="1">IFERROR(__xludf.DUMMYFUNCTION("""COMPUTED_VALUE"""),44687.8867297569)</f>
        <v>44687.886729756901</v>
      </c>
      <c r="B1208" s="59" t="str">
        <f ca="1">IFERROR(__xludf.DUMMYFUNCTION("""COMPUTED_VALUE"""),"Khushi Bhimani ")</f>
        <v xml:space="preserve">Khushi Bhimani </v>
      </c>
      <c r="C1208" s="72" t="str">
        <f ca="1">IFERROR(__xludf.DUMMYFUNCTION("""COMPUTED_VALUE"""),"20SDSCE01013 ")</f>
        <v xml:space="preserve">20SDSCE01013 </v>
      </c>
      <c r="D1208" s="73">
        <f ca="1">IFERROR(__xludf.DUMMYFUNCTION("""COMPUTED_VALUE"""),44572)</f>
        <v>44572</v>
      </c>
      <c r="E1208" s="72"/>
      <c r="F1208" s="72">
        <f ca="1">IFERROR(__xludf.DUMMYFUNCTION("""COMPUTED_VALUE"""),2500)</f>
        <v>2500</v>
      </c>
      <c r="G1208" s="75"/>
      <c r="H1208" s="59" t="str">
        <f ca="1">IFERROR(__xludf.DUMMYFUNCTION("""COMPUTED_VALUE"""),"UPDATE")</f>
        <v>UPDATE</v>
      </c>
      <c r="I1208" s="76" t="str">
        <f ca="1">IFERROR(__xludf.DUMMYFUNCTION("""COMPUTED_VALUE"""),"https://drive.google.com/open?id=1BcTYOq4PKV424BPXCnbsdDxX15_BDw2q")</f>
        <v>https://drive.google.com/open?id=1BcTYOq4PKV424BPXCnbsdDxX15_BDw2q</v>
      </c>
      <c r="J1208" s="59"/>
      <c r="K1208" s="59"/>
      <c r="L1208" s="59"/>
      <c r="M1208" s="59"/>
      <c r="N1208" s="59"/>
      <c r="O1208" s="59"/>
      <c r="P1208" s="59"/>
    </row>
    <row r="1209" spans="1:16">
      <c r="A1209" s="71">
        <f ca="1">IFERROR(__xludf.DUMMYFUNCTION("""COMPUTED_VALUE"""),44687.7339684259)</f>
        <v>44687.733968425899</v>
      </c>
      <c r="B1209" s="59" t="str">
        <f ca="1">IFERROR(__xludf.DUMMYFUNCTION("""COMPUTED_VALUE"""),"Khoradiya savan M")</f>
        <v>Khoradiya savan M</v>
      </c>
      <c r="C1209" s="72" t="str">
        <f ca="1">IFERROR(__xludf.DUMMYFUNCTION("""COMPUTED_VALUE"""),"20sdsee01013")</f>
        <v>20sdsee01013</v>
      </c>
      <c r="D1209" s="73">
        <f ca="1">IFERROR(__xludf.DUMMYFUNCTION("""COMPUTED_VALUE"""),44685)</f>
        <v>44685</v>
      </c>
      <c r="E1209" s="72"/>
      <c r="F1209" s="72"/>
      <c r="G1209" s="75"/>
      <c r="H1209" s="59" t="str">
        <f ca="1">IFERROR(__xludf.DUMMYFUNCTION("""COMPUTED_VALUE"""),"UPDATE")</f>
        <v>UPDATE</v>
      </c>
      <c r="I1209" s="76" t="str">
        <f ca="1">IFERROR(__xludf.DUMMYFUNCTION("""COMPUTED_VALUE"""),"https://drive.google.com/open?id=16nP-LCizOHGCozd9YhWxi7D1O66oEH_O")</f>
        <v>https://drive.google.com/open?id=16nP-LCizOHGCozd9YhWxi7D1O66oEH_O</v>
      </c>
      <c r="J1209" s="59"/>
      <c r="K1209" s="59"/>
      <c r="L1209" s="59"/>
      <c r="M1209" s="59"/>
      <c r="N1209" s="59"/>
      <c r="O1209" s="59"/>
      <c r="P1209" s="59"/>
    </row>
    <row r="1210" spans="1:16">
      <c r="A1210" s="71">
        <f ca="1">IFERROR(__xludf.DUMMYFUNCTION("""COMPUTED_VALUE"""),44687.73323728)</f>
        <v>44687.733237280001</v>
      </c>
      <c r="B1210" s="59" t="str">
        <f ca="1">IFERROR(__xludf.DUMMYFUNCTION("""COMPUTED_VALUE"""),"SmitKumar Sureshbhai Panara")</f>
        <v>SmitKumar Sureshbhai Panara</v>
      </c>
      <c r="C1210" s="72" t="str">
        <f ca="1">IFERROR(__xludf.DUMMYFUNCTION("""COMPUTED_VALUE"""),"20sdsce01074")</f>
        <v>20sdsce01074</v>
      </c>
      <c r="D1210" s="73">
        <f ca="1">IFERROR(__xludf.DUMMYFUNCTION("""COMPUTED_VALUE"""),44685)</f>
        <v>44685</v>
      </c>
      <c r="E1210" s="74">
        <f ca="1">IFERROR(__xludf.DUMMYFUNCTION("""COMPUTED_VALUE"""),0)</f>
        <v>0</v>
      </c>
      <c r="F1210" s="72">
        <f ca="1">IFERROR(__xludf.DUMMYFUNCTION("""COMPUTED_VALUE"""),0)</f>
        <v>0</v>
      </c>
      <c r="G1210" s="75"/>
      <c r="H1210" s="59" t="str">
        <f ca="1">IFERROR(__xludf.DUMMYFUNCTION("""COMPUTED_VALUE"""),"UPDATE")</f>
        <v>UPDATE</v>
      </c>
      <c r="I1210" s="76" t="str">
        <f ca="1">IFERROR(__xludf.DUMMYFUNCTION("""COMPUTED_VALUE"""),"https://drive.google.com/open?id=1E8hcmH-pmazwALhwZ4HnD6KoloiC6Tj7")</f>
        <v>https://drive.google.com/open?id=1E8hcmH-pmazwALhwZ4HnD6KoloiC6Tj7</v>
      </c>
      <c r="J1210" s="59"/>
      <c r="K1210" s="59"/>
      <c r="L1210" s="59"/>
      <c r="M1210" s="59"/>
      <c r="N1210" s="59"/>
      <c r="O1210" s="59"/>
      <c r="P1210" s="59"/>
    </row>
    <row r="1211" spans="1:16">
      <c r="A1211" s="71">
        <f ca="1">IFERROR(__xludf.DUMMYFUNCTION("""COMPUTED_VALUE"""),44686.4806193171)</f>
        <v>44686.480619317103</v>
      </c>
      <c r="B1211" s="59" t="str">
        <f ca="1">IFERROR(__xludf.DUMMYFUNCTION("""COMPUTED_VALUE"""),"Hapaliya sunny")</f>
        <v>Hapaliya sunny</v>
      </c>
      <c r="C1211" s="72" t="str">
        <f ca="1">IFERROR(__xludf.DUMMYFUNCTION("""COMPUTED_VALUE"""),"20SDSCE01042")</f>
        <v>20SDSCE01042</v>
      </c>
      <c r="D1211" s="73">
        <f ca="1">IFERROR(__xludf.DUMMYFUNCTION("""COMPUTED_VALUE"""),44686)</f>
        <v>44686</v>
      </c>
      <c r="E1211" s="72"/>
      <c r="F1211" s="72">
        <f ca="1">IFERROR(__xludf.DUMMYFUNCTION("""COMPUTED_VALUE"""),2500)</f>
        <v>2500</v>
      </c>
      <c r="G1211" s="75"/>
      <c r="H1211" s="59" t="str">
        <f ca="1">IFERROR(__xludf.DUMMYFUNCTION("""COMPUTED_VALUE"""),"UPDATE")</f>
        <v>UPDATE</v>
      </c>
      <c r="I1211" s="76" t="str">
        <f ca="1">IFERROR(__xludf.DUMMYFUNCTION("""COMPUTED_VALUE"""),"https://drive.google.com/open?id=1RarPNUtovo-fEUxr_JLwEe5wr6ijJREh")</f>
        <v>https://drive.google.com/open?id=1RarPNUtovo-fEUxr_JLwEe5wr6ijJREh</v>
      </c>
      <c r="J1211" s="59"/>
      <c r="K1211" s="59"/>
      <c r="L1211" s="59"/>
      <c r="M1211" s="59"/>
      <c r="N1211" s="59"/>
      <c r="O1211" s="59"/>
      <c r="P1211" s="59"/>
    </row>
    <row r="1212" spans="1:16">
      <c r="A1212" s="71">
        <f ca="1">IFERROR(__xludf.DUMMYFUNCTION("""COMPUTED_VALUE"""),44686.4796896412)</f>
        <v>44686.479689641201</v>
      </c>
      <c r="B1212" s="59" t="str">
        <f ca="1">IFERROR(__xludf.DUMMYFUNCTION("""COMPUTED_VALUE"""),"Hapaliya sunny")</f>
        <v>Hapaliya sunny</v>
      </c>
      <c r="C1212" s="72" t="str">
        <f ca="1">IFERROR(__xludf.DUMMYFUNCTION("""COMPUTED_VALUE"""),"20SDSCE01042")</f>
        <v>20SDSCE01042</v>
      </c>
      <c r="D1212" s="73">
        <f ca="1">IFERROR(__xludf.DUMMYFUNCTION("""COMPUTED_VALUE"""),44686)</f>
        <v>44686</v>
      </c>
      <c r="E1212" s="74">
        <f ca="1">IFERROR(__xludf.DUMMYFUNCTION("""COMPUTED_VALUE"""),12500)</f>
        <v>12500</v>
      </c>
      <c r="F1212" s="72"/>
      <c r="G1212" s="75"/>
      <c r="H1212" s="59" t="str">
        <f ca="1">IFERROR(__xludf.DUMMYFUNCTION("""COMPUTED_VALUE"""),"UPDATE")</f>
        <v>UPDATE</v>
      </c>
      <c r="I1212" s="76" t="str">
        <f ca="1">IFERROR(__xludf.DUMMYFUNCTION("""COMPUTED_VALUE"""),"https://drive.google.com/open?id=1ZkXBzBjCOyrWAU2mqNyhwJPxBPpbqx-d")</f>
        <v>https://drive.google.com/open?id=1ZkXBzBjCOyrWAU2mqNyhwJPxBPpbqx-d</v>
      </c>
      <c r="J1212" s="59"/>
      <c r="K1212" s="59"/>
      <c r="L1212" s="59"/>
      <c r="M1212" s="59"/>
      <c r="N1212" s="59"/>
      <c r="O1212" s="59"/>
      <c r="P1212" s="59"/>
    </row>
    <row r="1213" spans="1:16">
      <c r="A1213" s="71">
        <f ca="1">IFERROR(__xludf.DUMMYFUNCTION("""COMPUTED_VALUE"""),44686.4788120949)</f>
        <v>44686.478812094902</v>
      </c>
      <c r="B1213" s="59" t="str">
        <f ca="1">IFERROR(__xludf.DUMMYFUNCTION("""COMPUTED_VALUE"""),"Sunny hapliya")</f>
        <v>Sunny hapliya</v>
      </c>
      <c r="C1213" s="72" t="str">
        <f ca="1">IFERROR(__xludf.DUMMYFUNCTION("""COMPUTED_VALUE"""),"20SDSCE01042")</f>
        <v>20SDSCE01042</v>
      </c>
      <c r="D1213" s="73">
        <f ca="1">IFERROR(__xludf.DUMMYFUNCTION("""COMPUTED_VALUE"""),44686)</f>
        <v>44686</v>
      </c>
      <c r="E1213" s="74">
        <f ca="1">IFERROR(__xludf.DUMMYFUNCTION("""COMPUTED_VALUE"""),12500)</f>
        <v>12500</v>
      </c>
      <c r="F1213" s="72">
        <f ca="1">IFERROR(__xludf.DUMMYFUNCTION("""COMPUTED_VALUE"""),2500)</f>
        <v>2500</v>
      </c>
      <c r="G1213" s="75"/>
      <c r="H1213" s="59" t="str">
        <f ca="1">IFERROR(__xludf.DUMMYFUNCTION("""COMPUTED_VALUE"""),"UPDATE")</f>
        <v>UPDATE</v>
      </c>
      <c r="I1213" s="76" t="str">
        <f ca="1">IFERROR(__xludf.DUMMYFUNCTION("""COMPUTED_VALUE"""),"https://drive.google.com/open?id=1fN_O3hnHRiBx_M1snlbVqh7Cx4on1nPA")</f>
        <v>https://drive.google.com/open?id=1fN_O3hnHRiBx_M1snlbVqh7Cx4on1nPA</v>
      </c>
      <c r="J1213" s="59"/>
      <c r="K1213" s="59"/>
      <c r="L1213" s="59"/>
      <c r="M1213" s="59"/>
      <c r="N1213" s="59"/>
      <c r="O1213" s="59"/>
      <c r="P1213" s="59"/>
    </row>
    <row r="1214" spans="1:16">
      <c r="A1214" s="71">
        <f ca="1">IFERROR(__xludf.DUMMYFUNCTION("""COMPUTED_VALUE"""),44686.4402919444)</f>
        <v>44686.440291944396</v>
      </c>
      <c r="B1214" s="59" t="str">
        <f ca="1">IFERROR(__xludf.DUMMYFUNCTION("""COMPUTED_VALUE"""),"Meet Vasant")</f>
        <v>Meet Vasant</v>
      </c>
      <c r="C1214" s="72" t="str">
        <f ca="1">IFERROR(__xludf.DUMMYFUNCTION("""COMPUTED_VALUE"""),"20SDSCE01138")</f>
        <v>20SDSCE01138</v>
      </c>
      <c r="D1214" s="73">
        <f ca="1">IFERROR(__xludf.DUMMYFUNCTION("""COMPUTED_VALUE"""),44686)</f>
        <v>44686</v>
      </c>
      <c r="E1214" s="74">
        <f ca="1">IFERROR(__xludf.DUMMYFUNCTION("""COMPUTED_VALUE"""),27500)</f>
        <v>27500</v>
      </c>
      <c r="F1214" s="72">
        <f ca="1">IFERROR(__xludf.DUMMYFUNCTION("""COMPUTED_VALUE"""),2500)</f>
        <v>2500</v>
      </c>
      <c r="G1214" s="75"/>
      <c r="H1214" s="59" t="str">
        <f ca="1">IFERROR(__xludf.DUMMYFUNCTION("""COMPUTED_VALUE"""),"UPDATE")</f>
        <v>UPDATE</v>
      </c>
      <c r="I1214" s="76" t="str">
        <f ca="1">IFERROR(__xludf.DUMMYFUNCTION("""COMPUTED_VALUE"""),"https://drive.google.com/open?id=1MI63g866dAAnJVMamzMeyxdoRGbtNw3g")</f>
        <v>https://drive.google.com/open?id=1MI63g866dAAnJVMamzMeyxdoRGbtNw3g</v>
      </c>
      <c r="J1214" s="59"/>
      <c r="K1214" s="59"/>
      <c r="L1214" s="59"/>
      <c r="M1214" s="59"/>
      <c r="N1214" s="59"/>
      <c r="O1214" s="59"/>
      <c r="P1214" s="59"/>
    </row>
    <row r="1215" spans="1:16">
      <c r="A1215" s="71">
        <f ca="1">IFERROR(__xludf.DUMMYFUNCTION("""COMPUTED_VALUE"""),44686.4389685995)</f>
        <v>44686.438968599497</v>
      </c>
      <c r="B1215" s="59" t="str">
        <f ca="1">IFERROR(__xludf.DUMMYFUNCTION("""COMPUTED_VALUE"""),"Meet Vasant")</f>
        <v>Meet Vasant</v>
      </c>
      <c r="C1215" s="72" t="str">
        <f ca="1">IFERROR(__xludf.DUMMYFUNCTION("""COMPUTED_VALUE"""),"20SDSCE01138")</f>
        <v>20SDSCE01138</v>
      </c>
      <c r="D1215" s="73">
        <f ca="1">IFERROR(__xludf.DUMMYFUNCTION("""COMPUTED_VALUE"""),44686)</f>
        <v>44686</v>
      </c>
      <c r="E1215" s="74">
        <f ca="1">IFERROR(__xludf.DUMMYFUNCTION("""COMPUTED_VALUE"""),27500)</f>
        <v>27500</v>
      </c>
      <c r="F1215" s="72">
        <f ca="1">IFERROR(__xludf.DUMMYFUNCTION("""COMPUTED_VALUE"""),2500)</f>
        <v>2500</v>
      </c>
      <c r="G1215" s="75"/>
      <c r="H1215" s="59" t="str">
        <f ca="1">IFERROR(__xludf.DUMMYFUNCTION("""COMPUTED_VALUE"""),"UPDATE")</f>
        <v>UPDATE</v>
      </c>
      <c r="I1215" s="76" t="str">
        <f ca="1">IFERROR(__xludf.DUMMYFUNCTION("""COMPUTED_VALUE"""),"https://drive.google.com/open?id=1ZqrH8PxUYAF2t1hqumf0dtdSkzbGj15p")</f>
        <v>https://drive.google.com/open?id=1ZqrH8PxUYAF2t1hqumf0dtdSkzbGj15p</v>
      </c>
      <c r="J1215" s="59"/>
      <c r="K1215" s="59"/>
      <c r="L1215" s="59"/>
      <c r="M1215" s="59"/>
      <c r="N1215" s="59"/>
      <c r="O1215" s="59"/>
      <c r="P1215" s="59"/>
    </row>
    <row r="1216" spans="1:16">
      <c r="A1216" s="71">
        <f ca="1">IFERROR(__xludf.DUMMYFUNCTION("""COMPUTED_VALUE"""),44686.4152707407)</f>
        <v>44686.415270740697</v>
      </c>
      <c r="B1216" s="59" t="str">
        <f ca="1">IFERROR(__xludf.DUMMYFUNCTION("""COMPUTED_VALUE"""),"utsav limbasiya")</f>
        <v>utsav limbasiya</v>
      </c>
      <c r="C1216" s="72" t="str">
        <f ca="1">IFERROR(__xludf.DUMMYFUNCTION("""COMPUTED_VALUE"""),"20sdsce01059")</f>
        <v>20sdsce01059</v>
      </c>
      <c r="D1216" s="73">
        <f ca="1">IFERROR(__xludf.DUMMYFUNCTION("""COMPUTED_VALUE"""),44705)</f>
        <v>44705</v>
      </c>
      <c r="E1216" s="72"/>
      <c r="F1216" s="72">
        <f ca="1">IFERROR(__xludf.DUMMYFUNCTION("""COMPUTED_VALUE"""),2500)</f>
        <v>2500</v>
      </c>
      <c r="G1216" s="75"/>
      <c r="H1216" s="59" t="str">
        <f ca="1">IFERROR(__xludf.DUMMYFUNCTION("""COMPUTED_VALUE"""),"UPDATE")</f>
        <v>UPDATE</v>
      </c>
      <c r="I1216" s="76" t="str">
        <f ca="1">IFERROR(__xludf.DUMMYFUNCTION("""COMPUTED_VALUE"""),"https://drive.google.com/open?id=1Xr4gWNXJAJ-KL87KDkoBa6KbPHdnakTB")</f>
        <v>https://drive.google.com/open?id=1Xr4gWNXJAJ-KL87KDkoBa6KbPHdnakTB</v>
      </c>
      <c r="J1216" s="59"/>
      <c r="K1216" s="59"/>
      <c r="L1216" s="59"/>
      <c r="M1216" s="59"/>
      <c r="N1216" s="59"/>
      <c r="O1216" s="59"/>
      <c r="P1216" s="59"/>
    </row>
    <row r="1217" spans="1:16">
      <c r="A1217" s="71">
        <f ca="1">IFERROR(__xludf.DUMMYFUNCTION("""COMPUTED_VALUE"""),44686.4149025115)</f>
        <v>44686.414902511497</v>
      </c>
      <c r="B1217" s="59" t="str">
        <f ca="1">IFERROR(__xludf.DUMMYFUNCTION("""COMPUTED_VALUE"""),"Hadiyal harshil Maheshbhai ")</f>
        <v xml:space="preserve">Hadiyal harshil Maheshbhai </v>
      </c>
      <c r="C1217" s="72" t="str">
        <f ca="1">IFERROR(__xludf.DUMMYFUNCTION("""COMPUTED_VALUE"""),"20SDSCE01041")</f>
        <v>20SDSCE01041</v>
      </c>
      <c r="D1217" s="73">
        <f ca="1">IFERROR(__xludf.DUMMYFUNCTION("""COMPUTED_VALUE"""),44572)</f>
        <v>44572</v>
      </c>
      <c r="E1217" s="74">
        <f ca="1">IFERROR(__xludf.DUMMYFUNCTION("""COMPUTED_VALUE"""),25000)</f>
        <v>25000</v>
      </c>
      <c r="F1217" s="72">
        <f ca="1">IFERROR(__xludf.DUMMYFUNCTION("""COMPUTED_VALUE"""),2500)</f>
        <v>2500</v>
      </c>
      <c r="G1217" s="75"/>
      <c r="H1217" s="59" t="str">
        <f ca="1">IFERROR(__xludf.DUMMYFUNCTION("""COMPUTED_VALUE"""),"UPDATE")</f>
        <v>UPDATE</v>
      </c>
      <c r="I1217" s="76" t="str">
        <f ca="1">IFERROR(__xludf.DUMMYFUNCTION("""COMPUTED_VALUE"""),"https://drive.google.com/open?id=1aVM9t35SYlm7hwBuMo6llEX5GbFaPbDe")</f>
        <v>https://drive.google.com/open?id=1aVM9t35SYlm7hwBuMo6llEX5GbFaPbDe</v>
      </c>
      <c r="J1217" s="59"/>
      <c r="K1217" s="59"/>
      <c r="L1217" s="59"/>
      <c r="M1217" s="59"/>
      <c r="N1217" s="59"/>
      <c r="O1217" s="59"/>
      <c r="P1217" s="59"/>
    </row>
    <row r="1218" spans="1:16">
      <c r="A1218" s="71">
        <f ca="1">IFERROR(__xludf.DUMMYFUNCTION("""COMPUTED_VALUE"""),44686.4128925578)</f>
        <v>44686.412892557797</v>
      </c>
      <c r="B1218" s="59" t="str">
        <f ca="1">IFERROR(__xludf.DUMMYFUNCTION("""COMPUTED_VALUE"""),"utsav limbasiya")</f>
        <v>utsav limbasiya</v>
      </c>
      <c r="C1218" s="72" t="str">
        <f ca="1">IFERROR(__xludf.DUMMYFUNCTION("""COMPUTED_VALUE"""),"20sdsce01059")</f>
        <v>20sdsce01059</v>
      </c>
      <c r="D1218" s="73">
        <f ca="1">IFERROR(__xludf.DUMMYFUNCTION("""COMPUTED_VALUE"""),44591)</f>
        <v>44591</v>
      </c>
      <c r="E1218" s="74">
        <f ca="1">IFERROR(__xludf.DUMMYFUNCTION("""COMPUTED_VALUE"""),2500)</f>
        <v>2500</v>
      </c>
      <c r="F1218" s="72">
        <f ca="1">IFERROR(__xludf.DUMMYFUNCTION("""COMPUTED_VALUE"""),2500)</f>
        <v>2500</v>
      </c>
      <c r="G1218" s="75"/>
      <c r="H1218" s="59" t="str">
        <f ca="1">IFERROR(__xludf.DUMMYFUNCTION("""COMPUTED_VALUE"""),"UPDATE")</f>
        <v>UPDATE</v>
      </c>
      <c r="I1218" s="76" t="str">
        <f ca="1">IFERROR(__xludf.DUMMYFUNCTION("""COMPUTED_VALUE"""),"https://drive.google.com/open?id=14v-Na-5HE1NyZeSN_vxISH2DUo8wm-y5")</f>
        <v>https://drive.google.com/open?id=14v-Na-5HE1NyZeSN_vxISH2DUo8wm-y5</v>
      </c>
      <c r="J1218" s="59"/>
      <c r="K1218" s="59"/>
      <c r="L1218" s="59"/>
      <c r="M1218" s="59"/>
      <c r="N1218" s="59"/>
      <c r="O1218" s="59"/>
      <c r="P1218" s="59"/>
    </row>
    <row r="1219" spans="1:16">
      <c r="A1219" s="71">
        <f ca="1">IFERROR(__xludf.DUMMYFUNCTION("""COMPUTED_VALUE"""),44685.6473813773)</f>
        <v>44685.647381377297</v>
      </c>
      <c r="B1219" s="59" t="str">
        <f ca="1">IFERROR(__xludf.DUMMYFUNCTION("""COMPUTED_VALUE"""),"Jenish Kotadiya ")</f>
        <v xml:space="preserve">Jenish Kotadiya </v>
      </c>
      <c r="C1219" s="72" t="str">
        <f ca="1">IFERROR(__xludf.DUMMYFUNCTION("""COMPUTED_VALUE"""),"21SDSCE01081")</f>
        <v>21SDSCE01081</v>
      </c>
      <c r="D1219" s="73">
        <f ca="1">IFERROR(__xludf.DUMMYFUNCTION("""COMPUTED_VALUE"""),44685)</f>
        <v>44685</v>
      </c>
      <c r="E1219" s="72"/>
      <c r="F1219" s="72"/>
      <c r="G1219" s="75"/>
      <c r="H1219" s="59" t="str">
        <f ca="1">IFERROR(__xludf.DUMMYFUNCTION("""COMPUTED_VALUE"""),"UPDATE")</f>
        <v>UPDATE</v>
      </c>
      <c r="I1219" s="76" t="str">
        <f ca="1">IFERROR(__xludf.DUMMYFUNCTION("""COMPUTED_VALUE"""),"https://drive.google.com/open?id=1cS9As3L40XshVCmOBFAPGBA4kQNjFVJ-")</f>
        <v>https://drive.google.com/open?id=1cS9As3L40XshVCmOBFAPGBA4kQNjFVJ-</v>
      </c>
      <c r="J1219" s="59"/>
      <c r="K1219" s="59"/>
      <c r="L1219" s="59"/>
      <c r="M1219" s="59"/>
      <c r="N1219" s="59"/>
      <c r="O1219" s="59"/>
      <c r="P1219" s="59"/>
    </row>
    <row r="1220" spans="1:16">
      <c r="A1220" s="71">
        <f ca="1">IFERROR(__xludf.DUMMYFUNCTION("""COMPUTED_VALUE"""),44685.6357582986)</f>
        <v>44685.635758298602</v>
      </c>
      <c r="B1220" s="59" t="str">
        <f ca="1">IFERROR(__xludf.DUMMYFUNCTION("""COMPUTED_VALUE"""),"Dabhi mayur")</f>
        <v>Dabhi mayur</v>
      </c>
      <c r="C1220" s="72" t="str">
        <f ca="1">IFERROR(__xludf.DUMMYFUNCTION("""COMPUTED_VALUE"""),"20sdsme01007")</f>
        <v>20sdsme01007</v>
      </c>
      <c r="D1220" s="73">
        <f ca="1">IFERROR(__xludf.DUMMYFUNCTION("""COMPUTED_VALUE"""),44685)</f>
        <v>44685</v>
      </c>
      <c r="E1220" s="72"/>
      <c r="F1220" s="72">
        <f ca="1">IFERROR(__xludf.DUMMYFUNCTION("""COMPUTED_VALUE"""),2500)</f>
        <v>2500</v>
      </c>
      <c r="G1220" s="75"/>
      <c r="H1220" s="59" t="str">
        <f ca="1">IFERROR(__xludf.DUMMYFUNCTION("""COMPUTED_VALUE"""),"UPDATE")</f>
        <v>UPDATE</v>
      </c>
      <c r="I1220" s="76" t="str">
        <f ca="1">IFERROR(__xludf.DUMMYFUNCTION("""COMPUTED_VALUE"""),"https://drive.google.com/open?id=1onIL5no9pNtXwHVQchscuEnei6qjLTGR")</f>
        <v>https://drive.google.com/open?id=1onIL5no9pNtXwHVQchscuEnei6qjLTGR</v>
      </c>
      <c r="J1220" s="59"/>
      <c r="K1220" s="59"/>
      <c r="L1220" s="59"/>
      <c r="M1220" s="59"/>
      <c r="N1220" s="59"/>
      <c r="O1220" s="59"/>
      <c r="P1220" s="59"/>
    </row>
    <row r="1221" spans="1:16">
      <c r="A1221" s="71">
        <f ca="1">IFERROR(__xludf.DUMMYFUNCTION("""COMPUTED_VALUE"""),44680.4392796527)</f>
        <v>44680.439279652703</v>
      </c>
      <c r="B1221" s="59" t="str">
        <f ca="1">IFERROR(__xludf.DUMMYFUNCTION("""COMPUTED_VALUE"""),"TILWANI DHAVAL ")</f>
        <v xml:space="preserve">TILWANI DHAVAL </v>
      </c>
      <c r="C1221" s="72" t="str">
        <f ca="1">IFERROR(__xludf.DUMMYFUNCTION("""COMPUTED_VALUE"""),"20SDSME01038")</f>
        <v>20SDSME01038</v>
      </c>
      <c r="D1221" s="73">
        <f ca="1">IFERROR(__xludf.DUMMYFUNCTION("""COMPUTED_VALUE"""),44674)</f>
        <v>44674</v>
      </c>
      <c r="E1221" s="74">
        <f ca="1">IFERROR(__xludf.DUMMYFUNCTION("""COMPUTED_VALUE"""),0)</f>
        <v>0</v>
      </c>
      <c r="F1221" s="72">
        <f ca="1">IFERROR(__xludf.DUMMYFUNCTION("""COMPUTED_VALUE"""),2500)</f>
        <v>2500</v>
      </c>
      <c r="G1221" s="75"/>
      <c r="H1221" s="59" t="str">
        <f ca="1">IFERROR(__xludf.DUMMYFUNCTION("""COMPUTED_VALUE"""),"UPDATE")</f>
        <v>UPDATE</v>
      </c>
      <c r="I1221" s="76" t="str">
        <f ca="1">IFERROR(__xludf.DUMMYFUNCTION("""COMPUTED_VALUE"""),"https://drive.google.com/open?id=1eF34HbefAkEOEx02vhzoUIO9qXBrdO3i")</f>
        <v>https://drive.google.com/open?id=1eF34HbefAkEOEx02vhzoUIO9qXBrdO3i</v>
      </c>
      <c r="J1221" s="59"/>
      <c r="K1221" s="59"/>
      <c r="L1221" s="59"/>
      <c r="M1221" s="59"/>
      <c r="N1221" s="59"/>
      <c r="O1221" s="59"/>
      <c r="P1221" s="59"/>
    </row>
    <row r="1222" spans="1:16">
      <c r="A1222" s="71">
        <f ca="1">IFERROR(__xludf.DUMMYFUNCTION("""COMPUTED_VALUE"""),44680.4382159259)</f>
        <v>44680.438215925897</v>
      </c>
      <c r="B1222" s="59" t="str">
        <f ca="1">IFERROR(__xludf.DUMMYFUNCTION("""COMPUTED_VALUE"""),"PITHVA KEVIN PANKAJBHAI")</f>
        <v>PITHVA KEVIN PANKAJBHAI</v>
      </c>
      <c r="C1222" s="72" t="str">
        <f ca="1">IFERROR(__xludf.DUMMYFUNCTION("""COMPUTED_VALUE"""),"20SDSME01031")</f>
        <v>20SDSME01031</v>
      </c>
      <c r="D1222" s="73">
        <f ca="1">IFERROR(__xludf.DUMMYFUNCTION("""COMPUTED_VALUE"""),44671)</f>
        <v>44671</v>
      </c>
      <c r="E1222" s="74">
        <f ca="1">IFERROR(__xludf.DUMMYFUNCTION("""COMPUTED_VALUE"""),0)</f>
        <v>0</v>
      </c>
      <c r="F1222" s="72">
        <f ca="1">IFERROR(__xludf.DUMMYFUNCTION("""COMPUTED_VALUE"""),2500)</f>
        <v>2500</v>
      </c>
      <c r="G1222" s="75"/>
      <c r="H1222" s="59" t="str">
        <f ca="1">IFERROR(__xludf.DUMMYFUNCTION("""COMPUTED_VALUE"""),"UPDATE")</f>
        <v>UPDATE</v>
      </c>
      <c r="I1222" s="76" t="str">
        <f ca="1">IFERROR(__xludf.DUMMYFUNCTION("""COMPUTED_VALUE"""),"https://drive.google.com/open?id=1PLw8GbtZ1OVDol0wqXYXGGwJZIbMwWUP")</f>
        <v>https://drive.google.com/open?id=1PLw8GbtZ1OVDol0wqXYXGGwJZIbMwWUP</v>
      </c>
      <c r="J1222" s="59"/>
      <c r="K1222" s="59"/>
      <c r="L1222" s="59"/>
      <c r="M1222" s="59"/>
      <c r="N1222" s="59"/>
      <c r="O1222" s="59"/>
      <c r="P1222" s="59"/>
    </row>
    <row r="1223" spans="1:16">
      <c r="A1223" s="71">
        <f ca="1">IFERROR(__xludf.DUMMYFUNCTION("""COMPUTED_VALUE"""),44680.4372255787)</f>
        <v>44680.437225578702</v>
      </c>
      <c r="B1223" s="59" t="str">
        <f ca="1">IFERROR(__xludf.DUMMYFUNCTION("""COMPUTED_VALUE"""),"PITHVA KEVIN PANKAJBHAI")</f>
        <v>PITHVA KEVIN PANKAJBHAI</v>
      </c>
      <c r="C1223" s="72" t="str">
        <f ca="1">IFERROR(__xludf.DUMMYFUNCTION("""COMPUTED_VALUE"""),"20SDSME01031")</f>
        <v>20SDSME01031</v>
      </c>
      <c r="D1223" s="73">
        <f ca="1">IFERROR(__xludf.DUMMYFUNCTION("""COMPUTED_VALUE"""),44671)</f>
        <v>44671</v>
      </c>
      <c r="E1223" s="74">
        <f ca="1">IFERROR(__xludf.DUMMYFUNCTION("""COMPUTED_VALUE"""),25000)</f>
        <v>25000</v>
      </c>
      <c r="F1223" s="72">
        <f ca="1">IFERROR(__xludf.DUMMYFUNCTION("""COMPUTED_VALUE"""),0)</f>
        <v>0</v>
      </c>
      <c r="G1223" s="75"/>
      <c r="H1223" s="59" t="str">
        <f ca="1">IFERROR(__xludf.DUMMYFUNCTION("""COMPUTED_VALUE"""),"UPDATE")</f>
        <v>UPDATE</v>
      </c>
      <c r="I1223" s="76" t="str">
        <f ca="1">IFERROR(__xludf.DUMMYFUNCTION("""COMPUTED_VALUE"""),"https://drive.google.com/open?id=1ZJqxCbszqdtE73nqtXViiWRvcQxW7gVl")</f>
        <v>https://drive.google.com/open?id=1ZJqxCbszqdtE73nqtXViiWRvcQxW7gVl</v>
      </c>
      <c r="J1223" s="59"/>
      <c r="K1223" s="59"/>
      <c r="L1223" s="59"/>
      <c r="M1223" s="59"/>
      <c r="N1223" s="59"/>
      <c r="O1223" s="59"/>
      <c r="P1223" s="59"/>
    </row>
    <row r="1224" spans="1:16">
      <c r="A1224" s="71">
        <f ca="1">IFERROR(__xludf.DUMMYFUNCTION("""COMPUTED_VALUE"""),44680.4359233217)</f>
        <v>44680.435923321696</v>
      </c>
      <c r="B1224" s="59" t="str">
        <f ca="1">IFERROR(__xludf.DUMMYFUNCTION("""COMPUTED_VALUE"""),"KOGATIYA JENIL PREMJIBHAI")</f>
        <v>KOGATIYA JENIL PREMJIBHAI</v>
      </c>
      <c r="C1224" s="72" t="str">
        <f ca="1">IFERROR(__xludf.DUMMYFUNCTION("""COMPUTED_VALUE"""),"20SDSME01019")</f>
        <v>20SDSME01019</v>
      </c>
      <c r="D1224" s="73">
        <f ca="1">IFERROR(__xludf.DUMMYFUNCTION("""COMPUTED_VALUE"""),44628)</f>
        <v>44628</v>
      </c>
      <c r="E1224" s="74">
        <f ca="1">IFERROR(__xludf.DUMMYFUNCTION("""COMPUTED_VALUE"""),0)</f>
        <v>0</v>
      </c>
      <c r="F1224" s="72">
        <f ca="1">IFERROR(__xludf.DUMMYFUNCTION("""COMPUTED_VALUE"""),2500)</f>
        <v>2500</v>
      </c>
      <c r="G1224" s="75"/>
      <c r="H1224" s="59" t="str">
        <f ca="1">IFERROR(__xludf.DUMMYFUNCTION("""COMPUTED_VALUE"""),"UPDATE")</f>
        <v>UPDATE</v>
      </c>
      <c r="I1224" s="76" t="str">
        <f ca="1">IFERROR(__xludf.DUMMYFUNCTION("""COMPUTED_VALUE"""),"https://drive.google.com/open?id=1d5KpJ2In3i-vBpEKngFTSlWQ-VLaTv6e")</f>
        <v>https://drive.google.com/open?id=1d5KpJ2In3i-vBpEKngFTSlWQ-VLaTv6e</v>
      </c>
      <c r="J1224" s="59"/>
      <c r="K1224" s="59"/>
      <c r="L1224" s="59"/>
      <c r="M1224" s="59"/>
      <c r="N1224" s="59"/>
      <c r="O1224" s="59"/>
      <c r="P1224" s="59"/>
    </row>
    <row r="1225" spans="1:16">
      <c r="A1225" s="71">
        <f ca="1">IFERROR(__xludf.DUMMYFUNCTION("""COMPUTED_VALUE"""),44680.4351483912)</f>
        <v>44680.435148391203</v>
      </c>
      <c r="B1225" s="59" t="str">
        <f ca="1">IFERROR(__xludf.DUMMYFUNCTION("""COMPUTED_VALUE"""),"KOGATIYA JENIL PREMJIBHAI")</f>
        <v>KOGATIYA JENIL PREMJIBHAI</v>
      </c>
      <c r="C1225" s="72" t="str">
        <f ca="1">IFERROR(__xludf.DUMMYFUNCTION("""COMPUTED_VALUE"""),"20SDSME01019")</f>
        <v>20SDSME01019</v>
      </c>
      <c r="D1225" s="73">
        <f ca="1">IFERROR(__xludf.DUMMYFUNCTION("""COMPUTED_VALUE"""),44668)</f>
        <v>44668</v>
      </c>
      <c r="E1225" s="74">
        <f ca="1">IFERROR(__xludf.DUMMYFUNCTION("""COMPUTED_VALUE"""),25000)</f>
        <v>25000</v>
      </c>
      <c r="F1225" s="72">
        <f ca="1">IFERROR(__xludf.DUMMYFUNCTION("""COMPUTED_VALUE"""),0)</f>
        <v>0</v>
      </c>
      <c r="G1225" s="75"/>
      <c r="H1225" s="59" t="str">
        <f ca="1">IFERROR(__xludf.DUMMYFUNCTION("""COMPUTED_VALUE"""),"UPDATE")</f>
        <v>UPDATE</v>
      </c>
      <c r="I1225" s="76" t="str">
        <f ca="1">IFERROR(__xludf.DUMMYFUNCTION("""COMPUTED_VALUE"""),"https://drive.google.com/open?id=18Ow1FeH3lNrQe6oPXRyxJUXqnMPHxqeC")</f>
        <v>https://drive.google.com/open?id=18Ow1FeH3lNrQe6oPXRyxJUXqnMPHxqeC</v>
      </c>
      <c r="J1225" s="59"/>
      <c r="K1225" s="59"/>
      <c r="L1225" s="59"/>
      <c r="M1225" s="59"/>
      <c r="N1225" s="59"/>
      <c r="O1225" s="59"/>
      <c r="P1225" s="59"/>
    </row>
    <row r="1226" spans="1:16">
      <c r="A1226" s="71">
        <f ca="1">IFERROR(__xludf.DUMMYFUNCTION("""COMPUTED_VALUE"""),44680.4332756249)</f>
        <v>44680.433275624899</v>
      </c>
      <c r="B1226" s="59" t="str">
        <f ca="1">IFERROR(__xludf.DUMMYFUNCTION("""COMPUTED_VALUE"""),"SAGPARIYA NENSKUMAR BHUPATBHAI")</f>
        <v>SAGPARIYA NENSKUMAR BHUPATBHAI</v>
      </c>
      <c r="C1226" s="72" t="str">
        <f ca="1">IFERROR(__xludf.DUMMYFUNCTION("""COMPUTED_VALUE"""),"20SDSME01035")</f>
        <v>20SDSME01035</v>
      </c>
      <c r="D1226" s="73">
        <f ca="1">IFERROR(__xludf.DUMMYFUNCTION("""COMPUTED_VALUE"""),44675)</f>
        <v>44675</v>
      </c>
      <c r="E1226" s="74">
        <f ca="1">IFERROR(__xludf.DUMMYFUNCTION("""COMPUTED_VALUE"""),0)</f>
        <v>0</v>
      </c>
      <c r="F1226" s="72">
        <f ca="1">IFERROR(__xludf.DUMMYFUNCTION("""COMPUTED_VALUE"""),2500)</f>
        <v>2500</v>
      </c>
      <c r="G1226" s="75"/>
      <c r="H1226" s="59" t="str">
        <f ca="1">IFERROR(__xludf.DUMMYFUNCTION("""COMPUTED_VALUE"""),"UPDATE")</f>
        <v>UPDATE</v>
      </c>
      <c r="I1226" s="76" t="str">
        <f ca="1">IFERROR(__xludf.DUMMYFUNCTION("""COMPUTED_VALUE"""),"https://drive.google.com/open?id=12bukROniYRW2XO4SsUo-Gy3y9c5Couir")</f>
        <v>https://drive.google.com/open?id=12bukROniYRW2XO4SsUo-Gy3y9c5Couir</v>
      </c>
      <c r="J1226" s="59"/>
      <c r="K1226" s="59"/>
      <c r="L1226" s="59"/>
      <c r="M1226" s="59"/>
      <c r="N1226" s="59"/>
      <c r="O1226" s="59"/>
      <c r="P1226" s="59"/>
    </row>
    <row r="1227" spans="1:16">
      <c r="A1227" s="71">
        <f ca="1">IFERROR(__xludf.DUMMYFUNCTION("""COMPUTED_VALUE"""),44680.4319955439)</f>
        <v>44680.431995543899</v>
      </c>
      <c r="B1227" s="59" t="str">
        <f ca="1">IFERROR(__xludf.DUMMYFUNCTION("""COMPUTED_VALUE"""),"ZALA RAVI VALABHBHAI")</f>
        <v>ZALA RAVI VALABHBHAI</v>
      </c>
      <c r="C1227" s="72" t="str">
        <f ca="1">IFERROR(__xludf.DUMMYFUNCTION("""COMPUTED_VALUE"""),"20SDSME01047")</f>
        <v>20SDSME01047</v>
      </c>
      <c r="D1227" s="73">
        <f ca="1">IFERROR(__xludf.DUMMYFUNCTION("""COMPUTED_VALUE"""),44643)</f>
        <v>44643</v>
      </c>
      <c r="E1227" s="74">
        <f ca="1">IFERROR(__xludf.DUMMYFUNCTION("""COMPUTED_VALUE"""),25000)</f>
        <v>25000</v>
      </c>
      <c r="F1227" s="72">
        <f ca="1">IFERROR(__xludf.DUMMYFUNCTION("""COMPUTED_VALUE"""),2500)</f>
        <v>2500</v>
      </c>
      <c r="G1227" s="75"/>
      <c r="H1227" s="59" t="str">
        <f ca="1">IFERROR(__xludf.DUMMYFUNCTION("""COMPUTED_VALUE"""),"UPDATE")</f>
        <v>UPDATE</v>
      </c>
      <c r="I1227" s="76" t="str">
        <f ca="1">IFERROR(__xludf.DUMMYFUNCTION("""COMPUTED_VALUE"""),"https://drive.google.com/open?id=1LINp-ndKO12Yo0SrDY-1IETK01yQH2A-")</f>
        <v>https://drive.google.com/open?id=1LINp-ndKO12Yo0SrDY-1IETK01yQH2A-</v>
      </c>
      <c r="J1227" s="59"/>
      <c r="K1227" s="59"/>
      <c r="L1227" s="59"/>
      <c r="M1227" s="59"/>
      <c r="N1227" s="59"/>
      <c r="O1227" s="59"/>
      <c r="P1227" s="59"/>
    </row>
    <row r="1228" spans="1:16">
      <c r="A1228" s="71">
        <f ca="1">IFERROR(__xludf.DUMMYFUNCTION("""COMPUTED_VALUE"""),44679.5622405092)</f>
        <v>44679.5622405092</v>
      </c>
      <c r="B1228" s="59" t="str">
        <f ca="1">IFERROR(__xludf.DUMMYFUNCTION("""COMPUTED_VALUE"""),"Ramani Henish Jayeshbhai")</f>
        <v>Ramani Henish Jayeshbhai</v>
      </c>
      <c r="C1228" s="72" t="str">
        <f ca="1">IFERROR(__xludf.DUMMYFUNCTION("""COMPUTED_VALUE"""),"20SDSCE01092")</f>
        <v>20SDSCE01092</v>
      </c>
      <c r="D1228" s="73">
        <f ca="1">IFERROR(__xludf.DUMMYFUNCTION("""COMPUTED_VALUE"""),44640)</f>
        <v>44640</v>
      </c>
      <c r="E1228" s="72"/>
      <c r="F1228" s="72">
        <f ca="1">IFERROR(__xludf.DUMMYFUNCTION("""COMPUTED_VALUE"""),200)</f>
        <v>200</v>
      </c>
      <c r="G1228" s="75"/>
      <c r="H1228" s="59" t="str">
        <f ca="1">IFERROR(__xludf.DUMMYFUNCTION("""COMPUTED_VALUE"""),"UPDATE")</f>
        <v>UPDATE</v>
      </c>
      <c r="I1228" s="76" t="str">
        <f ca="1">IFERROR(__xludf.DUMMYFUNCTION("""COMPUTED_VALUE"""),"https://drive.google.com/open?id=1PcagKdi6XoMj92ACBlqwU9aWAZPaSulI")</f>
        <v>https://drive.google.com/open?id=1PcagKdi6XoMj92ACBlqwU9aWAZPaSulI</v>
      </c>
      <c r="J1228" s="59"/>
      <c r="K1228" s="59"/>
      <c r="L1228" s="59"/>
      <c r="M1228" s="59"/>
      <c r="N1228" s="59"/>
      <c r="O1228" s="59"/>
      <c r="P1228" s="59"/>
    </row>
    <row r="1229" spans="1:16">
      <c r="A1229" s="71">
        <f ca="1">IFERROR(__xludf.DUMMYFUNCTION("""COMPUTED_VALUE"""),44676.6117919212)</f>
        <v>44676.611791921197</v>
      </c>
      <c r="B1229" s="59" t="str">
        <f ca="1">IFERROR(__xludf.DUMMYFUNCTION("""COMPUTED_VALUE"""),"Pragati Rathod ")</f>
        <v xml:space="preserve">Pragati Rathod </v>
      </c>
      <c r="C1229" s="72" t="str">
        <f ca="1">IFERROR(__xludf.DUMMYFUNCTION("""COMPUTED_VALUE"""),"20SDSEE01023")</f>
        <v>20SDSEE01023</v>
      </c>
      <c r="D1229" s="73">
        <f ca="1">IFERROR(__xludf.DUMMYFUNCTION("""COMPUTED_VALUE"""),44664)</f>
        <v>44664</v>
      </c>
      <c r="E1229" s="72"/>
      <c r="F1229" s="72"/>
      <c r="G1229" s="75"/>
      <c r="H1229" s="59" t="str">
        <f ca="1">IFERROR(__xludf.DUMMYFUNCTION("""COMPUTED_VALUE"""),"UPDATE")</f>
        <v>UPDATE</v>
      </c>
      <c r="I1229" s="76" t="str">
        <f ca="1">IFERROR(__xludf.DUMMYFUNCTION("""COMPUTED_VALUE"""),"https://drive.google.com/open?id=1hr0Mo2ZKmKNKyapKVI-CLEPSREFKrP8C")</f>
        <v>https://drive.google.com/open?id=1hr0Mo2ZKmKNKyapKVI-CLEPSREFKrP8C</v>
      </c>
      <c r="J1229" s="59"/>
      <c r="K1229" s="59"/>
      <c r="L1229" s="59"/>
      <c r="M1229" s="59"/>
      <c r="N1229" s="59"/>
      <c r="O1229" s="59"/>
      <c r="P1229" s="59"/>
    </row>
    <row r="1230" spans="1:16">
      <c r="A1230" s="71">
        <f ca="1">IFERROR(__xludf.DUMMYFUNCTION("""COMPUTED_VALUE"""),44676.4189614467)</f>
        <v>44676.418961446703</v>
      </c>
      <c r="B1230" s="59" t="str">
        <f ca="1">IFERROR(__xludf.DUMMYFUNCTION("""COMPUTED_VALUE"""),"CHAVDA HARDIK")</f>
        <v>CHAVDA HARDIK</v>
      </c>
      <c r="C1230" s="72" t="str">
        <f ca="1">IFERROR(__xludf.DUMMYFUNCTION("""COMPUTED_VALUE"""),"20SDSME01005")</f>
        <v>20SDSME01005</v>
      </c>
      <c r="D1230" s="73">
        <f ca="1">IFERROR(__xludf.DUMMYFUNCTION("""COMPUTED_VALUE"""),44671)</f>
        <v>44671</v>
      </c>
      <c r="E1230" s="74">
        <f ca="1">IFERROR(__xludf.DUMMYFUNCTION("""COMPUTED_VALUE"""),33000)</f>
        <v>33000</v>
      </c>
      <c r="F1230" s="72"/>
      <c r="G1230" s="75"/>
      <c r="H1230" s="59" t="str">
        <f ca="1">IFERROR(__xludf.DUMMYFUNCTION("""COMPUTED_VALUE"""),"UPDATE")</f>
        <v>UPDATE</v>
      </c>
      <c r="I1230" s="76" t="str">
        <f ca="1">IFERROR(__xludf.DUMMYFUNCTION("""COMPUTED_VALUE"""),"https://drive.google.com/open?id=1VXfip4OKNczpAcWHMsmM8v3HIGb0pcGY")</f>
        <v>https://drive.google.com/open?id=1VXfip4OKNczpAcWHMsmM8v3HIGb0pcGY</v>
      </c>
      <c r="J1230" s="59"/>
      <c r="K1230" s="59"/>
      <c r="L1230" s="59"/>
      <c r="M1230" s="59"/>
      <c r="N1230" s="59"/>
      <c r="O1230" s="59"/>
      <c r="P1230" s="59"/>
    </row>
    <row r="1231" spans="1:16">
      <c r="A1231" s="71">
        <f ca="1">IFERROR(__xludf.DUMMYFUNCTION("""COMPUTED_VALUE"""),44675.7283540624)</f>
        <v>44675.728354062398</v>
      </c>
      <c r="B1231" s="59" t="str">
        <f ca="1">IFERROR(__xludf.DUMMYFUNCTION("""COMPUTED_VALUE"""),"SAGPARIYA NENSKUMAR")</f>
        <v>SAGPARIYA NENSKUMAR</v>
      </c>
      <c r="C1231" s="72" t="str">
        <f ca="1">IFERROR(__xludf.DUMMYFUNCTION("""COMPUTED_VALUE"""),"20SDSME01035")</f>
        <v>20SDSME01035</v>
      </c>
      <c r="D1231" s="73">
        <f ca="1">IFERROR(__xludf.DUMMYFUNCTION("""COMPUTED_VALUE"""),44675)</f>
        <v>44675</v>
      </c>
      <c r="E1231" s="72"/>
      <c r="F1231" s="72">
        <f ca="1">IFERROR(__xludf.DUMMYFUNCTION("""COMPUTED_VALUE"""),2500)</f>
        <v>2500</v>
      </c>
      <c r="G1231" s="75"/>
      <c r="H1231" s="59" t="str">
        <f ca="1">IFERROR(__xludf.DUMMYFUNCTION("""COMPUTED_VALUE"""),"UPDATE")</f>
        <v>UPDATE</v>
      </c>
      <c r="I1231" s="76" t="str">
        <f ca="1">IFERROR(__xludf.DUMMYFUNCTION("""COMPUTED_VALUE"""),"https://drive.google.com/open?id=1Gp179YVUwLTEbtRSxzTiRp5BSt-r1Jlr")</f>
        <v>https://drive.google.com/open?id=1Gp179YVUwLTEbtRSxzTiRp5BSt-r1Jlr</v>
      </c>
      <c r="J1231" s="59"/>
      <c r="K1231" s="59"/>
      <c r="L1231" s="59"/>
      <c r="M1231" s="59"/>
      <c r="N1231" s="59"/>
      <c r="O1231" s="59"/>
      <c r="P1231" s="59"/>
    </row>
    <row r="1232" spans="1:16">
      <c r="A1232" s="71">
        <f ca="1">IFERROR(__xludf.DUMMYFUNCTION("""COMPUTED_VALUE"""),44675.3504093171)</f>
        <v>44675.3504093171</v>
      </c>
      <c r="B1232" s="59" t="str">
        <f ca="1">IFERROR(__xludf.DUMMYFUNCTION("""COMPUTED_VALUE"""),"Pithava kevin pankajbhai")</f>
        <v>Pithava kevin pankajbhai</v>
      </c>
      <c r="C1232" s="72" t="str">
        <f ca="1">IFERROR(__xludf.DUMMYFUNCTION("""COMPUTED_VALUE"""),"20SDSME01031")</f>
        <v>20SDSME01031</v>
      </c>
      <c r="D1232" s="73">
        <f ca="1">IFERROR(__xludf.DUMMYFUNCTION("""COMPUTED_VALUE"""),44671)</f>
        <v>44671</v>
      </c>
      <c r="E1232" s="74">
        <f ca="1">IFERROR(__xludf.DUMMYFUNCTION("""COMPUTED_VALUE"""),25000)</f>
        <v>25000</v>
      </c>
      <c r="F1232" s="72">
        <f ca="1">IFERROR(__xludf.DUMMYFUNCTION("""COMPUTED_VALUE"""),2500)</f>
        <v>2500</v>
      </c>
      <c r="G1232" s="75"/>
      <c r="H1232" s="59" t="str">
        <f ca="1">IFERROR(__xludf.DUMMYFUNCTION("""COMPUTED_VALUE"""),"UPDATE")</f>
        <v>UPDATE</v>
      </c>
      <c r="I1232" s="76" t="str">
        <f ca="1">IFERROR(__xludf.DUMMYFUNCTION("""COMPUTED_VALUE"""),"https://drive.google.com/open?id=1js-TCuTHkf_HDdV7BW7gTUMCS74BY7pe")</f>
        <v>https://drive.google.com/open?id=1js-TCuTHkf_HDdV7BW7gTUMCS74BY7pe</v>
      </c>
      <c r="J1232" s="59"/>
      <c r="K1232" s="59"/>
      <c r="L1232" s="59"/>
      <c r="M1232" s="59"/>
      <c r="N1232" s="59"/>
      <c r="O1232" s="59"/>
      <c r="P1232" s="59"/>
    </row>
    <row r="1233" spans="1:16">
      <c r="A1233" s="71">
        <f ca="1">IFERROR(__xludf.DUMMYFUNCTION("""COMPUTED_VALUE"""),44674.9147412615)</f>
        <v>44674.914741261498</v>
      </c>
      <c r="B1233" s="59" t="str">
        <f ca="1">IFERROR(__xludf.DUMMYFUNCTION("""COMPUTED_VALUE"""),"Zala ravi vallabhbhai ")</f>
        <v xml:space="preserve">Zala ravi vallabhbhai </v>
      </c>
      <c r="C1233" s="72" t="str">
        <f ca="1">IFERROR(__xludf.DUMMYFUNCTION("""COMPUTED_VALUE"""),"20SDSME01047 ")</f>
        <v xml:space="preserve">20SDSME01047 </v>
      </c>
      <c r="D1233" s="73">
        <f ca="1">IFERROR(__xludf.DUMMYFUNCTION("""COMPUTED_VALUE"""),44674)</f>
        <v>44674</v>
      </c>
      <c r="E1233" s="74">
        <f ca="1">IFERROR(__xludf.DUMMYFUNCTION("""COMPUTED_VALUE"""),25000)</f>
        <v>25000</v>
      </c>
      <c r="F1233" s="72">
        <f ca="1">IFERROR(__xludf.DUMMYFUNCTION("""COMPUTED_VALUE"""),2500)</f>
        <v>2500</v>
      </c>
      <c r="G1233" s="75"/>
      <c r="H1233" s="59" t="str">
        <f ca="1">IFERROR(__xludf.DUMMYFUNCTION("""COMPUTED_VALUE"""),"UPDATE")</f>
        <v>UPDATE</v>
      </c>
      <c r="I1233" s="76" t="str">
        <f ca="1">IFERROR(__xludf.DUMMYFUNCTION("""COMPUTED_VALUE"""),"https://drive.google.com/open?id=1DRoFV3SMPbShvLJYsUDXRyRMC6OYNWgQ")</f>
        <v>https://drive.google.com/open?id=1DRoFV3SMPbShvLJYsUDXRyRMC6OYNWgQ</v>
      </c>
      <c r="J1233" s="59"/>
      <c r="K1233" s="59"/>
      <c r="L1233" s="59"/>
      <c r="M1233" s="59"/>
      <c r="N1233" s="59"/>
      <c r="O1233" s="59"/>
      <c r="P1233" s="59"/>
    </row>
    <row r="1234" spans="1:16">
      <c r="A1234" s="71">
        <f ca="1">IFERROR(__xludf.DUMMYFUNCTION("""COMPUTED_VALUE"""),44674.6055115393)</f>
        <v>44674.605511539303</v>
      </c>
      <c r="B1234" s="59" t="str">
        <f ca="1">IFERROR(__xludf.DUMMYFUNCTION("""COMPUTED_VALUE"""),"Tilwani dhaval")</f>
        <v>Tilwani dhaval</v>
      </c>
      <c r="C1234" s="72" t="str">
        <f ca="1">IFERROR(__xludf.DUMMYFUNCTION("""COMPUTED_VALUE"""),"20sdsme01038")</f>
        <v>20sdsme01038</v>
      </c>
      <c r="D1234" s="73">
        <f ca="1">IFERROR(__xludf.DUMMYFUNCTION("""COMPUTED_VALUE"""),44674)</f>
        <v>44674</v>
      </c>
      <c r="E1234" s="74">
        <f ca="1">IFERROR(__xludf.DUMMYFUNCTION("""COMPUTED_VALUE"""),0)</f>
        <v>0</v>
      </c>
      <c r="F1234" s="72">
        <f ca="1">IFERROR(__xludf.DUMMYFUNCTION("""COMPUTED_VALUE"""),2500)</f>
        <v>2500</v>
      </c>
      <c r="G1234" s="75"/>
      <c r="H1234" s="59" t="str">
        <f ca="1">IFERROR(__xludf.DUMMYFUNCTION("""COMPUTED_VALUE"""),"UPDATE")</f>
        <v>UPDATE</v>
      </c>
      <c r="I1234" s="76" t="str">
        <f ca="1">IFERROR(__xludf.DUMMYFUNCTION("""COMPUTED_VALUE"""),"https://drive.google.com/open?id=1shZXIhFxAUUl-Kh0cUhEAwbrd6A5Mema")</f>
        <v>https://drive.google.com/open?id=1shZXIhFxAUUl-Kh0cUhEAwbrd6A5Mema</v>
      </c>
      <c r="J1234" s="59"/>
      <c r="K1234" s="59"/>
      <c r="L1234" s="59"/>
      <c r="M1234" s="59"/>
      <c r="N1234" s="59"/>
      <c r="O1234" s="59"/>
      <c r="P1234" s="59"/>
    </row>
    <row r="1235" spans="1:16">
      <c r="A1235" s="71">
        <f ca="1">IFERROR(__xludf.DUMMYFUNCTION("""COMPUTED_VALUE"""),44674.5931106134)</f>
        <v>44674.593110613401</v>
      </c>
      <c r="B1235" s="59" t="str">
        <f ca="1">IFERROR(__xludf.DUMMYFUNCTION("""COMPUTED_VALUE"""),"Kotadiya lalji Rameshbhai ")</f>
        <v xml:space="preserve">Kotadiya lalji Rameshbhai </v>
      </c>
      <c r="C1235" s="72" t="str">
        <f ca="1">IFERROR(__xludf.DUMMYFUNCTION("""COMPUTED_VALUE"""),"20sdsme01020 ")</f>
        <v xml:space="preserve">20sdsme01020 </v>
      </c>
      <c r="D1235" s="73">
        <f ca="1">IFERROR(__xludf.DUMMYFUNCTION("""COMPUTED_VALUE"""),44674)</f>
        <v>44674</v>
      </c>
      <c r="E1235" s="72"/>
      <c r="F1235" s="72">
        <f ca="1">IFERROR(__xludf.DUMMYFUNCTION("""COMPUTED_VALUE"""),2500)</f>
        <v>2500</v>
      </c>
      <c r="G1235" s="75"/>
      <c r="H1235" s="59" t="str">
        <f ca="1">IFERROR(__xludf.DUMMYFUNCTION("""COMPUTED_VALUE"""),"UPDATE")</f>
        <v>UPDATE</v>
      </c>
      <c r="I1235" s="76" t="str">
        <f ca="1">IFERROR(__xludf.DUMMYFUNCTION("""COMPUTED_VALUE"""),"https://drive.google.com/open?id=1DgkUkoFyX6NKFKiP0FIGWSfTJhaoYKQc")</f>
        <v>https://drive.google.com/open?id=1DgkUkoFyX6NKFKiP0FIGWSfTJhaoYKQc</v>
      </c>
      <c r="J1235" s="59"/>
      <c r="K1235" s="59"/>
      <c r="L1235" s="59"/>
      <c r="M1235" s="59"/>
      <c r="N1235" s="59"/>
      <c r="O1235" s="59"/>
      <c r="P1235" s="59"/>
    </row>
    <row r="1236" spans="1:16">
      <c r="A1236" s="71">
        <f ca="1">IFERROR(__xludf.DUMMYFUNCTION("""COMPUTED_VALUE"""),44670.3138056712)</f>
        <v>44670.313805671198</v>
      </c>
      <c r="B1236" s="59" t="str">
        <f ca="1">IFERROR(__xludf.DUMMYFUNCTION("""COMPUTED_VALUE"""),"KOGATIYA JENIL PREMJIBHAI")</f>
        <v>KOGATIYA JENIL PREMJIBHAI</v>
      </c>
      <c r="C1236" s="72" t="str">
        <f ca="1">IFERROR(__xludf.DUMMYFUNCTION("""COMPUTED_VALUE"""),"20SDSME01019")</f>
        <v>20SDSME01019</v>
      </c>
      <c r="D1236" s="73">
        <f ca="1">IFERROR(__xludf.DUMMYFUNCTION("""COMPUTED_VALUE"""),44668)</f>
        <v>44668</v>
      </c>
      <c r="E1236" s="74">
        <f ca="1">IFERROR(__xludf.DUMMYFUNCTION("""COMPUTED_VALUE"""),25000)</f>
        <v>25000</v>
      </c>
      <c r="F1236" s="72">
        <f ca="1">IFERROR(__xludf.DUMMYFUNCTION("""COMPUTED_VALUE"""),0)</f>
        <v>0</v>
      </c>
      <c r="G1236" s="75"/>
      <c r="H1236" s="59" t="str">
        <f ca="1">IFERROR(__xludf.DUMMYFUNCTION("""COMPUTED_VALUE"""),"UPDATE")</f>
        <v>UPDATE</v>
      </c>
      <c r="I1236" s="76" t="str">
        <f ca="1">IFERROR(__xludf.DUMMYFUNCTION("""COMPUTED_VALUE"""),"https://drive.google.com/open?id=1KYuIjhMdaomRuC5FuBE_qLgy1iedbhot")</f>
        <v>https://drive.google.com/open?id=1KYuIjhMdaomRuC5FuBE_qLgy1iedbhot</v>
      </c>
      <c r="J1236" s="59"/>
      <c r="K1236" s="59"/>
      <c r="L1236" s="59"/>
      <c r="M1236" s="59"/>
      <c r="N1236" s="59"/>
      <c r="O1236" s="59"/>
      <c r="P1236" s="59"/>
    </row>
    <row r="1237" spans="1:16">
      <c r="A1237" s="71">
        <f ca="1">IFERROR(__xludf.DUMMYFUNCTION("""COMPUTED_VALUE"""),44669.5483374189)</f>
        <v>44669.548337418899</v>
      </c>
      <c r="B1237" s="59" t="str">
        <f ca="1">IFERROR(__xludf.DUMMYFUNCTION("""COMPUTED_VALUE"""),"Patadiya Bhargav ")</f>
        <v xml:space="preserve">Patadiya Bhargav </v>
      </c>
      <c r="C1237" s="72" t="str">
        <f ca="1">IFERROR(__xludf.DUMMYFUNCTION("""COMPUTED_VALUE"""),"20SDSCE01084")</f>
        <v>20SDSCE01084</v>
      </c>
      <c r="D1237" s="73">
        <f ca="1">IFERROR(__xludf.DUMMYFUNCTION("""COMPUTED_VALUE"""),44637)</f>
        <v>44637</v>
      </c>
      <c r="E1237" s="74">
        <f ca="1">IFERROR(__xludf.DUMMYFUNCTION("""COMPUTED_VALUE"""),6250)</f>
        <v>6250</v>
      </c>
      <c r="F1237" s="72"/>
      <c r="G1237" s="75"/>
      <c r="H1237" s="59" t="str">
        <f ca="1">IFERROR(__xludf.DUMMYFUNCTION("""COMPUTED_VALUE"""),"UPDATE")</f>
        <v>UPDATE</v>
      </c>
      <c r="I1237" s="76" t="str">
        <f ca="1">IFERROR(__xludf.DUMMYFUNCTION("""COMPUTED_VALUE"""),"https://drive.google.com/open?id=1usCIhbLOHNJYo8zh_tP1xTMZBhhy6hwk")</f>
        <v>https://drive.google.com/open?id=1usCIhbLOHNJYo8zh_tP1xTMZBhhy6hwk</v>
      </c>
      <c r="J1237" s="59"/>
      <c r="K1237" s="59"/>
      <c r="L1237" s="59"/>
      <c r="M1237" s="59"/>
      <c r="N1237" s="59"/>
      <c r="O1237" s="59"/>
      <c r="P1237" s="59"/>
    </row>
    <row r="1238" spans="1:16">
      <c r="A1238" s="71">
        <f ca="1">IFERROR(__xludf.DUMMYFUNCTION("""COMPUTED_VALUE"""),44661.6295615162)</f>
        <v>44661.629561516202</v>
      </c>
      <c r="B1238" s="59" t="str">
        <f ca="1">IFERROR(__xludf.DUMMYFUNCTION("""COMPUTED_VALUE"""),"Vadariya ishva Nilesh Bhai ")</f>
        <v xml:space="preserve">Vadariya ishva Nilesh Bhai </v>
      </c>
      <c r="C1238" s="72" t="str">
        <f ca="1">IFERROR(__xludf.DUMMYFUNCTION("""COMPUTED_VALUE"""),"20sdsce01124")</f>
        <v>20sdsce01124</v>
      </c>
      <c r="D1238" s="73">
        <f ca="1">IFERROR(__xludf.DUMMYFUNCTION("""COMPUTED_VALUE"""),44659)</f>
        <v>44659</v>
      </c>
      <c r="E1238" s="74">
        <f ca="1">IFERROR(__xludf.DUMMYFUNCTION("""COMPUTED_VALUE"""),25000)</f>
        <v>25000</v>
      </c>
      <c r="F1238" s="72"/>
      <c r="G1238" s="75"/>
      <c r="H1238" s="59" t="str">
        <f ca="1">IFERROR(__xludf.DUMMYFUNCTION("""COMPUTED_VALUE"""),"UPDATE")</f>
        <v>UPDATE</v>
      </c>
      <c r="I1238" s="76" t="str">
        <f ca="1">IFERROR(__xludf.DUMMYFUNCTION("""COMPUTED_VALUE"""),"https://drive.google.com/open?id=1_No1a_hvVvPxMSp3rCOE6MW0nGj3u6Sf")</f>
        <v>https://drive.google.com/open?id=1_No1a_hvVvPxMSp3rCOE6MW0nGj3u6Sf</v>
      </c>
      <c r="J1238" s="59"/>
      <c r="K1238" s="59"/>
      <c r="L1238" s="59"/>
      <c r="M1238" s="59"/>
      <c r="N1238" s="59"/>
      <c r="O1238" s="59"/>
      <c r="P1238" s="59"/>
    </row>
    <row r="1239" spans="1:16">
      <c r="A1239" s="71">
        <f ca="1">IFERROR(__xludf.DUMMYFUNCTION("""COMPUTED_VALUE"""),44660.7052104745)</f>
        <v>44660.705210474502</v>
      </c>
      <c r="B1239" s="59" t="str">
        <f ca="1">IFERROR(__xludf.DUMMYFUNCTION("""COMPUTED_VALUE"""),"Ramani sahil Rajeshbhai")</f>
        <v>Ramani sahil Rajeshbhai</v>
      </c>
      <c r="C1239" s="72" t="str">
        <f ca="1">IFERROR(__xludf.DUMMYFUNCTION("""COMPUTED_VALUE"""),"19sdscv01007")</f>
        <v>19sdscv01007</v>
      </c>
      <c r="D1239" s="73">
        <f ca="1">IFERROR(__xludf.DUMMYFUNCTION("""COMPUTED_VALUE"""),44574)</f>
        <v>44574</v>
      </c>
      <c r="E1239" s="74">
        <f ca="1">IFERROR(__xludf.DUMMYFUNCTION("""COMPUTED_VALUE"""),17750)</f>
        <v>17750</v>
      </c>
      <c r="F1239" s="72"/>
      <c r="G1239" s="75"/>
      <c r="H1239" s="59" t="str">
        <f ca="1">IFERROR(__xludf.DUMMYFUNCTION("""COMPUTED_VALUE"""),"UPDATE")</f>
        <v>UPDATE</v>
      </c>
      <c r="I1239" s="76" t="str">
        <f ca="1">IFERROR(__xludf.DUMMYFUNCTION("""COMPUTED_VALUE"""),"https://drive.google.com/open?id=11o7yaz3j6q-Ts8_GBIZLOhp7Ffkt21AW")</f>
        <v>https://drive.google.com/open?id=11o7yaz3j6q-Ts8_GBIZLOhp7Ffkt21AW</v>
      </c>
      <c r="J1239" s="59"/>
      <c r="K1239" s="59"/>
      <c r="L1239" s="59"/>
      <c r="M1239" s="59"/>
      <c r="N1239" s="59"/>
      <c r="O1239" s="59"/>
      <c r="P1239" s="59"/>
    </row>
    <row r="1240" spans="1:16">
      <c r="A1240" s="71">
        <f ca="1">IFERROR(__xludf.DUMMYFUNCTION("""COMPUTED_VALUE"""),44660.7028449421)</f>
        <v>44660.702844942098</v>
      </c>
      <c r="B1240" s="59" t="str">
        <f ca="1">IFERROR(__xludf.DUMMYFUNCTION("""COMPUTED_VALUE"""),"Ramani sahil Rajeshbhai")</f>
        <v>Ramani sahil Rajeshbhai</v>
      </c>
      <c r="C1240" s="72" t="str">
        <f ca="1">IFERROR(__xludf.DUMMYFUNCTION("""COMPUTED_VALUE"""),"19sdscv01007")</f>
        <v>19sdscv01007</v>
      </c>
      <c r="D1240" s="73">
        <f ca="1">IFERROR(__xludf.DUMMYFUNCTION("""COMPUTED_VALUE"""),44574)</f>
        <v>44574</v>
      </c>
      <c r="E1240" s="72"/>
      <c r="F1240" s="72">
        <f ca="1">IFERROR(__xludf.DUMMYFUNCTION("""COMPUTED_VALUE"""),3500)</f>
        <v>3500</v>
      </c>
      <c r="G1240" s="75"/>
      <c r="H1240" s="59" t="str">
        <f ca="1">IFERROR(__xludf.DUMMYFUNCTION("""COMPUTED_VALUE"""),"UPDATE")</f>
        <v>UPDATE</v>
      </c>
      <c r="I1240" s="76" t="str">
        <f ca="1">IFERROR(__xludf.DUMMYFUNCTION("""COMPUTED_VALUE"""),"https://drive.google.com/open?id=1FCEsg0P_rvs7CZzQBAWMU9WrCImIc5ID")</f>
        <v>https://drive.google.com/open?id=1FCEsg0P_rvs7CZzQBAWMU9WrCImIc5ID</v>
      </c>
      <c r="J1240" s="59"/>
      <c r="K1240" s="59"/>
      <c r="L1240" s="59"/>
      <c r="M1240" s="59"/>
      <c r="N1240" s="59"/>
      <c r="O1240" s="59"/>
      <c r="P1240" s="59"/>
    </row>
    <row r="1241" spans="1:16">
      <c r="A1241" s="71">
        <f ca="1">IFERROR(__xludf.DUMMYFUNCTION("""COMPUTED_VALUE"""),44660.7009536226)</f>
        <v>44660.700953622603</v>
      </c>
      <c r="B1241" s="59" t="str">
        <f ca="1">IFERROR(__xludf.DUMMYFUNCTION("""COMPUTED_VALUE"""),"Ramani sahil Rakeshbhai")</f>
        <v>Ramani sahil Rakeshbhai</v>
      </c>
      <c r="C1241" s="72" t="str">
        <f ca="1">IFERROR(__xludf.DUMMYFUNCTION("""COMPUTED_VALUE"""),"19sdscv01007")</f>
        <v>19sdscv01007</v>
      </c>
      <c r="D1241" s="73">
        <f ca="1">IFERROR(__xludf.DUMMYFUNCTION("""COMPUTED_VALUE"""),44657)</f>
        <v>44657</v>
      </c>
      <c r="E1241" s="74">
        <f ca="1">IFERROR(__xludf.DUMMYFUNCTION("""COMPUTED_VALUE"""),1000)</f>
        <v>1000</v>
      </c>
      <c r="F1241" s="72"/>
      <c r="G1241" s="75"/>
      <c r="H1241" s="59" t="str">
        <f ca="1">IFERROR(__xludf.DUMMYFUNCTION("""COMPUTED_VALUE"""),"UPDATE")</f>
        <v>UPDATE</v>
      </c>
      <c r="I1241" s="76" t="str">
        <f ca="1">IFERROR(__xludf.DUMMYFUNCTION("""COMPUTED_VALUE"""),"https://drive.google.com/open?id=1vnJ_yiHRZx7ZLyRPJF4Y7Vhc98SR91sX")</f>
        <v>https://drive.google.com/open?id=1vnJ_yiHRZx7ZLyRPJF4Y7Vhc98SR91sX</v>
      </c>
      <c r="J1241" s="59"/>
      <c r="K1241" s="59"/>
      <c r="L1241" s="59"/>
      <c r="M1241" s="59"/>
      <c r="N1241" s="59"/>
      <c r="O1241" s="59"/>
      <c r="P1241" s="59"/>
    </row>
    <row r="1242" spans="1:16">
      <c r="A1242" s="71">
        <f ca="1">IFERROR(__xludf.DUMMYFUNCTION("""COMPUTED_VALUE"""),44658.786173831)</f>
        <v>44658.786173831002</v>
      </c>
      <c r="B1242" s="59" t="str">
        <f ca="1">IFERROR(__xludf.DUMMYFUNCTION("""COMPUTED_VALUE"""),"Deep Barasiya")</f>
        <v>Deep Barasiya</v>
      </c>
      <c r="C1242" s="72" t="str">
        <f ca="1">IFERROR(__xludf.DUMMYFUNCTION("""COMPUTED_VALUE"""),"19SDSME01001")</f>
        <v>19SDSME01001</v>
      </c>
      <c r="D1242" s="73">
        <f ca="1">IFERROR(__xludf.DUMMYFUNCTION("""COMPUTED_VALUE"""),44746)</f>
        <v>44746</v>
      </c>
      <c r="E1242" s="74">
        <f ca="1">IFERROR(__xludf.DUMMYFUNCTION("""COMPUTED_VALUE"""),25000)</f>
        <v>25000</v>
      </c>
      <c r="F1242" s="72">
        <f ca="1">IFERROR(__xludf.DUMMYFUNCTION("""COMPUTED_VALUE"""),3500)</f>
        <v>3500</v>
      </c>
      <c r="G1242" s="75"/>
      <c r="H1242" s="59" t="str">
        <f ca="1">IFERROR(__xludf.DUMMYFUNCTION("""COMPUTED_VALUE"""),"UPDATE")</f>
        <v>UPDATE</v>
      </c>
      <c r="I1242" s="76" t="str">
        <f ca="1">IFERROR(__xludf.DUMMYFUNCTION("""COMPUTED_VALUE"""),"https://drive.google.com/open?id=1RANyJYgmEpn6KZnhXQJ1rlbQyWlVbSV-")</f>
        <v>https://drive.google.com/open?id=1RANyJYgmEpn6KZnhXQJ1rlbQyWlVbSV-</v>
      </c>
      <c r="J1242" s="59"/>
      <c r="K1242" s="59"/>
      <c r="L1242" s="59"/>
      <c r="M1242" s="59"/>
      <c r="N1242" s="59"/>
      <c r="O1242" s="59"/>
      <c r="P1242" s="59"/>
    </row>
    <row r="1243" spans="1:16">
      <c r="A1243" s="71">
        <f ca="1">IFERROR(__xludf.DUMMYFUNCTION("""COMPUTED_VALUE"""),44658.5023675347)</f>
        <v>44658.502367534697</v>
      </c>
      <c r="B1243" s="59" t="str">
        <f ca="1">IFERROR(__xludf.DUMMYFUNCTION("""COMPUTED_VALUE"""),"Dhinoja Nevil Hitenbhai ")</f>
        <v xml:space="preserve">Dhinoja Nevil Hitenbhai </v>
      </c>
      <c r="C1243" s="72" t="str">
        <f ca="1">IFERROR(__xludf.DUMMYFUNCTION("""COMPUTED_VALUE"""),"21SDSCE01015")</f>
        <v>21SDSCE01015</v>
      </c>
      <c r="D1243" s="73">
        <f ca="1">IFERROR(__xludf.DUMMYFUNCTION("""COMPUTED_VALUE"""),44658)</f>
        <v>44658</v>
      </c>
      <c r="E1243" s="74">
        <f ca="1">IFERROR(__xludf.DUMMYFUNCTION("""COMPUTED_VALUE"""),25000)</f>
        <v>25000</v>
      </c>
      <c r="F1243" s="72">
        <f ca="1">IFERROR(__xludf.DUMMYFUNCTION("""COMPUTED_VALUE"""),2500)</f>
        <v>2500</v>
      </c>
      <c r="G1243" s="75"/>
      <c r="H1243" s="59" t="str">
        <f ca="1">IFERROR(__xludf.DUMMYFUNCTION("""COMPUTED_VALUE"""),"UPDATE")</f>
        <v>UPDATE</v>
      </c>
      <c r="I1243" s="76" t="str">
        <f ca="1">IFERROR(__xludf.DUMMYFUNCTION("""COMPUTED_VALUE"""),"https://drive.google.com/open?id=1Qza2JrDfXbIZaODzxuDOElOkQiPh-WrV")</f>
        <v>https://drive.google.com/open?id=1Qza2JrDfXbIZaODzxuDOElOkQiPh-WrV</v>
      </c>
      <c r="J1243" s="59"/>
      <c r="K1243" s="59"/>
      <c r="L1243" s="59"/>
      <c r="M1243" s="59"/>
      <c r="N1243" s="59"/>
      <c r="O1243" s="59"/>
      <c r="P1243" s="59"/>
    </row>
    <row r="1244" spans="1:16">
      <c r="A1244" s="71">
        <f ca="1">IFERROR(__xludf.DUMMYFUNCTION("""COMPUTED_VALUE"""),44657.7735107291)</f>
        <v>44657.773510729101</v>
      </c>
      <c r="B1244" s="59" t="str">
        <f ca="1">IFERROR(__xludf.DUMMYFUNCTION("""COMPUTED_VALUE"""),"RAMANI TEJAS ASHOKBHAI ")</f>
        <v xml:space="preserve">RAMANI TEJAS ASHOKBHAI </v>
      </c>
      <c r="C1244" s="72" t="str">
        <f ca="1">IFERROR(__xludf.DUMMYFUNCTION("""COMPUTED_VALUE"""),"21SDSCE01143")</f>
        <v>21SDSCE01143</v>
      </c>
      <c r="D1244" s="73">
        <f ca="1">IFERROR(__xludf.DUMMYFUNCTION("""COMPUTED_VALUE"""),44657)</f>
        <v>44657</v>
      </c>
      <c r="E1244" s="74">
        <f ca="1">IFERROR(__xludf.DUMMYFUNCTION("""COMPUTED_VALUE"""),25000)</f>
        <v>25000</v>
      </c>
      <c r="F1244" s="72"/>
      <c r="G1244" s="75"/>
      <c r="H1244" s="59" t="str">
        <f ca="1">IFERROR(__xludf.DUMMYFUNCTION("""COMPUTED_VALUE"""),"UPDATE")</f>
        <v>UPDATE</v>
      </c>
      <c r="I1244" s="76" t="str">
        <f ca="1">IFERROR(__xludf.DUMMYFUNCTION("""COMPUTED_VALUE"""),"https://drive.google.com/open?id=1Ooud-O1mW3B81jFN4xBLr1AanHUV0gj0")</f>
        <v>https://drive.google.com/open?id=1Ooud-O1mW3B81jFN4xBLr1AanHUV0gj0</v>
      </c>
      <c r="J1244" s="59"/>
      <c r="K1244" s="59"/>
      <c r="L1244" s="59"/>
      <c r="M1244" s="59"/>
      <c r="N1244" s="59"/>
      <c r="O1244" s="59"/>
      <c r="P1244" s="59"/>
    </row>
    <row r="1245" spans="1:16">
      <c r="A1245" s="71">
        <f ca="1">IFERROR(__xludf.DUMMYFUNCTION("""COMPUTED_VALUE"""),44657.5886454282)</f>
        <v>44657.588645428201</v>
      </c>
      <c r="B1245" s="59" t="str">
        <f ca="1">IFERROR(__xludf.DUMMYFUNCTION("""COMPUTED_VALUE"""),"Jetani vima")</f>
        <v>Jetani vima</v>
      </c>
      <c r="C1245" s="72" t="str">
        <f ca="1">IFERROR(__xludf.DUMMYFUNCTION("""COMPUTED_VALUE"""),"20sdsce01046")</f>
        <v>20sdsce01046</v>
      </c>
      <c r="D1245" s="73">
        <f ca="1">IFERROR(__xludf.DUMMYFUNCTION("""COMPUTED_VALUE"""),44653)</f>
        <v>44653</v>
      </c>
      <c r="E1245" s="72"/>
      <c r="F1245" s="72"/>
      <c r="G1245" s="75"/>
      <c r="H1245" s="59" t="str">
        <f ca="1">IFERROR(__xludf.DUMMYFUNCTION("""COMPUTED_VALUE"""),"UPDATE")</f>
        <v>UPDATE</v>
      </c>
      <c r="I1245" s="76" t="str">
        <f ca="1">IFERROR(__xludf.DUMMYFUNCTION("""COMPUTED_VALUE"""),"https://drive.google.com/open?id=1xgvibtPsiLXZacNxG_WEvUg-WwKY5AjW")</f>
        <v>https://drive.google.com/open?id=1xgvibtPsiLXZacNxG_WEvUg-WwKY5AjW</v>
      </c>
      <c r="J1245" s="59"/>
      <c r="K1245" s="59"/>
      <c r="L1245" s="59"/>
      <c r="M1245" s="59"/>
      <c r="N1245" s="59"/>
      <c r="O1245" s="59"/>
      <c r="P1245" s="59"/>
    </row>
    <row r="1246" spans="1:16">
      <c r="A1246" s="71">
        <f ca="1">IFERROR(__xludf.DUMMYFUNCTION("""COMPUTED_VALUE"""),44656.3832858217)</f>
        <v>44656.383285821699</v>
      </c>
      <c r="B1246" s="59" t="str">
        <f ca="1">IFERROR(__xludf.DUMMYFUNCTION("""COMPUTED_VALUE"""),"Jekesh ashokbhai Patel ")</f>
        <v xml:space="preserve">Jekesh ashokbhai Patel </v>
      </c>
      <c r="C1246" s="72" t="str">
        <f ca="1">IFERROR(__xludf.DUMMYFUNCTION("""COMPUTED_VALUE"""),"19sdscv01005")</f>
        <v>19sdscv01005</v>
      </c>
      <c r="D1246" s="73">
        <f ca="1">IFERROR(__xludf.DUMMYFUNCTION("""COMPUTED_VALUE"""),44544)</f>
        <v>44544</v>
      </c>
      <c r="E1246" s="74">
        <f ca="1">IFERROR(__xludf.DUMMYFUNCTION("""COMPUTED_VALUE"""),25000)</f>
        <v>25000</v>
      </c>
      <c r="F1246" s="72">
        <f ca="1">IFERROR(__xludf.DUMMYFUNCTION("""COMPUTED_VALUE"""),3500)</f>
        <v>3500</v>
      </c>
      <c r="G1246" s="75"/>
      <c r="H1246" s="59" t="str">
        <f ca="1">IFERROR(__xludf.DUMMYFUNCTION("""COMPUTED_VALUE"""),"UPDATE")</f>
        <v>UPDATE</v>
      </c>
      <c r="I1246" s="76" t="str">
        <f ca="1">IFERROR(__xludf.DUMMYFUNCTION("""COMPUTED_VALUE"""),"https://drive.google.com/open?id=1l9v5aZFYe1z8XnFzwxnfmTo3qTGmI-_h")</f>
        <v>https://drive.google.com/open?id=1l9v5aZFYe1z8XnFzwxnfmTo3qTGmI-_h</v>
      </c>
      <c r="J1246" s="59"/>
      <c r="K1246" s="59"/>
      <c r="L1246" s="59"/>
      <c r="M1246" s="59"/>
      <c r="N1246" s="59"/>
      <c r="O1246" s="59"/>
      <c r="P1246" s="59"/>
    </row>
    <row r="1247" spans="1:16">
      <c r="A1247" s="71">
        <f ca="1">IFERROR(__xludf.DUMMYFUNCTION("""COMPUTED_VALUE"""),44652.494391574)</f>
        <v>44652.494391574</v>
      </c>
      <c r="B1247" s="59" t="str">
        <f ca="1">IFERROR(__xludf.DUMMYFUNCTION("""COMPUTED_VALUE"""),"Hingarajiya dharmil ")</f>
        <v xml:space="preserve">Hingarajiya dharmil </v>
      </c>
      <c r="C1247" s="72" t="str">
        <f ca="1">IFERROR(__xludf.DUMMYFUNCTION("""COMPUTED_VALUE"""),"19sdsee01004")</f>
        <v>19sdsee01004</v>
      </c>
      <c r="D1247" s="73">
        <f ca="1">IFERROR(__xludf.DUMMYFUNCTION("""COMPUTED_VALUE"""),44561)</f>
        <v>44561</v>
      </c>
      <c r="E1247" s="74">
        <f ca="1">IFERROR(__xludf.DUMMYFUNCTION("""COMPUTED_VALUE"""),23500)</f>
        <v>23500</v>
      </c>
      <c r="F1247" s="72"/>
      <c r="G1247" s="75"/>
      <c r="H1247" s="59" t="str">
        <f ca="1">IFERROR(__xludf.DUMMYFUNCTION("""COMPUTED_VALUE"""),"UPDATE")</f>
        <v>UPDATE</v>
      </c>
      <c r="I1247" s="76" t="str">
        <f ca="1">IFERROR(__xludf.DUMMYFUNCTION("""COMPUTED_VALUE"""),"https://drive.google.com/open?id=1wB9sDPDVxvPhlDHFO3cq42kscTe112MQ")</f>
        <v>https://drive.google.com/open?id=1wB9sDPDVxvPhlDHFO3cq42kscTe112MQ</v>
      </c>
      <c r="J1247" s="59"/>
      <c r="K1247" s="59"/>
      <c r="L1247" s="59"/>
      <c r="M1247" s="59"/>
      <c r="N1247" s="59"/>
      <c r="O1247" s="59"/>
      <c r="P1247" s="59"/>
    </row>
    <row r="1248" spans="1:16">
      <c r="A1248" s="71">
        <f ca="1">IFERROR(__xludf.DUMMYFUNCTION("""COMPUTED_VALUE"""),44651.7797492824)</f>
        <v>44651.779749282403</v>
      </c>
      <c r="B1248" s="59" t="str">
        <f ca="1">IFERROR(__xludf.DUMMYFUNCTION("""COMPUTED_VALUE"""),"Preet tala")</f>
        <v>Preet tala</v>
      </c>
      <c r="C1248" s="72" t="str">
        <f ca="1">IFERROR(__xludf.DUMMYFUNCTION("""COMPUTED_VALUE"""),"21SDSCV01020")</f>
        <v>21SDSCV01020</v>
      </c>
      <c r="D1248" s="73">
        <f ca="1">IFERROR(__xludf.DUMMYFUNCTION("""COMPUTED_VALUE"""),44651)</f>
        <v>44651</v>
      </c>
      <c r="E1248" s="72"/>
      <c r="F1248" s="72">
        <f ca="1">IFERROR(__xludf.DUMMYFUNCTION("""COMPUTED_VALUE"""),2500)</f>
        <v>2500</v>
      </c>
      <c r="G1248" s="75"/>
      <c r="H1248" s="59" t="str">
        <f ca="1">IFERROR(__xludf.DUMMYFUNCTION("""COMPUTED_VALUE"""),"UPDATE")</f>
        <v>UPDATE</v>
      </c>
      <c r="I1248" s="76" t="str">
        <f ca="1">IFERROR(__xludf.DUMMYFUNCTION("""COMPUTED_VALUE"""),"https://drive.google.com/open?id=1LxSHBH6p1QvX7cyKneK8wtC9JpPUSuCM")</f>
        <v>https://drive.google.com/open?id=1LxSHBH6p1QvX7cyKneK8wtC9JpPUSuCM</v>
      </c>
      <c r="J1248" s="59"/>
      <c r="K1248" s="59"/>
      <c r="L1248" s="59"/>
      <c r="M1248" s="59"/>
      <c r="N1248" s="59"/>
      <c r="O1248" s="59"/>
      <c r="P1248" s="59"/>
    </row>
    <row r="1249" spans="1:16">
      <c r="A1249" s="71">
        <f ca="1">IFERROR(__xludf.DUMMYFUNCTION("""COMPUTED_VALUE"""),44651.778505405)</f>
        <v>44651.778505404996</v>
      </c>
      <c r="B1249" s="59" t="str">
        <f ca="1">IFERROR(__xludf.DUMMYFUNCTION("""COMPUTED_VALUE"""),"Preet Tala")</f>
        <v>Preet Tala</v>
      </c>
      <c r="C1249" s="72" t="str">
        <f ca="1">IFERROR(__xludf.DUMMYFUNCTION("""COMPUTED_VALUE"""),"21SDSCV01020")</f>
        <v>21SDSCV01020</v>
      </c>
      <c r="D1249" s="73">
        <f ca="1">IFERROR(__xludf.DUMMYFUNCTION("""COMPUTED_VALUE"""),44651)</f>
        <v>44651</v>
      </c>
      <c r="E1249" s="74">
        <f ca="1">IFERROR(__xludf.DUMMYFUNCTION("""COMPUTED_VALUE"""),25000)</f>
        <v>25000</v>
      </c>
      <c r="F1249" s="72"/>
      <c r="G1249" s="75"/>
      <c r="H1249" s="59" t="str">
        <f ca="1">IFERROR(__xludf.DUMMYFUNCTION("""COMPUTED_VALUE"""),"UPDATE")</f>
        <v>UPDATE</v>
      </c>
      <c r="I1249" s="76" t="str">
        <f ca="1">IFERROR(__xludf.DUMMYFUNCTION("""COMPUTED_VALUE"""),"https://drive.google.com/open?id=1ldq6cVIB3gVGZIDf6mKPLVrHXRiKGXWg")</f>
        <v>https://drive.google.com/open?id=1ldq6cVIB3gVGZIDf6mKPLVrHXRiKGXWg</v>
      </c>
      <c r="J1249" s="59"/>
      <c r="K1249" s="59"/>
      <c r="L1249" s="59"/>
      <c r="M1249" s="59"/>
      <c r="N1249" s="59"/>
      <c r="O1249" s="59"/>
      <c r="P1249" s="59"/>
    </row>
    <row r="1250" spans="1:16">
      <c r="A1250" s="71">
        <f ca="1">IFERROR(__xludf.DUMMYFUNCTION("""COMPUTED_VALUE"""),44650.6191292361)</f>
        <v>44650.619129236104</v>
      </c>
      <c r="B1250" s="59" t="str">
        <f ca="1">IFERROR(__xludf.DUMMYFUNCTION("""COMPUTED_VALUE"""),"Vanpariya Harshil Rameshbhai")</f>
        <v>Vanpariya Harshil Rameshbhai</v>
      </c>
      <c r="C1250" s="72" t="str">
        <f ca="1">IFERROR(__xludf.DUMMYFUNCTION("""COMPUTED_VALUE"""),"20SDSCE01137")</f>
        <v>20SDSCE01137</v>
      </c>
      <c r="D1250" s="73">
        <f ca="1">IFERROR(__xludf.DUMMYFUNCTION("""COMPUTED_VALUE"""),44650)</f>
        <v>44650</v>
      </c>
      <c r="E1250" s="74">
        <f ca="1">IFERROR(__xludf.DUMMYFUNCTION("""COMPUTED_VALUE"""),18750)</f>
        <v>18750</v>
      </c>
      <c r="F1250" s="72"/>
      <c r="G1250" s="75"/>
      <c r="H1250" s="59" t="str">
        <f ca="1">IFERROR(__xludf.DUMMYFUNCTION("""COMPUTED_VALUE"""),"UPDATE")</f>
        <v>UPDATE</v>
      </c>
      <c r="I1250" s="76" t="str">
        <f ca="1">IFERROR(__xludf.DUMMYFUNCTION("""COMPUTED_VALUE"""),"https://drive.google.com/open?id=1ZaxGivWBYyW2fOJJp5Tao7HAAoJ74Xdt")</f>
        <v>https://drive.google.com/open?id=1ZaxGivWBYyW2fOJJp5Tao7HAAoJ74Xdt</v>
      </c>
      <c r="J1250" s="59"/>
      <c r="K1250" s="59"/>
      <c r="L1250" s="59"/>
      <c r="M1250" s="59"/>
      <c r="N1250" s="59"/>
      <c r="O1250" s="59"/>
      <c r="P1250" s="59"/>
    </row>
    <row r="1251" spans="1:16">
      <c r="A1251" s="71">
        <f ca="1">IFERROR(__xludf.DUMMYFUNCTION("""COMPUTED_VALUE"""),44645.4052639004)</f>
        <v>44645.4052639004</v>
      </c>
      <c r="B1251" s="59" t="str">
        <f ca="1">IFERROR(__xludf.DUMMYFUNCTION("""COMPUTED_VALUE"""),"Dharmik gadhiya")</f>
        <v>Dharmik gadhiya</v>
      </c>
      <c r="C1251" s="72" t="str">
        <f ca="1">IFERROR(__xludf.DUMMYFUNCTION("""COMPUTED_VALUE"""),"20SDSCE01033")</f>
        <v>20SDSCE01033</v>
      </c>
      <c r="D1251" s="73">
        <f ca="1">IFERROR(__xludf.DUMMYFUNCTION("""COMPUTED_VALUE"""),44637)</f>
        <v>44637</v>
      </c>
      <c r="E1251" s="72"/>
      <c r="F1251" s="72">
        <f ca="1">IFERROR(__xludf.DUMMYFUNCTION("""COMPUTED_VALUE"""),200)</f>
        <v>200</v>
      </c>
      <c r="G1251" s="75"/>
      <c r="H1251" s="59" t="str">
        <f ca="1">IFERROR(__xludf.DUMMYFUNCTION("""COMPUTED_VALUE"""),"UPDATE")</f>
        <v>UPDATE</v>
      </c>
      <c r="I1251" s="76" t="str">
        <f ca="1">IFERROR(__xludf.DUMMYFUNCTION("""COMPUTED_VALUE"""),"https://drive.google.com/open?id=1wOI2Peq5X63ZHRPpbDk0JEQHLM2Vsm2c")</f>
        <v>https://drive.google.com/open?id=1wOI2Peq5X63ZHRPpbDk0JEQHLM2Vsm2c</v>
      </c>
      <c r="J1251" s="59"/>
      <c r="K1251" s="59"/>
      <c r="L1251" s="59"/>
      <c r="M1251" s="59"/>
      <c r="N1251" s="59"/>
      <c r="O1251" s="59"/>
      <c r="P1251" s="59"/>
    </row>
    <row r="1252" spans="1:16">
      <c r="A1252" s="71">
        <f ca="1">IFERROR(__xludf.DUMMYFUNCTION("""COMPUTED_VALUE"""),44645.4032016203)</f>
        <v>44645.403201620298</v>
      </c>
      <c r="B1252" s="59" t="str">
        <f ca="1">IFERROR(__xludf.DUMMYFUNCTION("""COMPUTED_VALUE"""),"Dharmik gadhiya")</f>
        <v>Dharmik gadhiya</v>
      </c>
      <c r="C1252" s="72" t="str">
        <f ca="1">IFERROR(__xludf.DUMMYFUNCTION("""COMPUTED_VALUE"""),"20SDSCE01033")</f>
        <v>20SDSCE01033</v>
      </c>
      <c r="D1252" s="73">
        <f ca="1">IFERROR(__xludf.DUMMYFUNCTION("""COMPUTED_VALUE"""),44443)</f>
        <v>44443</v>
      </c>
      <c r="E1252" s="72"/>
      <c r="F1252" s="72">
        <f ca="1">IFERROR(__xludf.DUMMYFUNCTION("""COMPUTED_VALUE"""),2500)</f>
        <v>2500</v>
      </c>
      <c r="G1252" s="75"/>
      <c r="H1252" s="59" t="str">
        <f ca="1">IFERROR(__xludf.DUMMYFUNCTION("""COMPUTED_VALUE"""),"UPDATE")</f>
        <v>UPDATE</v>
      </c>
      <c r="I1252" s="76" t="str">
        <f ca="1">IFERROR(__xludf.DUMMYFUNCTION("""COMPUTED_VALUE"""),"https://drive.google.com/open?id=1JcRA-bj2kl-vgplUF-83zjVVSpUgLMLd")</f>
        <v>https://drive.google.com/open?id=1JcRA-bj2kl-vgplUF-83zjVVSpUgLMLd</v>
      </c>
      <c r="J1252" s="59"/>
      <c r="K1252" s="59"/>
      <c r="L1252" s="59"/>
      <c r="M1252" s="59"/>
      <c r="N1252" s="59"/>
      <c r="O1252" s="59"/>
      <c r="P1252" s="59"/>
    </row>
    <row r="1253" spans="1:16">
      <c r="A1253" s="71">
        <f ca="1">IFERROR(__xludf.DUMMYFUNCTION("""COMPUTED_VALUE"""),44644.9145104629)</f>
        <v>44644.914510462899</v>
      </c>
      <c r="B1253" s="59" t="str">
        <f ca="1">IFERROR(__xludf.DUMMYFUNCTION("""COMPUTED_VALUE"""),"Heet kanabar rajeshbhai")</f>
        <v>Heet kanabar rajeshbhai</v>
      </c>
      <c r="C1253" s="72" t="str">
        <f ca="1">IFERROR(__xludf.DUMMYFUNCTION("""COMPUTED_VALUE"""),"20SDSCE01049")</f>
        <v>20SDSCE01049</v>
      </c>
      <c r="D1253" s="73">
        <f ca="1">IFERROR(__xludf.DUMMYFUNCTION("""COMPUTED_VALUE"""),44644)</f>
        <v>44644</v>
      </c>
      <c r="E1253" s="74">
        <f ca="1">IFERROR(__xludf.DUMMYFUNCTION("""COMPUTED_VALUE"""),25000)</f>
        <v>25000</v>
      </c>
      <c r="F1253" s="72"/>
      <c r="G1253" s="75"/>
      <c r="H1253" s="59" t="str">
        <f ca="1">IFERROR(__xludf.DUMMYFUNCTION("""COMPUTED_VALUE"""),"UPDATE")</f>
        <v>UPDATE</v>
      </c>
      <c r="I1253" s="76" t="str">
        <f ca="1">IFERROR(__xludf.DUMMYFUNCTION("""COMPUTED_VALUE"""),"https://drive.google.com/open?id=1AQLLupAF5t-2IQq-358DvrU8X0DT6HQy")</f>
        <v>https://drive.google.com/open?id=1AQLLupAF5t-2IQq-358DvrU8X0DT6HQy</v>
      </c>
      <c r="J1253" s="59"/>
      <c r="K1253" s="59"/>
      <c r="L1253" s="59"/>
      <c r="M1253" s="59"/>
      <c r="N1253" s="59"/>
      <c r="O1253" s="59"/>
      <c r="P1253" s="59"/>
    </row>
    <row r="1254" spans="1:16">
      <c r="A1254" s="71">
        <f ca="1">IFERROR(__xludf.DUMMYFUNCTION("""COMPUTED_VALUE"""),44644.3717888657)</f>
        <v>44644.371788865697</v>
      </c>
      <c r="B1254" s="59" t="str">
        <f ca="1">IFERROR(__xludf.DUMMYFUNCTION("""COMPUTED_VALUE"""),"aditymakwana")</f>
        <v>aditymakwana</v>
      </c>
      <c r="C1254" s="72" t="str">
        <f ca="1">IFERROR(__xludf.DUMMYFUNCTION("""COMPUTED_VALUE"""),"20sdsce01061")</f>
        <v>20sdsce01061</v>
      </c>
      <c r="D1254" s="73">
        <f ca="1">IFERROR(__xludf.DUMMYFUNCTION("""COMPUTED_VALUE"""),44644)</f>
        <v>44644</v>
      </c>
      <c r="E1254" s="74">
        <f ca="1">IFERROR(__xludf.DUMMYFUNCTION("""COMPUTED_VALUE"""),2500)</f>
        <v>2500</v>
      </c>
      <c r="F1254" s="72"/>
      <c r="G1254" s="75"/>
      <c r="H1254" s="59" t="str">
        <f ca="1">IFERROR(__xludf.DUMMYFUNCTION("""COMPUTED_VALUE"""),"UPDATE")</f>
        <v>UPDATE</v>
      </c>
      <c r="I1254" s="76" t="str">
        <f ca="1">IFERROR(__xludf.DUMMYFUNCTION("""COMPUTED_VALUE"""),"https://drive.google.com/open?id=1zSpk3KE7pVX2B5xO-h_tpmVycWZv5D2s")</f>
        <v>https://drive.google.com/open?id=1zSpk3KE7pVX2B5xO-h_tpmVycWZv5D2s</v>
      </c>
      <c r="J1254" s="59"/>
      <c r="K1254" s="59"/>
      <c r="L1254" s="59"/>
      <c r="M1254" s="59"/>
      <c r="N1254" s="59"/>
      <c r="O1254" s="59"/>
      <c r="P1254" s="59"/>
    </row>
    <row r="1255" spans="1:16">
      <c r="A1255" s="71">
        <f ca="1">IFERROR(__xludf.DUMMYFUNCTION("""COMPUTED_VALUE"""),44644.3699392129)</f>
        <v>44644.369939212898</v>
      </c>
      <c r="B1255" s="59" t="str">
        <f ca="1">IFERROR(__xludf.DUMMYFUNCTION("""COMPUTED_VALUE"""),"20sdsce01061")</f>
        <v>20sdsce01061</v>
      </c>
      <c r="C1255" s="72" t="str">
        <f ca="1">IFERROR(__xludf.DUMMYFUNCTION("""COMPUTED_VALUE"""),"20sdsce01061")</f>
        <v>20sdsce01061</v>
      </c>
      <c r="D1255" s="73">
        <f ca="1">IFERROR(__xludf.DUMMYFUNCTION("""COMPUTED_VALUE"""),44630)</f>
        <v>44630</v>
      </c>
      <c r="E1255" s="72"/>
      <c r="F1255" s="72">
        <f ca="1">IFERROR(__xludf.DUMMYFUNCTION("""COMPUTED_VALUE"""),2500)</f>
        <v>2500</v>
      </c>
      <c r="G1255" s="75"/>
      <c r="H1255" s="59" t="str">
        <f ca="1">IFERROR(__xludf.DUMMYFUNCTION("""COMPUTED_VALUE"""),"UPDATE")</f>
        <v>UPDATE</v>
      </c>
      <c r="I1255" s="76" t="str">
        <f ca="1">IFERROR(__xludf.DUMMYFUNCTION("""COMPUTED_VALUE"""),"https://drive.google.com/open?id=1WTpak7jWm-FhfXkfIFTLUuQbwA0dUTR0")</f>
        <v>https://drive.google.com/open?id=1WTpak7jWm-FhfXkfIFTLUuQbwA0dUTR0</v>
      </c>
      <c r="J1255" s="59"/>
      <c r="K1255" s="59"/>
      <c r="L1255" s="59"/>
      <c r="M1255" s="59"/>
      <c r="N1255" s="59"/>
      <c r="O1255" s="59"/>
      <c r="P1255" s="59"/>
    </row>
    <row r="1256" spans="1:16">
      <c r="A1256" s="71">
        <f ca="1">IFERROR(__xludf.DUMMYFUNCTION("""COMPUTED_VALUE"""),44644.3687684606)</f>
        <v>44644.368768460597</v>
      </c>
      <c r="B1256" s="59" t="str">
        <f ca="1">IFERROR(__xludf.DUMMYFUNCTION("""COMPUTED_VALUE"""),"aditymakwana")</f>
        <v>aditymakwana</v>
      </c>
      <c r="C1256" s="72" t="str">
        <f ca="1">IFERROR(__xludf.DUMMYFUNCTION("""COMPUTED_VALUE"""),"20sdsce01061")</f>
        <v>20sdsce01061</v>
      </c>
      <c r="D1256" s="73">
        <f ca="1">IFERROR(__xludf.DUMMYFUNCTION("""COMPUTED_VALUE"""),44578)</f>
        <v>44578</v>
      </c>
      <c r="E1256" s="74">
        <f ca="1">IFERROR(__xludf.DUMMYFUNCTION("""COMPUTED_VALUE"""),12500)</f>
        <v>12500</v>
      </c>
      <c r="F1256" s="72"/>
      <c r="G1256" s="75"/>
      <c r="H1256" s="59" t="str">
        <f ca="1">IFERROR(__xludf.DUMMYFUNCTION("""COMPUTED_VALUE"""),"UPDATE")</f>
        <v>UPDATE</v>
      </c>
      <c r="I1256" s="76" t="str">
        <f ca="1">IFERROR(__xludf.DUMMYFUNCTION("""COMPUTED_VALUE"""),"https://drive.google.com/open?id=1gAc75lYz20yQWGs7BJptBLjEiR1E7mMe")</f>
        <v>https://drive.google.com/open?id=1gAc75lYz20yQWGs7BJptBLjEiR1E7mMe</v>
      </c>
      <c r="J1256" s="59"/>
      <c r="K1256" s="59"/>
      <c r="L1256" s="59"/>
      <c r="M1256" s="59"/>
      <c r="N1256" s="59"/>
      <c r="O1256" s="59"/>
      <c r="P1256" s="59"/>
    </row>
    <row r="1257" spans="1:16">
      <c r="A1257" s="71">
        <f ca="1">IFERROR(__xludf.DUMMYFUNCTION("""COMPUTED_VALUE"""),44643.5848392708)</f>
        <v>44643.584839270799</v>
      </c>
      <c r="B1257" s="59" t="str">
        <f ca="1">IFERROR(__xludf.DUMMYFUNCTION("""COMPUTED_VALUE"""),"Samarth Kalpeshbhai Dadhaniya")</f>
        <v>Samarth Kalpeshbhai Dadhaniya</v>
      </c>
      <c r="C1257" s="72" t="str">
        <f ca="1">IFERROR(__xludf.DUMMYFUNCTION("""COMPUTED_VALUE"""),"20SDSCE01023")</f>
        <v>20SDSCE01023</v>
      </c>
      <c r="D1257" s="73">
        <f ca="1">IFERROR(__xludf.DUMMYFUNCTION("""COMPUTED_VALUE"""),44642)</f>
        <v>44642</v>
      </c>
      <c r="E1257" s="74">
        <f ca="1">IFERROR(__xludf.DUMMYFUNCTION("""COMPUTED_VALUE"""),25000)</f>
        <v>25000</v>
      </c>
      <c r="F1257" s="72"/>
      <c r="G1257" s="75"/>
      <c r="H1257" s="59" t="str">
        <f ca="1">IFERROR(__xludf.DUMMYFUNCTION("""COMPUTED_VALUE"""),"UPDATE")</f>
        <v>UPDATE</v>
      </c>
      <c r="I1257" s="76" t="str">
        <f ca="1">IFERROR(__xludf.DUMMYFUNCTION("""COMPUTED_VALUE"""),"https://drive.google.com/open?id=1DlzvtUPb2XtHP29YLjmkVce6o-l1eGqJ")</f>
        <v>https://drive.google.com/open?id=1DlzvtUPb2XtHP29YLjmkVce6o-l1eGqJ</v>
      </c>
      <c r="J1257" s="59"/>
      <c r="K1257" s="59"/>
      <c r="L1257" s="59"/>
      <c r="M1257" s="59"/>
      <c r="N1257" s="59"/>
      <c r="O1257" s="59"/>
      <c r="P1257" s="59"/>
    </row>
    <row r="1258" spans="1:16">
      <c r="A1258" s="71">
        <f ca="1">IFERROR(__xludf.DUMMYFUNCTION("""COMPUTED_VALUE"""),44643.5606816898)</f>
        <v>44643.5606816898</v>
      </c>
      <c r="B1258" s="59" t="str">
        <f ca="1">IFERROR(__xludf.DUMMYFUNCTION("""COMPUTED_VALUE"""),"Kaman mamer kuandak Tiok ")</f>
        <v xml:space="preserve">Kaman mamer kuandak Tiok </v>
      </c>
      <c r="C1258" s="72" t="str">
        <f ca="1">IFERROR(__xludf.DUMMYFUNCTION("""COMPUTED_VALUE"""),"20SDSCE01161")</f>
        <v>20SDSCE01161</v>
      </c>
      <c r="D1258" s="73">
        <f ca="1">IFERROR(__xludf.DUMMYFUNCTION("""COMPUTED_VALUE"""),44643)</f>
        <v>44643</v>
      </c>
      <c r="E1258" s="74">
        <f ca="1">IFERROR(__xludf.DUMMYFUNCTION("""COMPUTED_VALUE"""),0)</f>
        <v>0</v>
      </c>
      <c r="F1258" s="72">
        <f ca="1">IFERROR(__xludf.DUMMYFUNCTION("""COMPUTED_VALUE"""),27000)</f>
        <v>27000</v>
      </c>
      <c r="G1258" s="75"/>
      <c r="H1258" s="59" t="str">
        <f ca="1">IFERROR(__xludf.DUMMYFUNCTION("""COMPUTED_VALUE"""),"UPDATE")</f>
        <v>UPDATE</v>
      </c>
      <c r="I1258" s="76" t="str">
        <f ca="1">IFERROR(__xludf.DUMMYFUNCTION("""COMPUTED_VALUE"""),"https://drive.google.com/open?id=1sNp6qhhl6tZRdxN2qwMMeaWgX7vRRJPY")</f>
        <v>https://drive.google.com/open?id=1sNp6qhhl6tZRdxN2qwMMeaWgX7vRRJPY</v>
      </c>
      <c r="J1258" s="59"/>
      <c r="K1258" s="59"/>
      <c r="L1258" s="59"/>
      <c r="M1258" s="59"/>
      <c r="N1258" s="59"/>
      <c r="O1258" s="59"/>
      <c r="P1258" s="59"/>
    </row>
    <row r="1259" spans="1:16">
      <c r="A1259" s="71">
        <f ca="1">IFERROR(__xludf.DUMMYFUNCTION("""COMPUTED_VALUE"""),44642.8781693402)</f>
        <v>44642.878169340198</v>
      </c>
      <c r="B1259" s="59" t="str">
        <f ca="1">IFERROR(__xludf.DUMMYFUNCTION("""COMPUTED_VALUE"""),"Hadiyal harshil Maheshbhai ")</f>
        <v xml:space="preserve">Hadiyal harshil Maheshbhai </v>
      </c>
      <c r="C1259" s="72" t="str">
        <f ca="1">IFERROR(__xludf.DUMMYFUNCTION("""COMPUTED_VALUE"""),"20SDSCE01041")</f>
        <v>20SDSCE01041</v>
      </c>
      <c r="D1259" s="73">
        <f ca="1">IFERROR(__xludf.DUMMYFUNCTION("""COMPUTED_VALUE"""),44579)</f>
        <v>44579</v>
      </c>
      <c r="E1259" s="72"/>
      <c r="F1259" s="72">
        <f ca="1">IFERROR(__xludf.DUMMYFUNCTION("""COMPUTED_VALUE"""),2500)</f>
        <v>2500</v>
      </c>
      <c r="G1259" s="75"/>
      <c r="H1259" s="59" t="str">
        <f ca="1">IFERROR(__xludf.DUMMYFUNCTION("""COMPUTED_VALUE"""),"UPDATE")</f>
        <v>UPDATE</v>
      </c>
      <c r="I1259" s="76" t="str">
        <f ca="1">IFERROR(__xludf.DUMMYFUNCTION("""COMPUTED_VALUE"""),"https://drive.google.com/open?id=1eS9dxBjJtSkOq_bZsQ77IYJsSP-yeLz1")</f>
        <v>https://drive.google.com/open?id=1eS9dxBjJtSkOq_bZsQ77IYJsSP-yeLz1</v>
      </c>
      <c r="J1259" s="59"/>
      <c r="K1259" s="59"/>
      <c r="L1259" s="59"/>
      <c r="M1259" s="59"/>
      <c r="N1259" s="59"/>
      <c r="O1259" s="59"/>
      <c r="P1259" s="59"/>
    </row>
    <row r="1260" spans="1:16">
      <c r="A1260" s="71">
        <f ca="1">IFERROR(__xludf.DUMMYFUNCTION("""COMPUTED_VALUE"""),44642.8753603819)</f>
        <v>44642.875360381899</v>
      </c>
      <c r="B1260" s="59" t="str">
        <f ca="1">IFERROR(__xludf.DUMMYFUNCTION("""COMPUTED_VALUE"""),"Hadiyal harshil Maheshbhai ")</f>
        <v xml:space="preserve">Hadiyal harshil Maheshbhai </v>
      </c>
      <c r="C1260" s="72" t="str">
        <f ca="1">IFERROR(__xludf.DUMMYFUNCTION("""COMPUTED_VALUE"""),"20SDSCE01041")</f>
        <v>20SDSCE01041</v>
      </c>
      <c r="D1260" s="73">
        <f ca="1">IFERROR(__xludf.DUMMYFUNCTION("""COMPUTED_VALUE"""),44572)</f>
        <v>44572</v>
      </c>
      <c r="E1260" s="74">
        <f ca="1">IFERROR(__xludf.DUMMYFUNCTION("""COMPUTED_VALUE"""),25000)</f>
        <v>25000</v>
      </c>
      <c r="F1260" s="72"/>
      <c r="G1260" s="75"/>
      <c r="H1260" s="59" t="str">
        <f ca="1">IFERROR(__xludf.DUMMYFUNCTION("""COMPUTED_VALUE"""),"UPDATE")</f>
        <v>UPDATE</v>
      </c>
      <c r="I1260" s="76" t="str">
        <f ca="1">IFERROR(__xludf.DUMMYFUNCTION("""COMPUTED_VALUE"""),"https://drive.google.com/open?id=1c_p06W985g9cXdHcxO3w9avZiXyfFB7F")</f>
        <v>https://drive.google.com/open?id=1c_p06W985g9cXdHcxO3w9avZiXyfFB7F</v>
      </c>
      <c r="J1260" s="59"/>
      <c r="K1260" s="59"/>
      <c r="L1260" s="59"/>
      <c r="M1260" s="59"/>
      <c r="N1260" s="59"/>
      <c r="O1260" s="59"/>
      <c r="P1260" s="59"/>
    </row>
    <row r="1261" spans="1:16">
      <c r="A1261" s="71">
        <f ca="1">IFERROR(__xludf.DUMMYFUNCTION("""COMPUTED_VALUE"""),44642.5933112152)</f>
        <v>44642.593311215198</v>
      </c>
      <c r="B1261" s="59" t="str">
        <f ca="1">IFERROR(__xludf.DUMMYFUNCTION("""COMPUTED_VALUE"""),"Kodala himanshu jagdishbhai ")</f>
        <v xml:space="preserve">Kodala himanshu jagdishbhai </v>
      </c>
      <c r="C1261" s="72" t="str">
        <f ca="1">IFERROR(__xludf.DUMMYFUNCTION("""COMPUTED_VALUE"""),"21sdsce01132")</f>
        <v>21sdsce01132</v>
      </c>
      <c r="D1261" s="73">
        <f ca="1">IFERROR(__xludf.DUMMYFUNCTION("""COMPUTED_VALUE"""),44641)</f>
        <v>44641</v>
      </c>
      <c r="E1261" s="74">
        <f ca="1">IFERROR(__xludf.DUMMYFUNCTION("""COMPUTED_VALUE"""),12500)</f>
        <v>12500</v>
      </c>
      <c r="F1261" s="72">
        <f ca="1">IFERROR(__xludf.DUMMYFUNCTION("""COMPUTED_VALUE"""),2500)</f>
        <v>2500</v>
      </c>
      <c r="G1261" s="75"/>
      <c r="H1261" s="59" t="str">
        <f ca="1">IFERROR(__xludf.DUMMYFUNCTION("""COMPUTED_VALUE"""),"UPDATE")</f>
        <v>UPDATE</v>
      </c>
      <c r="I1261" s="76" t="str">
        <f ca="1">IFERROR(__xludf.DUMMYFUNCTION("""COMPUTED_VALUE"""),"https://drive.google.com/open?id=1uEzf5biny3UxP36ZJU7jfBQt0LuE0717")</f>
        <v>https://drive.google.com/open?id=1uEzf5biny3UxP36ZJU7jfBQt0LuE0717</v>
      </c>
      <c r="J1261" s="59"/>
      <c r="K1261" s="59"/>
      <c r="L1261" s="59"/>
      <c r="M1261" s="59"/>
      <c r="N1261" s="59"/>
      <c r="O1261" s="59"/>
      <c r="P1261" s="59"/>
    </row>
    <row r="1262" spans="1:16">
      <c r="A1262" s="71">
        <f ca="1">IFERROR(__xludf.DUMMYFUNCTION("""COMPUTED_VALUE"""),44642.592068287)</f>
        <v>44642.592068286998</v>
      </c>
      <c r="B1262" s="59" t="str">
        <f ca="1">IFERROR(__xludf.DUMMYFUNCTION("""COMPUTED_VALUE"""),"Kodala himanshu jagdishbhai ")</f>
        <v xml:space="preserve">Kodala himanshu jagdishbhai </v>
      </c>
      <c r="C1262" s="72" t="str">
        <f ca="1">IFERROR(__xludf.DUMMYFUNCTION("""COMPUTED_VALUE"""),"21sdsce01132")</f>
        <v>21sdsce01132</v>
      </c>
      <c r="D1262" s="73">
        <f ca="1">IFERROR(__xludf.DUMMYFUNCTION("""COMPUTED_VALUE"""),44641)</f>
        <v>44641</v>
      </c>
      <c r="E1262" s="74">
        <f ca="1">IFERROR(__xludf.DUMMYFUNCTION("""COMPUTED_VALUE"""),12500)</f>
        <v>12500</v>
      </c>
      <c r="F1262" s="72">
        <f ca="1">IFERROR(__xludf.DUMMYFUNCTION("""COMPUTED_VALUE"""),2500)</f>
        <v>2500</v>
      </c>
      <c r="G1262" s="75"/>
      <c r="H1262" s="59" t="str">
        <f ca="1">IFERROR(__xludf.DUMMYFUNCTION("""COMPUTED_VALUE"""),"UPDATE")</f>
        <v>UPDATE</v>
      </c>
      <c r="I1262" s="76" t="str">
        <f ca="1">IFERROR(__xludf.DUMMYFUNCTION("""COMPUTED_VALUE"""),"https://drive.google.com/open?id=1zmhCK2YKOaJFJ1CQ5cZGT7UrZ6muDZ6o")</f>
        <v>https://drive.google.com/open?id=1zmhCK2YKOaJFJ1CQ5cZGT7UrZ6muDZ6o</v>
      </c>
      <c r="J1262" s="59"/>
      <c r="K1262" s="59"/>
      <c r="L1262" s="59"/>
      <c r="M1262" s="59"/>
      <c r="N1262" s="59"/>
      <c r="O1262" s="59"/>
      <c r="P1262" s="59"/>
    </row>
    <row r="1263" spans="1:16">
      <c r="A1263" s="71">
        <f ca="1">IFERROR(__xludf.DUMMYFUNCTION("""COMPUTED_VALUE"""),44642.5906757986)</f>
        <v>44642.590675798601</v>
      </c>
      <c r="B1263" s="59" t="str">
        <f ca="1">IFERROR(__xludf.DUMMYFUNCTION("""COMPUTED_VALUE"""),"Kodala himanshu jagdishbhai ")</f>
        <v xml:space="preserve">Kodala himanshu jagdishbhai </v>
      </c>
      <c r="C1263" s="72" t="str">
        <f ca="1">IFERROR(__xludf.DUMMYFUNCTION("""COMPUTED_VALUE"""),"21sdsce01132")</f>
        <v>21sdsce01132</v>
      </c>
      <c r="D1263" s="73">
        <f ca="1">IFERROR(__xludf.DUMMYFUNCTION("""COMPUTED_VALUE"""),44641)</f>
        <v>44641</v>
      </c>
      <c r="E1263" s="74">
        <f ca="1">IFERROR(__xludf.DUMMYFUNCTION("""COMPUTED_VALUE"""),12500)</f>
        <v>12500</v>
      </c>
      <c r="F1263" s="72">
        <f ca="1">IFERROR(__xludf.DUMMYFUNCTION("""COMPUTED_VALUE"""),2500)</f>
        <v>2500</v>
      </c>
      <c r="G1263" s="75"/>
      <c r="H1263" s="59" t="str">
        <f ca="1">IFERROR(__xludf.DUMMYFUNCTION("""COMPUTED_VALUE"""),"UPDATE")</f>
        <v>UPDATE</v>
      </c>
      <c r="I1263" s="76" t="str">
        <f ca="1">IFERROR(__xludf.DUMMYFUNCTION("""COMPUTED_VALUE"""),"https://drive.google.com/open?id=1sHtoLonRDbWD3HSPoIeS6D1e_SMtO12S")</f>
        <v>https://drive.google.com/open?id=1sHtoLonRDbWD3HSPoIeS6D1e_SMtO12S</v>
      </c>
      <c r="J1263" s="59"/>
      <c r="K1263" s="59"/>
      <c r="L1263" s="59"/>
      <c r="M1263" s="59"/>
      <c r="N1263" s="59"/>
      <c r="O1263" s="59"/>
      <c r="P1263" s="59"/>
    </row>
    <row r="1264" spans="1:16">
      <c r="A1264" s="71">
        <f ca="1">IFERROR(__xludf.DUMMYFUNCTION("""COMPUTED_VALUE"""),44642.4964803356)</f>
        <v>44642.496480335598</v>
      </c>
      <c r="B1264" s="59" t="str">
        <f ca="1">IFERROR(__xludf.DUMMYFUNCTION("""COMPUTED_VALUE"""),"Kodala himanshu jagdishbhai ")</f>
        <v xml:space="preserve">Kodala himanshu jagdishbhai </v>
      </c>
      <c r="C1264" s="72" t="str">
        <f ca="1">IFERROR(__xludf.DUMMYFUNCTION("""COMPUTED_VALUE"""),"21sdsce01132")</f>
        <v>21sdsce01132</v>
      </c>
      <c r="D1264" s="73">
        <f ca="1">IFERROR(__xludf.DUMMYFUNCTION("""COMPUTED_VALUE"""),44641)</f>
        <v>44641</v>
      </c>
      <c r="E1264" s="74">
        <f ca="1">IFERROR(__xludf.DUMMYFUNCTION("""COMPUTED_VALUE"""),12500)</f>
        <v>12500</v>
      </c>
      <c r="F1264" s="72">
        <f ca="1">IFERROR(__xludf.DUMMYFUNCTION("""COMPUTED_VALUE"""),2500)</f>
        <v>2500</v>
      </c>
      <c r="G1264" s="75"/>
      <c r="H1264" s="59" t="str">
        <f ca="1">IFERROR(__xludf.DUMMYFUNCTION("""COMPUTED_VALUE"""),"UPDATE")</f>
        <v>UPDATE</v>
      </c>
      <c r="I1264" s="76" t="str">
        <f ca="1">IFERROR(__xludf.DUMMYFUNCTION("""COMPUTED_VALUE"""),"https://drive.google.com/open?id=1a-owuO-_BJEX0MZpUjJXQh8suySGjUDs")</f>
        <v>https://drive.google.com/open?id=1a-owuO-_BJEX0MZpUjJXQh8suySGjUDs</v>
      </c>
      <c r="J1264" s="59"/>
      <c r="K1264" s="59"/>
      <c r="L1264" s="59"/>
      <c r="M1264" s="59"/>
      <c r="N1264" s="59"/>
      <c r="O1264" s="59"/>
      <c r="P1264" s="59"/>
    </row>
    <row r="1265" spans="1:16">
      <c r="A1265" s="71">
        <f ca="1">IFERROR(__xludf.DUMMYFUNCTION("""COMPUTED_VALUE"""),44642.4361012152)</f>
        <v>44642.4361012152</v>
      </c>
      <c r="B1265" s="59" t="str">
        <f ca="1">IFERROR(__xludf.DUMMYFUNCTION("""COMPUTED_VALUE"""),"Yashbhatti ")</f>
        <v xml:space="preserve">Yashbhatti </v>
      </c>
      <c r="C1265" s="72" t="str">
        <f ca="1">IFERROR(__xludf.DUMMYFUNCTION("""COMPUTED_VALUE"""),"20SDSCE01011 ")</f>
        <v xml:space="preserve">20SDSCE01011 </v>
      </c>
      <c r="D1265" s="73">
        <f ca="1">IFERROR(__xludf.DUMMYFUNCTION("""COMPUTED_VALUE"""),44576)</f>
        <v>44576</v>
      </c>
      <c r="E1265" s="72"/>
      <c r="F1265" s="72">
        <f ca="1">IFERROR(__xludf.DUMMYFUNCTION("""COMPUTED_VALUE"""),2500)</f>
        <v>2500</v>
      </c>
      <c r="G1265" s="75"/>
      <c r="H1265" s="59" t="str">
        <f ca="1">IFERROR(__xludf.DUMMYFUNCTION("""COMPUTED_VALUE"""),"UPDATE")</f>
        <v>UPDATE</v>
      </c>
      <c r="I1265" s="76" t="str">
        <f ca="1">IFERROR(__xludf.DUMMYFUNCTION("""COMPUTED_VALUE"""),"https://drive.google.com/open?id=1d6xPs3A4I4nf_DaDq-j1oGKPWsKLhvxf")</f>
        <v>https://drive.google.com/open?id=1d6xPs3A4I4nf_DaDq-j1oGKPWsKLhvxf</v>
      </c>
      <c r="J1265" s="59"/>
      <c r="K1265" s="59"/>
      <c r="L1265" s="59"/>
      <c r="M1265" s="59"/>
      <c r="N1265" s="59"/>
      <c r="O1265" s="59"/>
      <c r="P1265" s="59"/>
    </row>
    <row r="1266" spans="1:16">
      <c r="A1266" s="71">
        <f ca="1">IFERROR(__xludf.DUMMYFUNCTION("""COMPUTED_VALUE"""),44642.4343547916)</f>
        <v>44642.4343547916</v>
      </c>
      <c r="B1266" s="59" t="str">
        <f ca="1">IFERROR(__xludf.DUMMYFUNCTION("""COMPUTED_VALUE"""),"Yashbhatti ")</f>
        <v xml:space="preserve">Yashbhatti </v>
      </c>
      <c r="C1266" s="72" t="str">
        <f ca="1">IFERROR(__xludf.DUMMYFUNCTION("""COMPUTED_VALUE"""),"20SDSCE01011 ")</f>
        <v xml:space="preserve">20SDSCE01011 </v>
      </c>
      <c r="D1266" s="72"/>
      <c r="E1266" s="74">
        <f ca="1">IFERROR(__xludf.DUMMYFUNCTION("""COMPUTED_VALUE"""),25000)</f>
        <v>25000</v>
      </c>
      <c r="F1266" s="72">
        <f ca="1">IFERROR(__xludf.DUMMYFUNCTION("""COMPUTED_VALUE"""),2500)</f>
        <v>2500</v>
      </c>
      <c r="G1266" s="75"/>
      <c r="H1266" s="59" t="str">
        <f ca="1">IFERROR(__xludf.DUMMYFUNCTION("""COMPUTED_VALUE"""),"UPDATE")</f>
        <v>UPDATE</v>
      </c>
      <c r="I1266" s="76" t="str">
        <f ca="1">IFERROR(__xludf.DUMMYFUNCTION("""COMPUTED_VALUE"""),"https://drive.google.com/open?id=1fAqItoSwIqkg62wQgAywFJEZeBS8c65R")</f>
        <v>https://drive.google.com/open?id=1fAqItoSwIqkg62wQgAywFJEZeBS8c65R</v>
      </c>
      <c r="J1266" s="59"/>
      <c r="K1266" s="59"/>
      <c r="L1266" s="59"/>
      <c r="M1266" s="59"/>
      <c r="N1266" s="59"/>
      <c r="O1266" s="59"/>
      <c r="P1266" s="59"/>
    </row>
    <row r="1267" spans="1:16">
      <c r="A1267" s="71">
        <f ca="1">IFERROR(__xludf.DUMMYFUNCTION("""COMPUTED_VALUE"""),44641.6670126157)</f>
        <v>44641.667012615697</v>
      </c>
      <c r="B1267" s="59" t="str">
        <f ca="1">IFERROR(__xludf.DUMMYFUNCTION("""COMPUTED_VALUE"""),"Nikhil varia")</f>
        <v>Nikhil varia</v>
      </c>
      <c r="C1267" s="72" t="str">
        <f ca="1">IFERROR(__xludf.DUMMYFUNCTION("""COMPUTED_VALUE"""),"21sdsee01008")</f>
        <v>21sdsee01008</v>
      </c>
      <c r="D1267" s="73">
        <f ca="1">IFERROR(__xludf.DUMMYFUNCTION("""COMPUTED_VALUE"""),44641)</f>
        <v>44641</v>
      </c>
      <c r="E1267" s="72"/>
      <c r="F1267" s="72">
        <f ca="1">IFERROR(__xludf.DUMMYFUNCTION("""COMPUTED_VALUE"""),3500)</f>
        <v>3500</v>
      </c>
      <c r="G1267" s="75"/>
      <c r="H1267" s="59" t="str">
        <f ca="1">IFERROR(__xludf.DUMMYFUNCTION("""COMPUTED_VALUE"""),"UPDATE")</f>
        <v>UPDATE</v>
      </c>
      <c r="I1267" s="76" t="str">
        <f ca="1">IFERROR(__xludf.DUMMYFUNCTION("""COMPUTED_VALUE"""),"https://drive.google.com/open?id=1isf_cgXnPYcE_BTItv5831wlwbLP2bfl")</f>
        <v>https://drive.google.com/open?id=1isf_cgXnPYcE_BTItv5831wlwbLP2bfl</v>
      </c>
      <c r="J1267" s="59"/>
      <c r="K1267" s="59"/>
      <c r="L1267" s="59"/>
      <c r="M1267" s="59"/>
      <c r="N1267" s="59"/>
      <c r="O1267" s="59"/>
      <c r="P1267" s="59"/>
    </row>
    <row r="1268" spans="1:16">
      <c r="A1268" s="71">
        <f ca="1">IFERROR(__xludf.DUMMYFUNCTION("""COMPUTED_VALUE"""),44641.5517691666)</f>
        <v>44641.551769166603</v>
      </c>
      <c r="B1268" s="59" t="str">
        <f ca="1">IFERROR(__xludf.DUMMYFUNCTION("""COMPUTED_VALUE"""),"Abhishek Fasra")</f>
        <v>Abhishek Fasra</v>
      </c>
      <c r="C1268" s="72" t="str">
        <f ca="1">IFERROR(__xludf.DUMMYFUNCTION("""COMPUTED_VALUE"""),"20SDSCE01031")</f>
        <v>20SDSCE01031</v>
      </c>
      <c r="D1268" s="73">
        <f ca="1">IFERROR(__xludf.DUMMYFUNCTION("""COMPUTED_VALUE"""),44569)</f>
        <v>44569</v>
      </c>
      <c r="E1268" s="74">
        <f ca="1">IFERROR(__xludf.DUMMYFUNCTION("""COMPUTED_VALUE"""),2500)</f>
        <v>2500</v>
      </c>
      <c r="F1268" s="72"/>
      <c r="G1268" s="75"/>
      <c r="H1268" s="59" t="str">
        <f ca="1">IFERROR(__xludf.DUMMYFUNCTION("""COMPUTED_VALUE"""),"UPDATE")</f>
        <v>UPDATE</v>
      </c>
      <c r="I1268" s="76" t="str">
        <f ca="1">IFERROR(__xludf.DUMMYFUNCTION("""COMPUTED_VALUE"""),"https://drive.google.com/open?id=14g6EQM1T6uA0KnweIT9ga3k5TBA4ddaR")</f>
        <v>https://drive.google.com/open?id=14g6EQM1T6uA0KnweIT9ga3k5TBA4ddaR</v>
      </c>
      <c r="J1268" s="59"/>
      <c r="K1268" s="59"/>
      <c r="L1268" s="59"/>
      <c r="M1268" s="59"/>
      <c r="N1268" s="59"/>
      <c r="O1268" s="59"/>
      <c r="P1268" s="59"/>
    </row>
    <row r="1269" spans="1:16">
      <c r="A1269" s="71">
        <f ca="1">IFERROR(__xludf.DUMMYFUNCTION("""COMPUTED_VALUE"""),44641.5508872685)</f>
        <v>44641.550887268502</v>
      </c>
      <c r="B1269" s="59" t="str">
        <f ca="1">IFERROR(__xludf.DUMMYFUNCTION("""COMPUTED_VALUE"""),"Abhishek Fasra")</f>
        <v>Abhishek Fasra</v>
      </c>
      <c r="C1269" s="72" t="str">
        <f ca="1">IFERROR(__xludf.DUMMYFUNCTION("""COMPUTED_VALUE"""),"20SDSCE01031")</f>
        <v>20SDSCE01031</v>
      </c>
      <c r="D1269" s="73">
        <f ca="1">IFERROR(__xludf.DUMMYFUNCTION("""COMPUTED_VALUE"""),44569)</f>
        <v>44569</v>
      </c>
      <c r="E1269" s="72"/>
      <c r="F1269" s="72">
        <f ca="1">IFERROR(__xludf.DUMMYFUNCTION("""COMPUTED_VALUE"""),12500)</f>
        <v>12500</v>
      </c>
      <c r="G1269" s="75"/>
      <c r="H1269" s="59" t="str">
        <f ca="1">IFERROR(__xludf.DUMMYFUNCTION("""COMPUTED_VALUE"""),"UPDATE")</f>
        <v>UPDATE</v>
      </c>
      <c r="I1269" s="76" t="str">
        <f ca="1">IFERROR(__xludf.DUMMYFUNCTION("""COMPUTED_VALUE"""),"https://drive.google.com/open?id=131m6e8WE_ivaRKYiIErpsVV1F_jERMZF")</f>
        <v>https://drive.google.com/open?id=131m6e8WE_ivaRKYiIErpsVV1F_jERMZF</v>
      </c>
      <c r="J1269" s="59"/>
      <c r="K1269" s="59"/>
      <c r="L1269" s="59"/>
      <c r="M1269" s="59"/>
      <c r="N1269" s="59"/>
      <c r="O1269" s="59"/>
      <c r="P1269" s="59"/>
    </row>
    <row r="1270" spans="1:16">
      <c r="A1270" s="71">
        <f ca="1">IFERROR(__xludf.DUMMYFUNCTION("""COMPUTED_VALUE"""),44641.5221880208)</f>
        <v>44641.522188020797</v>
      </c>
      <c r="B1270" s="59" t="str">
        <f ca="1">IFERROR(__xludf.DUMMYFUNCTION("""COMPUTED_VALUE"""),"Adroja akshit")</f>
        <v>Adroja akshit</v>
      </c>
      <c r="C1270" s="72" t="str">
        <f ca="1">IFERROR(__xludf.DUMMYFUNCTION("""COMPUTED_VALUE"""),"20sdsce01002")</f>
        <v>20sdsce01002</v>
      </c>
      <c r="D1270" s="73">
        <f ca="1">IFERROR(__xludf.DUMMYFUNCTION("""COMPUTED_VALUE"""),44641)</f>
        <v>44641</v>
      </c>
      <c r="E1270" s="72"/>
      <c r="F1270" s="72">
        <f ca="1">IFERROR(__xludf.DUMMYFUNCTION("""COMPUTED_VALUE"""),2500)</f>
        <v>2500</v>
      </c>
      <c r="G1270" s="75"/>
      <c r="H1270" s="59" t="str">
        <f ca="1">IFERROR(__xludf.DUMMYFUNCTION("""COMPUTED_VALUE"""),"UPDATE")</f>
        <v>UPDATE</v>
      </c>
      <c r="I1270" s="76" t="str">
        <f ca="1">IFERROR(__xludf.DUMMYFUNCTION("""COMPUTED_VALUE"""),"https://drive.google.com/open?id=1Tj7GaFR-gKVDXsZvoJeBmRFmBpEB34in")</f>
        <v>https://drive.google.com/open?id=1Tj7GaFR-gKVDXsZvoJeBmRFmBpEB34in</v>
      </c>
      <c r="J1270" s="59"/>
      <c r="K1270" s="59"/>
      <c r="L1270" s="59"/>
      <c r="M1270" s="59"/>
      <c r="N1270" s="59"/>
      <c r="O1270" s="59"/>
      <c r="P1270" s="59"/>
    </row>
    <row r="1271" spans="1:16">
      <c r="A1271" s="71">
        <f ca="1">IFERROR(__xludf.DUMMYFUNCTION("""COMPUTED_VALUE"""),44641.4969437731)</f>
        <v>44641.496943773098</v>
      </c>
      <c r="B1271" s="59" t="str">
        <f ca="1">IFERROR(__xludf.DUMMYFUNCTION("""COMPUTED_VALUE"""),"Henil Dahiya ")</f>
        <v xml:space="preserve">Henil Dahiya </v>
      </c>
      <c r="C1271" s="72" t="str">
        <f ca="1">IFERROR(__xludf.DUMMYFUNCTION("""COMPUTED_VALUE"""),"20sdsme01009")</f>
        <v>20sdsme01009</v>
      </c>
      <c r="D1271" s="73">
        <f ca="1">IFERROR(__xludf.DUMMYFUNCTION("""COMPUTED_VALUE"""),44579)</f>
        <v>44579</v>
      </c>
      <c r="E1271" s="74">
        <f ca="1">IFERROR(__xludf.DUMMYFUNCTION("""COMPUTED_VALUE"""),12500)</f>
        <v>12500</v>
      </c>
      <c r="F1271" s="72">
        <f ca="1">IFERROR(__xludf.DUMMYFUNCTION("""COMPUTED_VALUE"""),2500)</f>
        <v>2500</v>
      </c>
      <c r="G1271" s="75"/>
      <c r="H1271" s="59" t="str">
        <f ca="1">IFERROR(__xludf.DUMMYFUNCTION("""COMPUTED_VALUE"""),"UPDATE")</f>
        <v>UPDATE</v>
      </c>
      <c r="I1271" s="76" t="str">
        <f ca="1">IFERROR(__xludf.DUMMYFUNCTION("""COMPUTED_VALUE"""),"https://drive.google.com/open?id=1ztk5sA7RJj7ITLbOdTfLg1J2goGzOpqs")</f>
        <v>https://drive.google.com/open?id=1ztk5sA7RJj7ITLbOdTfLg1J2goGzOpqs</v>
      </c>
      <c r="J1271" s="59"/>
      <c r="K1271" s="59"/>
      <c r="L1271" s="59"/>
      <c r="M1271" s="59"/>
      <c r="N1271" s="59"/>
      <c r="O1271" s="59"/>
      <c r="P1271" s="59"/>
    </row>
    <row r="1272" spans="1:16">
      <c r="A1272" s="71">
        <f ca="1">IFERROR(__xludf.DUMMYFUNCTION("""COMPUTED_VALUE"""),44641.4916357176)</f>
        <v>44641.491635717597</v>
      </c>
      <c r="B1272" s="59" t="str">
        <f ca="1">IFERROR(__xludf.DUMMYFUNCTION("""COMPUTED_VALUE"""),"Kotadiya lalji Rameshbhai ")</f>
        <v xml:space="preserve">Kotadiya lalji Rameshbhai </v>
      </c>
      <c r="C1272" s="72" t="str">
        <f ca="1">IFERROR(__xludf.DUMMYFUNCTION("""COMPUTED_VALUE"""),"20sdsme01020 ")</f>
        <v xml:space="preserve">20sdsme01020 </v>
      </c>
      <c r="D1272" s="73">
        <f ca="1">IFERROR(__xludf.DUMMYFUNCTION("""COMPUTED_VALUE"""),44564)</f>
        <v>44564</v>
      </c>
      <c r="E1272" s="74">
        <f ca="1">IFERROR(__xludf.DUMMYFUNCTION("""COMPUTED_VALUE"""),25000)</f>
        <v>25000</v>
      </c>
      <c r="F1272" s="72"/>
      <c r="G1272" s="75"/>
      <c r="H1272" s="59" t="str">
        <f ca="1">IFERROR(__xludf.DUMMYFUNCTION("""COMPUTED_VALUE"""),"UPDATE")</f>
        <v>UPDATE</v>
      </c>
      <c r="I1272" s="76" t="str">
        <f ca="1">IFERROR(__xludf.DUMMYFUNCTION("""COMPUTED_VALUE"""),"https://drive.google.com/open?id=1XZqDQiClyNUpXdwXPuntKEu_QEYg62Dn")</f>
        <v>https://drive.google.com/open?id=1XZqDQiClyNUpXdwXPuntKEu_QEYg62Dn</v>
      </c>
      <c r="J1272" s="59"/>
      <c r="K1272" s="59"/>
      <c r="L1272" s="59"/>
      <c r="M1272" s="59"/>
      <c r="N1272" s="59"/>
      <c r="O1272" s="59"/>
      <c r="P1272" s="59"/>
    </row>
    <row r="1273" spans="1:16">
      <c r="A1273" s="71">
        <f ca="1">IFERROR(__xludf.DUMMYFUNCTION("""COMPUTED_VALUE"""),44641.4851520601)</f>
        <v>44641.485152060101</v>
      </c>
      <c r="B1273" s="59" t="str">
        <f ca="1">IFERROR(__xludf.DUMMYFUNCTION("""COMPUTED_VALUE"""),"Deep kateshiya")</f>
        <v>Deep kateshiya</v>
      </c>
      <c r="C1273" s="72" t="str">
        <f ca="1">IFERROR(__xludf.DUMMYFUNCTION("""COMPUTED_VALUE"""),"20sdsme01018")</f>
        <v>20sdsme01018</v>
      </c>
      <c r="D1273" s="73">
        <f ca="1">IFERROR(__xludf.DUMMYFUNCTION("""COMPUTED_VALUE"""),44641)</f>
        <v>44641</v>
      </c>
      <c r="E1273" s="74">
        <f ca="1">IFERROR(__xludf.DUMMYFUNCTION("""COMPUTED_VALUE"""),2500)</f>
        <v>2500</v>
      </c>
      <c r="F1273" s="72"/>
      <c r="G1273" s="75"/>
      <c r="H1273" s="59" t="str">
        <f ca="1">IFERROR(__xludf.DUMMYFUNCTION("""COMPUTED_VALUE"""),"UPDATE")</f>
        <v>UPDATE</v>
      </c>
      <c r="I1273" s="76" t="str">
        <f ca="1">IFERROR(__xludf.DUMMYFUNCTION("""COMPUTED_VALUE"""),"https://drive.google.com/open?id=1c-w7ALloHqh9oZKjYNuihOx6wS1OzNO1")</f>
        <v>https://drive.google.com/open?id=1c-w7ALloHqh9oZKjYNuihOx6wS1OzNO1</v>
      </c>
      <c r="J1273" s="59"/>
      <c r="K1273" s="59"/>
      <c r="L1273" s="59"/>
      <c r="M1273" s="59"/>
      <c r="N1273" s="59"/>
      <c r="O1273" s="59"/>
      <c r="P1273" s="59"/>
    </row>
    <row r="1274" spans="1:16">
      <c r="A1274" s="71">
        <f ca="1">IFERROR(__xludf.DUMMYFUNCTION("""COMPUTED_VALUE"""),44641.4830952777)</f>
        <v>44641.483095277697</v>
      </c>
      <c r="B1274" s="59" t="str">
        <f ca="1">IFERROR(__xludf.DUMMYFUNCTION("""COMPUTED_VALUE"""),"Naman Mevada")</f>
        <v>Naman Mevada</v>
      </c>
      <c r="C1274" s="72" t="str">
        <f ca="1">IFERROR(__xludf.DUMMYFUNCTION("""COMPUTED_VALUE"""),"20SDSME01026")</f>
        <v>20SDSME01026</v>
      </c>
      <c r="D1274" s="73">
        <f ca="1">IFERROR(__xludf.DUMMYFUNCTION("""COMPUTED_VALUE"""),44579)</f>
        <v>44579</v>
      </c>
      <c r="E1274" s="72"/>
      <c r="F1274" s="72">
        <f ca="1">IFERROR(__xludf.DUMMYFUNCTION("""COMPUTED_VALUE"""),2500)</f>
        <v>2500</v>
      </c>
      <c r="G1274" s="75"/>
      <c r="H1274" s="59" t="str">
        <f ca="1">IFERROR(__xludf.DUMMYFUNCTION("""COMPUTED_VALUE"""),"UPDATE")</f>
        <v>UPDATE</v>
      </c>
      <c r="I1274" s="76" t="str">
        <f ca="1">IFERROR(__xludf.DUMMYFUNCTION("""COMPUTED_VALUE"""),"https://drive.google.com/open?id=1mqRAZktQJMqckiq9xhaEZLxtD0IHpdUq")</f>
        <v>https://drive.google.com/open?id=1mqRAZktQJMqckiq9xhaEZLxtD0IHpdUq</v>
      </c>
      <c r="J1274" s="59"/>
      <c r="K1274" s="59"/>
      <c r="L1274" s="59"/>
      <c r="M1274" s="59"/>
      <c r="N1274" s="59"/>
      <c r="O1274" s="59"/>
      <c r="P1274" s="59"/>
    </row>
    <row r="1275" spans="1:16">
      <c r="A1275" s="71">
        <f ca="1">IFERROR(__xludf.DUMMYFUNCTION("""COMPUTED_VALUE"""),44641.4816232638)</f>
        <v>44641.481623263797</v>
      </c>
      <c r="B1275" s="59" t="str">
        <f ca="1">IFERROR(__xludf.DUMMYFUNCTION("""COMPUTED_VALUE"""),"Dabhi mayur")</f>
        <v>Dabhi mayur</v>
      </c>
      <c r="C1275" s="72" t="str">
        <f ca="1">IFERROR(__xludf.DUMMYFUNCTION("""COMPUTED_VALUE"""),"20sdsme01007")</f>
        <v>20sdsme01007</v>
      </c>
      <c r="D1275" s="73">
        <f ca="1">IFERROR(__xludf.DUMMYFUNCTION("""COMPUTED_VALUE"""),44602)</f>
        <v>44602</v>
      </c>
      <c r="E1275" s="74">
        <f ca="1">IFERROR(__xludf.DUMMYFUNCTION("""COMPUTED_VALUE"""),25000)</f>
        <v>25000</v>
      </c>
      <c r="F1275" s="72">
        <f ca="1">IFERROR(__xludf.DUMMYFUNCTION("""COMPUTED_VALUE"""),0)</f>
        <v>0</v>
      </c>
      <c r="G1275" s="75"/>
      <c r="H1275" s="59" t="str">
        <f ca="1">IFERROR(__xludf.DUMMYFUNCTION("""COMPUTED_VALUE"""),"UPDATE")</f>
        <v>UPDATE</v>
      </c>
      <c r="I1275" s="76" t="str">
        <f ca="1">IFERROR(__xludf.DUMMYFUNCTION("""COMPUTED_VALUE"""),"https://drive.google.com/open?id=1VwzdR1M3RPDb3e_VTrhH3W0JdE3UB9Ti")</f>
        <v>https://drive.google.com/open?id=1VwzdR1M3RPDb3e_VTrhH3W0JdE3UB9Ti</v>
      </c>
      <c r="J1275" s="59"/>
      <c r="K1275" s="59"/>
      <c r="L1275" s="59"/>
      <c r="M1275" s="59"/>
      <c r="N1275" s="59"/>
      <c r="O1275" s="59"/>
      <c r="P1275" s="59"/>
    </row>
    <row r="1276" spans="1:16">
      <c r="A1276" s="71">
        <f ca="1">IFERROR(__xludf.DUMMYFUNCTION("""COMPUTED_VALUE"""),44641.4814267013)</f>
        <v>44641.481426701299</v>
      </c>
      <c r="B1276" s="59" t="str">
        <f ca="1">IFERROR(__xludf.DUMMYFUNCTION("""COMPUTED_VALUE"""),"Prince Prakashbhai Maheshwari ")</f>
        <v xml:space="preserve">Prince Prakashbhai Maheshwari </v>
      </c>
      <c r="C1276" s="72" t="str">
        <f ca="1">IFERROR(__xludf.DUMMYFUNCTION("""COMPUTED_VALUE"""),"20SDSME01023")</f>
        <v>20SDSME01023</v>
      </c>
      <c r="D1276" s="73">
        <f ca="1">IFERROR(__xludf.DUMMYFUNCTION("""COMPUTED_VALUE"""),44578)</f>
        <v>44578</v>
      </c>
      <c r="E1276" s="74">
        <f ca="1">IFERROR(__xludf.DUMMYFUNCTION("""COMPUTED_VALUE"""),12500)</f>
        <v>12500</v>
      </c>
      <c r="F1276" s="72">
        <f ca="1">IFERROR(__xludf.DUMMYFUNCTION("""COMPUTED_VALUE"""),2500)</f>
        <v>2500</v>
      </c>
      <c r="G1276" s="75"/>
      <c r="H1276" s="59" t="str">
        <f ca="1">IFERROR(__xludf.DUMMYFUNCTION("""COMPUTED_VALUE"""),"UPDATE")</f>
        <v>UPDATE</v>
      </c>
      <c r="I1276" s="76" t="str">
        <f ca="1">IFERROR(__xludf.DUMMYFUNCTION("""COMPUTED_VALUE"""),"https://drive.google.com/open?id=1vXKk0CTmV9RWOKJd-C5zqVsxj7y2ADyr")</f>
        <v>https://drive.google.com/open?id=1vXKk0CTmV9RWOKJd-C5zqVsxj7y2ADyr</v>
      </c>
      <c r="J1276" s="59"/>
      <c r="K1276" s="59"/>
      <c r="L1276" s="59"/>
      <c r="M1276" s="59"/>
      <c r="N1276" s="59"/>
      <c r="O1276" s="59"/>
      <c r="P1276" s="59"/>
    </row>
    <row r="1277" spans="1:16">
      <c r="A1277" s="71">
        <f ca="1">IFERROR(__xludf.DUMMYFUNCTION("""COMPUTED_VALUE"""),44641.4779873495)</f>
        <v>44641.477987349499</v>
      </c>
      <c r="B1277" s="59" t="str">
        <f ca="1">IFERROR(__xludf.DUMMYFUNCTION("""COMPUTED_VALUE"""),"Naman Mevada")</f>
        <v>Naman Mevada</v>
      </c>
      <c r="C1277" s="72" t="str">
        <f ca="1">IFERROR(__xludf.DUMMYFUNCTION("""COMPUTED_VALUE"""),"20SDSME01026")</f>
        <v>20SDSME01026</v>
      </c>
      <c r="D1277" s="73">
        <f ca="1">IFERROR(__xludf.DUMMYFUNCTION("""COMPUTED_VALUE"""),44435)</f>
        <v>44435</v>
      </c>
      <c r="E1277" s="74">
        <f ca="1">IFERROR(__xludf.DUMMYFUNCTION("""COMPUTED_VALUE"""),12500)</f>
        <v>12500</v>
      </c>
      <c r="F1277" s="72"/>
      <c r="G1277" s="75"/>
      <c r="H1277" s="59" t="str">
        <f ca="1">IFERROR(__xludf.DUMMYFUNCTION("""COMPUTED_VALUE"""),"UPDATE")</f>
        <v>UPDATE</v>
      </c>
      <c r="I1277" s="76" t="str">
        <f ca="1">IFERROR(__xludf.DUMMYFUNCTION("""COMPUTED_VALUE"""),"https://drive.google.com/open?id=1Cu7K0p8rY6fSXeepVx8-td9XxvbFOZFj")</f>
        <v>https://drive.google.com/open?id=1Cu7K0p8rY6fSXeepVx8-td9XxvbFOZFj</v>
      </c>
      <c r="J1277" s="59"/>
      <c r="K1277" s="59"/>
      <c r="L1277" s="59"/>
      <c r="M1277" s="59"/>
      <c r="N1277" s="59"/>
      <c r="O1277" s="59"/>
      <c r="P1277" s="59"/>
    </row>
    <row r="1278" spans="1:16">
      <c r="A1278" s="71">
        <f ca="1">IFERROR(__xludf.DUMMYFUNCTION("""COMPUTED_VALUE"""),44641.4750431597)</f>
        <v>44641.475043159699</v>
      </c>
      <c r="B1278" s="59" t="str">
        <f ca="1">IFERROR(__xludf.DUMMYFUNCTION("""COMPUTED_VALUE"""),"KOGATIYA JENIL PREMJIBHAI")</f>
        <v>KOGATIYA JENIL PREMJIBHAI</v>
      </c>
      <c r="C1278" s="72" t="str">
        <f ca="1">IFERROR(__xludf.DUMMYFUNCTION("""COMPUTED_VALUE"""),"20SDSME01019")</f>
        <v>20SDSME01019</v>
      </c>
      <c r="D1278" s="73">
        <f ca="1">IFERROR(__xludf.DUMMYFUNCTION("""COMPUTED_VALUE"""),44628)</f>
        <v>44628</v>
      </c>
      <c r="E1278" s="74">
        <f ca="1">IFERROR(__xludf.DUMMYFUNCTION("""COMPUTED_VALUE"""),0)</f>
        <v>0</v>
      </c>
      <c r="F1278" s="72">
        <f ca="1">IFERROR(__xludf.DUMMYFUNCTION("""COMPUTED_VALUE"""),2500)</f>
        <v>2500</v>
      </c>
      <c r="G1278" s="75"/>
      <c r="H1278" s="59" t="str">
        <f ca="1">IFERROR(__xludf.DUMMYFUNCTION("""COMPUTED_VALUE"""),"UPDATE")</f>
        <v>UPDATE</v>
      </c>
      <c r="I1278" s="76" t="str">
        <f ca="1">IFERROR(__xludf.DUMMYFUNCTION("""COMPUTED_VALUE"""),"https://drive.google.com/open?id=1M_G_BJ9c7mlqGQTv9QNzIcO3KpxEoRfy")</f>
        <v>https://drive.google.com/open?id=1M_G_BJ9c7mlqGQTv9QNzIcO3KpxEoRfy</v>
      </c>
      <c r="J1278" s="59"/>
      <c r="K1278" s="59"/>
      <c r="L1278" s="59"/>
      <c r="M1278" s="59"/>
      <c r="N1278" s="59"/>
      <c r="O1278" s="59"/>
      <c r="P1278" s="59"/>
    </row>
    <row r="1279" spans="1:16">
      <c r="A1279" s="71">
        <f ca="1">IFERROR(__xludf.DUMMYFUNCTION("""COMPUTED_VALUE"""),44641.4750018518)</f>
        <v>44641.475001851803</v>
      </c>
      <c r="B1279" s="59" t="str">
        <f ca="1">IFERROR(__xludf.DUMMYFUNCTION("""COMPUTED_VALUE"""),"DEEP KATESHIYA")</f>
        <v>DEEP KATESHIYA</v>
      </c>
      <c r="C1279" s="72" t="str">
        <f ca="1">IFERROR(__xludf.DUMMYFUNCTION("""COMPUTED_VALUE"""),"20SDSME01018")</f>
        <v>20SDSME01018</v>
      </c>
      <c r="D1279" s="73">
        <f ca="1">IFERROR(__xludf.DUMMYFUNCTION("""COMPUTED_VALUE"""),44641)</f>
        <v>44641</v>
      </c>
      <c r="E1279" s="74">
        <f ca="1">IFERROR(__xludf.DUMMYFUNCTION("""COMPUTED_VALUE"""),6000)</f>
        <v>6000</v>
      </c>
      <c r="F1279" s="72"/>
      <c r="G1279" s="75"/>
      <c r="H1279" s="59" t="str">
        <f ca="1">IFERROR(__xludf.DUMMYFUNCTION("""COMPUTED_VALUE"""),"UPDATE")</f>
        <v>UPDATE</v>
      </c>
      <c r="I1279" s="76" t="str">
        <f ca="1">IFERROR(__xludf.DUMMYFUNCTION("""COMPUTED_VALUE"""),"https://drive.google.com/open?id=1hxpdU1RpyQGuDj4gxmSVWlVAL3TIh0y9")</f>
        <v>https://drive.google.com/open?id=1hxpdU1RpyQGuDj4gxmSVWlVAL3TIh0y9</v>
      </c>
      <c r="J1279" s="59"/>
      <c r="K1279" s="59"/>
      <c r="L1279" s="59"/>
      <c r="M1279" s="59"/>
      <c r="N1279" s="59"/>
      <c r="O1279" s="59"/>
      <c r="P1279" s="59"/>
    </row>
    <row r="1280" spans="1:16">
      <c r="A1280" s="71">
        <f ca="1">IFERROR(__xludf.DUMMYFUNCTION("""COMPUTED_VALUE"""),44641.4563822106)</f>
        <v>44641.456382210599</v>
      </c>
      <c r="B1280" s="59" t="str">
        <f ca="1">IFERROR(__xludf.DUMMYFUNCTION("""COMPUTED_VALUE"""),"Harsh patodiya ")</f>
        <v xml:space="preserve">Harsh patodiya </v>
      </c>
      <c r="C1280" s="72" t="str">
        <f ca="1">IFERROR(__xludf.DUMMYFUNCTION("""COMPUTED_VALUE"""),"20sdsce01088")</f>
        <v>20sdsce01088</v>
      </c>
      <c r="D1280" s="73">
        <f ca="1">IFERROR(__xludf.DUMMYFUNCTION("""COMPUTED_VALUE"""),44641)</f>
        <v>44641</v>
      </c>
      <c r="E1280" s="74">
        <f ca="1">IFERROR(__xludf.DUMMYFUNCTION("""COMPUTED_VALUE"""),18750)</f>
        <v>18750</v>
      </c>
      <c r="F1280" s="72">
        <f ca="1">IFERROR(__xludf.DUMMYFUNCTION("""COMPUTED_VALUE"""),3500)</f>
        <v>3500</v>
      </c>
      <c r="G1280" s="75"/>
      <c r="H1280" s="59" t="str">
        <f ca="1">IFERROR(__xludf.DUMMYFUNCTION("""COMPUTED_VALUE"""),"UPDATE")</f>
        <v>UPDATE</v>
      </c>
      <c r="I1280" s="76" t="str">
        <f ca="1">IFERROR(__xludf.DUMMYFUNCTION("""COMPUTED_VALUE"""),"https://drive.google.com/open?id=1pCkz66mSGtGAh35m5uJdfix8mjJOxxWQ")</f>
        <v>https://drive.google.com/open?id=1pCkz66mSGtGAh35m5uJdfix8mjJOxxWQ</v>
      </c>
      <c r="J1280" s="59"/>
      <c r="K1280" s="59"/>
      <c r="L1280" s="59"/>
      <c r="M1280" s="59"/>
      <c r="N1280" s="59"/>
      <c r="O1280" s="59"/>
      <c r="P1280" s="59"/>
    </row>
    <row r="1281" spans="1:16">
      <c r="A1281" s="71">
        <f ca="1">IFERROR(__xludf.DUMMYFUNCTION("""COMPUTED_VALUE"""),44641.4552434027)</f>
        <v>44641.455243402699</v>
      </c>
      <c r="B1281" s="59" t="str">
        <f ca="1">IFERROR(__xludf.DUMMYFUNCTION("""COMPUTED_VALUE"""),"Harsh patodiya ")</f>
        <v xml:space="preserve">Harsh patodiya </v>
      </c>
      <c r="C1281" s="72" t="str">
        <f ca="1">IFERROR(__xludf.DUMMYFUNCTION("""COMPUTED_VALUE"""),"20sdsce01088")</f>
        <v>20sdsce01088</v>
      </c>
      <c r="D1281" s="73">
        <f ca="1">IFERROR(__xludf.DUMMYFUNCTION("""COMPUTED_VALUE"""),44641)</f>
        <v>44641</v>
      </c>
      <c r="E1281" s="74">
        <f ca="1">IFERROR(__xludf.DUMMYFUNCTION("""COMPUTED_VALUE"""),3500)</f>
        <v>3500</v>
      </c>
      <c r="F1281" s="72">
        <f ca="1">IFERROR(__xludf.DUMMYFUNCTION("""COMPUTED_VALUE"""),18750)</f>
        <v>18750</v>
      </c>
      <c r="G1281" s="75"/>
      <c r="H1281" s="59" t="str">
        <f ca="1">IFERROR(__xludf.DUMMYFUNCTION("""COMPUTED_VALUE"""),"UPDATE")</f>
        <v>UPDATE</v>
      </c>
      <c r="I1281" s="76" t="str">
        <f ca="1">IFERROR(__xludf.DUMMYFUNCTION("""COMPUTED_VALUE"""),"https://drive.google.com/open?id=10L_OZLv7sRA1gzx8jiF96qfZI4X6FK_9")</f>
        <v>https://drive.google.com/open?id=10L_OZLv7sRA1gzx8jiF96qfZI4X6FK_9</v>
      </c>
      <c r="J1281" s="59"/>
      <c r="K1281" s="59"/>
      <c r="L1281" s="59"/>
      <c r="M1281" s="59"/>
      <c r="N1281" s="59"/>
      <c r="O1281" s="59"/>
      <c r="P1281" s="59"/>
    </row>
    <row r="1282" spans="1:16">
      <c r="A1282" s="71">
        <f ca="1">IFERROR(__xludf.DUMMYFUNCTION("""COMPUTED_VALUE"""),44641.4335687384)</f>
        <v>44641.433568738401</v>
      </c>
      <c r="B1282" s="59" t="str">
        <f ca="1">IFERROR(__xludf.DUMMYFUNCTION("""COMPUTED_VALUE"""),"Abhishek Fasra")</f>
        <v>Abhishek Fasra</v>
      </c>
      <c r="C1282" s="72" t="str">
        <f ca="1">IFERROR(__xludf.DUMMYFUNCTION("""COMPUTED_VALUE"""),"20SDSCE01031")</f>
        <v>20SDSCE01031</v>
      </c>
      <c r="D1282" s="73">
        <f ca="1">IFERROR(__xludf.DUMMYFUNCTION("""COMPUTED_VALUE"""),44600)</f>
        <v>44600</v>
      </c>
      <c r="E1282" s="72"/>
      <c r="F1282" s="72">
        <f ca="1">IFERROR(__xludf.DUMMYFUNCTION("""COMPUTED_VALUE"""),2500)</f>
        <v>2500</v>
      </c>
      <c r="G1282" s="75"/>
      <c r="H1282" s="59" t="str">
        <f ca="1">IFERROR(__xludf.DUMMYFUNCTION("""COMPUTED_VALUE"""),"UPDATE")</f>
        <v>UPDATE</v>
      </c>
      <c r="I1282" s="76" t="str">
        <f ca="1">IFERROR(__xludf.DUMMYFUNCTION("""COMPUTED_VALUE"""),"https://drive.google.com/open?id=1jnvMvisTs6C2oBv7fTbRxafTnqUYp_HV")</f>
        <v>https://drive.google.com/open?id=1jnvMvisTs6C2oBv7fTbRxafTnqUYp_HV</v>
      </c>
      <c r="J1282" s="59"/>
      <c r="K1282" s="59"/>
      <c r="L1282" s="59"/>
      <c r="M1282" s="59"/>
      <c r="N1282" s="59"/>
      <c r="O1282" s="59"/>
      <c r="P1282" s="59"/>
    </row>
    <row r="1283" spans="1:16">
      <c r="A1283" s="71">
        <f ca="1">IFERROR(__xludf.DUMMYFUNCTION("""COMPUTED_VALUE"""),44641.4325099189)</f>
        <v>44641.432509918901</v>
      </c>
      <c r="B1283" s="59" t="str">
        <f ca="1">IFERROR(__xludf.DUMMYFUNCTION("""COMPUTED_VALUE"""),"Abhishek Fasra")</f>
        <v>Abhishek Fasra</v>
      </c>
      <c r="C1283" s="72" t="str">
        <f ca="1">IFERROR(__xludf.DUMMYFUNCTION("""COMPUTED_VALUE"""),"20SDSCE01031")</f>
        <v>20SDSCE01031</v>
      </c>
      <c r="D1283" s="73">
        <f ca="1">IFERROR(__xludf.DUMMYFUNCTION("""COMPUTED_VALUE"""),44600)</f>
        <v>44600</v>
      </c>
      <c r="E1283" s="74">
        <f ca="1">IFERROR(__xludf.DUMMYFUNCTION("""COMPUTED_VALUE"""),12500)</f>
        <v>12500</v>
      </c>
      <c r="F1283" s="72"/>
      <c r="G1283" s="75"/>
      <c r="H1283" s="59" t="str">
        <f ca="1">IFERROR(__xludf.DUMMYFUNCTION("""COMPUTED_VALUE"""),"UPDATE")</f>
        <v>UPDATE</v>
      </c>
      <c r="I1283" s="76" t="str">
        <f ca="1">IFERROR(__xludf.DUMMYFUNCTION("""COMPUTED_VALUE"""),"https://drive.google.com/open?id=1bFPByjXQmIVuSTdsb32pw1xikR3ASphR")</f>
        <v>https://drive.google.com/open?id=1bFPByjXQmIVuSTdsb32pw1xikR3ASphR</v>
      </c>
      <c r="J1283" s="59"/>
      <c r="K1283" s="59"/>
      <c r="L1283" s="59"/>
      <c r="M1283" s="59"/>
      <c r="N1283" s="59"/>
      <c r="O1283" s="59"/>
      <c r="P1283" s="59"/>
    </row>
    <row r="1284" spans="1:16">
      <c r="A1284" s="71">
        <f ca="1">IFERROR(__xludf.DUMMYFUNCTION("""COMPUTED_VALUE"""),44641.4259555555)</f>
        <v>44641.425955555504</v>
      </c>
      <c r="B1284" s="59" t="str">
        <f ca="1">IFERROR(__xludf.DUMMYFUNCTION("""COMPUTED_VALUE"""),"RAJ_ATKOTIYA")</f>
        <v>RAJ_ATKOTIYA</v>
      </c>
      <c r="C1284" s="72" t="str">
        <f ca="1">IFERROR(__xludf.DUMMYFUNCTION("""COMPUTED_VALUE"""),"20SDSCE01005")</f>
        <v>20SDSCE01005</v>
      </c>
      <c r="D1284" s="73">
        <f ca="1">IFERROR(__xludf.DUMMYFUNCTION("""COMPUTED_VALUE"""),44572)</f>
        <v>44572</v>
      </c>
      <c r="E1284" s="72"/>
      <c r="F1284" s="72">
        <f ca="1">IFERROR(__xludf.DUMMYFUNCTION("""COMPUTED_VALUE"""),2500)</f>
        <v>2500</v>
      </c>
      <c r="G1284" s="75"/>
      <c r="H1284" s="59" t="str">
        <f ca="1">IFERROR(__xludf.DUMMYFUNCTION("""COMPUTED_VALUE"""),"UPDATE")</f>
        <v>UPDATE</v>
      </c>
      <c r="I1284" s="76" t="str">
        <f ca="1">IFERROR(__xludf.DUMMYFUNCTION("""COMPUTED_VALUE"""),"https://drive.google.com/open?id=1kXHfolWMzHclN2Q1MkjrJM1Klsd73c8l")</f>
        <v>https://drive.google.com/open?id=1kXHfolWMzHclN2Q1MkjrJM1Klsd73c8l</v>
      </c>
      <c r="J1284" s="59"/>
      <c r="K1284" s="59"/>
      <c r="L1284" s="59"/>
      <c r="M1284" s="59"/>
      <c r="N1284" s="59"/>
      <c r="O1284" s="59"/>
      <c r="P1284" s="59"/>
    </row>
    <row r="1285" spans="1:16">
      <c r="A1285" s="71">
        <f ca="1">IFERROR(__xludf.DUMMYFUNCTION("""COMPUTED_VALUE"""),44640.9670563541)</f>
        <v>44640.9670563541</v>
      </c>
      <c r="B1285" s="59" t="str">
        <f ca="1">IFERROR(__xludf.DUMMYFUNCTION("""COMPUTED_VALUE"""),"harshil Vanpariya")</f>
        <v>harshil Vanpariya</v>
      </c>
      <c r="C1285" s="72" t="str">
        <f ca="1">IFERROR(__xludf.DUMMYFUNCTION("""COMPUTED_VALUE"""),"20SDSCE01137")</f>
        <v>20SDSCE01137</v>
      </c>
      <c r="D1285" s="73">
        <f ca="1">IFERROR(__xludf.DUMMYFUNCTION("""COMPUTED_VALUE"""),44640)</f>
        <v>44640</v>
      </c>
      <c r="E1285" s="72"/>
      <c r="F1285" s="72">
        <f ca="1">IFERROR(__xludf.DUMMYFUNCTION("""COMPUTED_VALUE"""),2500)</f>
        <v>2500</v>
      </c>
      <c r="G1285" s="75"/>
      <c r="H1285" s="59" t="str">
        <f ca="1">IFERROR(__xludf.DUMMYFUNCTION("""COMPUTED_VALUE"""),"UPDATE")</f>
        <v>UPDATE</v>
      </c>
      <c r="I1285" s="76" t="str">
        <f ca="1">IFERROR(__xludf.DUMMYFUNCTION("""COMPUTED_VALUE"""),"https://drive.google.com/open?id=1HzjvXdjI5DzK6H-GdipS6OVaVkVCPKGM")</f>
        <v>https://drive.google.com/open?id=1HzjvXdjI5DzK6H-GdipS6OVaVkVCPKGM</v>
      </c>
      <c r="J1285" s="59"/>
      <c r="K1285" s="59"/>
      <c r="L1285" s="59"/>
      <c r="M1285" s="59"/>
      <c r="N1285" s="59"/>
      <c r="O1285" s="59"/>
      <c r="P1285" s="59"/>
    </row>
    <row r="1286" spans="1:16">
      <c r="A1286" s="71">
        <f ca="1">IFERROR(__xludf.DUMMYFUNCTION("""COMPUTED_VALUE"""),44639.7916410648)</f>
        <v>44639.791641064803</v>
      </c>
      <c r="B1286" s="59" t="str">
        <f ca="1">IFERROR(__xludf.DUMMYFUNCTION("""COMPUTED_VALUE"""),"Priyam Rupapara")</f>
        <v>Priyam Rupapara</v>
      </c>
      <c r="C1286" s="72" t="str">
        <f ca="1">IFERROR(__xludf.DUMMYFUNCTION("""COMPUTED_VALUE"""),"20SDSCE01102")</f>
        <v>20SDSCE01102</v>
      </c>
      <c r="D1286" s="73">
        <f ca="1">IFERROR(__xludf.DUMMYFUNCTION("""COMPUTED_VALUE"""),44639)</f>
        <v>44639</v>
      </c>
      <c r="E1286" s="72"/>
      <c r="F1286" s="72">
        <f ca="1">IFERROR(__xludf.DUMMYFUNCTION("""COMPUTED_VALUE"""),2500)</f>
        <v>2500</v>
      </c>
      <c r="G1286" s="75"/>
      <c r="H1286" s="59" t="str">
        <f ca="1">IFERROR(__xludf.DUMMYFUNCTION("""COMPUTED_VALUE"""),"UPDATE")</f>
        <v>UPDATE</v>
      </c>
      <c r="I1286" s="76" t="str">
        <f ca="1">IFERROR(__xludf.DUMMYFUNCTION("""COMPUTED_VALUE"""),"https://drive.google.com/open?id=189o3NIC8326cFz5xtZtcjW3VALFeGcbgBgMCla5WX_E")</f>
        <v>https://drive.google.com/open?id=189o3NIC8326cFz5xtZtcjW3VALFeGcbgBgMCla5WX_E</v>
      </c>
      <c r="J1286" s="59"/>
      <c r="K1286" s="59"/>
      <c r="L1286" s="59"/>
      <c r="M1286" s="59"/>
      <c r="N1286" s="59"/>
      <c r="O1286" s="59"/>
      <c r="P1286" s="59"/>
    </row>
    <row r="1287" spans="1:16">
      <c r="A1287" s="71">
        <f ca="1">IFERROR(__xludf.DUMMYFUNCTION("""COMPUTED_VALUE"""),44639.5225372337)</f>
        <v>44639.522537233701</v>
      </c>
      <c r="B1287" s="59" t="str">
        <f ca="1">IFERROR(__xludf.DUMMYFUNCTION("""COMPUTED_VALUE"""),"Devdip vaghela")</f>
        <v>Devdip vaghela</v>
      </c>
      <c r="C1287" s="72" t="str">
        <f ca="1">IFERROR(__xludf.DUMMYFUNCTION("""COMPUTED_VALUE"""),"20sdsce01128")</f>
        <v>20sdsce01128</v>
      </c>
      <c r="D1287" s="73">
        <f ca="1">IFERROR(__xludf.DUMMYFUNCTION("""COMPUTED_VALUE"""),44571)</f>
        <v>44571</v>
      </c>
      <c r="E1287" s="72"/>
      <c r="F1287" s="72">
        <f ca="1">IFERROR(__xludf.DUMMYFUNCTION("""COMPUTED_VALUE"""),2500)</f>
        <v>2500</v>
      </c>
      <c r="G1287" s="75"/>
      <c r="H1287" s="59" t="str">
        <f ca="1">IFERROR(__xludf.DUMMYFUNCTION("""COMPUTED_VALUE"""),"UPDATE")</f>
        <v>UPDATE</v>
      </c>
      <c r="I1287" s="76" t="str">
        <f ca="1">IFERROR(__xludf.DUMMYFUNCTION("""COMPUTED_VALUE"""),"https://drive.google.com/open?id=1SiR3eWBnWKQwM5zv84JiYrcmK9iQIsaW")</f>
        <v>https://drive.google.com/open?id=1SiR3eWBnWKQwM5zv84JiYrcmK9iQIsaW</v>
      </c>
      <c r="J1287" s="59"/>
      <c r="K1287" s="59"/>
      <c r="L1287" s="59"/>
      <c r="M1287" s="59"/>
      <c r="N1287" s="59"/>
      <c r="O1287" s="59"/>
      <c r="P1287" s="59"/>
    </row>
    <row r="1288" spans="1:16">
      <c r="A1288" s="71">
        <f ca="1">IFERROR(__xludf.DUMMYFUNCTION("""COMPUTED_VALUE"""),44639.4465833796)</f>
        <v>44639.446583379598</v>
      </c>
      <c r="B1288" s="59" t="str">
        <f ca="1">IFERROR(__xludf.DUMMYFUNCTION("""COMPUTED_VALUE"""),"Bhimani Bhargav Manishbhai")</f>
        <v>Bhimani Bhargav Manishbhai</v>
      </c>
      <c r="C1288" s="72" t="str">
        <f ca="1">IFERROR(__xludf.DUMMYFUNCTION("""COMPUTED_VALUE"""),"20SDSCE01012")</f>
        <v>20SDSCE01012</v>
      </c>
      <c r="D1288" s="73">
        <f ca="1">IFERROR(__xludf.DUMMYFUNCTION("""COMPUTED_VALUE"""),44639)</f>
        <v>44639</v>
      </c>
      <c r="E1288" s="72"/>
      <c r="F1288" s="72">
        <f ca="1">IFERROR(__xludf.DUMMYFUNCTION("""COMPUTED_VALUE"""),2500)</f>
        <v>2500</v>
      </c>
      <c r="G1288" s="75"/>
      <c r="H1288" s="59" t="str">
        <f ca="1">IFERROR(__xludf.DUMMYFUNCTION("""COMPUTED_VALUE"""),"UPDATE")</f>
        <v>UPDATE</v>
      </c>
      <c r="I1288" s="76" t="str">
        <f ca="1">IFERROR(__xludf.DUMMYFUNCTION("""COMPUTED_VALUE"""),"https://drive.google.com/open?id=1pvofjd_LoqXFsSyO7PU4hIlqZs0YfUVL")</f>
        <v>https://drive.google.com/open?id=1pvofjd_LoqXFsSyO7PU4hIlqZs0YfUVL</v>
      </c>
      <c r="J1288" s="59"/>
      <c r="K1288" s="59"/>
      <c r="L1288" s="59"/>
      <c r="M1288" s="59"/>
      <c r="N1288" s="59"/>
      <c r="O1288" s="59"/>
      <c r="P1288" s="59"/>
    </row>
    <row r="1289" spans="1:16">
      <c r="A1289" s="71">
        <f ca="1">IFERROR(__xludf.DUMMYFUNCTION("""COMPUTED_VALUE"""),44638.8282699305)</f>
        <v>44638.828269930498</v>
      </c>
      <c r="B1289" s="59" t="str">
        <f ca="1">IFERROR(__xludf.DUMMYFUNCTION("""COMPUTED_VALUE"""),"Parmar Kelvin")</f>
        <v>Parmar Kelvin</v>
      </c>
      <c r="C1289" s="72" t="str">
        <f ca="1">IFERROR(__xludf.DUMMYFUNCTION("""COMPUTED_VALUE"""),"20SDSCE01152")</f>
        <v>20SDSCE01152</v>
      </c>
      <c r="D1289" s="73">
        <f ca="1">IFERROR(__xludf.DUMMYFUNCTION("""COMPUTED_VALUE"""),44637)</f>
        <v>44637</v>
      </c>
      <c r="E1289" s="72"/>
      <c r="F1289" s="72">
        <f ca="1">IFERROR(__xludf.DUMMYFUNCTION("""COMPUTED_VALUE"""),2500)</f>
        <v>2500</v>
      </c>
      <c r="G1289" s="75"/>
      <c r="H1289" s="59" t="str">
        <f ca="1">IFERROR(__xludf.DUMMYFUNCTION("""COMPUTED_VALUE"""),"UPDATE")</f>
        <v>UPDATE</v>
      </c>
      <c r="I1289" s="76" t="str">
        <f ca="1">IFERROR(__xludf.DUMMYFUNCTION("""COMPUTED_VALUE"""),"https://drive.google.com/open?id=1YzbCNjz7cSskc989m0J_XST5tmHf4Pzt")</f>
        <v>https://drive.google.com/open?id=1YzbCNjz7cSskc989m0J_XST5tmHf4Pzt</v>
      </c>
      <c r="J1289" s="59"/>
      <c r="K1289" s="59"/>
      <c r="L1289" s="59"/>
      <c r="M1289" s="59"/>
      <c r="N1289" s="59"/>
      <c r="O1289" s="59"/>
      <c r="P1289" s="59"/>
    </row>
    <row r="1290" spans="1:16">
      <c r="A1290" s="71">
        <f ca="1">IFERROR(__xludf.DUMMYFUNCTION("""COMPUTED_VALUE"""),44637.9127505439)</f>
        <v>44637.912750543903</v>
      </c>
      <c r="B1290" s="59" t="str">
        <f ca="1">IFERROR(__xludf.DUMMYFUNCTION("""COMPUTED_VALUE"""),"Dharmik Gadhiya")</f>
        <v>Dharmik Gadhiya</v>
      </c>
      <c r="C1290" s="72" t="str">
        <f ca="1">IFERROR(__xludf.DUMMYFUNCTION("""COMPUTED_VALUE"""),"20SDSCE01033")</f>
        <v>20SDSCE01033</v>
      </c>
      <c r="D1290" s="73">
        <f ca="1">IFERROR(__xludf.DUMMYFUNCTION("""COMPUTED_VALUE"""),44637)</f>
        <v>44637</v>
      </c>
      <c r="E1290" s="72"/>
      <c r="F1290" s="72">
        <f ca="1">IFERROR(__xludf.DUMMYFUNCTION("""COMPUTED_VALUE"""),200)</f>
        <v>200</v>
      </c>
      <c r="G1290" s="75"/>
      <c r="H1290" s="59" t="str">
        <f ca="1">IFERROR(__xludf.DUMMYFUNCTION("""COMPUTED_VALUE"""),"UPDATE")</f>
        <v>UPDATE</v>
      </c>
      <c r="I1290" s="76" t="str">
        <f ca="1">IFERROR(__xludf.DUMMYFUNCTION("""COMPUTED_VALUE"""),"https://drive.google.com/open?id=1dKzP5wl-ElRxfJm58e7ELDch0cNLRZX1")</f>
        <v>https://drive.google.com/open?id=1dKzP5wl-ElRxfJm58e7ELDch0cNLRZX1</v>
      </c>
      <c r="J1290" s="59"/>
      <c r="K1290" s="59"/>
      <c r="L1290" s="59"/>
      <c r="M1290" s="59"/>
      <c r="N1290" s="59"/>
      <c r="O1290" s="59"/>
      <c r="P1290" s="59"/>
    </row>
    <row r="1291" spans="1:16">
      <c r="A1291" s="71">
        <f ca="1">IFERROR(__xludf.DUMMYFUNCTION("""COMPUTED_VALUE"""),44637.8008020254)</f>
        <v>44637.800802025398</v>
      </c>
      <c r="B1291" s="59" t="str">
        <f ca="1">IFERROR(__xludf.DUMMYFUNCTION("""COMPUTED_VALUE"""),"Raj Ramani")</f>
        <v>Raj Ramani</v>
      </c>
      <c r="C1291" s="72" t="str">
        <f ca="1">IFERROR(__xludf.DUMMYFUNCTION("""COMPUTED_VALUE"""),"20sdsce01093")</f>
        <v>20sdsce01093</v>
      </c>
      <c r="D1291" s="73">
        <f ca="1">IFERROR(__xludf.DUMMYFUNCTION("""COMPUTED_VALUE"""),44637)</f>
        <v>44637</v>
      </c>
      <c r="E1291" s="72"/>
      <c r="F1291" s="72">
        <f ca="1">IFERROR(__xludf.DUMMYFUNCTION("""COMPUTED_VALUE"""),200)</f>
        <v>200</v>
      </c>
      <c r="G1291" s="75"/>
      <c r="H1291" s="59" t="str">
        <f ca="1">IFERROR(__xludf.DUMMYFUNCTION("""COMPUTED_VALUE"""),"UPDATE")</f>
        <v>UPDATE</v>
      </c>
      <c r="I1291" s="76" t="str">
        <f ca="1">IFERROR(__xludf.DUMMYFUNCTION("""COMPUTED_VALUE"""),"https://drive.google.com/open?id=18d2TI-t-n23yufAELtpzJZSvx10_-l1g")</f>
        <v>https://drive.google.com/open?id=18d2TI-t-n23yufAELtpzJZSvx10_-l1g</v>
      </c>
      <c r="J1291" s="59"/>
      <c r="K1291" s="59"/>
      <c r="L1291" s="59"/>
      <c r="M1291" s="59"/>
      <c r="N1291" s="59"/>
      <c r="O1291" s="59"/>
      <c r="P1291" s="59"/>
    </row>
    <row r="1292" spans="1:16">
      <c r="A1292" s="71">
        <f ca="1">IFERROR(__xludf.DUMMYFUNCTION("""COMPUTED_VALUE"""),44634.8938473032)</f>
        <v>44634.893847303203</v>
      </c>
      <c r="B1292" s="59" t="str">
        <f ca="1">IFERROR(__xludf.DUMMYFUNCTION("""COMPUTED_VALUE"""),"KARIYA JAY MAHESHBAHI ")</f>
        <v xml:space="preserve">KARIYA JAY MAHESHBAHI </v>
      </c>
      <c r="C1292" s="72" t="str">
        <f ca="1">IFERROR(__xludf.DUMMYFUNCTION("""COMPUTED_VALUE"""),"20SDSCE01052")</f>
        <v>20SDSCE01052</v>
      </c>
      <c r="D1292" s="73">
        <f ca="1">IFERROR(__xludf.DUMMYFUNCTION("""COMPUTED_VALUE"""),44634)</f>
        <v>44634</v>
      </c>
      <c r="E1292" s="74">
        <f ca="1">IFERROR(__xludf.DUMMYFUNCTION("""COMPUTED_VALUE"""),25000)</f>
        <v>25000</v>
      </c>
      <c r="F1292" s="72"/>
      <c r="G1292" s="75"/>
      <c r="H1292" s="59" t="str">
        <f ca="1">IFERROR(__xludf.DUMMYFUNCTION("""COMPUTED_VALUE"""),"UPDATE")</f>
        <v>UPDATE</v>
      </c>
      <c r="I1292" s="76" t="str">
        <f ca="1">IFERROR(__xludf.DUMMYFUNCTION("""COMPUTED_VALUE"""),"https://drive.google.com/open?id=1Qfpk_OF-LjOrlnKUYqQmnF6tEHFhfHTn")</f>
        <v>https://drive.google.com/open?id=1Qfpk_OF-LjOrlnKUYqQmnF6tEHFhfHTn</v>
      </c>
      <c r="J1292" s="59"/>
      <c r="K1292" s="59"/>
      <c r="L1292" s="59"/>
      <c r="M1292" s="59"/>
      <c r="N1292" s="59"/>
      <c r="O1292" s="59"/>
      <c r="P1292" s="59"/>
    </row>
    <row r="1293" spans="1:16">
      <c r="A1293" s="71">
        <f ca="1">IFERROR(__xludf.DUMMYFUNCTION("""COMPUTED_VALUE"""),44634.6957700462)</f>
        <v>44634.695770046201</v>
      </c>
      <c r="B1293" s="59" t="str">
        <f ca="1">IFERROR(__xludf.DUMMYFUNCTION("""COMPUTED_VALUE"""),"Makda Juzar")</f>
        <v>Makda Juzar</v>
      </c>
      <c r="C1293" s="72" t="str">
        <f ca="1">IFERROR(__xludf.DUMMYFUNCTION("""COMPUTED_VALUE"""),"21SDSCE01134")</f>
        <v>21SDSCE01134</v>
      </c>
      <c r="D1293" s="73">
        <f ca="1">IFERROR(__xludf.DUMMYFUNCTION("""COMPUTED_VALUE"""),44634)</f>
        <v>44634</v>
      </c>
      <c r="E1293" s="72"/>
      <c r="F1293" s="72">
        <f ca="1">IFERROR(__xludf.DUMMYFUNCTION("""COMPUTED_VALUE"""),2500)</f>
        <v>2500</v>
      </c>
      <c r="G1293" s="75"/>
      <c r="H1293" s="59" t="str">
        <f ca="1">IFERROR(__xludf.DUMMYFUNCTION("""COMPUTED_VALUE"""),"UPDATE")</f>
        <v>UPDATE</v>
      </c>
      <c r="I1293" s="76" t="str">
        <f ca="1">IFERROR(__xludf.DUMMYFUNCTION("""COMPUTED_VALUE"""),"https://drive.google.com/open?id=1ak101Wz9Jq2mAn9x5cJwdVvXCwZ_kdPl")</f>
        <v>https://drive.google.com/open?id=1ak101Wz9Jq2mAn9x5cJwdVvXCwZ_kdPl</v>
      </c>
      <c r="J1293" s="59"/>
      <c r="K1293" s="59"/>
      <c r="L1293" s="59"/>
      <c r="M1293" s="59"/>
      <c r="N1293" s="59"/>
      <c r="O1293" s="59"/>
      <c r="P1293" s="59"/>
    </row>
    <row r="1294" spans="1:16">
      <c r="A1294" s="71">
        <f ca="1">IFERROR(__xludf.DUMMYFUNCTION("""COMPUTED_VALUE"""),44634.5497815162)</f>
        <v>44634.549781516202</v>
      </c>
      <c r="B1294" s="59" t="str">
        <f ca="1">IFERROR(__xludf.DUMMYFUNCTION("""COMPUTED_VALUE"""),"Darshan shingala")</f>
        <v>Darshan shingala</v>
      </c>
      <c r="C1294" s="72" t="str">
        <f ca="1">IFERROR(__xludf.DUMMYFUNCTION("""COMPUTED_VALUE"""),"21sdsme01033")</f>
        <v>21sdsme01033</v>
      </c>
      <c r="D1294" s="73">
        <f ca="1">IFERROR(__xludf.DUMMYFUNCTION("""COMPUTED_VALUE"""),44634)</f>
        <v>44634</v>
      </c>
      <c r="E1294" s="74">
        <f ca="1">IFERROR(__xludf.DUMMYFUNCTION("""COMPUTED_VALUE"""),25000)</f>
        <v>25000</v>
      </c>
      <c r="F1294" s="72"/>
      <c r="G1294" s="75"/>
      <c r="H1294" s="59" t="str">
        <f ca="1">IFERROR(__xludf.DUMMYFUNCTION("""COMPUTED_VALUE"""),"UPDATE")</f>
        <v>UPDATE</v>
      </c>
      <c r="I1294" s="76" t="str">
        <f ca="1">IFERROR(__xludf.DUMMYFUNCTION("""COMPUTED_VALUE"""),"https://drive.google.com/open?id=1oWU6JdXKRkvm0V3ldrbxpsjSRa1zd51g")</f>
        <v>https://drive.google.com/open?id=1oWU6JdXKRkvm0V3ldrbxpsjSRa1zd51g</v>
      </c>
      <c r="J1294" s="59"/>
      <c r="K1294" s="59"/>
      <c r="L1294" s="59"/>
      <c r="M1294" s="59"/>
      <c r="N1294" s="59"/>
      <c r="O1294" s="59"/>
      <c r="P1294" s="59"/>
    </row>
    <row r="1295" spans="1:16">
      <c r="A1295" s="71">
        <f ca="1">IFERROR(__xludf.DUMMYFUNCTION("""COMPUTED_VALUE"""),44631.6033306018)</f>
        <v>44631.6033306018</v>
      </c>
      <c r="B1295" s="59" t="str">
        <f ca="1">IFERROR(__xludf.DUMMYFUNCTION("""COMPUTED_VALUE"""),"Rudra bhabhi")</f>
        <v>Rudra bhabhi</v>
      </c>
      <c r="C1295" s="72" t="str">
        <f ca="1">IFERROR(__xludf.DUMMYFUNCTION("""COMPUTED_VALUE"""),"21sdsme01004")</f>
        <v>21sdsme01004</v>
      </c>
      <c r="D1295" s="73">
        <f ca="1">IFERROR(__xludf.DUMMYFUNCTION("""COMPUTED_VALUE"""),44630)</f>
        <v>44630</v>
      </c>
      <c r="E1295" s="72"/>
      <c r="F1295" s="72">
        <f ca="1">IFERROR(__xludf.DUMMYFUNCTION("""COMPUTED_VALUE"""),2500)</f>
        <v>2500</v>
      </c>
      <c r="G1295" s="75"/>
      <c r="H1295" s="59" t="str">
        <f ca="1">IFERROR(__xludf.DUMMYFUNCTION("""COMPUTED_VALUE"""),"UPDATE")</f>
        <v>UPDATE</v>
      </c>
      <c r="I1295" s="76" t="str">
        <f ca="1">IFERROR(__xludf.DUMMYFUNCTION("""COMPUTED_VALUE"""),"https://drive.google.com/open?id=1KIFF0iF4Kbn16Uopjx7lHq6sRuYx49eu")</f>
        <v>https://drive.google.com/open?id=1KIFF0iF4Kbn16Uopjx7lHq6sRuYx49eu</v>
      </c>
      <c r="J1295" s="59"/>
      <c r="K1295" s="59"/>
      <c r="L1295" s="59"/>
      <c r="M1295" s="59"/>
      <c r="N1295" s="59"/>
      <c r="O1295" s="59"/>
      <c r="P1295" s="59"/>
    </row>
    <row r="1296" spans="1:16">
      <c r="A1296" s="71">
        <f ca="1">IFERROR(__xludf.DUMMYFUNCTION("""COMPUTED_VALUE"""),44631.6020035763)</f>
        <v>44631.602003576299</v>
      </c>
      <c r="B1296" s="59" t="str">
        <f ca="1">IFERROR(__xludf.DUMMYFUNCTION("""COMPUTED_VALUE"""),"Bhambhi rudra")</f>
        <v>Bhambhi rudra</v>
      </c>
      <c r="C1296" s="72" t="str">
        <f ca="1">IFERROR(__xludf.DUMMYFUNCTION("""COMPUTED_VALUE"""),"21sdsme01004")</f>
        <v>21sdsme01004</v>
      </c>
      <c r="D1296" s="73">
        <f ca="1">IFERROR(__xludf.DUMMYFUNCTION("""COMPUTED_VALUE"""),44630)</f>
        <v>44630</v>
      </c>
      <c r="E1296" s="72"/>
      <c r="F1296" s="72">
        <f ca="1">IFERROR(__xludf.DUMMYFUNCTION("""COMPUTED_VALUE"""),2500)</f>
        <v>2500</v>
      </c>
      <c r="G1296" s="75"/>
      <c r="H1296" s="59" t="str">
        <f ca="1">IFERROR(__xludf.DUMMYFUNCTION("""COMPUTED_VALUE"""),"UPDATE")</f>
        <v>UPDATE</v>
      </c>
      <c r="I1296" s="76" t="str">
        <f ca="1">IFERROR(__xludf.DUMMYFUNCTION("""COMPUTED_VALUE"""),"https://drive.google.com/open?id=1h1AwImFY9VMN-mZBwstvBv0Di3HyUQNv")</f>
        <v>https://drive.google.com/open?id=1h1AwImFY9VMN-mZBwstvBv0Di3HyUQNv</v>
      </c>
      <c r="J1296" s="59"/>
      <c r="K1296" s="59"/>
      <c r="L1296" s="59"/>
      <c r="M1296" s="59"/>
      <c r="N1296" s="59"/>
      <c r="O1296" s="59"/>
      <c r="P1296" s="59"/>
    </row>
    <row r="1297" spans="1:16">
      <c r="A1297" s="71">
        <f ca="1">IFERROR(__xludf.DUMMYFUNCTION("""COMPUTED_VALUE"""),44631.5995025)</f>
        <v>44631.599502500001</v>
      </c>
      <c r="B1297" s="59" t="str">
        <f ca="1">IFERROR(__xludf.DUMMYFUNCTION("""COMPUTED_VALUE"""),"Bhambhi rudra")</f>
        <v>Bhambhi rudra</v>
      </c>
      <c r="C1297" s="72" t="str">
        <f ca="1">IFERROR(__xludf.DUMMYFUNCTION("""COMPUTED_VALUE"""),"21sdsme01004")</f>
        <v>21sdsme01004</v>
      </c>
      <c r="D1297" s="73">
        <f ca="1">IFERROR(__xludf.DUMMYFUNCTION("""COMPUTED_VALUE"""),38275)</f>
        <v>38275</v>
      </c>
      <c r="E1297" s="74">
        <f ca="1">IFERROR(__xludf.DUMMYFUNCTION("""COMPUTED_VALUE"""),25000)</f>
        <v>25000</v>
      </c>
      <c r="F1297" s="72"/>
      <c r="G1297" s="75"/>
      <c r="H1297" s="59" t="str">
        <f ca="1">IFERROR(__xludf.DUMMYFUNCTION("""COMPUTED_VALUE"""),"UPDATE")</f>
        <v>UPDATE</v>
      </c>
      <c r="I1297" s="76" t="str">
        <f ca="1">IFERROR(__xludf.DUMMYFUNCTION("""COMPUTED_VALUE"""),"https://drive.google.com/open?id=1nEBlViPM5Ddgn6VqndvR9og9DgbPUE1m")</f>
        <v>https://drive.google.com/open?id=1nEBlViPM5Ddgn6VqndvR9og9DgbPUE1m</v>
      </c>
      <c r="J1297" s="59"/>
      <c r="K1297" s="59"/>
      <c r="L1297" s="59"/>
      <c r="M1297" s="59"/>
      <c r="N1297" s="59"/>
      <c r="O1297" s="59"/>
      <c r="P1297" s="59"/>
    </row>
    <row r="1298" spans="1:16">
      <c r="A1298" s="71">
        <f ca="1">IFERROR(__xludf.DUMMYFUNCTION("""COMPUTED_VALUE"""),44629.6855430324)</f>
        <v>44629.685543032399</v>
      </c>
      <c r="B1298" s="59" t="str">
        <f ca="1">IFERROR(__xludf.DUMMYFUNCTION("""COMPUTED_VALUE"""),"Kogatiya jenil premjibhai")</f>
        <v>Kogatiya jenil premjibhai</v>
      </c>
      <c r="C1298" s="72" t="str">
        <f ca="1">IFERROR(__xludf.DUMMYFUNCTION("""COMPUTED_VALUE"""),"20sdsme01019")</f>
        <v>20sdsme01019</v>
      </c>
      <c r="D1298" s="73">
        <f ca="1">IFERROR(__xludf.DUMMYFUNCTION("""COMPUTED_VALUE"""),44628)</f>
        <v>44628</v>
      </c>
      <c r="E1298" s="72"/>
      <c r="F1298" s="72">
        <f ca="1">IFERROR(__xludf.DUMMYFUNCTION("""COMPUTED_VALUE"""),2500)</f>
        <v>2500</v>
      </c>
      <c r="G1298" s="75"/>
      <c r="H1298" s="59" t="str">
        <f ca="1">IFERROR(__xludf.DUMMYFUNCTION("""COMPUTED_VALUE"""),"UPDATE")</f>
        <v>UPDATE</v>
      </c>
      <c r="I1298" s="76" t="str">
        <f ca="1">IFERROR(__xludf.DUMMYFUNCTION("""COMPUTED_VALUE"""),"https://drive.google.com/open?id=1cdIKzIVkrzqJBDRjwmjpv5yqssW-Ohhu")</f>
        <v>https://drive.google.com/open?id=1cdIKzIVkrzqJBDRjwmjpv5yqssW-Ohhu</v>
      </c>
      <c r="J1298" s="59"/>
      <c r="K1298" s="59"/>
      <c r="L1298" s="59"/>
      <c r="M1298" s="59"/>
      <c r="N1298" s="59"/>
      <c r="O1298" s="59"/>
      <c r="P1298" s="59"/>
    </row>
    <row r="1299" spans="1:16">
      <c r="A1299" s="71">
        <f ca="1">IFERROR(__xludf.DUMMYFUNCTION("""COMPUTED_VALUE"""),44629.5755828819)</f>
        <v>44629.575582881902</v>
      </c>
      <c r="B1299" s="59" t="str">
        <f ca="1">IFERROR(__xludf.DUMMYFUNCTION("""COMPUTED_VALUE"""),"Dobariya nandani")</f>
        <v>Dobariya nandani</v>
      </c>
      <c r="C1299" s="72" t="str">
        <f ca="1">IFERROR(__xludf.DUMMYFUNCTION("""COMPUTED_VALUE"""),"21SDSCE01068")</f>
        <v>21SDSCE01068</v>
      </c>
      <c r="D1299" s="73">
        <f ca="1">IFERROR(__xludf.DUMMYFUNCTION("""COMPUTED_VALUE"""),44629)</f>
        <v>44629</v>
      </c>
      <c r="E1299" s="72"/>
      <c r="F1299" s="72"/>
      <c r="G1299" s="75"/>
      <c r="H1299" s="59" t="str">
        <f ca="1">IFERROR(__xludf.DUMMYFUNCTION("""COMPUTED_VALUE"""),"UPDATE")</f>
        <v>UPDATE</v>
      </c>
      <c r="I1299" s="76" t="str">
        <f ca="1">IFERROR(__xludf.DUMMYFUNCTION("""COMPUTED_VALUE"""),"https://drive.google.com/open?id=1gJIa92ohXGMK0bPQDH9LwTY5Le2UbzrI")</f>
        <v>https://drive.google.com/open?id=1gJIa92ohXGMK0bPQDH9LwTY5Le2UbzrI</v>
      </c>
      <c r="J1299" s="59"/>
      <c r="K1299" s="59"/>
      <c r="L1299" s="59"/>
      <c r="M1299" s="59"/>
      <c r="N1299" s="59"/>
      <c r="O1299" s="59"/>
      <c r="P1299" s="59"/>
    </row>
    <row r="1300" spans="1:16">
      <c r="A1300" s="71">
        <f ca="1">IFERROR(__xludf.DUMMYFUNCTION("""COMPUTED_VALUE"""),44629.5154523495)</f>
        <v>44629.5154523495</v>
      </c>
      <c r="B1300" s="59" t="str">
        <f ca="1">IFERROR(__xludf.DUMMYFUNCTION("""COMPUTED_VALUE"""),"Ratanpara Hetkumar Rajendra ")</f>
        <v xml:space="preserve">Ratanpara Hetkumar Rajendra </v>
      </c>
      <c r="C1300" s="72" t="str">
        <f ca="1">IFERROR(__xludf.DUMMYFUNCTION("""COMPUTED_VALUE"""),"20SDSCE01094")</f>
        <v>20SDSCE01094</v>
      </c>
      <c r="D1300" s="73">
        <f ca="1">IFERROR(__xludf.DUMMYFUNCTION("""COMPUTED_VALUE"""),44629)</f>
        <v>44629</v>
      </c>
      <c r="E1300" s="74">
        <f ca="1">IFERROR(__xludf.DUMMYFUNCTION("""COMPUTED_VALUE"""),5000)</f>
        <v>5000</v>
      </c>
      <c r="F1300" s="72">
        <f ca="1">IFERROR(__xludf.DUMMYFUNCTION("""COMPUTED_VALUE"""),0)</f>
        <v>0</v>
      </c>
      <c r="G1300" s="75"/>
      <c r="H1300" s="59" t="str">
        <f ca="1">IFERROR(__xludf.DUMMYFUNCTION("""COMPUTED_VALUE"""),"UPDATE")</f>
        <v>UPDATE</v>
      </c>
      <c r="I1300" s="76" t="str">
        <f ca="1">IFERROR(__xludf.DUMMYFUNCTION("""COMPUTED_VALUE"""),"https://drive.google.com/open?id=1IhVj7O3wuvnPMzNITtF33ouU4F4zZc5g")</f>
        <v>https://drive.google.com/open?id=1IhVj7O3wuvnPMzNITtF33ouU4F4zZc5g</v>
      </c>
      <c r="J1300" s="59"/>
      <c r="K1300" s="59"/>
      <c r="L1300" s="59"/>
      <c r="M1300" s="59"/>
      <c r="N1300" s="59"/>
      <c r="O1300" s="59"/>
      <c r="P1300" s="59"/>
    </row>
    <row r="1301" spans="1:16">
      <c r="A1301" s="71">
        <f ca="1">IFERROR(__xludf.DUMMYFUNCTION("""COMPUTED_VALUE"""),44629.4374593402)</f>
        <v>44629.437459340203</v>
      </c>
      <c r="B1301" s="59" t="str">
        <f ca="1">IFERROR(__xludf.DUMMYFUNCTION("""COMPUTED_VALUE"""),"Kapuriya kevin")</f>
        <v>Kapuriya kevin</v>
      </c>
      <c r="C1301" s="72" t="str">
        <f ca="1">IFERROR(__xludf.DUMMYFUNCTION("""COMPUTED_VALUE"""),"21sdsme01019")</f>
        <v>21sdsme01019</v>
      </c>
      <c r="D1301" s="73">
        <f ca="1">IFERROR(__xludf.DUMMYFUNCTION("""COMPUTED_VALUE"""),44625)</f>
        <v>44625</v>
      </c>
      <c r="E1301" s="74">
        <f ca="1">IFERROR(__xludf.DUMMYFUNCTION("""COMPUTED_VALUE"""),25000)</f>
        <v>25000</v>
      </c>
      <c r="F1301" s="72">
        <f ca="1">IFERROR(__xludf.DUMMYFUNCTION("""COMPUTED_VALUE"""),0)</f>
        <v>0</v>
      </c>
      <c r="G1301" s="75"/>
      <c r="H1301" s="59" t="str">
        <f ca="1">IFERROR(__xludf.DUMMYFUNCTION("""COMPUTED_VALUE"""),"UPDATE")</f>
        <v>UPDATE</v>
      </c>
      <c r="I1301" s="76" t="str">
        <f ca="1">IFERROR(__xludf.DUMMYFUNCTION("""COMPUTED_VALUE"""),"https://drive.google.com/open?id=1aKZa0yAlDTc9HTzhoRrZC145WitbqOZZ")</f>
        <v>https://drive.google.com/open?id=1aKZa0yAlDTc9HTzhoRrZC145WitbqOZZ</v>
      </c>
      <c r="J1301" s="59"/>
      <c r="K1301" s="59"/>
      <c r="L1301" s="59"/>
      <c r="M1301" s="59"/>
      <c r="N1301" s="59"/>
      <c r="O1301" s="59"/>
      <c r="P1301" s="59"/>
    </row>
    <row r="1302" spans="1:16">
      <c r="A1302" s="71">
        <f ca="1">IFERROR(__xludf.DUMMYFUNCTION("""COMPUTED_VALUE"""),44628.8910318171)</f>
        <v>44628.891031817097</v>
      </c>
      <c r="B1302" s="59" t="str">
        <f ca="1">IFERROR(__xludf.DUMMYFUNCTION("""COMPUTED_VALUE"""),"Panchani tirth pareshbhai ")</f>
        <v xml:space="preserve">Panchani tirth pareshbhai </v>
      </c>
      <c r="C1302" s="72" t="str">
        <f ca="1">IFERROR(__xludf.DUMMYFUNCTION("""COMPUTED_VALUE"""),"21SDSCE01087")</f>
        <v>21SDSCE01087</v>
      </c>
      <c r="D1302" s="73">
        <f ca="1">IFERROR(__xludf.DUMMYFUNCTION("""COMPUTED_VALUE"""),44628)</f>
        <v>44628</v>
      </c>
      <c r="E1302" s="74">
        <f ca="1">IFERROR(__xludf.DUMMYFUNCTION("""COMPUTED_VALUE"""),0)</f>
        <v>0</v>
      </c>
      <c r="F1302" s="72">
        <f ca="1">IFERROR(__xludf.DUMMYFUNCTION("""COMPUTED_VALUE"""),2500)</f>
        <v>2500</v>
      </c>
      <c r="G1302" s="75"/>
      <c r="H1302" s="59" t="str">
        <f ca="1">IFERROR(__xludf.DUMMYFUNCTION("""COMPUTED_VALUE"""),"UPDATE")</f>
        <v>UPDATE</v>
      </c>
      <c r="I1302" s="76" t="str">
        <f ca="1">IFERROR(__xludf.DUMMYFUNCTION("""COMPUTED_VALUE"""),"https://drive.google.com/open?id=10pXHDsxz0qDzurJFFqwgybCuyCqAhUgf")</f>
        <v>https://drive.google.com/open?id=10pXHDsxz0qDzurJFFqwgybCuyCqAhUgf</v>
      </c>
      <c r="J1302" s="59"/>
      <c r="K1302" s="59"/>
      <c r="L1302" s="59"/>
      <c r="M1302" s="59"/>
      <c r="N1302" s="59"/>
      <c r="O1302" s="59"/>
      <c r="P1302" s="59"/>
    </row>
    <row r="1303" spans="1:16">
      <c r="A1303" s="71">
        <f ca="1">IFERROR(__xludf.DUMMYFUNCTION("""COMPUTED_VALUE"""),44628.8874739699)</f>
        <v>44628.887473969902</v>
      </c>
      <c r="B1303" s="59" t="str">
        <f ca="1">IFERROR(__xludf.DUMMYFUNCTION("""COMPUTED_VALUE"""),"Tirth Panchani")</f>
        <v>Tirth Panchani</v>
      </c>
      <c r="C1303" s="72" t="str">
        <f ca="1">IFERROR(__xludf.DUMMYFUNCTION("""COMPUTED_VALUE"""),"21SDSCE01087")</f>
        <v>21SDSCE01087</v>
      </c>
      <c r="D1303" s="73">
        <f ca="1">IFERROR(__xludf.DUMMYFUNCTION("""COMPUTED_VALUE"""),44628)</f>
        <v>44628</v>
      </c>
      <c r="E1303" s="74">
        <f ca="1">IFERROR(__xludf.DUMMYFUNCTION("""COMPUTED_VALUE"""),25000)</f>
        <v>25000</v>
      </c>
      <c r="F1303" s="72">
        <f ca="1">IFERROR(__xludf.DUMMYFUNCTION("""COMPUTED_VALUE"""),0)</f>
        <v>0</v>
      </c>
      <c r="G1303" s="75"/>
      <c r="H1303" s="59" t="str">
        <f ca="1">IFERROR(__xludf.DUMMYFUNCTION("""COMPUTED_VALUE"""),"UPDATE")</f>
        <v>UPDATE</v>
      </c>
      <c r="I1303" s="76" t="str">
        <f ca="1">IFERROR(__xludf.DUMMYFUNCTION("""COMPUTED_VALUE"""),"https://drive.google.com/open?id=10zkuO6az7Km6Pbxv9camWrsGTq9JXjUZ")</f>
        <v>https://drive.google.com/open?id=10zkuO6az7Km6Pbxv9camWrsGTq9JXjUZ</v>
      </c>
      <c r="J1303" s="59"/>
      <c r="K1303" s="59"/>
      <c r="L1303" s="59"/>
      <c r="M1303" s="59"/>
      <c r="N1303" s="59"/>
      <c r="O1303" s="59"/>
      <c r="P1303" s="59"/>
    </row>
    <row r="1304" spans="1:16">
      <c r="A1304" s="71">
        <f ca="1">IFERROR(__xludf.DUMMYFUNCTION("""COMPUTED_VALUE"""),44628.620040081)</f>
        <v>44628.620040080998</v>
      </c>
      <c r="B1304" s="59" t="str">
        <f ca="1">IFERROR(__xludf.DUMMYFUNCTION("""COMPUTED_VALUE"""),"Agravat Dip dineshbhai ")</f>
        <v xml:space="preserve">Agravat Dip dineshbhai </v>
      </c>
      <c r="C1304" s="72" t="str">
        <f ca="1">IFERROR(__xludf.DUMMYFUNCTION("""COMPUTED_VALUE"""),"21SDSME01002")</f>
        <v>21SDSME01002</v>
      </c>
      <c r="D1304" s="73">
        <f ca="1">IFERROR(__xludf.DUMMYFUNCTION("""COMPUTED_VALUE"""),44628)</f>
        <v>44628</v>
      </c>
      <c r="E1304" s="72"/>
      <c r="F1304" s="72">
        <f ca="1">IFERROR(__xludf.DUMMYFUNCTION("""COMPUTED_VALUE"""),2500)</f>
        <v>2500</v>
      </c>
      <c r="G1304" s="75"/>
      <c r="H1304" s="59" t="str">
        <f ca="1">IFERROR(__xludf.DUMMYFUNCTION("""COMPUTED_VALUE"""),"UPDATE")</f>
        <v>UPDATE</v>
      </c>
      <c r="I1304" s="76" t="str">
        <f ca="1">IFERROR(__xludf.DUMMYFUNCTION("""COMPUTED_VALUE"""),"https://drive.google.com/open?id=1IfZttCwLF7AHE5RFhq3WKoxtVkvK8piR")</f>
        <v>https://drive.google.com/open?id=1IfZttCwLF7AHE5RFhq3WKoxtVkvK8piR</v>
      </c>
      <c r="J1304" s="59"/>
      <c r="K1304" s="59"/>
      <c r="L1304" s="59"/>
      <c r="M1304" s="59"/>
      <c r="N1304" s="59"/>
      <c r="O1304" s="59"/>
      <c r="P1304" s="59"/>
    </row>
    <row r="1305" spans="1:16">
      <c r="A1305" s="71">
        <f ca="1">IFERROR(__xludf.DUMMYFUNCTION("""COMPUTED_VALUE"""),44628.4022503819)</f>
        <v>44628.4022503819</v>
      </c>
      <c r="B1305" s="59" t="str">
        <f ca="1">IFERROR(__xludf.DUMMYFUNCTION("""COMPUTED_VALUE"""),"Umretiya Sufiyan ")</f>
        <v xml:space="preserve">Umretiya Sufiyan </v>
      </c>
      <c r="C1305" s="72" t="str">
        <f ca="1">IFERROR(__xludf.DUMMYFUNCTION("""COMPUTED_VALUE"""),"21SDSCE01108")</f>
        <v>21SDSCE01108</v>
      </c>
      <c r="D1305" s="73">
        <f ca="1">IFERROR(__xludf.DUMMYFUNCTION("""COMPUTED_VALUE"""),44628)</f>
        <v>44628</v>
      </c>
      <c r="E1305" s="72"/>
      <c r="F1305" s="72">
        <f ca="1">IFERROR(__xludf.DUMMYFUNCTION("""COMPUTED_VALUE"""),2500)</f>
        <v>2500</v>
      </c>
      <c r="G1305" s="75"/>
      <c r="H1305" s="59" t="str">
        <f ca="1">IFERROR(__xludf.DUMMYFUNCTION("""COMPUTED_VALUE"""),"UPDATE")</f>
        <v>UPDATE</v>
      </c>
      <c r="I1305" s="76" t="str">
        <f ca="1">IFERROR(__xludf.DUMMYFUNCTION("""COMPUTED_VALUE"""),"https://drive.google.com/open?id=1L9fGShqyQJNEq_oCUe3NjiJMbAQCubBx")</f>
        <v>https://drive.google.com/open?id=1L9fGShqyQJNEq_oCUe3NjiJMbAQCubBx</v>
      </c>
      <c r="J1305" s="59"/>
      <c r="K1305" s="59"/>
      <c r="L1305" s="59"/>
      <c r="M1305" s="59"/>
      <c r="N1305" s="59"/>
      <c r="O1305" s="59"/>
      <c r="P1305" s="59"/>
    </row>
    <row r="1306" spans="1:16">
      <c r="A1306" s="71">
        <f ca="1">IFERROR(__xludf.DUMMYFUNCTION("""COMPUTED_VALUE"""),44628.4004928009)</f>
        <v>44628.400492800902</v>
      </c>
      <c r="B1306" s="59" t="str">
        <f ca="1">IFERROR(__xludf.DUMMYFUNCTION("""COMPUTED_VALUE"""),"Umretiya Sufiyan")</f>
        <v>Umretiya Sufiyan</v>
      </c>
      <c r="C1306" s="72" t="str">
        <f ca="1">IFERROR(__xludf.DUMMYFUNCTION("""COMPUTED_VALUE"""),"21SDSCE01108")</f>
        <v>21SDSCE01108</v>
      </c>
      <c r="D1306" s="73">
        <f ca="1">IFERROR(__xludf.DUMMYFUNCTION("""COMPUTED_VALUE"""),44628)</f>
        <v>44628</v>
      </c>
      <c r="E1306" s="74">
        <f ca="1">IFERROR(__xludf.DUMMYFUNCTION("""COMPUTED_VALUE"""),12500)</f>
        <v>12500</v>
      </c>
      <c r="F1306" s="72"/>
      <c r="G1306" s="75"/>
      <c r="H1306" s="59" t="str">
        <f ca="1">IFERROR(__xludf.DUMMYFUNCTION("""COMPUTED_VALUE"""),"UPDATE")</f>
        <v>UPDATE</v>
      </c>
      <c r="I1306" s="76" t="str">
        <f ca="1">IFERROR(__xludf.DUMMYFUNCTION("""COMPUTED_VALUE"""),"https://drive.google.com/open?id=1xI4e8owXpm6ee17Ln-bHqRyW9fvqDmux")</f>
        <v>https://drive.google.com/open?id=1xI4e8owXpm6ee17Ln-bHqRyW9fvqDmux</v>
      </c>
      <c r="J1306" s="59"/>
      <c r="K1306" s="59"/>
      <c r="L1306" s="59"/>
      <c r="M1306" s="59"/>
      <c r="N1306" s="59"/>
      <c r="O1306" s="59"/>
      <c r="P1306" s="59"/>
    </row>
    <row r="1307" spans="1:16">
      <c r="A1307" s="71">
        <f ca="1">IFERROR(__xludf.DUMMYFUNCTION("""COMPUTED_VALUE"""),44627.908127662)</f>
        <v>44627.908127661998</v>
      </c>
      <c r="B1307" s="59" t="str">
        <f ca="1">IFERROR(__xludf.DUMMYFUNCTION("""COMPUTED_VALUE"""),"Kandarp vyas")</f>
        <v>Kandarp vyas</v>
      </c>
      <c r="C1307" s="72" t="str">
        <f ca="1">IFERROR(__xludf.DUMMYFUNCTION("""COMPUTED_VALUE"""),"21SDSCE01054")</f>
        <v>21SDSCE01054</v>
      </c>
      <c r="D1307" s="73">
        <f ca="1">IFERROR(__xludf.DUMMYFUNCTION("""COMPUTED_VALUE"""),44627)</f>
        <v>44627</v>
      </c>
      <c r="E1307" s="74">
        <f ca="1">IFERROR(__xludf.DUMMYFUNCTION("""COMPUTED_VALUE"""),25000)</f>
        <v>25000</v>
      </c>
      <c r="F1307" s="72">
        <f ca="1">IFERROR(__xludf.DUMMYFUNCTION("""COMPUTED_VALUE"""),2500)</f>
        <v>2500</v>
      </c>
      <c r="G1307" s="75"/>
      <c r="H1307" s="59" t="str">
        <f ca="1">IFERROR(__xludf.DUMMYFUNCTION("""COMPUTED_VALUE"""),"UPDATE")</f>
        <v>UPDATE</v>
      </c>
      <c r="I1307" s="76" t="str">
        <f ca="1">IFERROR(__xludf.DUMMYFUNCTION("""COMPUTED_VALUE"""),"https://drive.google.com/open?id=1-lH_uIaoacp0D3s4hlcxVmHcG41PS3LS")</f>
        <v>https://drive.google.com/open?id=1-lH_uIaoacp0D3s4hlcxVmHcG41PS3LS</v>
      </c>
      <c r="J1307" s="59"/>
      <c r="K1307" s="59"/>
      <c r="L1307" s="59"/>
      <c r="M1307" s="59"/>
      <c r="N1307" s="59"/>
      <c r="O1307" s="59"/>
      <c r="P1307" s="59"/>
    </row>
    <row r="1308" spans="1:16">
      <c r="A1308" s="71">
        <f ca="1">IFERROR(__xludf.DUMMYFUNCTION("""COMPUTED_VALUE"""),44626.529820868)</f>
        <v>44626.529820868003</v>
      </c>
      <c r="B1308" s="59" t="str">
        <f ca="1">IFERROR(__xludf.DUMMYFUNCTION("""COMPUTED_VALUE"""),"Parthamipara ")</f>
        <v xml:space="preserve">Parthamipara </v>
      </c>
      <c r="C1308" s="72" t="str">
        <f ca="1">IFERROR(__xludf.DUMMYFUNCTION("""COMPUTED_VALUE"""),"21SDSCE01114")</f>
        <v>21SDSCE01114</v>
      </c>
      <c r="D1308" s="73">
        <f ca="1">IFERROR(__xludf.DUMMYFUNCTION("""COMPUTED_VALUE"""),44625)</f>
        <v>44625</v>
      </c>
      <c r="E1308" s="72"/>
      <c r="F1308" s="72">
        <f ca="1">IFERROR(__xludf.DUMMYFUNCTION("""COMPUTED_VALUE"""),2700)</f>
        <v>2700</v>
      </c>
      <c r="G1308" s="75"/>
      <c r="H1308" s="59" t="str">
        <f ca="1">IFERROR(__xludf.DUMMYFUNCTION("""COMPUTED_VALUE"""),"UPDATE")</f>
        <v>UPDATE</v>
      </c>
      <c r="I1308" s="76" t="str">
        <f ca="1">IFERROR(__xludf.DUMMYFUNCTION("""COMPUTED_VALUE"""),"https://drive.google.com/open?id=19SiQKhw2ew54n1DBqAUsZEJ81_Hzs40B")</f>
        <v>https://drive.google.com/open?id=19SiQKhw2ew54n1DBqAUsZEJ81_Hzs40B</v>
      </c>
      <c r="J1308" s="59"/>
      <c r="K1308" s="59"/>
      <c r="L1308" s="59"/>
      <c r="M1308" s="59"/>
      <c r="N1308" s="59"/>
      <c r="O1308" s="59"/>
      <c r="P1308" s="59"/>
    </row>
    <row r="1309" spans="1:16">
      <c r="A1309" s="71">
        <f ca="1">IFERROR(__xludf.DUMMYFUNCTION("""COMPUTED_VALUE"""),44626.5275391782)</f>
        <v>44626.527539178198</v>
      </c>
      <c r="B1309" s="59" t="str">
        <f ca="1">IFERROR(__xludf.DUMMYFUNCTION("""COMPUTED_VALUE"""),"Parthamipara ")</f>
        <v xml:space="preserve">Parthamipara </v>
      </c>
      <c r="C1309" s="72" t="str">
        <f ca="1">IFERROR(__xludf.DUMMYFUNCTION("""COMPUTED_VALUE"""),"21SDSCE01114")</f>
        <v>21SDSCE01114</v>
      </c>
      <c r="D1309" s="73">
        <f ca="1">IFERROR(__xludf.DUMMYFUNCTION("""COMPUTED_VALUE"""),44625)</f>
        <v>44625</v>
      </c>
      <c r="E1309" s="72"/>
      <c r="F1309" s="72">
        <f ca="1">IFERROR(__xludf.DUMMYFUNCTION("""COMPUTED_VALUE"""),2700)</f>
        <v>2700</v>
      </c>
      <c r="G1309" s="75"/>
      <c r="H1309" s="59" t="str">
        <f ca="1">IFERROR(__xludf.DUMMYFUNCTION("""COMPUTED_VALUE"""),"UPDATE")</f>
        <v>UPDATE</v>
      </c>
      <c r="I1309" s="76" t="str">
        <f ca="1">IFERROR(__xludf.DUMMYFUNCTION("""COMPUTED_VALUE"""),"https://drive.google.com/open?id=1PW12dB3xQL0cj8jBe_QTCGfznP76ABJN")</f>
        <v>https://drive.google.com/open?id=1PW12dB3xQL0cj8jBe_QTCGfznP76ABJN</v>
      </c>
      <c r="J1309" s="59"/>
      <c r="K1309" s="59"/>
      <c r="L1309" s="59"/>
      <c r="M1309" s="59"/>
      <c r="N1309" s="59"/>
      <c r="O1309" s="59"/>
      <c r="P1309" s="59"/>
    </row>
    <row r="1310" spans="1:16">
      <c r="A1310" s="71">
        <f ca="1">IFERROR(__xludf.DUMMYFUNCTION("""COMPUTED_VALUE"""),44625.9453900347)</f>
        <v>44625.9453900347</v>
      </c>
      <c r="B1310" s="59" t="str">
        <f ca="1">IFERROR(__xludf.DUMMYFUNCTION("""COMPUTED_VALUE"""),"Parthamipara ")</f>
        <v xml:space="preserve">Parthamipara </v>
      </c>
      <c r="C1310" s="72" t="str">
        <f ca="1">IFERROR(__xludf.DUMMYFUNCTION("""COMPUTED_VALUE"""),"21SDSCE01114")</f>
        <v>21SDSCE01114</v>
      </c>
      <c r="D1310" s="73">
        <f ca="1">IFERROR(__xludf.DUMMYFUNCTION("""COMPUTED_VALUE"""),44625)</f>
        <v>44625</v>
      </c>
      <c r="E1310" s="72"/>
      <c r="F1310" s="72">
        <f ca="1">IFERROR(__xludf.DUMMYFUNCTION("""COMPUTED_VALUE"""),2700)</f>
        <v>2700</v>
      </c>
      <c r="G1310" s="75"/>
      <c r="H1310" s="59" t="str">
        <f ca="1">IFERROR(__xludf.DUMMYFUNCTION("""COMPUTED_VALUE"""),"UPDATE")</f>
        <v>UPDATE</v>
      </c>
      <c r="I1310" s="76" t="str">
        <f ca="1">IFERROR(__xludf.DUMMYFUNCTION("""COMPUTED_VALUE"""),"https://drive.google.com/open?id=1ZQ81LmB0QpVzGd9Rf0DC5m4_1YX0Sk9k")</f>
        <v>https://drive.google.com/open?id=1ZQ81LmB0QpVzGd9Rf0DC5m4_1YX0Sk9k</v>
      </c>
      <c r="J1310" s="59"/>
      <c r="K1310" s="59"/>
      <c r="L1310" s="59"/>
      <c r="M1310" s="59"/>
      <c r="N1310" s="59"/>
      <c r="O1310" s="59"/>
      <c r="P1310" s="59"/>
    </row>
    <row r="1311" spans="1:16">
      <c r="A1311" s="71">
        <f ca="1">IFERROR(__xludf.DUMMYFUNCTION("""COMPUTED_VALUE"""),44625.6237980092)</f>
        <v>44625.623798009197</v>
      </c>
      <c r="B1311" s="59" t="str">
        <f ca="1">IFERROR(__xludf.DUMMYFUNCTION("""COMPUTED_VALUE"""),"Abhishek pagdar")</f>
        <v>Abhishek pagdar</v>
      </c>
      <c r="C1311" s="72" t="str">
        <f ca="1">IFERROR(__xludf.DUMMYFUNCTION("""COMPUTED_VALUE"""),"21SDSCE01136")</f>
        <v>21SDSCE01136</v>
      </c>
      <c r="D1311" s="73">
        <f ca="1">IFERROR(__xludf.DUMMYFUNCTION("""COMPUTED_VALUE"""),38288)</f>
        <v>38288</v>
      </c>
      <c r="E1311" s="72"/>
      <c r="F1311" s="72">
        <f ca="1">IFERROR(__xludf.DUMMYFUNCTION("""COMPUTED_VALUE"""),2700)</f>
        <v>2700</v>
      </c>
      <c r="G1311" s="75"/>
      <c r="H1311" s="59" t="str">
        <f ca="1">IFERROR(__xludf.DUMMYFUNCTION("""COMPUTED_VALUE"""),"UPDATE")</f>
        <v>UPDATE</v>
      </c>
      <c r="I1311" s="76" t="str">
        <f ca="1">IFERROR(__xludf.DUMMYFUNCTION("""COMPUTED_VALUE"""),"https://drive.google.com/open?id=1dvVDbe0_32fsF0LYLkxY0YiAhMZngEg-")</f>
        <v>https://drive.google.com/open?id=1dvVDbe0_32fsF0LYLkxY0YiAhMZngEg-</v>
      </c>
      <c r="J1311" s="59"/>
      <c r="K1311" s="59"/>
      <c r="L1311" s="59"/>
      <c r="M1311" s="59"/>
      <c r="N1311" s="59"/>
      <c r="O1311" s="59"/>
      <c r="P1311" s="59"/>
    </row>
    <row r="1312" spans="1:16">
      <c r="A1312" s="71">
        <f ca="1">IFERROR(__xludf.DUMMYFUNCTION("""COMPUTED_VALUE"""),44625.5906307291)</f>
        <v>44625.590630729101</v>
      </c>
      <c r="B1312" s="59" t="str">
        <f ca="1">IFERROR(__xludf.DUMMYFUNCTION("""COMPUTED_VALUE"""),"Timbadiya khush")</f>
        <v>Timbadiya khush</v>
      </c>
      <c r="C1312" s="72" t="str">
        <f ca="1">IFERROR(__xludf.DUMMYFUNCTION("""COMPUTED_VALUE"""),"21SDSCE01155")</f>
        <v>21SDSCE01155</v>
      </c>
      <c r="D1312" s="73">
        <f ca="1">IFERROR(__xludf.DUMMYFUNCTION("""COMPUTED_VALUE"""),44625)</f>
        <v>44625</v>
      </c>
      <c r="E1312" s="74">
        <f ca="1">IFERROR(__xludf.DUMMYFUNCTION("""COMPUTED_VALUE"""),0)</f>
        <v>0</v>
      </c>
      <c r="F1312" s="72">
        <f ca="1">IFERROR(__xludf.DUMMYFUNCTION("""COMPUTED_VALUE"""),2700)</f>
        <v>2700</v>
      </c>
      <c r="G1312" s="75"/>
      <c r="H1312" s="59" t="str">
        <f ca="1">IFERROR(__xludf.DUMMYFUNCTION("""COMPUTED_VALUE"""),"UPDATE")</f>
        <v>UPDATE</v>
      </c>
      <c r="I1312" s="76" t="str">
        <f ca="1">IFERROR(__xludf.DUMMYFUNCTION("""COMPUTED_VALUE"""),"https://drive.google.com/open?id=1eTSXpPJI3vhv6POmTmZ43VE8aJks8gYo")</f>
        <v>https://drive.google.com/open?id=1eTSXpPJI3vhv6POmTmZ43VE8aJks8gYo</v>
      </c>
      <c r="J1312" s="59"/>
      <c r="K1312" s="59"/>
      <c r="L1312" s="59"/>
      <c r="M1312" s="59"/>
      <c r="N1312" s="59"/>
      <c r="O1312" s="59"/>
      <c r="P1312" s="59"/>
    </row>
    <row r="1313" spans="1:16">
      <c r="A1313" s="71">
        <f ca="1">IFERROR(__xludf.DUMMYFUNCTION("""COMPUTED_VALUE"""),44625.5871292361)</f>
        <v>44625.587129236097</v>
      </c>
      <c r="B1313" s="59" t="str">
        <f ca="1">IFERROR(__xludf.DUMMYFUNCTION("""COMPUTED_VALUE"""),"Kothiya keval ")</f>
        <v xml:space="preserve">Kothiya keval </v>
      </c>
      <c r="C1313" s="72" t="str">
        <f ca="1">IFERROR(__xludf.DUMMYFUNCTION("""COMPUTED_VALUE"""),"21sdsce01031")</f>
        <v>21sdsce01031</v>
      </c>
      <c r="D1313" s="73">
        <f ca="1">IFERROR(__xludf.DUMMYFUNCTION("""COMPUTED_VALUE"""),44625)</f>
        <v>44625</v>
      </c>
      <c r="E1313" s="72"/>
      <c r="F1313" s="72">
        <f ca="1">IFERROR(__xludf.DUMMYFUNCTION("""COMPUTED_VALUE"""),2700)</f>
        <v>2700</v>
      </c>
      <c r="G1313" s="75"/>
      <c r="H1313" s="59" t="str">
        <f ca="1">IFERROR(__xludf.DUMMYFUNCTION("""COMPUTED_VALUE"""),"UPDATE")</f>
        <v>UPDATE</v>
      </c>
      <c r="I1313" s="76" t="str">
        <f ca="1">IFERROR(__xludf.DUMMYFUNCTION("""COMPUTED_VALUE"""),"https://drive.google.com/open?id=1bBBJwuNKD6mr-DqHCdhvPDwidZTP0itH")</f>
        <v>https://drive.google.com/open?id=1bBBJwuNKD6mr-DqHCdhvPDwidZTP0itH</v>
      </c>
      <c r="J1313" s="59"/>
      <c r="K1313" s="59"/>
      <c r="L1313" s="59"/>
      <c r="M1313" s="59"/>
      <c r="N1313" s="59"/>
      <c r="O1313" s="59"/>
      <c r="P1313" s="59"/>
    </row>
    <row r="1314" spans="1:16">
      <c r="A1314" s="71">
        <f ca="1">IFERROR(__xludf.DUMMYFUNCTION("""COMPUTED_VALUE"""),44623.6615323263)</f>
        <v>44623.661532326303</v>
      </c>
      <c r="B1314" s="59" t="str">
        <f ca="1">IFERROR(__xludf.DUMMYFUNCTION("""COMPUTED_VALUE"""),"Ramani Tejas AshokBhai")</f>
        <v>Ramani Tejas AshokBhai</v>
      </c>
      <c r="C1314" s="72" t="str">
        <f ca="1">IFERROR(__xludf.DUMMYFUNCTION("""COMPUTED_VALUE"""),"21SDSCE01143")</f>
        <v>21SDSCE01143</v>
      </c>
      <c r="D1314" s="73">
        <f ca="1">IFERROR(__xludf.DUMMYFUNCTION("""COMPUTED_VALUE"""),44623)</f>
        <v>44623</v>
      </c>
      <c r="E1314" s="72"/>
      <c r="F1314" s="72">
        <f ca="1">IFERROR(__xludf.DUMMYFUNCTION("""COMPUTED_VALUE"""),2500)</f>
        <v>2500</v>
      </c>
      <c r="G1314" s="75"/>
      <c r="H1314" s="59" t="str">
        <f ca="1">IFERROR(__xludf.DUMMYFUNCTION("""COMPUTED_VALUE"""),"UPDATE")</f>
        <v>UPDATE</v>
      </c>
      <c r="I1314" s="76" t="str">
        <f ca="1">IFERROR(__xludf.DUMMYFUNCTION("""COMPUTED_VALUE"""),"https://drive.google.com/open?id=17NJvLhYvsC7QaP4wgc7SzK8UAl2NpcG4")</f>
        <v>https://drive.google.com/open?id=17NJvLhYvsC7QaP4wgc7SzK8UAl2NpcG4</v>
      </c>
      <c r="J1314" s="59"/>
      <c r="K1314" s="59"/>
      <c r="L1314" s="59"/>
      <c r="M1314" s="59"/>
      <c r="N1314" s="59"/>
      <c r="O1314" s="59"/>
      <c r="P1314" s="59"/>
    </row>
    <row r="1315" spans="1:16">
      <c r="A1315" s="71">
        <f ca="1">IFERROR(__xludf.DUMMYFUNCTION("""COMPUTED_VALUE"""),44623.4172079861)</f>
        <v>44623.417207986102</v>
      </c>
      <c r="B1315" s="59" t="str">
        <f ca="1">IFERROR(__xludf.DUMMYFUNCTION("""COMPUTED_VALUE"""),"Bamta Bhargavi B.")</f>
        <v>Bamta Bhargavi B.</v>
      </c>
      <c r="C1315" s="72" t="str">
        <f ca="1">IFERROR(__xludf.DUMMYFUNCTION("""COMPUTED_VALUE"""),"21SDSCE01003")</f>
        <v>21SDSCE01003</v>
      </c>
      <c r="D1315" s="73">
        <f ca="1">IFERROR(__xludf.DUMMYFUNCTION("""COMPUTED_VALUE"""),44620)</f>
        <v>44620</v>
      </c>
      <c r="E1315" s="72"/>
      <c r="F1315" s="72">
        <f ca="1">IFERROR(__xludf.DUMMYFUNCTION("""COMPUTED_VALUE"""),2500)</f>
        <v>2500</v>
      </c>
      <c r="G1315" s="75"/>
      <c r="H1315" s="59" t="str">
        <f ca="1">IFERROR(__xludf.DUMMYFUNCTION("""COMPUTED_VALUE"""),"UPDATE")</f>
        <v>UPDATE</v>
      </c>
      <c r="I1315" s="76" t="str">
        <f ca="1">IFERROR(__xludf.DUMMYFUNCTION("""COMPUTED_VALUE"""),"https://drive.google.com/open?id=1BtHMJ7DRjvRLtKY0EbB_qO7FEid1uBt4")</f>
        <v>https://drive.google.com/open?id=1BtHMJ7DRjvRLtKY0EbB_qO7FEid1uBt4</v>
      </c>
      <c r="J1315" s="59"/>
      <c r="K1315" s="59"/>
      <c r="L1315" s="59"/>
      <c r="M1315" s="59"/>
      <c r="N1315" s="59"/>
      <c r="O1315" s="59"/>
      <c r="P1315" s="59"/>
    </row>
    <row r="1316" spans="1:16">
      <c r="A1316" s="71">
        <f ca="1">IFERROR(__xludf.DUMMYFUNCTION("""COMPUTED_VALUE"""),44622.5278565972)</f>
        <v>44622.527856597197</v>
      </c>
      <c r="B1316" s="59" t="str">
        <f ca="1">IFERROR(__xludf.DUMMYFUNCTION("""COMPUTED_VALUE"""),"Jadiya Anand Vipulbhai")</f>
        <v>Jadiya Anand Vipulbhai</v>
      </c>
      <c r="C1316" s="72" t="str">
        <f ca="1">IFERROR(__xludf.DUMMYFUNCTION("""COMPUTED_VALUE"""),"21SDSCE01129")</f>
        <v>21SDSCE01129</v>
      </c>
      <c r="D1316" s="73">
        <f ca="1">IFERROR(__xludf.DUMMYFUNCTION("""COMPUTED_VALUE"""),44622)</f>
        <v>44622</v>
      </c>
      <c r="E1316" s="74">
        <f ca="1">IFERROR(__xludf.DUMMYFUNCTION("""COMPUTED_VALUE"""),0)</f>
        <v>0</v>
      </c>
      <c r="F1316" s="72">
        <f ca="1">IFERROR(__xludf.DUMMYFUNCTION("""COMPUTED_VALUE"""),2500)</f>
        <v>2500</v>
      </c>
      <c r="G1316" s="75"/>
      <c r="H1316" s="59" t="str">
        <f ca="1">IFERROR(__xludf.DUMMYFUNCTION("""COMPUTED_VALUE"""),"UPDATE")</f>
        <v>UPDATE</v>
      </c>
      <c r="I1316" s="76" t="str">
        <f ca="1">IFERROR(__xludf.DUMMYFUNCTION("""COMPUTED_VALUE"""),"https://drive.google.com/open?id=1yKid-g8opwdfQ8Dw7pSIj_zd83gmG8iy")</f>
        <v>https://drive.google.com/open?id=1yKid-g8opwdfQ8Dw7pSIj_zd83gmG8iy</v>
      </c>
      <c r="J1316" s="59"/>
      <c r="K1316" s="59"/>
      <c r="L1316" s="59"/>
      <c r="M1316" s="59"/>
      <c r="N1316" s="59"/>
      <c r="O1316" s="59"/>
      <c r="P1316" s="59"/>
    </row>
    <row r="1317" spans="1:16">
      <c r="A1317" s="71">
        <f ca="1">IFERROR(__xludf.DUMMYFUNCTION("""COMPUTED_VALUE"""),44621.5044961689)</f>
        <v>44621.504496168898</v>
      </c>
      <c r="B1317" s="59" t="str">
        <f ca="1">IFERROR(__xludf.DUMMYFUNCTION("""COMPUTED_VALUE"""),"Raithatha Ujjval")</f>
        <v>Raithatha Ujjval</v>
      </c>
      <c r="C1317" s="72" t="str">
        <f ca="1">IFERROR(__xludf.DUMMYFUNCTION("""COMPUTED_VALUE"""),"21SDSCE01039")</f>
        <v>21SDSCE01039</v>
      </c>
      <c r="D1317" s="73">
        <f ca="1">IFERROR(__xludf.DUMMYFUNCTION("""COMPUTED_VALUE"""),44621)</f>
        <v>44621</v>
      </c>
      <c r="E1317" s="74">
        <f ca="1">IFERROR(__xludf.DUMMYFUNCTION("""COMPUTED_VALUE"""),25000)</f>
        <v>25000</v>
      </c>
      <c r="F1317" s="72">
        <f ca="1">IFERROR(__xludf.DUMMYFUNCTION("""COMPUTED_VALUE"""),2500)</f>
        <v>2500</v>
      </c>
      <c r="G1317" s="75"/>
      <c r="H1317" s="59" t="str">
        <f ca="1">IFERROR(__xludf.DUMMYFUNCTION("""COMPUTED_VALUE"""),"UPDATE")</f>
        <v>UPDATE</v>
      </c>
      <c r="I1317" s="76" t="str">
        <f ca="1">IFERROR(__xludf.DUMMYFUNCTION("""COMPUTED_VALUE"""),"https://drive.google.com/open?id=1nGT_Jt7asMZcym7MzOYrVuAvKKKgrmc-")</f>
        <v>https://drive.google.com/open?id=1nGT_Jt7asMZcym7MzOYrVuAvKKKgrmc-</v>
      </c>
      <c r="J1317" s="59"/>
      <c r="K1317" s="59"/>
      <c r="L1317" s="59"/>
      <c r="M1317" s="59"/>
      <c r="N1317" s="59"/>
      <c r="O1317" s="59"/>
      <c r="P1317" s="59"/>
    </row>
    <row r="1318" spans="1:16">
      <c r="A1318" s="71">
        <f ca="1">IFERROR(__xludf.DUMMYFUNCTION("""COMPUTED_VALUE"""),44620.6611806134)</f>
        <v>44620.661180613402</v>
      </c>
      <c r="B1318" s="59" t="str">
        <f ca="1">IFERROR(__xludf.DUMMYFUNCTION("""COMPUTED_VALUE"""),"Aghera deepkumar maganbhai")</f>
        <v>Aghera deepkumar maganbhai</v>
      </c>
      <c r="C1318" s="72" t="str">
        <f ca="1">IFERROR(__xludf.DUMMYFUNCTION("""COMPUTED_VALUE"""),"21SDSCE01055")</f>
        <v>21SDSCE01055</v>
      </c>
      <c r="D1318" s="73">
        <f ca="1">IFERROR(__xludf.DUMMYFUNCTION("""COMPUTED_VALUE"""),44618)</f>
        <v>44618</v>
      </c>
      <c r="E1318" s="74">
        <f ca="1">IFERROR(__xludf.DUMMYFUNCTION("""COMPUTED_VALUE"""),25000)</f>
        <v>25000</v>
      </c>
      <c r="F1318" s="72">
        <f ca="1">IFERROR(__xludf.DUMMYFUNCTION("""COMPUTED_VALUE"""),2500)</f>
        <v>2500</v>
      </c>
      <c r="G1318" s="75"/>
      <c r="H1318" s="59" t="str">
        <f ca="1">IFERROR(__xludf.DUMMYFUNCTION("""COMPUTED_VALUE"""),"UPDATE")</f>
        <v>UPDATE</v>
      </c>
      <c r="I1318" s="76" t="str">
        <f ca="1">IFERROR(__xludf.DUMMYFUNCTION("""COMPUTED_VALUE"""),"https://drive.google.com/open?id=1tc3eE_MEbzRJZ0PhOf5XOgDvp-HhvOjX")</f>
        <v>https://drive.google.com/open?id=1tc3eE_MEbzRJZ0PhOf5XOgDvp-HhvOjX</v>
      </c>
      <c r="J1318" s="59"/>
      <c r="K1318" s="59"/>
      <c r="L1318" s="59"/>
      <c r="M1318" s="59"/>
      <c r="N1318" s="59"/>
      <c r="O1318" s="59"/>
      <c r="P1318" s="59"/>
    </row>
    <row r="1319" spans="1:16">
      <c r="A1319" s="71">
        <f ca="1">IFERROR(__xludf.DUMMYFUNCTION("""COMPUTED_VALUE"""),44620.5714987847)</f>
        <v>44620.571498784702</v>
      </c>
      <c r="B1319" s="59" t="str">
        <f ca="1">IFERROR(__xludf.DUMMYFUNCTION("""COMPUTED_VALUE"""),"Ravaliya Tushar Maheshbhai ")</f>
        <v xml:space="preserve">Ravaliya Tushar Maheshbhai </v>
      </c>
      <c r="C1319" s="72" t="str">
        <f ca="1">IFERROR(__xludf.DUMMYFUNCTION("""COMPUTED_VALUE"""),"21SDSCE01101")</f>
        <v>21SDSCE01101</v>
      </c>
      <c r="D1319" s="73">
        <f ca="1">IFERROR(__xludf.DUMMYFUNCTION("""COMPUTED_VALUE"""),44620)</f>
        <v>44620</v>
      </c>
      <c r="E1319" s="72"/>
      <c r="F1319" s="72">
        <f ca="1">IFERROR(__xludf.DUMMYFUNCTION("""COMPUTED_VALUE"""),2500)</f>
        <v>2500</v>
      </c>
      <c r="G1319" s="75"/>
      <c r="H1319" s="59" t="str">
        <f ca="1">IFERROR(__xludf.DUMMYFUNCTION("""COMPUTED_VALUE"""),"UPDATE")</f>
        <v>UPDATE</v>
      </c>
      <c r="I1319" s="76" t="str">
        <f ca="1">IFERROR(__xludf.DUMMYFUNCTION("""COMPUTED_VALUE"""),"https://drive.google.com/open?id=134QkVRHhxVYBHDsO7DmULP5gDWzCL6rj")</f>
        <v>https://drive.google.com/open?id=134QkVRHhxVYBHDsO7DmULP5gDWzCL6rj</v>
      </c>
      <c r="J1319" s="59"/>
      <c r="K1319" s="59"/>
      <c r="L1319" s="59"/>
      <c r="M1319" s="59"/>
      <c r="N1319" s="59"/>
      <c r="O1319" s="59"/>
      <c r="P1319" s="59"/>
    </row>
    <row r="1320" spans="1:16">
      <c r="A1320" s="71">
        <f ca="1">IFERROR(__xludf.DUMMYFUNCTION("""COMPUTED_VALUE"""),44620.5705162731)</f>
        <v>44620.570516273103</v>
      </c>
      <c r="B1320" s="59" t="str">
        <f ca="1">IFERROR(__xludf.DUMMYFUNCTION("""COMPUTED_VALUE"""),"Kashiyani Bhadresh Dineshbhai")</f>
        <v>Kashiyani Bhadresh Dineshbhai</v>
      </c>
      <c r="C1320" s="72" t="str">
        <f ca="1">IFERROR(__xludf.DUMMYFUNCTION("""COMPUTED_VALUE"""),"21SDSCE01079")</f>
        <v>21SDSCE01079</v>
      </c>
      <c r="D1320" s="73">
        <f ca="1">IFERROR(__xludf.DUMMYFUNCTION("""COMPUTED_VALUE"""),44620)</f>
        <v>44620</v>
      </c>
      <c r="E1320" s="72"/>
      <c r="F1320" s="72">
        <f ca="1">IFERROR(__xludf.DUMMYFUNCTION("""COMPUTED_VALUE"""),2500)</f>
        <v>2500</v>
      </c>
      <c r="G1320" s="75"/>
      <c r="H1320" s="59" t="str">
        <f ca="1">IFERROR(__xludf.DUMMYFUNCTION("""COMPUTED_VALUE"""),"UPDATE")</f>
        <v>UPDATE</v>
      </c>
      <c r="I1320" s="76" t="str">
        <f ca="1">IFERROR(__xludf.DUMMYFUNCTION("""COMPUTED_VALUE"""),"https://drive.google.com/open?id=1bZYt3KQEf5QE6OaR4lFFblTYNrrfC5yV")</f>
        <v>https://drive.google.com/open?id=1bZYt3KQEf5QE6OaR4lFFblTYNrrfC5yV</v>
      </c>
      <c r="J1320" s="59"/>
      <c r="K1320" s="59"/>
      <c r="L1320" s="59"/>
      <c r="M1320" s="59"/>
      <c r="N1320" s="59"/>
      <c r="O1320" s="59"/>
      <c r="P1320" s="59"/>
    </row>
    <row r="1321" spans="1:16">
      <c r="A1321" s="71">
        <f ca="1">IFERROR(__xludf.DUMMYFUNCTION("""COMPUTED_VALUE"""),44620.5703448726)</f>
        <v>44620.570344872598</v>
      </c>
      <c r="B1321" s="59" t="str">
        <f ca="1">IFERROR(__xludf.DUMMYFUNCTION("""COMPUTED_VALUE"""),"Ravaliya Tushar Maheshbhai ")</f>
        <v xml:space="preserve">Ravaliya Tushar Maheshbhai </v>
      </c>
      <c r="C1321" s="72" t="str">
        <f ca="1">IFERROR(__xludf.DUMMYFUNCTION("""COMPUTED_VALUE"""),"21SDSCE01101")</f>
        <v>21SDSCE01101</v>
      </c>
      <c r="D1321" s="73">
        <f ca="1">IFERROR(__xludf.DUMMYFUNCTION("""COMPUTED_VALUE"""),44620)</f>
        <v>44620</v>
      </c>
      <c r="E1321" s="74">
        <f ca="1">IFERROR(__xludf.DUMMYFUNCTION("""COMPUTED_VALUE"""),25000)</f>
        <v>25000</v>
      </c>
      <c r="F1321" s="72"/>
      <c r="G1321" s="75"/>
      <c r="H1321" s="59" t="str">
        <f ca="1">IFERROR(__xludf.DUMMYFUNCTION("""COMPUTED_VALUE"""),"UPDATE")</f>
        <v>UPDATE</v>
      </c>
      <c r="I1321" s="76" t="str">
        <f ca="1">IFERROR(__xludf.DUMMYFUNCTION("""COMPUTED_VALUE"""),"https://drive.google.com/open?id=1tZEINgB0bDYWoAa03AgvjFr7pFKLTf-1")</f>
        <v>https://drive.google.com/open?id=1tZEINgB0bDYWoAa03AgvjFr7pFKLTf-1</v>
      </c>
      <c r="J1321" s="59"/>
      <c r="K1321" s="59"/>
      <c r="L1321" s="59"/>
      <c r="M1321" s="59"/>
      <c r="N1321" s="59"/>
      <c r="O1321" s="59"/>
      <c r="P1321" s="59"/>
    </row>
    <row r="1322" spans="1:16">
      <c r="A1322" s="71">
        <f ca="1">IFERROR(__xludf.DUMMYFUNCTION("""COMPUTED_VALUE"""),44620.5674052777)</f>
        <v>44620.567405277703</v>
      </c>
      <c r="B1322" s="59" t="str">
        <f ca="1">IFERROR(__xludf.DUMMYFUNCTION("""COMPUTED_VALUE"""),"Gorasiya bhoomin ramjibhai")</f>
        <v>Gorasiya bhoomin ramjibhai</v>
      </c>
      <c r="C1322" s="72" t="str">
        <f ca="1">IFERROR(__xludf.DUMMYFUNCTION("""COMPUTED_VALUE"""),"21SDSCE01019")</f>
        <v>21SDSCE01019</v>
      </c>
      <c r="D1322" s="73">
        <f ca="1">IFERROR(__xludf.DUMMYFUNCTION("""COMPUTED_VALUE"""),44620)</f>
        <v>44620</v>
      </c>
      <c r="E1322" s="74">
        <f ca="1">IFERROR(__xludf.DUMMYFUNCTION("""COMPUTED_VALUE"""),25000)</f>
        <v>25000</v>
      </c>
      <c r="F1322" s="72">
        <f ca="1">IFERROR(__xludf.DUMMYFUNCTION("""COMPUTED_VALUE"""),2500)</f>
        <v>2500</v>
      </c>
      <c r="G1322" s="75"/>
      <c r="H1322" s="59" t="str">
        <f ca="1">IFERROR(__xludf.DUMMYFUNCTION("""COMPUTED_VALUE"""),"UPDATE")</f>
        <v>UPDATE</v>
      </c>
      <c r="I1322" s="76" t="str">
        <f ca="1">IFERROR(__xludf.DUMMYFUNCTION("""COMPUTED_VALUE"""),"https://drive.google.com/open?id=1Omix8tIzezBnhnSQ0eaxchFM8GoDGuJj")</f>
        <v>https://drive.google.com/open?id=1Omix8tIzezBnhnSQ0eaxchFM8GoDGuJj</v>
      </c>
      <c r="J1322" s="59"/>
      <c r="K1322" s="59"/>
      <c r="L1322" s="59"/>
      <c r="M1322" s="59"/>
      <c r="N1322" s="59"/>
      <c r="O1322" s="59"/>
      <c r="P1322" s="59"/>
    </row>
    <row r="1323" spans="1:16">
      <c r="A1323" s="71">
        <f ca="1">IFERROR(__xludf.DUMMYFUNCTION("""COMPUTED_VALUE"""),44620.5646048611)</f>
        <v>44620.564604861102</v>
      </c>
      <c r="B1323" s="59" t="str">
        <f ca="1">IFERROR(__xludf.DUMMYFUNCTION("""COMPUTED_VALUE"""),"Nananiya Harshit Chandrakant ")</f>
        <v xml:space="preserve">Nananiya Harshit Chandrakant </v>
      </c>
      <c r="C1323" s="72" t="str">
        <f ca="1">IFERROR(__xludf.DUMMYFUNCTION("""COMPUTED_VALUE"""),"21SDSCE01085")</f>
        <v>21SDSCE01085</v>
      </c>
      <c r="D1323" s="73">
        <f ca="1">IFERROR(__xludf.DUMMYFUNCTION("""COMPUTED_VALUE"""),44620)</f>
        <v>44620</v>
      </c>
      <c r="E1323" s="72"/>
      <c r="F1323" s="72">
        <f ca="1">IFERROR(__xludf.DUMMYFUNCTION("""COMPUTED_VALUE"""),2500)</f>
        <v>2500</v>
      </c>
      <c r="G1323" s="75"/>
      <c r="H1323" s="59" t="str">
        <f ca="1">IFERROR(__xludf.DUMMYFUNCTION("""COMPUTED_VALUE"""),"UPDATE")</f>
        <v>UPDATE</v>
      </c>
      <c r="I1323" s="76" t="str">
        <f ca="1">IFERROR(__xludf.DUMMYFUNCTION("""COMPUTED_VALUE"""),"https://drive.google.com/open?id=11G3L4WQPCDd7JBdoKm4-gtGbvbpAJ44Q")</f>
        <v>https://drive.google.com/open?id=11G3L4WQPCDd7JBdoKm4-gtGbvbpAJ44Q</v>
      </c>
      <c r="J1323" s="59"/>
      <c r="K1323" s="59"/>
      <c r="L1323" s="59"/>
      <c r="M1323" s="59"/>
      <c r="N1323" s="59"/>
      <c r="O1323" s="59"/>
      <c r="P1323" s="59"/>
    </row>
    <row r="1324" spans="1:16">
      <c r="A1324" s="71">
        <f ca="1">IFERROR(__xludf.DUMMYFUNCTION("""COMPUTED_VALUE"""),44620.5558840624)</f>
        <v>44620.5558840624</v>
      </c>
      <c r="B1324" s="59" t="str">
        <f ca="1">IFERROR(__xludf.DUMMYFUNCTION("""COMPUTED_VALUE"""),"Isha koradiya vithalbhai ")</f>
        <v xml:space="preserve">Isha koradiya vithalbhai </v>
      </c>
      <c r="C1324" s="72" t="str">
        <f ca="1">IFERROR(__xludf.DUMMYFUNCTION("""COMPUTED_VALUE"""),"21SDSCE01080")</f>
        <v>21SDSCE01080</v>
      </c>
      <c r="D1324" s="73">
        <f ca="1">IFERROR(__xludf.DUMMYFUNCTION("""COMPUTED_VALUE"""),44620)</f>
        <v>44620</v>
      </c>
      <c r="E1324" s="72"/>
      <c r="F1324" s="72">
        <f ca="1">IFERROR(__xludf.DUMMYFUNCTION("""COMPUTED_VALUE"""),2500)</f>
        <v>2500</v>
      </c>
      <c r="G1324" s="75"/>
      <c r="H1324" s="59" t="str">
        <f ca="1">IFERROR(__xludf.DUMMYFUNCTION("""COMPUTED_VALUE"""),"UPDATE")</f>
        <v>UPDATE</v>
      </c>
      <c r="I1324" s="76" t="str">
        <f ca="1">IFERROR(__xludf.DUMMYFUNCTION("""COMPUTED_VALUE"""),"https://drive.google.com/open?id=1_KzBscFlVSdmhjAaDAclkTDW7W1aYhHC")</f>
        <v>https://drive.google.com/open?id=1_KzBscFlVSdmhjAaDAclkTDW7W1aYhHC</v>
      </c>
      <c r="J1324" s="59"/>
      <c r="K1324" s="59"/>
      <c r="L1324" s="59"/>
      <c r="M1324" s="59"/>
      <c r="N1324" s="59"/>
      <c r="O1324" s="59"/>
      <c r="P1324" s="59"/>
    </row>
    <row r="1325" spans="1:16">
      <c r="A1325" s="71">
        <f ca="1">IFERROR(__xludf.DUMMYFUNCTION("""COMPUTED_VALUE"""),44620.5546028472)</f>
        <v>44620.554602847202</v>
      </c>
      <c r="B1325" s="59" t="str">
        <f ca="1">IFERROR(__xludf.DUMMYFUNCTION("""COMPUTED_VALUE"""),"Dobariya nandani")</f>
        <v>Dobariya nandani</v>
      </c>
      <c r="C1325" s="72" t="str">
        <f ca="1">IFERROR(__xludf.DUMMYFUNCTION("""COMPUTED_VALUE"""),"21SDSCE01068")</f>
        <v>21SDSCE01068</v>
      </c>
      <c r="D1325" s="73">
        <f ca="1">IFERROR(__xludf.DUMMYFUNCTION("""COMPUTED_VALUE"""),44620)</f>
        <v>44620</v>
      </c>
      <c r="E1325" s="72"/>
      <c r="F1325" s="72">
        <f ca="1">IFERROR(__xludf.DUMMYFUNCTION("""COMPUTED_VALUE"""),2500)</f>
        <v>2500</v>
      </c>
      <c r="G1325" s="75"/>
      <c r="H1325" s="59" t="str">
        <f ca="1">IFERROR(__xludf.DUMMYFUNCTION("""COMPUTED_VALUE"""),"UPDATE")</f>
        <v>UPDATE</v>
      </c>
      <c r="I1325" s="76" t="str">
        <f ca="1">IFERROR(__xludf.DUMMYFUNCTION("""COMPUTED_VALUE"""),"https://drive.google.com/open?id=1NeTp2sTTUHz5vwcyDsB4z4EkcCBmw5Sl")</f>
        <v>https://drive.google.com/open?id=1NeTp2sTTUHz5vwcyDsB4z4EkcCBmw5Sl</v>
      </c>
      <c r="J1325" s="59"/>
      <c r="K1325" s="59"/>
      <c r="L1325" s="59"/>
      <c r="M1325" s="59"/>
      <c r="N1325" s="59"/>
      <c r="O1325" s="59"/>
      <c r="P1325" s="59"/>
    </row>
    <row r="1326" spans="1:16">
      <c r="A1326" s="71">
        <f ca="1">IFERROR(__xludf.DUMMYFUNCTION("""COMPUTED_VALUE"""),44620.4512430555)</f>
        <v>44620.451243055497</v>
      </c>
      <c r="B1326" s="59" t="str">
        <f ca="1">IFERROR(__xludf.DUMMYFUNCTION("""COMPUTED_VALUE"""),"Dhinoja Nevil Hitenbhai ")</f>
        <v xml:space="preserve">Dhinoja Nevil Hitenbhai </v>
      </c>
      <c r="C1326" s="72" t="str">
        <f ca="1">IFERROR(__xludf.DUMMYFUNCTION("""COMPUTED_VALUE"""),"21SDSCE01015")</f>
        <v>21SDSCE01015</v>
      </c>
      <c r="D1326" s="73">
        <f ca="1">IFERROR(__xludf.DUMMYFUNCTION("""COMPUTED_VALUE"""),44620)</f>
        <v>44620</v>
      </c>
      <c r="E1326" s="74">
        <f ca="1">IFERROR(__xludf.DUMMYFUNCTION("""COMPUTED_VALUE"""),0)</f>
        <v>0</v>
      </c>
      <c r="F1326" s="72">
        <f ca="1">IFERROR(__xludf.DUMMYFUNCTION("""COMPUTED_VALUE"""),2500)</f>
        <v>2500</v>
      </c>
      <c r="G1326" s="75"/>
      <c r="H1326" s="59" t="str">
        <f ca="1">IFERROR(__xludf.DUMMYFUNCTION("""COMPUTED_VALUE"""),"UPDATE")</f>
        <v>UPDATE</v>
      </c>
      <c r="I1326" s="76" t="str">
        <f ca="1">IFERROR(__xludf.DUMMYFUNCTION("""COMPUTED_VALUE"""),"https://drive.google.com/open?id=1HRL-teR6hc-cn6xlNL46TEKFB9j7rjfx")</f>
        <v>https://drive.google.com/open?id=1HRL-teR6hc-cn6xlNL46TEKFB9j7rjfx</v>
      </c>
      <c r="J1326" s="59"/>
      <c r="K1326" s="59"/>
      <c r="L1326" s="59"/>
      <c r="M1326" s="59"/>
      <c r="N1326" s="59"/>
      <c r="O1326" s="59"/>
      <c r="P1326" s="59"/>
    </row>
    <row r="1327" spans="1:16">
      <c r="A1327" s="71">
        <f ca="1">IFERROR(__xludf.DUMMYFUNCTION("""COMPUTED_VALUE"""),44620.4056470833)</f>
        <v>44620.405647083302</v>
      </c>
      <c r="B1327" s="59" t="str">
        <f ca="1">IFERROR(__xludf.DUMMYFUNCTION("""COMPUTED_VALUE"""),"Sagpariya Priyank ")</f>
        <v xml:space="preserve">Sagpariya Priyank </v>
      </c>
      <c r="C1327" s="72" t="str">
        <f ca="1">IFERROR(__xludf.DUMMYFUNCTION("""COMPUTED_VALUE"""),"21SDSCE01145")</f>
        <v>21SDSCE01145</v>
      </c>
      <c r="D1327" s="73">
        <f ca="1">IFERROR(__xludf.DUMMYFUNCTION("""COMPUTED_VALUE"""),44620)</f>
        <v>44620</v>
      </c>
      <c r="E1327" s="72"/>
      <c r="F1327" s="72">
        <f ca="1">IFERROR(__xludf.DUMMYFUNCTION("""COMPUTED_VALUE"""),2500)</f>
        <v>2500</v>
      </c>
      <c r="G1327" s="75"/>
      <c r="H1327" s="59" t="str">
        <f ca="1">IFERROR(__xludf.DUMMYFUNCTION("""COMPUTED_VALUE"""),"UPDATE")</f>
        <v>UPDATE</v>
      </c>
      <c r="I1327" s="76" t="str">
        <f ca="1">IFERROR(__xludf.DUMMYFUNCTION("""COMPUTED_VALUE"""),"https://drive.google.com/open?id=1vWELsaQi783D7VDEp5YVeH2qkC2XfIGm")</f>
        <v>https://drive.google.com/open?id=1vWELsaQi783D7VDEp5YVeH2qkC2XfIGm</v>
      </c>
      <c r="J1327" s="59"/>
      <c r="K1327" s="59"/>
      <c r="L1327" s="59"/>
      <c r="M1327" s="59"/>
      <c r="N1327" s="59"/>
      <c r="O1327" s="59"/>
      <c r="P1327" s="59"/>
    </row>
    <row r="1328" spans="1:16">
      <c r="A1328" s="71">
        <f ca="1">IFERROR(__xludf.DUMMYFUNCTION("""COMPUTED_VALUE"""),44620.3821849537)</f>
        <v>44620.382184953698</v>
      </c>
      <c r="B1328" s="59" t="str">
        <f ca="1">IFERROR(__xludf.DUMMYFUNCTION("""COMPUTED_VALUE"""),"RASIYA HEMAL")</f>
        <v>RASIYA HEMAL</v>
      </c>
      <c r="C1328" s="72" t="str">
        <f ca="1">IFERROR(__xludf.DUMMYFUNCTION("""COMPUTED_VALUE"""),"21SDSCE01099")</f>
        <v>21SDSCE01099</v>
      </c>
      <c r="D1328" s="73">
        <f ca="1">IFERROR(__xludf.DUMMYFUNCTION("""COMPUTED_VALUE"""),44620)</f>
        <v>44620</v>
      </c>
      <c r="E1328" s="72"/>
      <c r="F1328" s="72">
        <f ca="1">IFERROR(__xludf.DUMMYFUNCTION("""COMPUTED_VALUE"""),2500)</f>
        <v>2500</v>
      </c>
      <c r="G1328" s="75"/>
      <c r="H1328" s="59" t="str">
        <f ca="1">IFERROR(__xludf.DUMMYFUNCTION("""COMPUTED_VALUE"""),"UPDATE")</f>
        <v>UPDATE</v>
      </c>
      <c r="I1328" s="76" t="str">
        <f ca="1">IFERROR(__xludf.DUMMYFUNCTION("""COMPUTED_VALUE"""),"https://drive.google.com/open?id=124cNhXziea12UTes3jO5HDeKpCSNXrsq")</f>
        <v>https://drive.google.com/open?id=124cNhXziea12UTes3jO5HDeKpCSNXrsq</v>
      </c>
      <c r="J1328" s="59"/>
      <c r="K1328" s="59"/>
      <c r="L1328" s="59"/>
      <c r="M1328" s="59"/>
      <c r="N1328" s="59"/>
      <c r="O1328" s="59"/>
      <c r="P1328" s="59"/>
    </row>
    <row r="1329" spans="1:16">
      <c r="A1329" s="71">
        <f ca="1">IFERROR(__xludf.DUMMYFUNCTION("""COMPUTED_VALUE"""),44620.3774625231)</f>
        <v>44620.377462523102</v>
      </c>
      <c r="B1329" s="59" t="str">
        <f ca="1">IFERROR(__xludf.DUMMYFUNCTION("""COMPUTED_VALUE"""),"Ladani Harshil Rasikbhai ")</f>
        <v xml:space="preserve">Ladani Harshil Rasikbhai </v>
      </c>
      <c r="C1329" s="72" t="str">
        <f ca="1">IFERROR(__xludf.DUMMYFUNCTION("""COMPUTED_VALUE"""),"21SDSCE01032")</f>
        <v>21SDSCE01032</v>
      </c>
      <c r="D1329" s="73">
        <f ca="1">IFERROR(__xludf.DUMMYFUNCTION("""COMPUTED_VALUE"""),44620)</f>
        <v>44620</v>
      </c>
      <c r="E1329" s="74">
        <f ca="1">IFERROR(__xludf.DUMMYFUNCTION("""COMPUTED_VALUE"""),16000)</f>
        <v>16000</v>
      </c>
      <c r="F1329" s="72">
        <f ca="1">IFERROR(__xludf.DUMMYFUNCTION("""COMPUTED_VALUE"""),2500)</f>
        <v>2500</v>
      </c>
      <c r="G1329" s="75"/>
      <c r="H1329" s="59" t="str">
        <f ca="1">IFERROR(__xludf.DUMMYFUNCTION("""COMPUTED_VALUE"""),"UPDATE")</f>
        <v>UPDATE</v>
      </c>
      <c r="I1329" s="76" t="str">
        <f ca="1">IFERROR(__xludf.DUMMYFUNCTION("""COMPUTED_VALUE"""),"https://drive.google.com/open?id=16ktE0YFwGR7tQo3Q4PvAuBXhFwkGCUEW")</f>
        <v>https://drive.google.com/open?id=16ktE0YFwGR7tQo3Q4PvAuBXhFwkGCUEW</v>
      </c>
      <c r="J1329" s="59"/>
      <c r="K1329" s="59"/>
      <c r="L1329" s="59"/>
      <c r="M1329" s="59"/>
      <c r="N1329" s="59"/>
      <c r="O1329" s="59"/>
      <c r="P1329" s="59"/>
    </row>
    <row r="1330" spans="1:16">
      <c r="A1330" s="71">
        <f ca="1">IFERROR(__xludf.DUMMYFUNCTION("""COMPUTED_VALUE"""),44620.3730224074)</f>
        <v>44620.373022407402</v>
      </c>
      <c r="B1330" s="59" t="str">
        <f ca="1">IFERROR(__xludf.DUMMYFUNCTION("""COMPUTED_VALUE"""),"Teravadiya Harmis Kishorbhai")</f>
        <v>Teravadiya Harmis Kishorbhai</v>
      </c>
      <c r="C1330" s="72" t="str">
        <f ca="1">IFERROR(__xludf.DUMMYFUNCTION("""COMPUTED_VALUE"""),"21SDSCE01107")</f>
        <v>21SDSCE01107</v>
      </c>
      <c r="D1330" s="73">
        <f ca="1">IFERROR(__xludf.DUMMYFUNCTION("""COMPUTED_VALUE"""),44620)</f>
        <v>44620</v>
      </c>
      <c r="E1330" s="72"/>
      <c r="F1330" s="72">
        <f ca="1">IFERROR(__xludf.DUMMYFUNCTION("""COMPUTED_VALUE"""),2500)</f>
        <v>2500</v>
      </c>
      <c r="G1330" s="75"/>
      <c r="H1330" s="59" t="str">
        <f ca="1">IFERROR(__xludf.DUMMYFUNCTION("""COMPUTED_VALUE"""),"UPDATE")</f>
        <v>UPDATE</v>
      </c>
      <c r="I1330" s="76" t="str">
        <f ca="1">IFERROR(__xludf.DUMMYFUNCTION("""COMPUTED_VALUE"""),"https://drive.google.com/open?id=1bYUcvktNVRX4ysTG-GYGV8Hnkek4A01t")</f>
        <v>https://drive.google.com/open?id=1bYUcvktNVRX4ysTG-GYGV8Hnkek4A01t</v>
      </c>
      <c r="J1330" s="59"/>
      <c r="K1330" s="59"/>
      <c r="L1330" s="59"/>
      <c r="M1330" s="59"/>
      <c r="N1330" s="59"/>
      <c r="O1330" s="59"/>
      <c r="P1330" s="59"/>
    </row>
    <row r="1331" spans="1:16">
      <c r="A1331" s="71">
        <f ca="1">IFERROR(__xludf.DUMMYFUNCTION("""COMPUTED_VALUE"""),44619.8380355208)</f>
        <v>44619.838035520799</v>
      </c>
      <c r="B1331" s="59" t="str">
        <f ca="1">IFERROR(__xludf.DUMMYFUNCTION("""COMPUTED_VALUE"""),"Vora dhruvesh kanjibhai.")</f>
        <v>Vora dhruvesh kanjibhai.</v>
      </c>
      <c r="C1331" s="72" t="str">
        <f ca="1">IFERROR(__xludf.DUMMYFUNCTION("""COMPUTED_VALUE"""),"21SDSCE01111")</f>
        <v>21SDSCE01111</v>
      </c>
      <c r="D1331" s="73">
        <f ca="1">IFERROR(__xludf.DUMMYFUNCTION("""COMPUTED_VALUE"""),44619)</f>
        <v>44619</v>
      </c>
      <c r="E1331" s="74">
        <f ca="1">IFERROR(__xludf.DUMMYFUNCTION("""COMPUTED_VALUE"""),0)</f>
        <v>0</v>
      </c>
      <c r="F1331" s="72">
        <f ca="1">IFERROR(__xludf.DUMMYFUNCTION("""COMPUTED_VALUE"""),2500)</f>
        <v>2500</v>
      </c>
      <c r="G1331" s="75"/>
      <c r="H1331" s="59" t="str">
        <f ca="1">IFERROR(__xludf.DUMMYFUNCTION("""COMPUTED_VALUE"""),"UPDATE")</f>
        <v>UPDATE</v>
      </c>
      <c r="I1331" s="76" t="str">
        <f ca="1">IFERROR(__xludf.DUMMYFUNCTION("""COMPUTED_VALUE"""),"https://drive.google.com/open?id=1mRhgh9Gqy-IFaW8UaVjcDt39iitPwDAi")</f>
        <v>https://drive.google.com/open?id=1mRhgh9Gqy-IFaW8UaVjcDt39iitPwDAi</v>
      </c>
      <c r="J1331" s="59"/>
      <c r="K1331" s="59"/>
      <c r="L1331" s="59"/>
      <c r="M1331" s="59"/>
      <c r="N1331" s="59"/>
      <c r="O1331" s="59"/>
      <c r="P1331" s="59"/>
    </row>
    <row r="1332" spans="1:16">
      <c r="A1332" s="71">
        <f ca="1">IFERROR(__xludf.DUMMYFUNCTION("""COMPUTED_VALUE"""),44619.8357585995)</f>
        <v>44619.835758599504</v>
      </c>
      <c r="B1332" s="59" t="str">
        <f ca="1">IFERROR(__xludf.DUMMYFUNCTION("""COMPUTED_VALUE"""),"Vora dhruvesh kanjibhai.")</f>
        <v>Vora dhruvesh kanjibhai.</v>
      </c>
      <c r="C1332" s="72" t="str">
        <f ca="1">IFERROR(__xludf.DUMMYFUNCTION("""COMPUTED_VALUE"""),"21SDSCE01111")</f>
        <v>21SDSCE01111</v>
      </c>
      <c r="D1332" s="73">
        <f ca="1">IFERROR(__xludf.DUMMYFUNCTION("""COMPUTED_VALUE"""),44619)</f>
        <v>44619</v>
      </c>
      <c r="E1332" s="74">
        <f ca="1">IFERROR(__xludf.DUMMYFUNCTION("""COMPUTED_VALUE"""),25000)</f>
        <v>25000</v>
      </c>
      <c r="F1332" s="72">
        <f ca="1">IFERROR(__xludf.DUMMYFUNCTION("""COMPUTED_VALUE"""),0)</f>
        <v>0</v>
      </c>
      <c r="G1332" s="75"/>
      <c r="H1332" s="59" t="str">
        <f ca="1">IFERROR(__xludf.DUMMYFUNCTION("""COMPUTED_VALUE"""),"UPDATE")</f>
        <v>UPDATE</v>
      </c>
      <c r="I1332" s="76" t="str">
        <f ca="1">IFERROR(__xludf.DUMMYFUNCTION("""COMPUTED_VALUE"""),"https://drive.google.com/open?id=1QA9XtrbRqPg_iiVpx18tA8QtTE-ukUcH")</f>
        <v>https://drive.google.com/open?id=1QA9XtrbRqPg_iiVpx18tA8QtTE-ukUcH</v>
      </c>
      <c r="J1332" s="59"/>
      <c r="K1332" s="59"/>
      <c r="L1332" s="59"/>
      <c r="M1332" s="59"/>
      <c r="N1332" s="59"/>
      <c r="O1332" s="59"/>
      <c r="P1332" s="59"/>
    </row>
    <row r="1333" spans="1:16">
      <c r="A1333" s="71">
        <f ca="1">IFERROR(__xludf.DUMMYFUNCTION("""COMPUTED_VALUE"""),44618.8360855671)</f>
        <v>44618.836085567098</v>
      </c>
      <c r="B1333" s="59" t="str">
        <f ca="1">IFERROR(__xludf.DUMMYFUNCTION("""COMPUTED_VALUE"""),"Aghera deepkumar maganbhai")</f>
        <v>Aghera deepkumar maganbhai</v>
      </c>
      <c r="C1333" s="72" t="str">
        <f ca="1">IFERROR(__xludf.DUMMYFUNCTION("""COMPUTED_VALUE"""),"21SDSCE01055")</f>
        <v>21SDSCE01055</v>
      </c>
      <c r="D1333" s="73">
        <f ca="1">IFERROR(__xludf.DUMMYFUNCTION("""COMPUTED_VALUE"""),44618)</f>
        <v>44618</v>
      </c>
      <c r="E1333" s="74">
        <f ca="1">IFERROR(__xludf.DUMMYFUNCTION("""COMPUTED_VALUE"""),25000)</f>
        <v>25000</v>
      </c>
      <c r="F1333" s="72">
        <f ca="1">IFERROR(__xludf.DUMMYFUNCTION("""COMPUTED_VALUE"""),2500)</f>
        <v>2500</v>
      </c>
      <c r="G1333" s="75"/>
      <c r="H1333" s="59" t="str">
        <f ca="1">IFERROR(__xludf.DUMMYFUNCTION("""COMPUTED_VALUE"""),"UPDATE")</f>
        <v>UPDATE</v>
      </c>
      <c r="I1333" s="76" t="str">
        <f ca="1">IFERROR(__xludf.DUMMYFUNCTION("""COMPUTED_VALUE"""),"https://drive.google.com/open?id=1dIBwaHi2LOPpYxzqmrmlff41I4Fy3y3X")</f>
        <v>https://drive.google.com/open?id=1dIBwaHi2LOPpYxzqmrmlff41I4Fy3y3X</v>
      </c>
      <c r="J1333" s="59"/>
      <c r="K1333" s="59"/>
      <c r="L1333" s="59"/>
      <c r="M1333" s="59"/>
      <c r="N1333" s="59"/>
      <c r="O1333" s="59"/>
      <c r="P1333" s="59"/>
    </row>
    <row r="1334" spans="1:16">
      <c r="A1334" s="71">
        <f ca="1">IFERROR(__xludf.DUMMYFUNCTION("""COMPUTED_VALUE"""),44618.7588075347)</f>
        <v>44618.758807534701</v>
      </c>
      <c r="B1334" s="59" t="str">
        <f ca="1">IFERROR(__xludf.DUMMYFUNCTION("""COMPUTED_VALUE"""),"Krishil bhadaliya ")</f>
        <v xml:space="preserve">Krishil bhadaliya </v>
      </c>
      <c r="C1334" s="72" t="str">
        <f ca="1">IFERROR(__xludf.DUMMYFUNCTION("""COMPUTED_VALUE"""),"21SDSCE01005")</f>
        <v>21SDSCE01005</v>
      </c>
      <c r="D1334" s="73">
        <f ca="1">IFERROR(__xludf.DUMMYFUNCTION("""COMPUTED_VALUE"""),44615)</f>
        <v>44615</v>
      </c>
      <c r="E1334" s="72"/>
      <c r="F1334" s="72">
        <f ca="1">IFERROR(__xludf.DUMMYFUNCTION("""COMPUTED_VALUE"""),2500)</f>
        <v>2500</v>
      </c>
      <c r="G1334" s="75"/>
      <c r="H1334" s="59" t="str">
        <f ca="1">IFERROR(__xludf.DUMMYFUNCTION("""COMPUTED_VALUE"""),"UPDATE")</f>
        <v>UPDATE</v>
      </c>
      <c r="I1334" s="76" t="str">
        <f ca="1">IFERROR(__xludf.DUMMYFUNCTION("""COMPUTED_VALUE"""),"https://drive.google.com/open?id=19WBOSMi43xYjKYH19U5v__QUEy9VtYED")</f>
        <v>https://drive.google.com/open?id=19WBOSMi43xYjKYH19U5v__QUEy9VtYED</v>
      </c>
      <c r="J1334" s="59"/>
      <c r="K1334" s="59"/>
      <c r="L1334" s="59"/>
      <c r="M1334" s="59"/>
      <c r="N1334" s="59"/>
      <c r="O1334" s="59"/>
      <c r="P1334" s="59"/>
    </row>
    <row r="1335" spans="1:16">
      <c r="A1335" s="71">
        <f ca="1">IFERROR(__xludf.DUMMYFUNCTION("""COMPUTED_VALUE"""),44618.7482442013)</f>
        <v>44618.748244201299</v>
      </c>
      <c r="B1335" s="59" t="str">
        <f ca="1">IFERROR(__xludf.DUMMYFUNCTION("""COMPUTED_VALUE"""),"Bhadaliya krishil")</f>
        <v>Bhadaliya krishil</v>
      </c>
      <c r="C1335" s="72" t="str">
        <f ca="1">IFERROR(__xludf.DUMMYFUNCTION("""COMPUTED_VALUE"""),"21SDSCE01005")</f>
        <v>21SDSCE01005</v>
      </c>
      <c r="D1335" s="73">
        <f ca="1">IFERROR(__xludf.DUMMYFUNCTION("""COMPUTED_VALUE"""),44615)</f>
        <v>44615</v>
      </c>
      <c r="E1335" s="74">
        <f ca="1">IFERROR(__xludf.DUMMYFUNCTION("""COMPUTED_VALUE"""),12500)</f>
        <v>12500</v>
      </c>
      <c r="F1335" s="72"/>
      <c r="G1335" s="75"/>
      <c r="H1335" s="59" t="str">
        <f ca="1">IFERROR(__xludf.DUMMYFUNCTION("""COMPUTED_VALUE"""),"UPDATE")</f>
        <v>UPDATE</v>
      </c>
      <c r="I1335" s="76" t="str">
        <f ca="1">IFERROR(__xludf.DUMMYFUNCTION("""COMPUTED_VALUE"""),"https://drive.google.com/open?id=1fUSRLeNw__wyWHrjz5jjkSy5tisnhXpt")</f>
        <v>https://drive.google.com/open?id=1fUSRLeNw__wyWHrjz5jjkSy5tisnhXpt</v>
      </c>
      <c r="J1335" s="59"/>
      <c r="K1335" s="59"/>
      <c r="L1335" s="59"/>
      <c r="M1335" s="59"/>
      <c r="N1335" s="59"/>
      <c r="O1335" s="59"/>
      <c r="P1335" s="59"/>
    </row>
    <row r="1336" spans="1:16">
      <c r="A1336" s="71">
        <f ca="1">IFERROR(__xludf.DUMMYFUNCTION("""COMPUTED_VALUE"""),44618.7437063425)</f>
        <v>44618.743706342502</v>
      </c>
      <c r="B1336" s="59" t="str">
        <f ca="1">IFERROR(__xludf.DUMMYFUNCTION("""COMPUTED_VALUE"""),"BATHANI HEET MAHESHBHAI")</f>
        <v>BATHANI HEET MAHESHBHAI</v>
      </c>
      <c r="C1336" s="72" t="str">
        <f ca="1">IFERROR(__xludf.DUMMYFUNCTION("""COMPUTED_VALUE"""),"21SDSCE01058")</f>
        <v>21SDSCE01058</v>
      </c>
      <c r="D1336" s="73">
        <f ca="1">IFERROR(__xludf.DUMMYFUNCTION("""COMPUTED_VALUE"""),44618)</f>
        <v>44618</v>
      </c>
      <c r="E1336" s="74">
        <f ca="1">IFERROR(__xludf.DUMMYFUNCTION("""COMPUTED_VALUE"""),25000)</f>
        <v>25000</v>
      </c>
      <c r="F1336" s="72"/>
      <c r="G1336" s="75"/>
      <c r="H1336" s="59" t="str">
        <f ca="1">IFERROR(__xludf.DUMMYFUNCTION("""COMPUTED_VALUE"""),"UPDATE")</f>
        <v>UPDATE</v>
      </c>
      <c r="I1336" s="76" t="str">
        <f ca="1">IFERROR(__xludf.DUMMYFUNCTION("""COMPUTED_VALUE"""),"https://drive.google.com/open?id=19hXIZ4iaf3sQxbObAQciTscCtW-bGe_-")</f>
        <v>https://drive.google.com/open?id=19hXIZ4iaf3sQxbObAQciTscCtW-bGe_-</v>
      </c>
      <c r="J1336" s="59"/>
      <c r="K1336" s="59"/>
      <c r="L1336" s="59"/>
      <c r="M1336" s="59"/>
      <c r="N1336" s="59"/>
      <c r="O1336" s="59"/>
      <c r="P1336" s="59"/>
    </row>
    <row r="1337" spans="1:16">
      <c r="A1337" s="71">
        <f ca="1">IFERROR(__xludf.DUMMYFUNCTION("""COMPUTED_VALUE"""),44618.7365883912)</f>
        <v>44618.736588391199</v>
      </c>
      <c r="B1337" s="59" t="str">
        <f ca="1">IFERROR(__xludf.DUMMYFUNCTION("""COMPUTED_VALUE"""),"BATHANI HEET MAHESHBHAI")</f>
        <v>BATHANI HEET MAHESHBHAI</v>
      </c>
      <c r="C1337" s="72" t="str">
        <f ca="1">IFERROR(__xludf.DUMMYFUNCTION("""COMPUTED_VALUE"""),"21SDSCE01058")</f>
        <v>21SDSCE01058</v>
      </c>
      <c r="D1337" s="73">
        <f ca="1">IFERROR(__xludf.DUMMYFUNCTION("""COMPUTED_VALUE"""),44618)</f>
        <v>44618</v>
      </c>
      <c r="E1337" s="72"/>
      <c r="F1337" s="72">
        <f ca="1">IFERROR(__xludf.DUMMYFUNCTION("""COMPUTED_VALUE"""),2500)</f>
        <v>2500</v>
      </c>
      <c r="G1337" s="75"/>
      <c r="H1337" s="59" t="str">
        <f ca="1">IFERROR(__xludf.DUMMYFUNCTION("""COMPUTED_VALUE"""),"UPDATE")</f>
        <v>UPDATE</v>
      </c>
      <c r="I1337" s="76" t="str">
        <f ca="1">IFERROR(__xludf.DUMMYFUNCTION("""COMPUTED_VALUE"""),"https://drive.google.com/open?id=1CdH8dTroOUg2Zddmz20UzsuJQNH8jLSP")</f>
        <v>https://drive.google.com/open?id=1CdH8dTroOUg2Zddmz20UzsuJQNH8jLSP</v>
      </c>
      <c r="J1337" s="59"/>
      <c r="K1337" s="59"/>
      <c r="L1337" s="59"/>
      <c r="M1337" s="59"/>
      <c r="N1337" s="59"/>
      <c r="O1337" s="59"/>
      <c r="P1337" s="59"/>
    </row>
    <row r="1338" spans="1:16">
      <c r="A1338" s="71">
        <f ca="1">IFERROR(__xludf.DUMMYFUNCTION("""COMPUTED_VALUE"""),44618.7011556597)</f>
        <v>44618.701155659699</v>
      </c>
      <c r="B1338" s="59" t="str">
        <f ca="1">IFERROR(__xludf.DUMMYFUNCTION("""COMPUTED_VALUE"""),"Makawana yashvi jayeshbhai")</f>
        <v>Makawana yashvi jayeshbhai</v>
      </c>
      <c r="C1338" s="72" t="str">
        <f ca="1">IFERROR(__xludf.DUMMYFUNCTION("""COMPUTED_VALUE"""),"21SDSCE01035")</f>
        <v>21SDSCE01035</v>
      </c>
      <c r="D1338" s="73">
        <f ca="1">IFERROR(__xludf.DUMMYFUNCTION("""COMPUTED_VALUE"""),44618)</f>
        <v>44618</v>
      </c>
      <c r="E1338" s="72"/>
      <c r="F1338" s="72">
        <f ca="1">IFERROR(__xludf.DUMMYFUNCTION("""COMPUTED_VALUE"""),2500)</f>
        <v>2500</v>
      </c>
      <c r="G1338" s="75"/>
      <c r="H1338" s="59" t="str">
        <f ca="1">IFERROR(__xludf.DUMMYFUNCTION("""COMPUTED_VALUE"""),"UPDATE")</f>
        <v>UPDATE</v>
      </c>
      <c r="I1338" s="76" t="str">
        <f ca="1">IFERROR(__xludf.DUMMYFUNCTION("""COMPUTED_VALUE"""),"https://drive.google.com/open?id=14VhHVBFFH9lwnz44HfBo4HQ65d8CiFXj")</f>
        <v>https://drive.google.com/open?id=14VhHVBFFH9lwnz44HfBo4HQ65d8CiFXj</v>
      </c>
      <c r="J1338" s="59"/>
      <c r="K1338" s="59"/>
      <c r="L1338" s="59"/>
      <c r="M1338" s="59"/>
      <c r="N1338" s="59"/>
      <c r="O1338" s="59"/>
      <c r="P1338" s="59"/>
    </row>
    <row r="1339" spans="1:16">
      <c r="A1339" s="71">
        <f ca="1">IFERROR(__xludf.DUMMYFUNCTION("""COMPUTED_VALUE"""),44618.6992456713)</f>
        <v>44618.699245671298</v>
      </c>
      <c r="B1339" s="59" t="str">
        <f ca="1">IFERROR(__xludf.DUMMYFUNCTION("""COMPUTED_VALUE"""),"Makawana yashvi jayeshbhai")</f>
        <v>Makawana yashvi jayeshbhai</v>
      </c>
      <c r="C1339" s="72" t="str">
        <f ca="1">IFERROR(__xludf.DUMMYFUNCTION("""COMPUTED_VALUE"""),"21SDSCE01035")</f>
        <v>21SDSCE01035</v>
      </c>
      <c r="D1339" s="73">
        <f ca="1">IFERROR(__xludf.DUMMYFUNCTION("""COMPUTED_VALUE"""),44618)</f>
        <v>44618</v>
      </c>
      <c r="E1339" s="74">
        <f ca="1">IFERROR(__xludf.DUMMYFUNCTION("""COMPUTED_VALUE"""),25000)</f>
        <v>25000</v>
      </c>
      <c r="F1339" s="72">
        <f ca="1">IFERROR(__xludf.DUMMYFUNCTION("""COMPUTED_VALUE"""),2500)</f>
        <v>2500</v>
      </c>
      <c r="G1339" s="75"/>
      <c r="H1339" s="59" t="str">
        <f ca="1">IFERROR(__xludf.DUMMYFUNCTION("""COMPUTED_VALUE"""),"UPDATE")</f>
        <v>UPDATE</v>
      </c>
      <c r="I1339" s="76" t="str">
        <f ca="1">IFERROR(__xludf.DUMMYFUNCTION("""COMPUTED_VALUE"""),"https://drive.google.com/open?id=1qxpMnb8hbTh3mYY29a32dtcjM_PgGpPQ")</f>
        <v>https://drive.google.com/open?id=1qxpMnb8hbTh3mYY29a32dtcjM_PgGpPQ</v>
      </c>
      <c r="J1339" s="59"/>
      <c r="K1339" s="59"/>
      <c r="L1339" s="59"/>
      <c r="M1339" s="59"/>
      <c r="N1339" s="59"/>
      <c r="O1339" s="59"/>
      <c r="P1339" s="59"/>
    </row>
    <row r="1340" spans="1:16">
      <c r="A1340" s="71">
        <f ca="1">IFERROR(__xludf.DUMMYFUNCTION("""COMPUTED_VALUE"""),44617.7829045717)</f>
        <v>44617.782904571701</v>
      </c>
      <c r="B1340" s="59" t="str">
        <f ca="1">IFERROR(__xludf.DUMMYFUNCTION("""COMPUTED_VALUE"""),"Kunjal thakkar")</f>
        <v>Kunjal thakkar</v>
      </c>
      <c r="C1340" s="72" t="str">
        <f ca="1">IFERROR(__xludf.DUMMYFUNCTION("""COMPUTED_VALUE"""),"21SDSCE01052")</f>
        <v>21SDSCE01052</v>
      </c>
      <c r="D1340" s="73">
        <f ca="1">IFERROR(__xludf.DUMMYFUNCTION("""COMPUTED_VALUE"""),44617)</f>
        <v>44617</v>
      </c>
      <c r="E1340" s="72"/>
      <c r="F1340" s="72"/>
      <c r="G1340" s="75"/>
      <c r="H1340" s="59" t="str">
        <f ca="1">IFERROR(__xludf.DUMMYFUNCTION("""COMPUTED_VALUE"""),"UPDATE")</f>
        <v>UPDATE</v>
      </c>
      <c r="I1340" s="76" t="str">
        <f ca="1">IFERROR(__xludf.DUMMYFUNCTION("""COMPUTED_VALUE"""),"https://drive.google.com/open?id=1_VV6RCedZvTvDUJgWqXzkDjgLIoD8bj6")</f>
        <v>https://drive.google.com/open?id=1_VV6RCedZvTvDUJgWqXzkDjgLIoD8bj6</v>
      </c>
      <c r="J1340" s="59"/>
      <c r="K1340" s="59"/>
      <c r="L1340" s="59"/>
      <c r="M1340" s="59"/>
      <c r="N1340" s="59"/>
      <c r="O1340" s="59"/>
      <c r="P1340" s="59"/>
    </row>
    <row r="1341" spans="1:16">
      <c r="A1341" s="71">
        <f ca="1">IFERROR(__xludf.DUMMYFUNCTION("""COMPUTED_VALUE"""),44616.8570867361)</f>
        <v>44616.857086736098</v>
      </c>
      <c r="B1341" s="59" t="str">
        <f ca="1">IFERROR(__xludf.DUMMYFUNCTION("""COMPUTED_VALUE"""),"Chavda Hardik Suresh Bhai ")</f>
        <v xml:space="preserve">Chavda Hardik Suresh Bhai </v>
      </c>
      <c r="C1341" s="72" t="str">
        <f ca="1">IFERROR(__xludf.DUMMYFUNCTION("""COMPUTED_VALUE"""),"20sdsme01005")</f>
        <v>20sdsme01005</v>
      </c>
      <c r="D1341" s="73">
        <f ca="1">IFERROR(__xludf.DUMMYFUNCTION("""COMPUTED_VALUE"""),44616)</f>
        <v>44616</v>
      </c>
      <c r="E1341" s="72"/>
      <c r="F1341" s="72"/>
      <c r="G1341" s="75"/>
      <c r="H1341" s="59" t="str">
        <f ca="1">IFERROR(__xludf.DUMMYFUNCTION("""COMPUTED_VALUE"""),"UPDATE")</f>
        <v>UPDATE</v>
      </c>
      <c r="I1341" s="76" t="str">
        <f ca="1">IFERROR(__xludf.DUMMYFUNCTION("""COMPUTED_VALUE"""),"https://drive.google.com/open?id=14lBX3b7WRjnCSlVUAC5gwSU2JyW93lwr")</f>
        <v>https://drive.google.com/open?id=14lBX3b7WRjnCSlVUAC5gwSU2JyW93lwr</v>
      </c>
      <c r="J1341" s="59"/>
      <c r="K1341" s="59"/>
      <c r="L1341" s="59"/>
      <c r="M1341" s="59"/>
      <c r="N1341" s="59"/>
      <c r="O1341" s="59"/>
      <c r="P1341" s="59"/>
    </row>
    <row r="1342" spans="1:16">
      <c r="A1342" s="71">
        <f ca="1">IFERROR(__xludf.DUMMYFUNCTION("""COMPUTED_VALUE"""),44616.821303449)</f>
        <v>44616.821303449004</v>
      </c>
      <c r="B1342" s="59" t="str">
        <f ca="1">IFERROR(__xludf.DUMMYFUNCTION("""COMPUTED_VALUE"""),"Deep vadher")</f>
        <v>Deep vadher</v>
      </c>
      <c r="C1342" s="72" t="str">
        <f ca="1">IFERROR(__xludf.DUMMYFUNCTION("""COMPUTED_VALUE"""),"20SDSCE01125")</f>
        <v>20SDSCE01125</v>
      </c>
      <c r="D1342" s="73">
        <f ca="1">IFERROR(__xludf.DUMMYFUNCTION("""COMPUTED_VALUE"""),44616)</f>
        <v>44616</v>
      </c>
      <c r="E1342" s="72"/>
      <c r="F1342" s="72"/>
      <c r="G1342" s="75"/>
      <c r="H1342" s="59" t="str">
        <f ca="1">IFERROR(__xludf.DUMMYFUNCTION("""COMPUTED_VALUE"""),"UPDATE")</f>
        <v>UPDATE</v>
      </c>
      <c r="I1342" s="76" t="str">
        <f ca="1">IFERROR(__xludf.DUMMYFUNCTION("""COMPUTED_VALUE"""),"https://drive.google.com/open?id=1mI3FwjSRHWoceYLgxuqEsyaB0e4u5TqP")</f>
        <v>https://drive.google.com/open?id=1mI3FwjSRHWoceYLgxuqEsyaB0e4u5TqP</v>
      </c>
      <c r="J1342" s="59"/>
      <c r="K1342" s="59"/>
      <c r="L1342" s="59"/>
      <c r="M1342" s="59"/>
      <c r="N1342" s="59"/>
      <c r="O1342" s="59"/>
      <c r="P1342" s="59"/>
    </row>
    <row r="1343" spans="1:16">
      <c r="A1343" s="71">
        <f ca="1">IFERROR(__xludf.DUMMYFUNCTION("""COMPUTED_VALUE"""),44615.6681492013)</f>
        <v>44615.668149201301</v>
      </c>
      <c r="B1343" s="59" t="str">
        <f ca="1">IFERROR(__xludf.DUMMYFUNCTION("""COMPUTED_VALUE"""),"Chavda Hardik  Sureshbhai (FREESHIP CARD )")</f>
        <v>Chavda Hardik  Sureshbhai (FREESHIP CARD )</v>
      </c>
      <c r="C1343" s="72" t="str">
        <f ca="1">IFERROR(__xludf.DUMMYFUNCTION("""COMPUTED_VALUE"""),"20SDSME01005")</f>
        <v>20SDSME01005</v>
      </c>
      <c r="D1343" s="73">
        <f ca="1">IFERROR(__xludf.DUMMYFUNCTION("""COMPUTED_VALUE"""),44615)</f>
        <v>44615</v>
      </c>
      <c r="E1343" s="74">
        <f ca="1">IFERROR(__xludf.DUMMYFUNCTION("""COMPUTED_VALUE"""),22000)</f>
        <v>22000</v>
      </c>
      <c r="F1343" s="72"/>
      <c r="G1343" s="75"/>
      <c r="H1343" s="59" t="str">
        <f ca="1">IFERROR(__xludf.DUMMYFUNCTION("""COMPUTED_VALUE"""),"UPDATE")</f>
        <v>UPDATE</v>
      </c>
      <c r="I1343" s="76" t="str">
        <f ca="1">IFERROR(__xludf.DUMMYFUNCTION("""COMPUTED_VALUE"""),"https://drive.google.com/open?id=1OHVRvnOMhC1p1HzLQD8m9RosvMIVKPhX")</f>
        <v>https://drive.google.com/open?id=1OHVRvnOMhC1p1HzLQD8m9RosvMIVKPhX</v>
      </c>
      <c r="J1343" s="59"/>
      <c r="K1343" s="59"/>
      <c r="L1343" s="59"/>
      <c r="M1343" s="59"/>
      <c r="N1343" s="59"/>
      <c r="O1343" s="59"/>
      <c r="P1343" s="59"/>
    </row>
    <row r="1344" spans="1:16">
      <c r="A1344" s="71">
        <f ca="1">IFERROR(__xludf.DUMMYFUNCTION("""COMPUTED_VALUE"""),44615.3120219907)</f>
        <v>44615.3120219907</v>
      </c>
      <c r="B1344" s="59" t="str">
        <f ca="1">IFERROR(__xludf.DUMMYFUNCTION("""COMPUTED_VALUE"""),"Kotadiya jenish")</f>
        <v>Kotadiya jenish</v>
      </c>
      <c r="C1344" s="72" t="str">
        <f ca="1">IFERROR(__xludf.DUMMYFUNCTION("""COMPUTED_VALUE"""),"21SDSCE01081")</f>
        <v>21SDSCE01081</v>
      </c>
      <c r="D1344" s="73">
        <f ca="1">IFERROR(__xludf.DUMMYFUNCTION("""COMPUTED_VALUE"""),44613)</f>
        <v>44613</v>
      </c>
      <c r="E1344" s="72"/>
      <c r="F1344" s="72">
        <f ca="1">IFERROR(__xludf.DUMMYFUNCTION("""COMPUTED_VALUE"""),2500)</f>
        <v>2500</v>
      </c>
      <c r="G1344" s="75"/>
      <c r="H1344" s="59" t="str">
        <f ca="1">IFERROR(__xludf.DUMMYFUNCTION("""COMPUTED_VALUE"""),"UPDATE")</f>
        <v>UPDATE</v>
      </c>
      <c r="I1344" s="76" t="str">
        <f ca="1">IFERROR(__xludf.DUMMYFUNCTION("""COMPUTED_VALUE"""),"https://drive.google.com/open?id=1ehdc-mdWQ-p9OZmXwXNjmp6YBKCtI8ud")</f>
        <v>https://drive.google.com/open?id=1ehdc-mdWQ-p9OZmXwXNjmp6YBKCtI8ud</v>
      </c>
      <c r="J1344" s="59"/>
      <c r="K1344" s="59"/>
      <c r="L1344" s="59"/>
      <c r="M1344" s="59"/>
      <c r="N1344" s="59"/>
      <c r="O1344" s="59"/>
      <c r="P1344" s="59"/>
    </row>
    <row r="1345" spans="1:16">
      <c r="A1345" s="71">
        <f ca="1">IFERROR(__xludf.DUMMYFUNCTION("""COMPUTED_VALUE"""),44614.679764375)</f>
        <v>44614.679764375003</v>
      </c>
      <c r="B1345" s="59" t="str">
        <f ca="1">IFERROR(__xludf.DUMMYFUNCTION("""COMPUTED_VALUE"""),"Vasani harshil miteshbhai")</f>
        <v>Vasani harshil miteshbhai</v>
      </c>
      <c r="C1345" s="72" t="str">
        <f ca="1">IFERROR(__xludf.DUMMYFUNCTION("""COMPUTED_VALUE"""),"21sdsce01160")</f>
        <v>21sdsce01160</v>
      </c>
      <c r="D1345" s="73">
        <f ca="1">IFERROR(__xludf.DUMMYFUNCTION("""COMPUTED_VALUE"""),44612)</f>
        <v>44612</v>
      </c>
      <c r="E1345" s="74">
        <f ca="1">IFERROR(__xludf.DUMMYFUNCTION("""COMPUTED_VALUE"""),25000)</f>
        <v>25000</v>
      </c>
      <c r="F1345" s="72">
        <f ca="1">IFERROR(__xludf.DUMMYFUNCTION("""COMPUTED_VALUE"""),2500)</f>
        <v>2500</v>
      </c>
      <c r="G1345" s="75"/>
      <c r="H1345" s="59" t="str">
        <f ca="1">IFERROR(__xludf.DUMMYFUNCTION("""COMPUTED_VALUE"""),"UPDATE")</f>
        <v>UPDATE</v>
      </c>
      <c r="I1345" s="76" t="str">
        <f ca="1">IFERROR(__xludf.DUMMYFUNCTION("""COMPUTED_VALUE"""),"https://drive.google.com/open?id=17tH3zDYjr_1rSY2B5pDhHXMWukvVBNeT")</f>
        <v>https://drive.google.com/open?id=17tH3zDYjr_1rSY2B5pDhHXMWukvVBNeT</v>
      </c>
      <c r="J1345" s="59"/>
      <c r="K1345" s="59"/>
      <c r="L1345" s="59"/>
      <c r="M1345" s="59"/>
      <c r="N1345" s="59"/>
      <c r="O1345" s="59"/>
      <c r="P1345" s="59"/>
    </row>
    <row r="1346" spans="1:16">
      <c r="A1346" s="71">
        <f ca="1">IFERROR(__xludf.DUMMYFUNCTION("""COMPUTED_VALUE"""),44614.6794343055)</f>
        <v>44614.679434305501</v>
      </c>
      <c r="B1346" s="59" t="str">
        <f ca="1">IFERROR(__xludf.DUMMYFUNCTION("""COMPUTED_VALUE"""),"Kotadiya jenish")</f>
        <v>Kotadiya jenish</v>
      </c>
      <c r="C1346" s="72" t="str">
        <f ca="1">IFERROR(__xludf.DUMMYFUNCTION("""COMPUTED_VALUE"""),"21SDSCE01081")</f>
        <v>21SDSCE01081</v>
      </c>
      <c r="D1346" s="73">
        <f ca="1">IFERROR(__xludf.DUMMYFUNCTION("""COMPUTED_VALUE"""),44613)</f>
        <v>44613</v>
      </c>
      <c r="E1346" s="74">
        <f ca="1">IFERROR(__xludf.DUMMYFUNCTION("""COMPUTED_VALUE"""),25000)</f>
        <v>25000</v>
      </c>
      <c r="F1346" s="72">
        <f ca="1">IFERROR(__xludf.DUMMYFUNCTION("""COMPUTED_VALUE"""),2500)</f>
        <v>2500</v>
      </c>
      <c r="G1346" s="75"/>
      <c r="H1346" s="59" t="str">
        <f ca="1">IFERROR(__xludf.DUMMYFUNCTION("""COMPUTED_VALUE"""),"UPDATE")</f>
        <v>UPDATE</v>
      </c>
      <c r="I1346" s="76" t="str">
        <f ca="1">IFERROR(__xludf.DUMMYFUNCTION("""COMPUTED_VALUE"""),"https://drive.google.com/open?id=1jSh-Iz__0Mt0Dtr1_-50qHy317BLCvkA")</f>
        <v>https://drive.google.com/open?id=1jSh-Iz__0Mt0Dtr1_-50qHy317BLCvkA</v>
      </c>
      <c r="J1346" s="59"/>
      <c r="K1346" s="59"/>
      <c r="L1346" s="59"/>
      <c r="M1346" s="59"/>
      <c r="N1346" s="59"/>
      <c r="O1346" s="59"/>
      <c r="P1346" s="59"/>
    </row>
    <row r="1347" spans="1:16">
      <c r="A1347" s="71">
        <f ca="1">IFERROR(__xludf.DUMMYFUNCTION("""COMPUTED_VALUE"""),44614.5084316435)</f>
        <v>44614.508431643502</v>
      </c>
      <c r="B1347" s="59" t="str">
        <f ca="1">IFERROR(__xludf.DUMMYFUNCTION("""COMPUTED_VALUE"""),"Mehul Vagh")</f>
        <v>Mehul Vagh</v>
      </c>
      <c r="C1347" s="72" t="str">
        <f ca="1">IFERROR(__xludf.DUMMYFUNCTION("""COMPUTED_VALUE"""),"20SDSCE01126")</f>
        <v>20SDSCE01126</v>
      </c>
      <c r="D1347" s="73">
        <f ca="1">IFERROR(__xludf.DUMMYFUNCTION("""COMPUTED_VALUE"""),44612)</f>
        <v>44612</v>
      </c>
      <c r="E1347" s="72"/>
      <c r="F1347" s="72"/>
      <c r="G1347" s="75"/>
      <c r="H1347" s="59" t="str">
        <f ca="1">IFERROR(__xludf.DUMMYFUNCTION("""COMPUTED_VALUE"""),"UPDATE")</f>
        <v>UPDATE</v>
      </c>
      <c r="I1347" s="76" t="str">
        <f ca="1">IFERROR(__xludf.DUMMYFUNCTION("""COMPUTED_VALUE"""),"https://drive.google.com/open?id=1yImFV9tXcv1pDOdf14qVJZFjdo8AxRwD")</f>
        <v>https://drive.google.com/open?id=1yImFV9tXcv1pDOdf14qVJZFjdo8AxRwD</v>
      </c>
      <c r="J1347" s="59"/>
      <c r="K1347" s="59"/>
      <c r="L1347" s="59"/>
      <c r="M1347" s="59"/>
      <c r="N1347" s="59"/>
      <c r="O1347" s="59"/>
      <c r="P1347" s="59"/>
    </row>
    <row r="1348" spans="1:16">
      <c r="A1348" s="71">
        <f ca="1">IFERROR(__xludf.DUMMYFUNCTION("""COMPUTED_VALUE"""),44603.7884204745)</f>
        <v>44603.788420474499</v>
      </c>
      <c r="B1348" s="59" t="str">
        <f ca="1">IFERROR(__xludf.DUMMYFUNCTION("""COMPUTED_VALUE"""),"Adroja Akshit damjibhai")</f>
        <v>Adroja Akshit damjibhai</v>
      </c>
      <c r="C1348" s="72" t="str">
        <f ca="1">IFERROR(__xludf.DUMMYFUNCTION("""COMPUTED_VALUE"""),"20SDSCE01002")</f>
        <v>20SDSCE01002</v>
      </c>
      <c r="D1348" s="73">
        <f ca="1">IFERROR(__xludf.DUMMYFUNCTION("""COMPUTED_VALUE"""),44596)</f>
        <v>44596</v>
      </c>
      <c r="E1348" s="74">
        <f ca="1">IFERROR(__xludf.DUMMYFUNCTION("""COMPUTED_VALUE"""),25000)</f>
        <v>25000</v>
      </c>
      <c r="F1348" s="72"/>
      <c r="G1348" s="75"/>
      <c r="H1348" s="59" t="str">
        <f ca="1">IFERROR(__xludf.DUMMYFUNCTION("""COMPUTED_VALUE"""),"UPDATE")</f>
        <v>UPDATE</v>
      </c>
      <c r="I1348" s="76" t="str">
        <f ca="1">IFERROR(__xludf.DUMMYFUNCTION("""COMPUTED_VALUE"""),"https://drive.google.com/open?id=1HxgDjz3lVAA0-nACexgolg7cQ8S6VKBo")</f>
        <v>https://drive.google.com/open?id=1HxgDjz3lVAA0-nACexgolg7cQ8S6VKBo</v>
      </c>
      <c r="J1348" s="59"/>
      <c r="K1348" s="59"/>
      <c r="L1348" s="59"/>
      <c r="M1348" s="59"/>
      <c r="N1348" s="59"/>
      <c r="O1348" s="59"/>
      <c r="P1348" s="59"/>
    </row>
    <row r="1349" spans="1:16">
      <c r="A1349" s="71">
        <f ca="1">IFERROR(__xludf.DUMMYFUNCTION("""COMPUTED_VALUE"""),44600.5961781828)</f>
        <v>44600.596178182801</v>
      </c>
      <c r="B1349" s="59" t="str">
        <f ca="1">IFERROR(__xludf.DUMMYFUNCTION("""COMPUTED_VALUE"""),"Bishal Yadav ")</f>
        <v xml:space="preserve">Bishal Yadav </v>
      </c>
      <c r="C1349" s="72" t="str">
        <f ca="1">IFERROR(__xludf.DUMMYFUNCTION("""COMPUTED_VALUE"""),"20SDSCE01159")</f>
        <v>20SDSCE01159</v>
      </c>
      <c r="D1349" s="73">
        <f ca="1">IFERROR(__xludf.DUMMYFUNCTION("""COMPUTED_VALUE"""),44600)</f>
        <v>44600</v>
      </c>
      <c r="E1349" s="74">
        <f ca="1">IFERROR(__xludf.DUMMYFUNCTION("""COMPUTED_VALUE"""),12500)</f>
        <v>12500</v>
      </c>
      <c r="F1349" s="72"/>
      <c r="G1349" s="75"/>
      <c r="H1349" s="59" t="str">
        <f ca="1">IFERROR(__xludf.DUMMYFUNCTION("""COMPUTED_VALUE"""),"UPDATE")</f>
        <v>UPDATE</v>
      </c>
      <c r="I1349" s="76" t="str">
        <f ca="1">IFERROR(__xludf.DUMMYFUNCTION("""COMPUTED_VALUE"""),"https://drive.google.com/open?id=1r8BqmCqQk-kAgPGYKFbi71MqH1lRFCKa")</f>
        <v>https://drive.google.com/open?id=1r8BqmCqQk-kAgPGYKFbi71MqH1lRFCKa</v>
      </c>
      <c r="J1349" s="59"/>
      <c r="K1349" s="59"/>
      <c r="L1349" s="59"/>
      <c r="M1349" s="59"/>
      <c r="N1349" s="59"/>
      <c r="O1349" s="59"/>
      <c r="P1349" s="59"/>
    </row>
    <row r="1350" spans="1:16">
      <c r="A1350" s="71">
        <f ca="1">IFERROR(__xludf.DUMMYFUNCTION("""COMPUTED_VALUE"""),44599.8549052199)</f>
        <v>44599.854905219901</v>
      </c>
      <c r="B1350" s="59" t="str">
        <f ca="1">IFERROR(__xludf.DUMMYFUNCTION("""COMPUTED_VALUE"""),"Khanpara madhavi v ")</f>
        <v xml:space="preserve">Khanpara madhavi v </v>
      </c>
      <c r="C1350" s="72" t="str">
        <f ca="1">IFERROR(__xludf.DUMMYFUNCTION("""COMPUTED_VALUE"""),"19SDSCE01023")</f>
        <v>19SDSCE01023</v>
      </c>
      <c r="D1350" s="73">
        <f ca="1">IFERROR(__xludf.DUMMYFUNCTION("""COMPUTED_VALUE"""),44579)</f>
        <v>44579</v>
      </c>
      <c r="E1350" s="72"/>
      <c r="F1350" s="72">
        <f ca="1">IFERROR(__xludf.DUMMYFUNCTION("""COMPUTED_VALUE"""),3500)</f>
        <v>3500</v>
      </c>
      <c r="G1350" s="75"/>
      <c r="H1350" s="59" t="str">
        <f ca="1">IFERROR(__xludf.DUMMYFUNCTION("""COMPUTED_VALUE"""),"UPDATE")</f>
        <v>UPDATE</v>
      </c>
      <c r="I1350" s="76" t="str">
        <f ca="1">IFERROR(__xludf.DUMMYFUNCTION("""COMPUTED_VALUE"""),"https://drive.google.com/open?id=1q0cKZaOu71aGeIkTythedne-SVHFp-yE")</f>
        <v>https://drive.google.com/open?id=1q0cKZaOu71aGeIkTythedne-SVHFp-yE</v>
      </c>
      <c r="J1350" s="59"/>
      <c r="K1350" s="59"/>
      <c r="L1350" s="59"/>
      <c r="M1350" s="59"/>
      <c r="N1350" s="59"/>
      <c r="O1350" s="59"/>
      <c r="P1350" s="59"/>
    </row>
    <row r="1351" spans="1:16">
      <c r="A1351" s="71">
        <f ca="1">IFERROR(__xludf.DUMMYFUNCTION("""COMPUTED_VALUE"""),44599.8539786921)</f>
        <v>44599.853978692103</v>
      </c>
      <c r="B1351" s="59" t="str">
        <f ca="1">IFERROR(__xludf.DUMMYFUNCTION("""COMPUTED_VALUE"""),"Khanpara madhavi v.")</f>
        <v>Khanpara madhavi v.</v>
      </c>
      <c r="C1351" s="72" t="str">
        <f ca="1">IFERROR(__xludf.DUMMYFUNCTION("""COMPUTED_VALUE"""),"19SDSCE01023")</f>
        <v>19SDSCE01023</v>
      </c>
      <c r="D1351" s="73">
        <f ca="1">IFERROR(__xludf.DUMMYFUNCTION("""COMPUTED_VALUE"""),44579)</f>
        <v>44579</v>
      </c>
      <c r="E1351" s="72"/>
      <c r="F1351" s="72">
        <f ca="1">IFERROR(__xludf.DUMMYFUNCTION("""COMPUTED_VALUE"""),3500)</f>
        <v>3500</v>
      </c>
      <c r="G1351" s="75"/>
      <c r="H1351" s="59" t="str">
        <f ca="1">IFERROR(__xludf.DUMMYFUNCTION("""COMPUTED_VALUE"""),"UPDATE")</f>
        <v>UPDATE</v>
      </c>
      <c r="I1351" s="76" t="str">
        <f ca="1">IFERROR(__xludf.DUMMYFUNCTION("""COMPUTED_VALUE"""),"https://drive.google.com/open?id=1tErTEYcZnLrM4IF-Y3s8iPUxLq0TrNXp")</f>
        <v>https://drive.google.com/open?id=1tErTEYcZnLrM4IF-Y3s8iPUxLq0TrNXp</v>
      </c>
      <c r="J1351" s="59"/>
      <c r="K1351" s="59"/>
      <c r="L1351" s="59"/>
      <c r="M1351" s="59"/>
      <c r="N1351" s="59"/>
      <c r="O1351" s="59"/>
      <c r="P1351" s="59"/>
    </row>
    <row r="1352" spans="1:16">
      <c r="A1352" s="71">
        <f ca="1">IFERROR(__xludf.DUMMYFUNCTION("""COMPUTED_VALUE"""),44599.6064186689)</f>
        <v>44599.606418668896</v>
      </c>
      <c r="B1352" s="59" t="str">
        <f ca="1">IFERROR(__xludf.DUMMYFUNCTION("""COMPUTED_VALUE"""),"Vaghela hiren")</f>
        <v>Vaghela hiren</v>
      </c>
      <c r="C1352" s="72" t="str">
        <f ca="1">IFERROR(__xludf.DUMMYFUNCTION("""COMPUTED_VALUE"""),"20SDSCE01130 ")</f>
        <v xml:space="preserve">20SDSCE01130 </v>
      </c>
      <c r="D1352" s="73">
        <f ca="1">IFERROR(__xludf.DUMMYFUNCTION("""COMPUTED_VALUE"""),44599)</f>
        <v>44599</v>
      </c>
      <c r="E1352" s="74">
        <f ca="1">IFERROR(__xludf.DUMMYFUNCTION("""COMPUTED_VALUE"""),8750)</f>
        <v>8750</v>
      </c>
      <c r="F1352" s="72">
        <f ca="1">IFERROR(__xludf.DUMMYFUNCTION("""COMPUTED_VALUE"""),2500)</f>
        <v>2500</v>
      </c>
      <c r="G1352" s="75"/>
      <c r="H1352" s="59" t="str">
        <f ca="1">IFERROR(__xludf.DUMMYFUNCTION("""COMPUTED_VALUE"""),"UPDATE")</f>
        <v>UPDATE</v>
      </c>
      <c r="I1352" s="76" t="str">
        <f ca="1">IFERROR(__xludf.DUMMYFUNCTION("""COMPUTED_VALUE"""),"https://drive.google.com/open?id=1NyVu1dJgLQlylMmHvTDC8Sw3i0P7ClkI")</f>
        <v>https://drive.google.com/open?id=1NyVu1dJgLQlylMmHvTDC8Sw3i0P7ClkI</v>
      </c>
      <c r="J1352" s="59"/>
      <c r="K1352" s="59"/>
      <c r="L1352" s="59"/>
      <c r="M1352" s="59"/>
      <c r="N1352" s="59"/>
      <c r="O1352" s="59"/>
      <c r="P1352" s="59"/>
    </row>
    <row r="1353" spans="1:16">
      <c r="A1353" s="71">
        <f ca="1">IFERROR(__xludf.DUMMYFUNCTION("""COMPUTED_VALUE"""),44588.4538778703)</f>
        <v>44588.453877870299</v>
      </c>
      <c r="B1353" s="59" t="str">
        <f ca="1">IFERROR(__xludf.DUMMYFUNCTION("""COMPUTED_VALUE"""),"Kunjal thakkar")</f>
        <v>Kunjal thakkar</v>
      </c>
      <c r="C1353" s="72" t="str">
        <f ca="1">IFERROR(__xludf.DUMMYFUNCTION("""COMPUTED_VALUE"""),"21SDSCE01052")</f>
        <v>21SDSCE01052</v>
      </c>
      <c r="D1353" s="73">
        <f ca="1">IFERROR(__xludf.DUMMYFUNCTION("""COMPUTED_VALUE"""),44588)</f>
        <v>44588</v>
      </c>
      <c r="E1353" s="72"/>
      <c r="F1353" s="72"/>
      <c r="G1353" s="75"/>
      <c r="H1353" s="59" t="str">
        <f ca="1">IFERROR(__xludf.DUMMYFUNCTION("""COMPUTED_VALUE"""),"UPDATE")</f>
        <v>UPDATE</v>
      </c>
      <c r="I1353" s="76" t="str">
        <f ca="1">IFERROR(__xludf.DUMMYFUNCTION("""COMPUTED_VALUE"""),"https://drive.google.com/open?id=1-j--0Pm-uPdfTJ-dputZfhgTrVeewrK-")</f>
        <v>https://drive.google.com/open?id=1-j--0Pm-uPdfTJ-dputZfhgTrVeewrK-</v>
      </c>
      <c r="J1353" s="59"/>
      <c r="K1353" s="59"/>
      <c r="L1353" s="59"/>
      <c r="M1353" s="59"/>
      <c r="N1353" s="59"/>
      <c r="O1353" s="59"/>
      <c r="P1353" s="59"/>
    </row>
    <row r="1354" spans="1:16">
      <c r="A1354" s="71">
        <f ca="1">IFERROR(__xludf.DUMMYFUNCTION("""COMPUTED_VALUE"""),44588.4518002777)</f>
        <v>44588.451800277697</v>
      </c>
      <c r="B1354" s="59" t="str">
        <f ca="1">IFERROR(__xludf.DUMMYFUNCTION("""COMPUTED_VALUE"""),"Kunjal thakkar")</f>
        <v>Kunjal thakkar</v>
      </c>
      <c r="C1354" s="72" t="str">
        <f ca="1">IFERROR(__xludf.DUMMYFUNCTION("""COMPUTED_VALUE"""),"21SDSCE01052")</f>
        <v>21SDSCE01052</v>
      </c>
      <c r="D1354" s="73">
        <f ca="1">IFERROR(__xludf.DUMMYFUNCTION("""COMPUTED_VALUE"""),44588)</f>
        <v>44588</v>
      </c>
      <c r="E1354" s="72"/>
      <c r="F1354" s="72"/>
      <c r="G1354" s="75"/>
      <c r="H1354" s="59" t="str">
        <f ca="1">IFERROR(__xludf.DUMMYFUNCTION("""COMPUTED_VALUE"""),"UPDATE")</f>
        <v>UPDATE</v>
      </c>
      <c r="I1354" s="76" t="str">
        <f ca="1">IFERROR(__xludf.DUMMYFUNCTION("""COMPUTED_VALUE"""),"https://drive.google.com/open?id=1LbELtUTcRalKKb5OyWZU2IwXBfE4KZb1")</f>
        <v>https://drive.google.com/open?id=1LbELtUTcRalKKb5OyWZU2IwXBfE4KZb1</v>
      </c>
      <c r="J1354" s="59"/>
      <c r="K1354" s="59"/>
      <c r="L1354" s="59"/>
      <c r="M1354" s="59"/>
      <c r="N1354" s="59"/>
      <c r="O1354" s="59"/>
      <c r="P1354" s="59"/>
    </row>
    <row r="1355" spans="1:16">
      <c r="A1355" s="71">
        <f ca="1">IFERROR(__xludf.DUMMYFUNCTION("""COMPUTED_VALUE"""),44586.9409324768)</f>
        <v>44586.940932476798</v>
      </c>
      <c r="B1355" s="59" t="str">
        <f ca="1">IFERROR(__xludf.DUMMYFUNCTION("""COMPUTED_VALUE"""),"Shubh rupapara")</f>
        <v>Shubh rupapara</v>
      </c>
      <c r="C1355" s="72" t="str">
        <f ca="1">IFERROR(__xludf.DUMMYFUNCTION("""COMPUTED_VALUE"""),"20SDSCE01103")</f>
        <v>20SDSCE01103</v>
      </c>
      <c r="D1355" s="73">
        <f ca="1">IFERROR(__xludf.DUMMYFUNCTION("""COMPUTED_VALUE"""),44574)</f>
        <v>44574</v>
      </c>
      <c r="E1355" s="72"/>
      <c r="F1355" s="72">
        <f ca="1">IFERROR(__xludf.DUMMYFUNCTION("""COMPUTED_VALUE"""),2500)</f>
        <v>2500</v>
      </c>
      <c r="G1355" s="75"/>
      <c r="H1355" s="59" t="str">
        <f ca="1">IFERROR(__xludf.DUMMYFUNCTION("""COMPUTED_VALUE"""),"UPDATE")</f>
        <v>UPDATE</v>
      </c>
      <c r="I1355" s="76" t="str">
        <f ca="1">IFERROR(__xludf.DUMMYFUNCTION("""COMPUTED_VALUE"""),"https://drive.google.com/open?id=1NhyvjwBQqd9HrPWCs05UkCJYHVErJYkr")</f>
        <v>https://drive.google.com/open?id=1NhyvjwBQqd9HrPWCs05UkCJYHVErJYkr</v>
      </c>
      <c r="J1355" s="59"/>
      <c r="K1355" s="59"/>
      <c r="L1355" s="59"/>
      <c r="M1355" s="59"/>
      <c r="N1355" s="59"/>
      <c r="O1355" s="59"/>
      <c r="P1355" s="59"/>
    </row>
    <row r="1356" spans="1:16">
      <c r="A1356" s="71">
        <f ca="1">IFERROR(__xludf.DUMMYFUNCTION("""COMPUTED_VALUE"""),44584.580627581)</f>
        <v>44584.580627581003</v>
      </c>
      <c r="B1356" s="59" t="str">
        <f ca="1">IFERROR(__xludf.DUMMYFUNCTION("""COMPUTED_VALUE"""),"Krubal dayabhai Kapadiya ")</f>
        <v xml:space="preserve">Krubal dayabhai Kapadiya </v>
      </c>
      <c r="C1356" s="72" t="str">
        <f ca="1">IFERROR(__xludf.DUMMYFUNCTION("""COMPUTED_VALUE"""),"19sdsce01021")</f>
        <v>19sdsce01021</v>
      </c>
      <c r="D1356" s="73">
        <f ca="1">IFERROR(__xludf.DUMMYFUNCTION("""COMPUTED_VALUE"""),44584)</f>
        <v>44584</v>
      </c>
      <c r="E1356" s="74">
        <f ca="1">IFERROR(__xludf.DUMMYFUNCTION("""COMPUTED_VALUE"""),25000)</f>
        <v>25000</v>
      </c>
      <c r="F1356" s="72"/>
      <c r="G1356" s="75"/>
      <c r="H1356" s="59" t="str">
        <f ca="1">IFERROR(__xludf.DUMMYFUNCTION("""COMPUTED_VALUE"""),"UPDATE")</f>
        <v>UPDATE</v>
      </c>
      <c r="I1356" s="76" t="str">
        <f ca="1">IFERROR(__xludf.DUMMYFUNCTION("""COMPUTED_VALUE"""),"https://drive.google.com/open?id=1aFAcjXq4C49xvWrooLIue1gHr7DAMGCB")</f>
        <v>https://drive.google.com/open?id=1aFAcjXq4C49xvWrooLIue1gHr7DAMGCB</v>
      </c>
      <c r="J1356" s="59"/>
      <c r="K1356" s="59"/>
      <c r="L1356" s="59"/>
      <c r="M1356" s="59"/>
      <c r="N1356" s="59"/>
      <c r="O1356" s="59"/>
      <c r="P1356" s="59"/>
    </row>
    <row r="1357" spans="1:16">
      <c r="A1357" s="71">
        <f ca="1">IFERROR(__xludf.DUMMYFUNCTION("""COMPUTED_VALUE"""),44583.4786848726)</f>
        <v>44583.4786848726</v>
      </c>
      <c r="B1357" s="59" t="str">
        <f ca="1">IFERROR(__xludf.DUMMYFUNCTION("""COMPUTED_VALUE"""),"Dobariya nandani")</f>
        <v>Dobariya nandani</v>
      </c>
      <c r="C1357" s="72" t="str">
        <f ca="1">IFERROR(__xludf.DUMMYFUNCTION("""COMPUTED_VALUE"""),"21SDSCE01068")</f>
        <v>21SDSCE01068</v>
      </c>
      <c r="D1357" s="73">
        <f ca="1">IFERROR(__xludf.DUMMYFUNCTION("""COMPUTED_VALUE"""),44373)</f>
        <v>44373</v>
      </c>
      <c r="E1357" s="72"/>
      <c r="F1357" s="72"/>
      <c r="G1357" s="75"/>
      <c r="H1357" s="59" t="str">
        <f ca="1">IFERROR(__xludf.DUMMYFUNCTION("""COMPUTED_VALUE"""),"UPDATE")</f>
        <v>UPDATE</v>
      </c>
      <c r="I1357" s="76" t="str">
        <f ca="1">IFERROR(__xludf.DUMMYFUNCTION("""COMPUTED_VALUE"""),"https://drive.google.com/open?id=1oG2usbMY5B8F_KMru85h9twQDVpmScSY")</f>
        <v>https://drive.google.com/open?id=1oG2usbMY5B8F_KMru85h9twQDVpmScSY</v>
      </c>
      <c r="J1357" s="59"/>
      <c r="K1357" s="59"/>
      <c r="L1357" s="59"/>
      <c r="M1357" s="59"/>
      <c r="N1357" s="59"/>
      <c r="O1357" s="59"/>
      <c r="P1357" s="59"/>
    </row>
    <row r="1358" spans="1:16">
      <c r="A1358" s="71">
        <f ca="1">IFERROR(__xludf.DUMMYFUNCTION("""COMPUTED_VALUE"""),44583.47672103)</f>
        <v>44583.476721029998</v>
      </c>
      <c r="B1358" s="59" t="str">
        <f ca="1">IFERROR(__xludf.DUMMYFUNCTION("""COMPUTED_VALUE"""),"Dobariya nandani")</f>
        <v>Dobariya nandani</v>
      </c>
      <c r="C1358" s="72" t="str">
        <f ca="1">IFERROR(__xludf.DUMMYFUNCTION("""COMPUTED_VALUE"""),"21SDSCE01068")</f>
        <v>21SDSCE01068</v>
      </c>
      <c r="D1358" s="73">
        <f ca="1">IFERROR(__xludf.DUMMYFUNCTION("""COMPUTED_VALUE"""),44371)</f>
        <v>44371</v>
      </c>
      <c r="E1358" s="72"/>
      <c r="F1358" s="72"/>
      <c r="G1358" s="75"/>
      <c r="H1358" s="59" t="str">
        <f ca="1">IFERROR(__xludf.DUMMYFUNCTION("""COMPUTED_VALUE"""),"UPDATE")</f>
        <v>UPDATE</v>
      </c>
      <c r="I1358" s="76" t="str">
        <f ca="1">IFERROR(__xludf.DUMMYFUNCTION("""COMPUTED_VALUE"""),"https://drive.google.com/open?id=1Q5LvFSnV1Yw9gJOSYd_M3JmnCHv99LWh")</f>
        <v>https://drive.google.com/open?id=1Q5LvFSnV1Yw9gJOSYd_M3JmnCHv99LWh</v>
      </c>
      <c r="J1358" s="59"/>
      <c r="K1358" s="59"/>
      <c r="L1358" s="59"/>
      <c r="M1358" s="59"/>
      <c r="N1358" s="59"/>
      <c r="O1358" s="59"/>
      <c r="P1358" s="59"/>
    </row>
    <row r="1359" spans="1:16">
      <c r="A1359" s="71">
        <f ca="1">IFERROR(__xludf.DUMMYFUNCTION("""COMPUTED_VALUE"""),44583.4674344907)</f>
        <v>44583.467434490703</v>
      </c>
      <c r="B1359" s="59" t="str">
        <f ca="1">IFERROR(__xludf.DUMMYFUNCTION("""COMPUTED_VALUE"""),"Vivek devhitaka")</f>
        <v>Vivek devhitaka</v>
      </c>
      <c r="C1359" s="72" t="str">
        <f ca="1">IFERROR(__xludf.DUMMYFUNCTION("""COMPUTED_VALUE"""),"21sdsce01014")</f>
        <v>21sdsce01014</v>
      </c>
      <c r="D1359" s="73">
        <f ca="1">IFERROR(__xludf.DUMMYFUNCTION("""COMPUTED_VALUE"""),44578)</f>
        <v>44578</v>
      </c>
      <c r="E1359" s="72"/>
      <c r="F1359" s="72">
        <f ca="1">IFERROR(__xludf.DUMMYFUNCTION("""COMPUTED_VALUE"""),2500)</f>
        <v>2500</v>
      </c>
      <c r="G1359" s="75"/>
      <c r="H1359" s="59" t="str">
        <f ca="1">IFERROR(__xludf.DUMMYFUNCTION("""COMPUTED_VALUE"""),"UPDATE")</f>
        <v>UPDATE</v>
      </c>
      <c r="I1359" s="76" t="str">
        <f ca="1">IFERROR(__xludf.DUMMYFUNCTION("""COMPUTED_VALUE"""),"https://drive.google.com/open?id=1nsUbOiHTEowV3uMXlTey-hIAwp2Ndbzf")</f>
        <v>https://drive.google.com/open?id=1nsUbOiHTEowV3uMXlTey-hIAwp2Ndbzf</v>
      </c>
      <c r="J1359" s="59"/>
      <c r="K1359" s="59"/>
      <c r="L1359" s="59"/>
      <c r="M1359" s="59"/>
      <c r="N1359" s="59"/>
      <c r="O1359" s="59"/>
      <c r="P1359" s="59"/>
    </row>
    <row r="1360" spans="1:16">
      <c r="A1360" s="71">
        <f ca="1">IFERROR(__xludf.DUMMYFUNCTION("""COMPUTED_VALUE"""),44582.5359543634)</f>
        <v>44582.535954363397</v>
      </c>
      <c r="B1360" s="59" t="str">
        <f ca="1">IFERROR(__xludf.DUMMYFUNCTION("""COMPUTED_VALUE"""),"Makwana Natasha mansukhbhai")</f>
        <v>Makwana Natasha mansukhbhai</v>
      </c>
      <c r="C1360" s="72" t="str">
        <f ca="1">IFERROR(__xludf.DUMMYFUNCTION("""COMPUTED_VALUE"""),"19sdsce01030")</f>
        <v>19sdsce01030</v>
      </c>
      <c r="D1360" s="73">
        <f ca="1">IFERROR(__xludf.DUMMYFUNCTION("""COMPUTED_VALUE"""),44582)</f>
        <v>44582</v>
      </c>
      <c r="E1360" s="72"/>
      <c r="F1360" s="72">
        <f ca="1">IFERROR(__xludf.DUMMYFUNCTION("""COMPUTED_VALUE"""),2000)</f>
        <v>2000</v>
      </c>
      <c r="G1360" s="75"/>
      <c r="H1360" s="59" t="str">
        <f ca="1">IFERROR(__xludf.DUMMYFUNCTION("""COMPUTED_VALUE"""),"UPDATE")</f>
        <v>UPDATE</v>
      </c>
      <c r="I1360" s="76" t="str">
        <f ca="1">IFERROR(__xludf.DUMMYFUNCTION("""COMPUTED_VALUE"""),"https://drive.google.com/open?id=1fbrnfOtSzdYRKS1zl89AxScAQ-daB0LR")</f>
        <v>https://drive.google.com/open?id=1fbrnfOtSzdYRKS1zl89AxScAQ-daB0LR</v>
      </c>
      <c r="J1360" s="59"/>
      <c r="K1360" s="59"/>
      <c r="L1360" s="59"/>
      <c r="M1360" s="59"/>
      <c r="N1360" s="59"/>
      <c r="O1360" s="59"/>
      <c r="P1360" s="59"/>
    </row>
    <row r="1361" spans="1:16">
      <c r="A1361" s="71">
        <f ca="1">IFERROR(__xludf.DUMMYFUNCTION("""COMPUTED_VALUE"""),44582.5184237615)</f>
        <v>44582.518423761503</v>
      </c>
      <c r="B1361" s="59" t="str">
        <f ca="1">IFERROR(__xludf.DUMMYFUNCTION("""COMPUTED_VALUE"""),"Nayan Suresh bhai jagani")</f>
        <v>Nayan Suresh bhai jagani</v>
      </c>
      <c r="C1361" s="72" t="str">
        <f ca="1">IFERROR(__xludf.DUMMYFUNCTION("""COMPUTED_VALUE"""),"20SDSEE01011")</f>
        <v>20SDSEE01011</v>
      </c>
      <c r="D1361" s="73">
        <f ca="1">IFERROR(__xludf.DUMMYFUNCTION("""COMPUTED_VALUE"""),44580)</f>
        <v>44580</v>
      </c>
      <c r="E1361" s="72"/>
      <c r="F1361" s="72">
        <f ca="1">IFERROR(__xludf.DUMMYFUNCTION("""COMPUTED_VALUE"""),2500)</f>
        <v>2500</v>
      </c>
      <c r="G1361" s="75"/>
      <c r="H1361" s="59" t="str">
        <f ca="1">IFERROR(__xludf.DUMMYFUNCTION("""COMPUTED_VALUE"""),"UPDATE")</f>
        <v>UPDATE</v>
      </c>
      <c r="I1361" s="76" t="str">
        <f ca="1">IFERROR(__xludf.DUMMYFUNCTION("""COMPUTED_VALUE"""),"https://drive.google.com/open?id=1OEYe_xsa901ytRQw05WMdBz4N1UbMjW5")</f>
        <v>https://drive.google.com/open?id=1OEYe_xsa901ytRQw05WMdBz4N1UbMjW5</v>
      </c>
      <c r="J1361" s="59"/>
      <c r="K1361" s="59"/>
      <c r="L1361" s="59"/>
      <c r="M1361" s="59"/>
      <c r="N1361" s="59"/>
      <c r="O1361" s="59"/>
      <c r="P1361" s="59"/>
    </row>
    <row r="1362" spans="1:16">
      <c r="A1362" s="71">
        <f ca="1">IFERROR(__xludf.DUMMYFUNCTION("""COMPUTED_VALUE"""),44582.5169539351)</f>
        <v>44582.516953935097</v>
      </c>
      <c r="B1362" s="59" t="str">
        <f ca="1">IFERROR(__xludf.DUMMYFUNCTION("""COMPUTED_VALUE"""),"Nayan Suresh Bhai Jagani")</f>
        <v>Nayan Suresh Bhai Jagani</v>
      </c>
      <c r="C1362" s="72" t="str">
        <f ca="1">IFERROR(__xludf.DUMMYFUNCTION("""COMPUTED_VALUE"""),"20SDSEE01011")</f>
        <v>20SDSEE01011</v>
      </c>
      <c r="D1362" s="73">
        <f ca="1">IFERROR(__xludf.DUMMYFUNCTION("""COMPUTED_VALUE"""),44580)</f>
        <v>44580</v>
      </c>
      <c r="E1362" s="74">
        <f ca="1">IFERROR(__xludf.DUMMYFUNCTION("""COMPUTED_VALUE"""),25000)</f>
        <v>25000</v>
      </c>
      <c r="F1362" s="72"/>
      <c r="G1362" s="75"/>
      <c r="H1362" s="59" t="str">
        <f ca="1">IFERROR(__xludf.DUMMYFUNCTION("""COMPUTED_VALUE"""),"UPDATE")</f>
        <v>UPDATE</v>
      </c>
      <c r="I1362" s="76" t="str">
        <f ca="1">IFERROR(__xludf.DUMMYFUNCTION("""COMPUTED_VALUE"""),"https://drive.google.com/open?id=10GgBglIOQZb1XSYNdm8QpzRC-UlhVhfp")</f>
        <v>https://drive.google.com/open?id=10GgBglIOQZb1XSYNdm8QpzRC-UlhVhfp</v>
      </c>
      <c r="J1362" s="59"/>
      <c r="K1362" s="59"/>
      <c r="L1362" s="59"/>
      <c r="M1362" s="59"/>
      <c r="N1362" s="59"/>
      <c r="O1362" s="59"/>
      <c r="P1362" s="59"/>
    </row>
    <row r="1363" spans="1:16">
      <c r="A1363" s="71">
        <f ca="1">IFERROR(__xludf.DUMMYFUNCTION("""COMPUTED_VALUE"""),44582.5082753124)</f>
        <v>44582.508275312401</v>
      </c>
      <c r="B1363" s="59" t="str">
        <f ca="1">IFERROR(__xludf.DUMMYFUNCTION("""COMPUTED_VALUE"""),"Makwana Natasha mansukhbhai")</f>
        <v>Makwana Natasha mansukhbhai</v>
      </c>
      <c r="C1363" s="72" t="str">
        <f ca="1">IFERROR(__xludf.DUMMYFUNCTION("""COMPUTED_VALUE"""),"19sdsce01030")</f>
        <v>19sdsce01030</v>
      </c>
      <c r="D1363" s="73">
        <f ca="1">IFERROR(__xludf.DUMMYFUNCTION("""COMPUTED_VALUE"""),44581)</f>
        <v>44581</v>
      </c>
      <c r="E1363" s="72"/>
      <c r="F1363" s="72">
        <f ca="1">IFERROR(__xludf.DUMMYFUNCTION("""COMPUTED_VALUE"""),2500)</f>
        <v>2500</v>
      </c>
      <c r="G1363" s="75"/>
      <c r="H1363" s="59" t="str">
        <f ca="1">IFERROR(__xludf.DUMMYFUNCTION("""COMPUTED_VALUE"""),"UPDATE")</f>
        <v>UPDATE</v>
      </c>
      <c r="I1363" s="76" t="str">
        <f ca="1">IFERROR(__xludf.DUMMYFUNCTION("""COMPUTED_VALUE"""),"https://drive.google.com/open?id=1jcHCiRZrIPfu2uAAaKbZ0uLxIvtEGzsF")</f>
        <v>https://drive.google.com/open?id=1jcHCiRZrIPfu2uAAaKbZ0uLxIvtEGzsF</v>
      </c>
      <c r="J1363" s="59"/>
      <c r="K1363" s="59"/>
      <c r="L1363" s="59"/>
      <c r="M1363" s="59"/>
      <c r="N1363" s="59"/>
      <c r="O1363" s="59"/>
      <c r="P1363" s="59"/>
    </row>
    <row r="1364" spans="1:16">
      <c r="A1364" s="71">
        <f ca="1">IFERROR(__xludf.DUMMYFUNCTION("""COMPUTED_VALUE"""),44581.5297455671)</f>
        <v>44581.529745567103</v>
      </c>
      <c r="B1364" s="59" t="str">
        <f ca="1">IFERROR(__xludf.DUMMYFUNCTION("""COMPUTED_VALUE"""),"Parmar Atul")</f>
        <v>Parmar Atul</v>
      </c>
      <c r="C1364" s="72" t="str">
        <f ca="1">IFERROR(__xludf.DUMMYFUNCTION("""COMPUTED_VALUE"""),"19sdsce01037")</f>
        <v>19sdsce01037</v>
      </c>
      <c r="D1364" s="73">
        <f ca="1">IFERROR(__xludf.DUMMYFUNCTION("""COMPUTED_VALUE"""),44580)</f>
        <v>44580</v>
      </c>
      <c r="E1364" s="72"/>
      <c r="F1364" s="72">
        <f ca="1">IFERROR(__xludf.DUMMYFUNCTION("""COMPUTED_VALUE"""),3500)</f>
        <v>3500</v>
      </c>
      <c r="G1364" s="75"/>
      <c r="H1364" s="59" t="str">
        <f ca="1">IFERROR(__xludf.DUMMYFUNCTION("""COMPUTED_VALUE"""),"UPDATE")</f>
        <v>UPDATE</v>
      </c>
      <c r="I1364" s="76" t="str">
        <f ca="1">IFERROR(__xludf.DUMMYFUNCTION("""COMPUTED_VALUE"""),"https://drive.google.com/open?id=1k1B7stH4niYl9vReFq7QvZioHsWBnKCW")</f>
        <v>https://drive.google.com/open?id=1k1B7stH4niYl9vReFq7QvZioHsWBnKCW</v>
      </c>
      <c r="J1364" s="59"/>
      <c r="K1364" s="59"/>
      <c r="L1364" s="59"/>
      <c r="M1364" s="59"/>
      <c r="N1364" s="59"/>
      <c r="O1364" s="59"/>
      <c r="P1364" s="59"/>
    </row>
    <row r="1365" spans="1:16">
      <c r="A1365" s="71">
        <f ca="1">IFERROR(__xludf.DUMMYFUNCTION("""COMPUTED_VALUE"""),44581.4304905324)</f>
        <v>44581.430490532402</v>
      </c>
      <c r="B1365" s="59" t="str">
        <f ca="1">IFERROR(__xludf.DUMMYFUNCTION("""COMPUTED_VALUE"""),"Parth Vipulbhai Lodhiya")</f>
        <v>Parth Vipulbhai Lodhiya</v>
      </c>
      <c r="C1365" s="72" t="str">
        <f ca="1">IFERROR(__xludf.DUMMYFUNCTION("""COMPUTED_VALUE"""),"19SDSCE01028")</f>
        <v>19SDSCE01028</v>
      </c>
      <c r="D1365" s="73">
        <f ca="1">IFERROR(__xludf.DUMMYFUNCTION("""COMPUTED_VALUE"""),44578)</f>
        <v>44578</v>
      </c>
      <c r="E1365" s="72"/>
      <c r="F1365" s="72">
        <f ca="1">IFERROR(__xludf.DUMMYFUNCTION("""COMPUTED_VALUE"""),3500)</f>
        <v>3500</v>
      </c>
      <c r="G1365" s="75"/>
      <c r="H1365" s="59" t="str">
        <f ca="1">IFERROR(__xludf.DUMMYFUNCTION("""COMPUTED_VALUE"""),"UPDATE")</f>
        <v>UPDATE</v>
      </c>
      <c r="I1365" s="76" t="str">
        <f ca="1">IFERROR(__xludf.DUMMYFUNCTION("""COMPUTED_VALUE"""),"https://drive.google.com/open?id=1t5gFApRg0QqUVZObGVgfi2VwU4C0dlzE")</f>
        <v>https://drive.google.com/open?id=1t5gFApRg0QqUVZObGVgfi2VwU4C0dlzE</v>
      </c>
      <c r="J1365" s="59"/>
      <c r="K1365" s="59"/>
      <c r="L1365" s="59"/>
      <c r="M1365" s="59"/>
      <c r="N1365" s="59"/>
      <c r="O1365" s="59"/>
      <c r="P1365" s="59"/>
    </row>
    <row r="1366" spans="1:16">
      <c r="A1366" s="71">
        <f ca="1">IFERROR(__xludf.DUMMYFUNCTION("""COMPUTED_VALUE"""),44581.3862378009)</f>
        <v>44581.3862378009</v>
      </c>
      <c r="B1366" s="59" t="str">
        <f ca="1">IFERROR(__xludf.DUMMYFUNCTION("""COMPUTED_VALUE"""),"Krunal dayabhai Kapadiya ")</f>
        <v xml:space="preserve">Krunal dayabhai Kapadiya </v>
      </c>
      <c r="C1366" s="72" t="str">
        <f ca="1">IFERROR(__xludf.DUMMYFUNCTION("""COMPUTED_VALUE"""),"19sdsce01021")</f>
        <v>19sdsce01021</v>
      </c>
      <c r="D1366" s="73">
        <f ca="1">IFERROR(__xludf.DUMMYFUNCTION("""COMPUTED_VALUE"""),44580)</f>
        <v>44580</v>
      </c>
      <c r="E1366" s="74">
        <f ca="1">IFERROR(__xludf.DUMMYFUNCTION("""COMPUTED_VALUE"""),50000)</f>
        <v>50000</v>
      </c>
      <c r="F1366" s="72">
        <f ca="1">IFERROR(__xludf.DUMMYFUNCTION("""COMPUTED_VALUE"""),3500)</f>
        <v>3500</v>
      </c>
      <c r="G1366" s="75"/>
      <c r="H1366" s="59" t="str">
        <f ca="1">IFERROR(__xludf.DUMMYFUNCTION("""COMPUTED_VALUE"""),"UPDATE")</f>
        <v>UPDATE</v>
      </c>
      <c r="I1366" s="76" t="str">
        <f ca="1">IFERROR(__xludf.DUMMYFUNCTION("""COMPUTED_VALUE"""),"https://drive.google.com/open?id=1M-7dQWRIh15zyAO2fv-W4GOJgWL-WenK")</f>
        <v>https://drive.google.com/open?id=1M-7dQWRIh15zyAO2fv-W4GOJgWL-WenK</v>
      </c>
      <c r="J1366" s="59"/>
      <c r="K1366" s="59"/>
      <c r="L1366" s="59"/>
      <c r="M1366" s="59"/>
      <c r="N1366" s="59"/>
      <c r="O1366" s="59"/>
      <c r="P1366" s="59"/>
    </row>
    <row r="1367" spans="1:16">
      <c r="A1367" s="71">
        <f ca="1">IFERROR(__xludf.DUMMYFUNCTION("""COMPUTED_VALUE"""),44581.36088375)</f>
        <v>44581.36088375</v>
      </c>
      <c r="B1367" s="59" t="str">
        <f ca="1">IFERROR(__xludf.DUMMYFUNCTION("""COMPUTED_VALUE"""),"KRUSHALKUMAR VEKARIYA")</f>
        <v>KRUSHALKUMAR VEKARIYA</v>
      </c>
      <c r="C1367" s="72" t="str">
        <f ca="1">IFERROR(__xludf.DUMMYFUNCTION("""COMPUTED_VALUE"""),"19sdsce01062")</f>
        <v>19sdsce01062</v>
      </c>
      <c r="D1367" s="73">
        <f ca="1">IFERROR(__xludf.DUMMYFUNCTION("""COMPUTED_VALUE"""),44570)</f>
        <v>44570</v>
      </c>
      <c r="E1367" s="74">
        <f ca="1">IFERROR(__xludf.DUMMYFUNCTION("""COMPUTED_VALUE"""),50000)</f>
        <v>50000</v>
      </c>
      <c r="F1367" s="72">
        <f ca="1">IFERROR(__xludf.DUMMYFUNCTION("""COMPUTED_VALUE"""),3500)</f>
        <v>3500</v>
      </c>
      <c r="G1367" s="75"/>
      <c r="H1367" s="59" t="str">
        <f ca="1">IFERROR(__xludf.DUMMYFUNCTION("""COMPUTED_VALUE"""),"UPDATE")</f>
        <v>UPDATE</v>
      </c>
      <c r="I1367" s="76" t="str">
        <f ca="1">IFERROR(__xludf.DUMMYFUNCTION("""COMPUTED_VALUE"""),"https://drive.google.com/open?id=1vbGuN7-8YHZxlfufvWKv3IoP4SHotnNt")</f>
        <v>https://drive.google.com/open?id=1vbGuN7-8YHZxlfufvWKv3IoP4SHotnNt</v>
      </c>
      <c r="J1367" s="59"/>
      <c r="K1367" s="59"/>
      <c r="L1367" s="59"/>
      <c r="M1367" s="59"/>
      <c r="N1367" s="59"/>
      <c r="O1367" s="59"/>
      <c r="P1367" s="59"/>
    </row>
    <row r="1368" spans="1:16">
      <c r="A1368" s="71">
        <f ca="1">IFERROR(__xludf.DUMMYFUNCTION("""COMPUTED_VALUE"""),44581.3592411689)</f>
        <v>44581.359241168902</v>
      </c>
      <c r="B1368" s="59" t="str">
        <f ca="1">IFERROR(__xludf.DUMMYFUNCTION("""COMPUTED_VALUE"""),"Khanpara madhavi v")</f>
        <v>Khanpara madhavi v</v>
      </c>
      <c r="C1368" s="72" t="str">
        <f ca="1">IFERROR(__xludf.DUMMYFUNCTION("""COMPUTED_VALUE"""),"19SDSCE01023")</f>
        <v>19SDSCE01023</v>
      </c>
      <c r="D1368" s="73">
        <f ca="1">IFERROR(__xludf.DUMMYFUNCTION("""COMPUTED_VALUE"""),44579)</f>
        <v>44579</v>
      </c>
      <c r="E1368" s="74">
        <f ca="1">IFERROR(__xludf.DUMMYFUNCTION("""COMPUTED_VALUE"""),25000)</f>
        <v>25000</v>
      </c>
      <c r="F1368" s="72">
        <f ca="1">IFERROR(__xludf.DUMMYFUNCTION("""COMPUTED_VALUE"""),3500)</f>
        <v>3500</v>
      </c>
      <c r="G1368" s="75"/>
      <c r="H1368" s="59" t="str">
        <f ca="1">IFERROR(__xludf.DUMMYFUNCTION("""COMPUTED_VALUE"""),"UPDATE")</f>
        <v>UPDATE</v>
      </c>
      <c r="I1368" s="76" t="str">
        <f ca="1">IFERROR(__xludf.DUMMYFUNCTION("""COMPUTED_VALUE"""),"https://drive.google.com/open?id=1V3yKWeAhfhlcDiMWBlqxfyEE2Vn3O2Xt")</f>
        <v>https://drive.google.com/open?id=1V3yKWeAhfhlcDiMWBlqxfyEE2Vn3O2Xt</v>
      </c>
      <c r="J1368" s="59"/>
      <c r="K1368" s="59"/>
      <c r="L1368" s="59"/>
      <c r="M1368" s="59"/>
      <c r="N1368" s="59"/>
      <c r="O1368" s="59"/>
      <c r="P1368" s="59"/>
    </row>
    <row r="1369" spans="1:16">
      <c r="A1369" s="71">
        <f ca="1">IFERROR(__xludf.DUMMYFUNCTION("""COMPUTED_VALUE"""),44580.6049224074)</f>
        <v>44580.604922407401</v>
      </c>
      <c r="B1369" s="59" t="str">
        <f ca="1">IFERROR(__xludf.DUMMYFUNCTION("""COMPUTED_VALUE"""),"Nayan Suresh bhai jagani")</f>
        <v>Nayan Suresh bhai jagani</v>
      </c>
      <c r="C1369" s="72" t="str">
        <f ca="1">IFERROR(__xludf.DUMMYFUNCTION("""COMPUTED_VALUE"""),"20SDSEE01011")</f>
        <v>20SDSEE01011</v>
      </c>
      <c r="D1369" s="73">
        <f ca="1">IFERROR(__xludf.DUMMYFUNCTION("""COMPUTED_VALUE"""),44580)</f>
        <v>44580</v>
      </c>
      <c r="E1369" s="72"/>
      <c r="F1369" s="72">
        <f ca="1">IFERROR(__xludf.DUMMYFUNCTION("""COMPUTED_VALUE"""),2500)</f>
        <v>2500</v>
      </c>
      <c r="G1369" s="75"/>
      <c r="H1369" s="59" t="str">
        <f ca="1">IFERROR(__xludf.DUMMYFUNCTION("""COMPUTED_VALUE"""),"UPDATE")</f>
        <v>UPDATE</v>
      </c>
      <c r="I1369" s="76" t="str">
        <f ca="1">IFERROR(__xludf.DUMMYFUNCTION("""COMPUTED_VALUE"""),"https://drive.google.com/open?id=1ulxKUPi15JWFy3BmQqTOftn4oLDkS7I5")</f>
        <v>https://drive.google.com/open?id=1ulxKUPi15JWFy3BmQqTOftn4oLDkS7I5</v>
      </c>
      <c r="J1369" s="59"/>
      <c r="K1369" s="59"/>
      <c r="L1369" s="59"/>
      <c r="M1369" s="59"/>
      <c r="N1369" s="59"/>
      <c r="O1369" s="59"/>
      <c r="P1369" s="59"/>
    </row>
    <row r="1370" spans="1:16">
      <c r="A1370" s="71">
        <f ca="1">IFERROR(__xludf.DUMMYFUNCTION("""COMPUTED_VALUE"""),44580.6033842824)</f>
        <v>44580.603384282404</v>
      </c>
      <c r="B1370" s="59" t="str">
        <f ca="1">IFERROR(__xludf.DUMMYFUNCTION("""COMPUTED_VALUE"""),"Nayan Suresh bhai jagani")</f>
        <v>Nayan Suresh bhai jagani</v>
      </c>
      <c r="C1370" s="72" t="str">
        <f ca="1">IFERROR(__xludf.DUMMYFUNCTION("""COMPUTED_VALUE"""),"20SDSEE01011")</f>
        <v>20SDSEE01011</v>
      </c>
      <c r="D1370" s="73">
        <f ca="1">IFERROR(__xludf.DUMMYFUNCTION("""COMPUTED_VALUE"""),44580)</f>
        <v>44580</v>
      </c>
      <c r="E1370" s="74">
        <f ca="1">IFERROR(__xludf.DUMMYFUNCTION("""COMPUTED_VALUE"""),25000)</f>
        <v>25000</v>
      </c>
      <c r="F1370" s="72"/>
      <c r="G1370" s="75"/>
      <c r="H1370" s="59" t="str">
        <f ca="1">IFERROR(__xludf.DUMMYFUNCTION("""COMPUTED_VALUE"""),"UPDATE")</f>
        <v>UPDATE</v>
      </c>
      <c r="I1370" s="76" t="str">
        <f ca="1">IFERROR(__xludf.DUMMYFUNCTION("""COMPUTED_VALUE"""),"https://drive.google.com/open?id=1mC29f9Nwfiu_Fw7rebLvR9lgojsBzcDg")</f>
        <v>https://drive.google.com/open?id=1mC29f9Nwfiu_Fw7rebLvR9lgojsBzcDg</v>
      </c>
      <c r="J1370" s="59"/>
      <c r="K1370" s="59"/>
      <c r="L1370" s="59"/>
      <c r="M1370" s="59"/>
      <c r="N1370" s="59"/>
      <c r="O1370" s="59"/>
      <c r="P1370" s="59"/>
    </row>
    <row r="1371" spans="1:16">
      <c r="A1371" s="71">
        <f ca="1">IFERROR(__xludf.DUMMYFUNCTION("""COMPUTED_VALUE"""),44579.8884293055)</f>
        <v>44579.888429305502</v>
      </c>
      <c r="B1371" s="59" t="str">
        <f ca="1">IFERROR(__xludf.DUMMYFUNCTION("""COMPUTED_VALUE"""),"Harsh Chandarana")</f>
        <v>Harsh Chandarana</v>
      </c>
      <c r="C1371" s="72" t="str">
        <f ca="1">IFERROR(__xludf.DUMMYFUNCTION("""COMPUTED_VALUE"""),"19SDSCE01005")</f>
        <v>19SDSCE01005</v>
      </c>
      <c r="D1371" s="73">
        <f ca="1">IFERROR(__xludf.DUMMYFUNCTION("""COMPUTED_VALUE"""),44579)</f>
        <v>44579</v>
      </c>
      <c r="E1371" s="72"/>
      <c r="F1371" s="72">
        <f ca="1">IFERROR(__xludf.DUMMYFUNCTION("""COMPUTED_VALUE"""),3500)</f>
        <v>3500</v>
      </c>
      <c r="G1371" s="75"/>
      <c r="H1371" s="59" t="str">
        <f ca="1">IFERROR(__xludf.DUMMYFUNCTION("""COMPUTED_VALUE"""),"UPDATE")</f>
        <v>UPDATE</v>
      </c>
      <c r="I1371" s="76" t="str">
        <f ca="1">IFERROR(__xludf.DUMMYFUNCTION("""COMPUTED_VALUE"""),"https://drive.google.com/open?id=1cQYrCdbWlMuO6L-x7ippCuiyeFcdc_dG")</f>
        <v>https://drive.google.com/open?id=1cQYrCdbWlMuO6L-x7ippCuiyeFcdc_dG</v>
      </c>
      <c r="J1371" s="59"/>
      <c r="K1371" s="59"/>
      <c r="L1371" s="59"/>
      <c r="M1371" s="59"/>
      <c r="N1371" s="59"/>
      <c r="O1371" s="59"/>
      <c r="P1371" s="59"/>
    </row>
    <row r="1372" spans="1:16">
      <c r="A1372" s="71">
        <f ca="1">IFERROR(__xludf.DUMMYFUNCTION("""COMPUTED_VALUE"""),44579.860525949)</f>
        <v>44579.860525949</v>
      </c>
      <c r="B1372" s="59" t="str">
        <f ca="1">IFERROR(__xludf.DUMMYFUNCTION("""COMPUTED_VALUE"""),"Hiren vaghela")</f>
        <v>Hiren vaghela</v>
      </c>
      <c r="C1372" s="72" t="str">
        <f ca="1">IFERROR(__xludf.DUMMYFUNCTION("""COMPUTED_VALUE"""),"20SDSCE01130 ")</f>
        <v xml:space="preserve">20SDSCE01130 </v>
      </c>
      <c r="D1372" s="73">
        <f ca="1">IFERROR(__xludf.DUMMYFUNCTION("""COMPUTED_VALUE"""),44579)</f>
        <v>44579</v>
      </c>
      <c r="E1372" s="74">
        <f ca="1">IFERROR(__xludf.DUMMYFUNCTION("""COMPUTED_VALUE"""),10000)</f>
        <v>10000</v>
      </c>
      <c r="F1372" s="72"/>
      <c r="G1372" s="75"/>
      <c r="H1372" s="59" t="str">
        <f ca="1">IFERROR(__xludf.DUMMYFUNCTION("""COMPUTED_VALUE"""),"UPDATE")</f>
        <v>UPDATE</v>
      </c>
      <c r="I1372" s="76" t="str">
        <f ca="1">IFERROR(__xludf.DUMMYFUNCTION("""COMPUTED_VALUE"""),"https://drive.google.com/open?id=1uHpQ_JjfIPiNGp-vVmN0_I-XoL7Gc2Jk")</f>
        <v>https://drive.google.com/open?id=1uHpQ_JjfIPiNGp-vVmN0_I-XoL7Gc2Jk</v>
      </c>
      <c r="J1372" s="59"/>
      <c r="K1372" s="59"/>
      <c r="L1372" s="59"/>
      <c r="M1372" s="59"/>
      <c r="N1372" s="59"/>
      <c r="O1372" s="59"/>
      <c r="P1372" s="59"/>
    </row>
    <row r="1373" spans="1:16">
      <c r="A1373" s="71">
        <f ca="1">IFERROR(__xludf.DUMMYFUNCTION("""COMPUTED_VALUE"""),44579.7168185069)</f>
        <v>44579.716818506902</v>
      </c>
      <c r="B1373" s="59" t="str">
        <f ca="1">IFERROR(__xludf.DUMMYFUNCTION("""COMPUTED_VALUE"""),"19SDSCE01023")</f>
        <v>19SDSCE01023</v>
      </c>
      <c r="C1373" s="72" t="str">
        <f ca="1">IFERROR(__xludf.DUMMYFUNCTION("""COMPUTED_VALUE"""),"19SDSCE01023")</f>
        <v>19SDSCE01023</v>
      </c>
      <c r="D1373" s="73">
        <f ca="1">IFERROR(__xludf.DUMMYFUNCTION("""COMPUTED_VALUE"""),44579)</f>
        <v>44579</v>
      </c>
      <c r="E1373" s="74">
        <f ca="1">IFERROR(__xludf.DUMMYFUNCTION("""COMPUTED_VALUE"""),25000)</f>
        <v>25000</v>
      </c>
      <c r="F1373" s="72">
        <f ca="1">IFERROR(__xludf.DUMMYFUNCTION("""COMPUTED_VALUE"""),3500)</f>
        <v>3500</v>
      </c>
      <c r="G1373" s="75"/>
      <c r="H1373" s="59" t="str">
        <f ca="1">IFERROR(__xludf.DUMMYFUNCTION("""COMPUTED_VALUE"""),"UPDATE")</f>
        <v>UPDATE</v>
      </c>
      <c r="I1373" s="76" t="str">
        <f ca="1">IFERROR(__xludf.DUMMYFUNCTION("""COMPUTED_VALUE"""),"https://drive.google.com/open?id=11HBN--DKCCnkTl2o_abEIT89wAz3Llt4")</f>
        <v>https://drive.google.com/open?id=11HBN--DKCCnkTl2o_abEIT89wAz3Llt4</v>
      </c>
      <c r="J1373" s="59"/>
      <c r="K1373" s="59"/>
      <c r="L1373" s="59"/>
      <c r="M1373" s="59"/>
      <c r="N1373" s="59"/>
      <c r="O1373" s="59"/>
      <c r="P1373" s="59"/>
    </row>
    <row r="1374" spans="1:16">
      <c r="A1374" s="71">
        <f ca="1">IFERROR(__xludf.DUMMYFUNCTION("""COMPUTED_VALUE"""),44579.6011122685)</f>
        <v>44579.601112268501</v>
      </c>
      <c r="B1374" s="59" t="str">
        <f ca="1">IFERROR(__xludf.DUMMYFUNCTION("""COMPUTED_VALUE"""),"Gabu Daxa Rasikbhai")</f>
        <v>Gabu Daxa Rasikbhai</v>
      </c>
      <c r="C1374" s="72" t="str">
        <f ca="1">IFERROR(__xludf.DUMMYFUNCTION("""COMPUTED_VALUE"""),"20SDSCE01032")</f>
        <v>20SDSCE01032</v>
      </c>
      <c r="D1374" s="73">
        <f ca="1">IFERROR(__xludf.DUMMYFUNCTION("""COMPUTED_VALUE"""),44573)</f>
        <v>44573</v>
      </c>
      <c r="E1374" s="74">
        <f ca="1">IFERROR(__xludf.DUMMYFUNCTION("""COMPUTED_VALUE"""),0)</f>
        <v>0</v>
      </c>
      <c r="F1374" s="72">
        <f ca="1">IFERROR(__xludf.DUMMYFUNCTION("""COMPUTED_VALUE"""),2500)</f>
        <v>2500</v>
      </c>
      <c r="G1374" s="75"/>
      <c r="H1374" s="59" t="str">
        <f ca="1">IFERROR(__xludf.DUMMYFUNCTION("""COMPUTED_VALUE"""),"UPDATE")</f>
        <v>UPDATE</v>
      </c>
      <c r="I1374" s="76" t="str">
        <f ca="1">IFERROR(__xludf.DUMMYFUNCTION("""COMPUTED_VALUE"""),"https://drive.google.com/open?id=15jjx6K7fLBAvzQhzir7dB28ktQHm91lD")</f>
        <v>https://drive.google.com/open?id=15jjx6K7fLBAvzQhzir7dB28ktQHm91lD</v>
      </c>
      <c r="J1374" s="59"/>
      <c r="K1374" s="59"/>
      <c r="L1374" s="59"/>
      <c r="M1374" s="59"/>
      <c r="N1374" s="59"/>
      <c r="O1374" s="59"/>
      <c r="P1374" s="59"/>
    </row>
    <row r="1375" spans="1:16">
      <c r="A1375" s="71">
        <f ca="1">IFERROR(__xludf.DUMMYFUNCTION("""COMPUTED_VALUE"""),44579.4554464351)</f>
        <v>44579.455446435102</v>
      </c>
      <c r="B1375" s="59" t="str">
        <f ca="1">IFERROR(__xludf.DUMMYFUNCTION("""COMPUTED_VALUE"""),"Ramani sahil rajeshbhai")</f>
        <v>Ramani sahil rajeshbhai</v>
      </c>
      <c r="C1375" s="72" t="str">
        <f ca="1">IFERROR(__xludf.DUMMYFUNCTION("""COMPUTED_VALUE"""),"19sdscv01007")</f>
        <v>19sdscv01007</v>
      </c>
      <c r="D1375" s="73">
        <f ca="1">IFERROR(__xludf.DUMMYFUNCTION("""COMPUTED_VALUE"""),44574)</f>
        <v>44574</v>
      </c>
      <c r="E1375" s="74">
        <f ca="1">IFERROR(__xludf.DUMMYFUNCTION("""COMPUTED_VALUE"""),17750)</f>
        <v>17750</v>
      </c>
      <c r="F1375" s="72">
        <f ca="1">IFERROR(__xludf.DUMMYFUNCTION("""COMPUTED_VALUE"""),3500)</f>
        <v>3500</v>
      </c>
      <c r="G1375" s="75"/>
      <c r="H1375" s="59" t="str">
        <f ca="1">IFERROR(__xludf.DUMMYFUNCTION("""COMPUTED_VALUE"""),"UPDATE")</f>
        <v>UPDATE</v>
      </c>
      <c r="I1375" s="76" t="str">
        <f ca="1">IFERROR(__xludf.DUMMYFUNCTION("""COMPUTED_VALUE"""),"https://drive.google.com/open?id=1O82PMLT7rIWVaA-2IkYvaUkmRf5sRKjf")</f>
        <v>https://drive.google.com/open?id=1O82PMLT7rIWVaA-2IkYvaUkmRf5sRKjf</v>
      </c>
      <c r="J1375" s="59"/>
      <c r="K1375" s="59"/>
      <c r="L1375" s="59"/>
      <c r="M1375" s="59"/>
      <c r="N1375" s="59"/>
      <c r="O1375" s="59"/>
      <c r="P1375" s="59"/>
    </row>
    <row r="1376" spans="1:16">
      <c r="A1376" s="71">
        <f ca="1">IFERROR(__xludf.DUMMYFUNCTION("""COMPUTED_VALUE"""),44579.4533406134)</f>
        <v>44579.4533406134</v>
      </c>
      <c r="B1376" s="59" t="str">
        <f ca="1">IFERROR(__xludf.DUMMYFUNCTION("""COMPUTED_VALUE"""),"Kirtan Ghanshyambhai Moradiya ")</f>
        <v xml:space="preserve">Kirtan Ghanshyambhai Moradiya </v>
      </c>
      <c r="C1376" s="72" t="str">
        <f ca="1">IFERROR(__xludf.DUMMYFUNCTION("""COMPUTED_VALUE"""),"19SDSCE01033 ")</f>
        <v xml:space="preserve">19SDSCE01033 </v>
      </c>
      <c r="D1376" s="73">
        <f ca="1">IFERROR(__xludf.DUMMYFUNCTION("""COMPUTED_VALUE"""),44579)</f>
        <v>44579</v>
      </c>
      <c r="E1376" s="72"/>
      <c r="F1376" s="72">
        <f ca="1">IFERROR(__xludf.DUMMYFUNCTION("""COMPUTED_VALUE"""),1000)</f>
        <v>1000</v>
      </c>
      <c r="G1376" s="75"/>
      <c r="H1376" s="59" t="str">
        <f ca="1">IFERROR(__xludf.DUMMYFUNCTION("""COMPUTED_VALUE"""),"UPDATE")</f>
        <v>UPDATE</v>
      </c>
      <c r="I1376" s="76" t="str">
        <f ca="1">IFERROR(__xludf.DUMMYFUNCTION("""COMPUTED_VALUE"""),"https://drive.google.com/open?id=1QpZId86NZokde43wnfkq4kGi4BloyxRX")</f>
        <v>https://drive.google.com/open?id=1QpZId86NZokde43wnfkq4kGi4BloyxRX</v>
      </c>
      <c r="J1376" s="59"/>
      <c r="K1376" s="59"/>
      <c r="L1376" s="59"/>
      <c r="M1376" s="59"/>
      <c r="N1376" s="59"/>
      <c r="O1376" s="59"/>
      <c r="P1376" s="59"/>
    </row>
    <row r="1377" spans="1:16">
      <c r="A1377" s="71">
        <f ca="1">IFERROR(__xludf.DUMMYFUNCTION("""COMPUTED_VALUE"""),44578.9650954513)</f>
        <v>44578.965095451298</v>
      </c>
      <c r="B1377" s="59" t="str">
        <f ca="1">IFERROR(__xludf.DUMMYFUNCTION("""COMPUTED_VALUE"""),"Parth Vipulbhai Lodhiya")</f>
        <v>Parth Vipulbhai Lodhiya</v>
      </c>
      <c r="C1377" s="72" t="str">
        <f ca="1">IFERROR(__xludf.DUMMYFUNCTION("""COMPUTED_VALUE"""),"19sdsce01028")</f>
        <v>19sdsce01028</v>
      </c>
      <c r="D1377" s="73">
        <f ca="1">IFERROR(__xludf.DUMMYFUNCTION("""COMPUTED_VALUE"""),44578)</f>
        <v>44578</v>
      </c>
      <c r="E1377" s="74">
        <f ca="1">IFERROR(__xludf.DUMMYFUNCTION("""COMPUTED_VALUE"""),16500)</f>
        <v>16500</v>
      </c>
      <c r="F1377" s="72">
        <f ca="1">IFERROR(__xludf.DUMMYFUNCTION("""COMPUTED_VALUE"""),3500)</f>
        <v>3500</v>
      </c>
      <c r="G1377" s="75"/>
      <c r="H1377" s="59" t="str">
        <f ca="1">IFERROR(__xludf.DUMMYFUNCTION("""COMPUTED_VALUE"""),"UPDATE")</f>
        <v>UPDATE</v>
      </c>
      <c r="I1377" s="76" t="str">
        <f ca="1">IFERROR(__xludf.DUMMYFUNCTION("""COMPUTED_VALUE"""),"https://drive.google.com/open?id=1bO-Y_6BAz8mF5QEl6borm3rva8bhLZiF")</f>
        <v>https://drive.google.com/open?id=1bO-Y_6BAz8mF5QEl6borm3rva8bhLZiF</v>
      </c>
      <c r="J1377" s="59"/>
      <c r="K1377" s="59"/>
      <c r="L1377" s="59"/>
      <c r="M1377" s="59"/>
      <c r="N1377" s="59"/>
      <c r="O1377" s="59"/>
      <c r="P1377" s="59"/>
    </row>
    <row r="1378" spans="1:16">
      <c r="A1378" s="71">
        <f ca="1">IFERROR(__xludf.DUMMYFUNCTION("""COMPUTED_VALUE"""),44578.9638405208)</f>
        <v>44578.963840520802</v>
      </c>
      <c r="B1378" s="59" t="str">
        <f ca="1">IFERROR(__xludf.DUMMYFUNCTION("""COMPUTED_VALUE"""),"Parth Vipulbhai Lodhiya")</f>
        <v>Parth Vipulbhai Lodhiya</v>
      </c>
      <c r="C1378" s="72" t="str">
        <f ca="1">IFERROR(__xludf.DUMMYFUNCTION("""COMPUTED_VALUE"""),"19sdsce01028")</f>
        <v>19sdsce01028</v>
      </c>
      <c r="D1378" s="73">
        <f ca="1">IFERROR(__xludf.DUMMYFUNCTION("""COMPUTED_VALUE"""),44578)</f>
        <v>44578</v>
      </c>
      <c r="E1378" s="74">
        <f ca="1">IFERROR(__xludf.DUMMYFUNCTION("""COMPUTED_VALUE"""),16500)</f>
        <v>16500</v>
      </c>
      <c r="F1378" s="72">
        <f ca="1">IFERROR(__xludf.DUMMYFUNCTION("""COMPUTED_VALUE"""),3500)</f>
        <v>3500</v>
      </c>
      <c r="G1378" s="75"/>
      <c r="H1378" s="59" t="str">
        <f ca="1">IFERROR(__xludf.DUMMYFUNCTION("""COMPUTED_VALUE"""),"UPDATE")</f>
        <v>UPDATE</v>
      </c>
      <c r="I1378" s="76" t="str">
        <f ca="1">IFERROR(__xludf.DUMMYFUNCTION("""COMPUTED_VALUE"""),"https://drive.google.com/open?id=1Xdj5VMrCNajfJBw1-RbzX31jxiynS0Bf")</f>
        <v>https://drive.google.com/open?id=1Xdj5VMrCNajfJBw1-RbzX31jxiynS0Bf</v>
      </c>
      <c r="J1378" s="59"/>
      <c r="K1378" s="59"/>
      <c r="L1378" s="59"/>
      <c r="M1378" s="59"/>
      <c r="N1378" s="59"/>
      <c r="O1378" s="59"/>
      <c r="P1378" s="59"/>
    </row>
    <row r="1379" spans="1:16">
      <c r="A1379" s="71">
        <f ca="1">IFERROR(__xludf.DUMMYFUNCTION("""COMPUTED_VALUE"""),44578.7421436805)</f>
        <v>44578.742143680502</v>
      </c>
      <c r="B1379" s="59" t="str">
        <f ca="1">IFERROR(__xludf.DUMMYFUNCTION("""COMPUTED_VALUE"""),"Patel Nishant Manishbhai")</f>
        <v>Patel Nishant Manishbhai</v>
      </c>
      <c r="C1379" s="72" t="str">
        <f ca="1">IFERROR(__xludf.DUMMYFUNCTION("""COMPUTED_VALUE"""),"20SDSCE01087")</f>
        <v>20SDSCE01087</v>
      </c>
      <c r="D1379" s="73">
        <f ca="1">IFERROR(__xludf.DUMMYFUNCTION("""COMPUTED_VALUE"""),44578)</f>
        <v>44578</v>
      </c>
      <c r="E1379" s="74">
        <f ca="1">IFERROR(__xludf.DUMMYFUNCTION("""COMPUTED_VALUE"""),25000)</f>
        <v>25000</v>
      </c>
      <c r="F1379" s="72"/>
      <c r="G1379" s="75"/>
      <c r="H1379" s="59" t="str">
        <f ca="1">IFERROR(__xludf.DUMMYFUNCTION("""COMPUTED_VALUE"""),"UPDATE")</f>
        <v>UPDATE</v>
      </c>
      <c r="I1379" s="76" t="str">
        <f ca="1">IFERROR(__xludf.DUMMYFUNCTION("""COMPUTED_VALUE"""),"https://drive.google.com/open?id=1SLLC10PH63aV_HsCIjqb_r_MOFlJI2eC")</f>
        <v>https://drive.google.com/open?id=1SLLC10PH63aV_HsCIjqb_r_MOFlJI2eC</v>
      </c>
      <c r="J1379" s="59"/>
      <c r="K1379" s="59"/>
      <c r="L1379" s="59"/>
      <c r="M1379" s="59"/>
      <c r="N1379" s="59"/>
      <c r="O1379" s="59"/>
      <c r="P1379" s="59"/>
    </row>
    <row r="1380" spans="1:16">
      <c r="A1380" s="71">
        <f ca="1">IFERROR(__xludf.DUMMYFUNCTION("""COMPUTED_VALUE"""),44578.7390408333)</f>
        <v>44578.739040833301</v>
      </c>
      <c r="B1380" s="59" t="str">
        <f ca="1">IFERROR(__xludf.DUMMYFUNCTION("""COMPUTED_VALUE"""),"Patel Nishant Manishbhai")</f>
        <v>Patel Nishant Manishbhai</v>
      </c>
      <c r="C1380" s="72" t="str">
        <f ca="1">IFERROR(__xludf.DUMMYFUNCTION("""COMPUTED_VALUE"""),"20SDSCE01087")</f>
        <v>20SDSCE01087</v>
      </c>
      <c r="D1380" s="73">
        <f ca="1">IFERROR(__xludf.DUMMYFUNCTION("""COMPUTED_VALUE"""),44578)</f>
        <v>44578</v>
      </c>
      <c r="E1380" s="72"/>
      <c r="F1380" s="72">
        <f ca="1">IFERROR(__xludf.DUMMYFUNCTION("""COMPUTED_VALUE"""),2500)</f>
        <v>2500</v>
      </c>
      <c r="G1380" s="75"/>
      <c r="H1380" s="59" t="str">
        <f ca="1">IFERROR(__xludf.DUMMYFUNCTION("""COMPUTED_VALUE"""),"UPDATE")</f>
        <v>UPDATE</v>
      </c>
      <c r="I1380" s="76" t="str">
        <f ca="1">IFERROR(__xludf.DUMMYFUNCTION("""COMPUTED_VALUE"""),"https://drive.google.com/open?id=1y1cmPTcMusLIHVCUyd7P5nRFIJKH3pnN")</f>
        <v>https://drive.google.com/open?id=1y1cmPTcMusLIHVCUyd7P5nRFIJKH3pnN</v>
      </c>
      <c r="J1380" s="59"/>
      <c r="K1380" s="59"/>
      <c r="L1380" s="59"/>
      <c r="M1380" s="59"/>
      <c r="N1380" s="59"/>
      <c r="O1380" s="59"/>
      <c r="P1380" s="59"/>
    </row>
    <row r="1381" spans="1:16">
      <c r="A1381" s="71">
        <f ca="1">IFERROR(__xludf.DUMMYFUNCTION("""COMPUTED_VALUE"""),44578.6911267592)</f>
        <v>44578.6911267592</v>
      </c>
      <c r="B1381" s="59" t="str">
        <f ca="1">IFERROR(__xludf.DUMMYFUNCTION("""COMPUTED_VALUE"""),"Kirtan Ghanshyambhai Moradiya ")</f>
        <v xml:space="preserve">Kirtan Ghanshyambhai Moradiya </v>
      </c>
      <c r="C1381" s="72" t="str">
        <f ca="1">IFERROR(__xludf.DUMMYFUNCTION("""COMPUTED_VALUE"""),"19SDSCE01033")</f>
        <v>19SDSCE01033</v>
      </c>
      <c r="D1381" s="73">
        <f ca="1">IFERROR(__xludf.DUMMYFUNCTION("""COMPUTED_VALUE"""),44578)</f>
        <v>44578</v>
      </c>
      <c r="E1381" s="72"/>
      <c r="F1381" s="72">
        <f ca="1">IFERROR(__xludf.DUMMYFUNCTION("""COMPUTED_VALUE"""),3500)</f>
        <v>3500</v>
      </c>
      <c r="G1381" s="75"/>
      <c r="H1381" s="59" t="str">
        <f ca="1">IFERROR(__xludf.DUMMYFUNCTION("""COMPUTED_VALUE"""),"UPDATE")</f>
        <v>UPDATE</v>
      </c>
      <c r="I1381" s="76" t="str">
        <f ca="1">IFERROR(__xludf.DUMMYFUNCTION("""COMPUTED_VALUE"""),"https://drive.google.com/open?id=1NQIj4ke2Y50MsGWqOkiqgZqPgOCZAoTF")</f>
        <v>https://drive.google.com/open?id=1NQIj4ke2Y50MsGWqOkiqgZqPgOCZAoTF</v>
      </c>
      <c r="J1381" s="59"/>
      <c r="K1381" s="59"/>
      <c r="L1381" s="59"/>
      <c r="M1381" s="59"/>
      <c r="N1381" s="59"/>
      <c r="O1381" s="59"/>
      <c r="P1381" s="59"/>
    </row>
    <row r="1382" spans="1:16">
      <c r="A1382" s="71">
        <f ca="1">IFERROR(__xludf.DUMMYFUNCTION("""COMPUTED_VALUE"""),44578.6568251736)</f>
        <v>44578.656825173603</v>
      </c>
      <c r="B1382" s="59" t="str">
        <f ca="1">IFERROR(__xludf.DUMMYFUNCTION("""COMPUTED_VALUE"""),"Koladiya Nirmal RameshBhai ")</f>
        <v xml:space="preserve">Koladiya Nirmal RameshBhai </v>
      </c>
      <c r="C1382" s="72" t="str">
        <f ca="1">IFERROR(__xludf.DUMMYFUNCTION("""COMPUTED_VALUE"""),"20SDSCE01057")</f>
        <v>20SDSCE01057</v>
      </c>
      <c r="D1382" s="73">
        <f ca="1">IFERROR(__xludf.DUMMYFUNCTION("""COMPUTED_VALUE"""),44571)</f>
        <v>44571</v>
      </c>
      <c r="E1382" s="74">
        <f ca="1">IFERROR(__xludf.DUMMYFUNCTION("""COMPUTED_VALUE"""),25000)</f>
        <v>25000</v>
      </c>
      <c r="F1382" s="72">
        <f ca="1">IFERROR(__xludf.DUMMYFUNCTION("""COMPUTED_VALUE"""),2500)</f>
        <v>2500</v>
      </c>
      <c r="G1382" s="75"/>
      <c r="H1382" s="59" t="str">
        <f ca="1">IFERROR(__xludf.DUMMYFUNCTION("""COMPUTED_VALUE"""),"UPDATE")</f>
        <v>UPDATE</v>
      </c>
      <c r="I1382" s="76" t="str">
        <f ca="1">IFERROR(__xludf.DUMMYFUNCTION("""COMPUTED_VALUE"""),"https://drive.google.com/open?id=1Au3bp1GECnoqqoxbUmBWtA8y87HDl50H")</f>
        <v>https://drive.google.com/open?id=1Au3bp1GECnoqqoxbUmBWtA8y87HDl50H</v>
      </c>
      <c r="J1382" s="59"/>
      <c r="K1382" s="59"/>
      <c r="L1382" s="59"/>
      <c r="M1382" s="59"/>
      <c r="N1382" s="59"/>
      <c r="O1382" s="59"/>
      <c r="P1382" s="59"/>
    </row>
    <row r="1383" spans="1:16">
      <c r="A1383" s="71">
        <f ca="1">IFERROR(__xludf.DUMMYFUNCTION("""COMPUTED_VALUE"""),44578.554560081)</f>
        <v>44578.554560081</v>
      </c>
      <c r="B1383" s="59" t="str">
        <f ca="1">IFERROR(__xludf.DUMMYFUNCTION("""COMPUTED_VALUE"""),"Tanna kishan dilipbhai ")</f>
        <v xml:space="preserve">Tanna kishan dilipbhai </v>
      </c>
      <c r="C1383" s="72" t="str">
        <f ca="1">IFERROR(__xludf.DUMMYFUNCTION("""COMPUTED_VALUE"""),"20SDSME01037")</f>
        <v>20SDSME01037</v>
      </c>
      <c r="D1383" s="73">
        <f ca="1">IFERROR(__xludf.DUMMYFUNCTION("""COMPUTED_VALUE"""),44578)</f>
        <v>44578</v>
      </c>
      <c r="E1383" s="72"/>
      <c r="F1383" s="72">
        <f ca="1">IFERROR(__xludf.DUMMYFUNCTION("""COMPUTED_VALUE"""),2500)</f>
        <v>2500</v>
      </c>
      <c r="G1383" s="75"/>
      <c r="H1383" s="59" t="str">
        <f ca="1">IFERROR(__xludf.DUMMYFUNCTION("""COMPUTED_VALUE"""),"UPDATE")</f>
        <v>UPDATE</v>
      </c>
      <c r="I1383" s="76" t="str">
        <f ca="1">IFERROR(__xludf.DUMMYFUNCTION("""COMPUTED_VALUE"""),"https://drive.google.com/open?id=1ItklIFa-8vkdBQDcwfFQLKEC7FrljU5e")</f>
        <v>https://drive.google.com/open?id=1ItklIFa-8vkdBQDcwfFQLKEC7FrljU5e</v>
      </c>
      <c r="J1383" s="59"/>
      <c r="K1383" s="59"/>
      <c r="L1383" s="59"/>
      <c r="M1383" s="59"/>
      <c r="N1383" s="59"/>
      <c r="O1383" s="59"/>
      <c r="P1383" s="59"/>
    </row>
    <row r="1384" spans="1:16">
      <c r="A1384" s="71">
        <f ca="1">IFERROR(__xludf.DUMMYFUNCTION("""COMPUTED_VALUE"""),44577.6785973148)</f>
        <v>44577.6785973148</v>
      </c>
      <c r="B1384" s="59" t="str">
        <f ca="1">IFERROR(__xludf.DUMMYFUNCTION("""COMPUTED_VALUE"""),"DARSHANKUMAR DAYALBHAI LAKHANI")</f>
        <v>DARSHANKUMAR DAYALBHAI LAKHANI</v>
      </c>
      <c r="C1384" s="72" t="str">
        <f ca="1">IFERROR(__xludf.DUMMYFUNCTION("""COMPUTED_VALUE"""),"19SDSCE01027")</f>
        <v>19SDSCE01027</v>
      </c>
      <c r="D1384" s="73">
        <f ca="1">IFERROR(__xludf.DUMMYFUNCTION("""COMPUTED_VALUE"""),44560)</f>
        <v>44560</v>
      </c>
      <c r="E1384" s="72"/>
      <c r="F1384" s="72">
        <f ca="1">IFERROR(__xludf.DUMMYFUNCTION("""COMPUTED_VALUE"""),3500)</f>
        <v>3500</v>
      </c>
      <c r="G1384" s="75"/>
      <c r="H1384" s="59" t="str">
        <f ca="1">IFERROR(__xludf.DUMMYFUNCTION("""COMPUTED_VALUE"""),"UPDATE")</f>
        <v>UPDATE</v>
      </c>
      <c r="I1384" s="76" t="str">
        <f ca="1">IFERROR(__xludf.DUMMYFUNCTION("""COMPUTED_VALUE"""),"https://drive.google.com/open?id=1QarYhKEODiTMvrGMH8SVW79CTk96Nn-j")</f>
        <v>https://drive.google.com/open?id=1QarYhKEODiTMvrGMH8SVW79CTk96Nn-j</v>
      </c>
      <c r="J1384" s="59"/>
      <c r="K1384" s="59"/>
      <c r="L1384" s="59"/>
      <c r="M1384" s="59"/>
      <c r="N1384" s="59"/>
      <c r="O1384" s="59"/>
      <c r="P1384" s="59"/>
    </row>
    <row r="1385" spans="1:16">
      <c r="A1385" s="71">
        <f ca="1">IFERROR(__xludf.DUMMYFUNCTION("""COMPUTED_VALUE"""),44575.3104299074)</f>
        <v>44575.310429907397</v>
      </c>
      <c r="B1385" s="59" t="str">
        <f ca="1">IFERROR(__xludf.DUMMYFUNCTION("""COMPUTED_VALUE"""),"Shubh rupapara mukeshbhi")</f>
        <v>Shubh rupapara mukeshbhi</v>
      </c>
      <c r="C1385" s="72" t="str">
        <f ca="1">IFERROR(__xludf.DUMMYFUNCTION("""COMPUTED_VALUE"""),"20SDSCE01103")</f>
        <v>20SDSCE01103</v>
      </c>
      <c r="D1385" s="73">
        <f ca="1">IFERROR(__xludf.DUMMYFUNCTION("""COMPUTED_VALUE"""),44574)</f>
        <v>44574</v>
      </c>
      <c r="E1385" s="72"/>
      <c r="F1385" s="72">
        <f ca="1">IFERROR(__xludf.DUMMYFUNCTION("""COMPUTED_VALUE"""),2500)</f>
        <v>2500</v>
      </c>
      <c r="G1385" s="75"/>
      <c r="H1385" s="59" t="str">
        <f ca="1">IFERROR(__xludf.DUMMYFUNCTION("""COMPUTED_VALUE"""),"UPDATE")</f>
        <v>UPDATE</v>
      </c>
      <c r="I1385" s="76" t="str">
        <f ca="1">IFERROR(__xludf.DUMMYFUNCTION("""COMPUTED_VALUE"""),"https://drive.google.com/open?id=1NmbPzugP5ld2v2T349DuM7bQpzLE0QC-")</f>
        <v>https://drive.google.com/open?id=1NmbPzugP5ld2v2T349DuM7bQpzLE0QC-</v>
      </c>
      <c r="J1385" s="59"/>
      <c r="K1385" s="59"/>
      <c r="L1385" s="59"/>
      <c r="M1385" s="59"/>
      <c r="N1385" s="59"/>
      <c r="O1385" s="59"/>
      <c r="P1385" s="59"/>
    </row>
    <row r="1386" spans="1:16">
      <c r="A1386" s="71">
        <f ca="1">IFERROR(__xludf.DUMMYFUNCTION("""COMPUTED_VALUE"""),44574.9192297453)</f>
        <v>44574.919229745297</v>
      </c>
      <c r="B1386" s="59" t="str">
        <f ca="1">IFERROR(__xludf.DUMMYFUNCTION("""COMPUTED_VALUE"""),"keval vinodbhai kothiya")</f>
        <v>keval vinodbhai kothiya</v>
      </c>
      <c r="C1386" s="72" t="str">
        <f ca="1">IFERROR(__xludf.DUMMYFUNCTION("""COMPUTED_VALUE"""),"21sdsce01031")</f>
        <v>21sdsce01031</v>
      </c>
      <c r="D1386" s="73">
        <f ca="1">IFERROR(__xludf.DUMMYFUNCTION("""COMPUTED_VALUE"""),44532)</f>
        <v>44532</v>
      </c>
      <c r="E1386" s="74">
        <f ca="1">IFERROR(__xludf.DUMMYFUNCTION("""COMPUTED_VALUE"""),6250)</f>
        <v>6250</v>
      </c>
      <c r="F1386" s="72"/>
      <c r="G1386" s="75"/>
      <c r="H1386" s="59" t="str">
        <f ca="1">IFERROR(__xludf.DUMMYFUNCTION("""COMPUTED_VALUE"""),"UPDATE")</f>
        <v>UPDATE</v>
      </c>
      <c r="I1386" s="76" t="str">
        <f ca="1">IFERROR(__xludf.DUMMYFUNCTION("""COMPUTED_VALUE"""),"https://drive.google.com/open?id=14s5mSRIbGVv-qFnJ2kfe-3IWLg8QVefn")</f>
        <v>https://drive.google.com/open?id=14s5mSRIbGVv-qFnJ2kfe-3IWLg8QVefn</v>
      </c>
      <c r="J1386" s="59"/>
      <c r="K1386" s="59"/>
      <c r="L1386" s="59"/>
      <c r="M1386" s="59"/>
      <c r="N1386" s="59"/>
      <c r="O1386" s="59"/>
      <c r="P1386" s="59"/>
    </row>
    <row r="1387" spans="1:16">
      <c r="A1387" s="71">
        <f ca="1">IFERROR(__xludf.DUMMYFUNCTION("""COMPUTED_VALUE"""),44574.916209699)</f>
        <v>44574.916209698997</v>
      </c>
      <c r="B1387" s="59" t="str">
        <f ca="1">IFERROR(__xludf.DUMMYFUNCTION("""COMPUTED_VALUE"""),"Panchani prutha")</f>
        <v>Panchani prutha</v>
      </c>
      <c r="C1387" s="72" t="str">
        <f ca="1">IFERROR(__xludf.DUMMYFUNCTION("""COMPUTED_VALUE"""),"21SDSCE01087")</f>
        <v>21SDSCE01087</v>
      </c>
      <c r="D1387" s="73">
        <f ca="1">IFERROR(__xludf.DUMMYFUNCTION("""COMPUTED_VALUE"""),44534)</f>
        <v>44534</v>
      </c>
      <c r="E1387" s="74">
        <f ca="1">IFERROR(__xludf.DUMMYFUNCTION("""COMPUTED_VALUE"""),22500)</f>
        <v>22500</v>
      </c>
      <c r="F1387" s="72">
        <f ca="1">IFERROR(__xludf.DUMMYFUNCTION("""COMPUTED_VALUE"""),2500)</f>
        <v>2500</v>
      </c>
      <c r="G1387" s="75"/>
      <c r="H1387" s="59" t="str">
        <f ca="1">IFERROR(__xludf.DUMMYFUNCTION("""COMPUTED_VALUE"""),"UPDATE")</f>
        <v>UPDATE</v>
      </c>
      <c r="I1387" s="76" t="str">
        <f ca="1">IFERROR(__xludf.DUMMYFUNCTION("""COMPUTED_VALUE"""),"https://drive.google.com/open?id=1mga5p8nWVDHKcQho6ci8dnhQ_t6QHIZx")</f>
        <v>https://drive.google.com/open?id=1mga5p8nWVDHKcQho6ci8dnhQ_t6QHIZx</v>
      </c>
      <c r="J1387" s="59"/>
      <c r="K1387" s="59"/>
      <c r="L1387" s="59"/>
      <c r="M1387" s="59"/>
      <c r="N1387" s="59"/>
      <c r="O1387" s="59"/>
      <c r="P1387" s="59"/>
    </row>
    <row r="1388" spans="1:16">
      <c r="A1388" s="71">
        <f ca="1">IFERROR(__xludf.DUMMYFUNCTION("""COMPUTED_VALUE"""),44574.8883119907)</f>
        <v>44574.888311990697</v>
      </c>
      <c r="B1388" s="59" t="str">
        <f ca="1">IFERROR(__xludf.DUMMYFUNCTION("""COMPUTED_VALUE"""),"Henish Ramani Jayeshbhai")</f>
        <v>Henish Ramani Jayeshbhai</v>
      </c>
      <c r="C1388" s="72" t="str">
        <f ca="1">IFERROR(__xludf.DUMMYFUNCTION("""COMPUTED_VALUE"""),"20sdsce01092")</f>
        <v>20sdsce01092</v>
      </c>
      <c r="D1388" s="73">
        <f ca="1">IFERROR(__xludf.DUMMYFUNCTION("""COMPUTED_VALUE"""),44574)</f>
        <v>44574</v>
      </c>
      <c r="E1388" s="72"/>
      <c r="F1388" s="72">
        <f ca="1">IFERROR(__xludf.DUMMYFUNCTION("""COMPUTED_VALUE"""),2500)</f>
        <v>2500</v>
      </c>
      <c r="G1388" s="75"/>
      <c r="H1388" s="59" t="str">
        <f ca="1">IFERROR(__xludf.DUMMYFUNCTION("""COMPUTED_VALUE"""),"UPDATE")</f>
        <v>UPDATE</v>
      </c>
      <c r="I1388" s="76" t="str">
        <f ca="1">IFERROR(__xludf.DUMMYFUNCTION("""COMPUTED_VALUE"""),"https://drive.google.com/open?id=1F29l4bqCp0u7O0g8tGHrtOag_0Cr9ajW")</f>
        <v>https://drive.google.com/open?id=1F29l4bqCp0u7O0g8tGHrtOag_0Cr9ajW</v>
      </c>
      <c r="J1388" s="59"/>
      <c r="K1388" s="59"/>
      <c r="L1388" s="59"/>
      <c r="M1388" s="59"/>
      <c r="N1388" s="59"/>
      <c r="O1388" s="59"/>
      <c r="P1388" s="59"/>
    </row>
    <row r="1389" spans="1:16">
      <c r="A1389" s="71">
        <f ca="1">IFERROR(__xludf.DUMMYFUNCTION("""COMPUTED_VALUE"""),44574.7706031134)</f>
        <v>44574.7706031134</v>
      </c>
      <c r="B1389" s="59" t="str">
        <f ca="1">IFERROR(__xludf.DUMMYFUNCTION("""COMPUTED_VALUE"""),"vansh ratanghaida")</f>
        <v>vansh ratanghaida</v>
      </c>
      <c r="C1389" s="72" t="str">
        <f ca="1">IFERROR(__xludf.DUMMYFUNCTION("""COMPUTED_VALUE"""),"19sdsce02901")</f>
        <v>19sdsce02901</v>
      </c>
      <c r="D1389" s="73">
        <f ca="1">IFERROR(__xludf.DUMMYFUNCTION("""COMPUTED_VALUE"""),44573)</f>
        <v>44573</v>
      </c>
      <c r="E1389" s="74">
        <f ca="1">IFERROR(__xludf.DUMMYFUNCTION("""COMPUTED_VALUE"""),26000)</f>
        <v>26000</v>
      </c>
      <c r="F1389" s="72">
        <f ca="1">IFERROR(__xludf.DUMMYFUNCTION("""COMPUTED_VALUE"""),3500)</f>
        <v>3500</v>
      </c>
      <c r="G1389" s="75"/>
      <c r="H1389" s="59" t="str">
        <f ca="1">IFERROR(__xludf.DUMMYFUNCTION("""COMPUTED_VALUE"""),"UPDATE")</f>
        <v>UPDATE</v>
      </c>
      <c r="I1389" s="76" t="str">
        <f ca="1">IFERROR(__xludf.DUMMYFUNCTION("""COMPUTED_VALUE"""),"https://drive.google.com/open?id=17Lp44z4EqX8qbDl3jY6BYkrqsC8hbyRl")</f>
        <v>https://drive.google.com/open?id=17Lp44z4EqX8qbDl3jY6BYkrqsC8hbyRl</v>
      </c>
      <c r="J1389" s="59"/>
      <c r="K1389" s="59"/>
      <c r="L1389" s="59"/>
      <c r="M1389" s="59"/>
      <c r="N1389" s="59"/>
      <c r="O1389" s="59"/>
      <c r="P1389" s="59"/>
    </row>
    <row r="1390" spans="1:16">
      <c r="A1390" s="71">
        <f ca="1">IFERROR(__xludf.DUMMYFUNCTION("""COMPUTED_VALUE"""),44574.6939053935)</f>
        <v>44574.693905393498</v>
      </c>
      <c r="B1390" s="59" t="str">
        <f ca="1">IFERROR(__xludf.DUMMYFUNCTION("""COMPUTED_VALUE"""),"Jatin Singh Kanyal")</f>
        <v>Jatin Singh Kanyal</v>
      </c>
      <c r="C1390" s="72" t="str">
        <f ca="1">IFERROR(__xludf.DUMMYFUNCTION("""COMPUTED_VALUE"""),"19SDSCE01020")</f>
        <v>19SDSCE01020</v>
      </c>
      <c r="D1390" s="73">
        <f ca="1">IFERROR(__xludf.DUMMYFUNCTION("""COMPUTED_VALUE"""),44544)</f>
        <v>44544</v>
      </c>
      <c r="E1390" s="74">
        <f ca="1">IFERROR(__xludf.DUMMYFUNCTION("""COMPUTED_VALUE"""),25000)</f>
        <v>25000</v>
      </c>
      <c r="F1390" s="72">
        <f ca="1">IFERROR(__xludf.DUMMYFUNCTION("""COMPUTED_VALUE"""),3500)</f>
        <v>3500</v>
      </c>
      <c r="G1390" s="75"/>
      <c r="H1390" s="59" t="str">
        <f ca="1">IFERROR(__xludf.DUMMYFUNCTION("""COMPUTED_VALUE"""),"UPDATE")</f>
        <v>UPDATE</v>
      </c>
      <c r="I1390" s="76" t="str">
        <f ca="1">IFERROR(__xludf.DUMMYFUNCTION("""COMPUTED_VALUE"""),"https://drive.google.com/open?id=1C5yiNY3brAq7mwsaSwx2Bt5yixsV_Vgw")</f>
        <v>https://drive.google.com/open?id=1C5yiNY3brAq7mwsaSwx2Bt5yixsV_Vgw</v>
      </c>
      <c r="J1390" s="59"/>
      <c r="K1390" s="59"/>
      <c r="L1390" s="59"/>
      <c r="M1390" s="59"/>
      <c r="N1390" s="59"/>
      <c r="O1390" s="59"/>
      <c r="P1390" s="59"/>
    </row>
    <row r="1391" spans="1:16">
      <c r="A1391" s="71">
        <f ca="1">IFERROR(__xludf.DUMMYFUNCTION("""COMPUTED_VALUE"""),44574.6650034722)</f>
        <v>44574.665003472197</v>
      </c>
      <c r="B1391" s="59" t="str">
        <f ca="1">IFERROR(__xludf.DUMMYFUNCTION("""COMPUTED_VALUE"""),"Dhaduk Sarthak Sanjaybhai")</f>
        <v>Dhaduk Sarthak Sanjaybhai</v>
      </c>
      <c r="C1391" s="72" t="str">
        <f ca="1">IFERROR(__xludf.DUMMYFUNCTION("""COMPUTED_VALUE"""),"20SDSCE01027")</f>
        <v>20SDSCE01027</v>
      </c>
      <c r="D1391" s="73">
        <f ca="1">IFERROR(__xludf.DUMMYFUNCTION("""COMPUTED_VALUE"""),44574)</f>
        <v>44574</v>
      </c>
      <c r="E1391" s="74">
        <f ca="1">IFERROR(__xludf.DUMMYFUNCTION("""COMPUTED_VALUE"""),12500)</f>
        <v>12500</v>
      </c>
      <c r="F1391" s="72">
        <f ca="1">IFERROR(__xludf.DUMMYFUNCTION("""COMPUTED_VALUE"""),0)</f>
        <v>0</v>
      </c>
      <c r="G1391" s="75"/>
      <c r="H1391" s="59" t="str">
        <f ca="1">IFERROR(__xludf.DUMMYFUNCTION("""COMPUTED_VALUE"""),"UPDATE")</f>
        <v>UPDATE</v>
      </c>
      <c r="I1391" s="76" t="str">
        <f ca="1">IFERROR(__xludf.DUMMYFUNCTION("""COMPUTED_VALUE"""),"https://drive.google.com/open?id=1fs_qGgMGA22xY49g9vrA7HmZzFUASRyR")</f>
        <v>https://drive.google.com/open?id=1fs_qGgMGA22xY49g9vrA7HmZzFUASRyR</v>
      </c>
      <c r="J1391" s="59"/>
      <c r="K1391" s="59"/>
      <c r="L1391" s="59"/>
      <c r="M1391" s="59"/>
      <c r="N1391" s="59"/>
      <c r="O1391" s="59"/>
      <c r="P1391" s="59"/>
    </row>
    <row r="1392" spans="1:16">
      <c r="A1392" s="71">
        <f ca="1">IFERROR(__xludf.DUMMYFUNCTION("""COMPUTED_VALUE"""),44574.3816202662)</f>
        <v>44574.381620266198</v>
      </c>
      <c r="B1392" s="59" t="str">
        <f ca="1">IFERROR(__xludf.DUMMYFUNCTION("""COMPUTED_VALUE"""),"Mihir Jungiwala")</f>
        <v>Mihir Jungiwala</v>
      </c>
      <c r="C1392" s="72" t="str">
        <f ca="1">IFERROR(__xludf.DUMMYFUNCTION("""COMPUTED_VALUE"""),"21SDSCE01023")</f>
        <v>21SDSCE01023</v>
      </c>
      <c r="D1392" s="73">
        <f ca="1">IFERROR(__xludf.DUMMYFUNCTION("""COMPUTED_VALUE"""),44574)</f>
        <v>44574</v>
      </c>
      <c r="E1392" s="74">
        <f ca="1">IFERROR(__xludf.DUMMYFUNCTION("""COMPUTED_VALUE"""),12500)</f>
        <v>12500</v>
      </c>
      <c r="F1392" s="72"/>
      <c r="G1392" s="75"/>
      <c r="H1392" s="59" t="str">
        <f ca="1">IFERROR(__xludf.DUMMYFUNCTION("""COMPUTED_VALUE"""),"UPDATE")</f>
        <v>UPDATE</v>
      </c>
      <c r="I1392" s="76" t="str">
        <f ca="1">IFERROR(__xludf.DUMMYFUNCTION("""COMPUTED_VALUE"""),"https://drive.google.com/open?id=1-ENcz1qAGAPabwSSRDV4bQHkIYzkYPar")</f>
        <v>https://drive.google.com/open?id=1-ENcz1qAGAPabwSSRDV4bQHkIYzkYPar</v>
      </c>
      <c r="J1392" s="59"/>
      <c r="K1392" s="59"/>
      <c r="L1392" s="59"/>
      <c r="M1392" s="59"/>
      <c r="N1392" s="59"/>
      <c r="O1392" s="59"/>
      <c r="P1392" s="59"/>
    </row>
    <row r="1393" spans="1:16">
      <c r="A1393" s="71">
        <f ca="1">IFERROR(__xludf.DUMMYFUNCTION("""COMPUTED_VALUE"""),44573.7808894791)</f>
        <v>44573.780889479101</v>
      </c>
      <c r="B1393" s="59" t="str">
        <f ca="1">IFERROR(__xludf.DUMMYFUNCTION("""COMPUTED_VALUE"""),"Raj Ramani")</f>
        <v>Raj Ramani</v>
      </c>
      <c r="C1393" s="72" t="str">
        <f ca="1">IFERROR(__xludf.DUMMYFUNCTION("""COMPUTED_VALUE"""),"20SDSCE01093")</f>
        <v>20SDSCE01093</v>
      </c>
      <c r="D1393" s="73">
        <f ca="1">IFERROR(__xludf.DUMMYFUNCTION("""COMPUTED_VALUE"""),44572)</f>
        <v>44572</v>
      </c>
      <c r="E1393" s="72"/>
      <c r="F1393" s="72">
        <f ca="1">IFERROR(__xludf.DUMMYFUNCTION("""COMPUTED_VALUE"""),2500)</f>
        <v>2500</v>
      </c>
      <c r="G1393" s="75"/>
      <c r="H1393" s="59" t="str">
        <f ca="1">IFERROR(__xludf.DUMMYFUNCTION("""COMPUTED_VALUE"""),"UPDATE")</f>
        <v>UPDATE</v>
      </c>
      <c r="I1393" s="76" t="str">
        <f ca="1">IFERROR(__xludf.DUMMYFUNCTION("""COMPUTED_VALUE"""),"https://drive.google.com/open?id=168rOZJ7XzE0fgzJvd4AA7dySGVy7_p86")</f>
        <v>https://drive.google.com/open?id=168rOZJ7XzE0fgzJvd4AA7dySGVy7_p86</v>
      </c>
      <c r="J1393" s="59"/>
      <c r="K1393" s="59"/>
      <c r="L1393" s="59"/>
      <c r="M1393" s="59"/>
      <c r="N1393" s="59"/>
      <c r="O1393" s="59"/>
      <c r="P1393" s="59"/>
    </row>
    <row r="1394" spans="1:16">
      <c r="A1394" s="71">
        <f ca="1">IFERROR(__xludf.DUMMYFUNCTION("""COMPUTED_VALUE"""),44573.6834242592)</f>
        <v>44573.683424259201</v>
      </c>
      <c r="B1394" s="59" t="str">
        <f ca="1">IFERROR(__xludf.DUMMYFUNCTION("""COMPUTED_VALUE"""),"Vima jetani")</f>
        <v>Vima jetani</v>
      </c>
      <c r="C1394" s="72" t="str">
        <f ca="1">IFERROR(__xludf.DUMMYFUNCTION("""COMPUTED_VALUE"""),"20SDSCE01046")</f>
        <v>20SDSCE01046</v>
      </c>
      <c r="D1394" s="73">
        <f ca="1">IFERROR(__xludf.DUMMYFUNCTION("""COMPUTED_VALUE"""),44573)</f>
        <v>44573</v>
      </c>
      <c r="E1394" s="72"/>
      <c r="F1394" s="72"/>
      <c r="G1394" s="75"/>
      <c r="H1394" s="59" t="str">
        <f ca="1">IFERROR(__xludf.DUMMYFUNCTION("""COMPUTED_VALUE"""),"UPDATE")</f>
        <v>UPDATE</v>
      </c>
      <c r="I1394" s="76" t="str">
        <f ca="1">IFERROR(__xludf.DUMMYFUNCTION("""COMPUTED_VALUE"""),"https://drive.google.com/open?id=1pZu2IC-6uAYjobE_bvVITKE22myWC38Z")</f>
        <v>https://drive.google.com/open?id=1pZu2IC-6uAYjobE_bvVITKE22myWC38Z</v>
      </c>
      <c r="J1394" s="59"/>
      <c r="K1394" s="59"/>
      <c r="L1394" s="59"/>
      <c r="M1394" s="59"/>
      <c r="N1394" s="59"/>
      <c r="O1394" s="59"/>
      <c r="P1394" s="59"/>
    </row>
    <row r="1395" spans="1:16">
      <c r="A1395" s="71">
        <f ca="1">IFERROR(__xludf.DUMMYFUNCTION("""COMPUTED_VALUE"""),44572.8866484143)</f>
        <v>44572.8866484143</v>
      </c>
      <c r="B1395" s="59" t="str">
        <f ca="1">IFERROR(__xludf.DUMMYFUNCTION("""COMPUTED_VALUE"""),"Kalariya jigar kiranbhai")</f>
        <v>Kalariya jigar kiranbhai</v>
      </c>
      <c r="C1395" s="72" t="str">
        <f ca="1">IFERROR(__xludf.DUMMYFUNCTION("""COMPUTED_VALUE"""),"20sdsce01048")</f>
        <v>20sdsce01048</v>
      </c>
      <c r="D1395" s="73">
        <f ca="1">IFERROR(__xludf.DUMMYFUNCTION("""COMPUTED_VALUE"""),44572)</f>
        <v>44572</v>
      </c>
      <c r="E1395" s="72"/>
      <c r="F1395" s="72">
        <f ca="1">IFERROR(__xludf.DUMMYFUNCTION("""COMPUTED_VALUE"""),2500)</f>
        <v>2500</v>
      </c>
      <c r="G1395" s="75"/>
      <c r="H1395" s="59" t="str">
        <f ca="1">IFERROR(__xludf.DUMMYFUNCTION("""COMPUTED_VALUE"""),"UPDATE")</f>
        <v>UPDATE</v>
      </c>
      <c r="I1395" s="76" t="str">
        <f ca="1">IFERROR(__xludf.DUMMYFUNCTION("""COMPUTED_VALUE"""),"https://drive.google.com/open?id=1176e1S1ZGoq9reNXIaLj3AkdsM4zWaQH")</f>
        <v>https://drive.google.com/open?id=1176e1S1ZGoq9reNXIaLj3AkdsM4zWaQH</v>
      </c>
      <c r="J1395" s="59"/>
      <c r="K1395" s="59"/>
      <c r="L1395" s="59"/>
      <c r="M1395" s="59"/>
      <c r="N1395" s="59"/>
      <c r="O1395" s="59"/>
      <c r="P1395" s="59"/>
    </row>
    <row r="1396" spans="1:16">
      <c r="A1396" s="71">
        <f ca="1">IFERROR(__xludf.DUMMYFUNCTION("""COMPUTED_VALUE"""),44572.6220186458)</f>
        <v>44572.622018645801</v>
      </c>
      <c r="B1396" s="59" t="str">
        <f ca="1">IFERROR(__xludf.DUMMYFUNCTION("""COMPUTED_VALUE"""),"Dharmik gadhiya")</f>
        <v>Dharmik gadhiya</v>
      </c>
      <c r="C1396" s="72" t="str">
        <f ca="1">IFERROR(__xludf.DUMMYFUNCTION("""COMPUTED_VALUE"""),"20SDSCE01033")</f>
        <v>20SDSCE01033</v>
      </c>
      <c r="D1396" s="73">
        <f ca="1">IFERROR(__xludf.DUMMYFUNCTION("""COMPUTED_VALUE"""),44572)</f>
        <v>44572</v>
      </c>
      <c r="E1396" s="72"/>
      <c r="F1396" s="72">
        <f ca="1">IFERROR(__xludf.DUMMYFUNCTION("""COMPUTED_VALUE"""),2500)</f>
        <v>2500</v>
      </c>
      <c r="G1396" s="75"/>
      <c r="H1396" s="59" t="str">
        <f ca="1">IFERROR(__xludf.DUMMYFUNCTION("""COMPUTED_VALUE"""),"UPDATE")</f>
        <v>UPDATE</v>
      </c>
      <c r="I1396" s="76" t="str">
        <f ca="1">IFERROR(__xludf.DUMMYFUNCTION("""COMPUTED_VALUE"""),"https://drive.google.com/open?id=13yWnqL1EBTX_kh7o4LA-A9q8GOKZzoCq")</f>
        <v>https://drive.google.com/open?id=13yWnqL1EBTX_kh7o4LA-A9q8GOKZzoCq</v>
      </c>
      <c r="J1396" s="59"/>
      <c r="K1396" s="59"/>
      <c r="L1396" s="59"/>
      <c r="M1396" s="59"/>
      <c r="N1396" s="59"/>
      <c r="O1396" s="59"/>
      <c r="P1396" s="59"/>
    </row>
    <row r="1397" spans="1:16">
      <c r="A1397" s="71">
        <f ca="1">IFERROR(__xludf.DUMMYFUNCTION("""COMPUTED_VALUE"""),44572.5994087037)</f>
        <v>44572.599408703703</v>
      </c>
      <c r="B1397" s="59" t="str">
        <f ca="1">IFERROR(__xludf.DUMMYFUNCTION("""COMPUTED_VALUE"""),"Khushi bhimani ")</f>
        <v xml:space="preserve">Khushi bhimani </v>
      </c>
      <c r="C1397" s="72" t="str">
        <f ca="1">IFERROR(__xludf.DUMMYFUNCTION("""COMPUTED_VALUE"""),"20SDSCE01013 ")</f>
        <v xml:space="preserve">20SDSCE01013 </v>
      </c>
      <c r="D1397" s="73">
        <f ca="1">IFERROR(__xludf.DUMMYFUNCTION("""COMPUTED_VALUE"""),44572)</f>
        <v>44572</v>
      </c>
      <c r="E1397" s="72"/>
      <c r="F1397" s="72">
        <f ca="1">IFERROR(__xludf.DUMMYFUNCTION("""COMPUTED_VALUE"""),2500)</f>
        <v>2500</v>
      </c>
      <c r="G1397" s="75"/>
      <c r="H1397" s="59" t="str">
        <f ca="1">IFERROR(__xludf.DUMMYFUNCTION("""COMPUTED_VALUE"""),"UPDATE")</f>
        <v>UPDATE</v>
      </c>
      <c r="I1397" s="76" t="str">
        <f ca="1">IFERROR(__xludf.DUMMYFUNCTION("""COMPUTED_VALUE"""),"https://drive.google.com/open?id=1q5T2aDAJpmW4DxY5t7RY4e1h9DEJhxTd")</f>
        <v>https://drive.google.com/open?id=1q5T2aDAJpmW4DxY5t7RY4e1h9DEJhxTd</v>
      </c>
      <c r="J1397" s="59"/>
      <c r="K1397" s="59"/>
      <c r="L1397" s="59"/>
      <c r="M1397" s="59"/>
      <c r="N1397" s="59"/>
      <c r="O1397" s="59"/>
      <c r="P1397" s="59"/>
    </row>
    <row r="1398" spans="1:16">
      <c r="A1398" s="71">
        <f ca="1">IFERROR(__xludf.DUMMYFUNCTION("""COMPUTED_VALUE"""),44572.5110594791)</f>
        <v>44572.511059479097</v>
      </c>
      <c r="B1398" s="59" t="str">
        <f ca="1">IFERROR(__xludf.DUMMYFUNCTION("""COMPUTED_VALUE"""),"Humbal kenil")</f>
        <v>Humbal kenil</v>
      </c>
      <c r="C1398" s="72" t="str">
        <f ca="1">IFERROR(__xludf.DUMMYFUNCTION("""COMPUTED_VALUE"""),"20sdsce01044")</f>
        <v>20sdsce01044</v>
      </c>
      <c r="D1398" s="73">
        <f ca="1">IFERROR(__xludf.DUMMYFUNCTION("""COMPUTED_VALUE"""),44573)</f>
        <v>44573</v>
      </c>
      <c r="E1398" s="72"/>
      <c r="F1398" s="72">
        <f ca="1">IFERROR(__xludf.DUMMYFUNCTION("""COMPUTED_VALUE"""),2700)</f>
        <v>2700</v>
      </c>
      <c r="G1398" s="75"/>
      <c r="H1398" s="59" t="str">
        <f ca="1">IFERROR(__xludf.DUMMYFUNCTION("""COMPUTED_VALUE"""),"UPDATE")</f>
        <v>UPDATE</v>
      </c>
      <c r="I1398" s="76" t="str">
        <f ca="1">IFERROR(__xludf.DUMMYFUNCTION("""COMPUTED_VALUE"""),"https://drive.google.com/open?id=1qF6LhvKRLv4K5is7Ye3BokjCJ-UJLTo8")</f>
        <v>https://drive.google.com/open?id=1qF6LhvKRLv4K5is7Ye3BokjCJ-UJLTo8</v>
      </c>
      <c r="J1398" s="59"/>
      <c r="K1398" s="59"/>
      <c r="L1398" s="59"/>
      <c r="M1398" s="59"/>
      <c r="N1398" s="59"/>
      <c r="O1398" s="59"/>
      <c r="P1398" s="59"/>
    </row>
    <row r="1399" spans="1:16">
      <c r="A1399" s="71">
        <f ca="1">IFERROR(__xludf.DUMMYFUNCTION("""COMPUTED_VALUE"""),44571.9281524884)</f>
        <v>44571.928152488399</v>
      </c>
      <c r="B1399" s="59" t="str">
        <f ca="1">IFERROR(__xludf.DUMMYFUNCTION("""COMPUTED_VALUE"""),"Heet kanabar")</f>
        <v>Heet kanabar</v>
      </c>
      <c r="C1399" s="72" t="str">
        <f ca="1">IFERROR(__xludf.DUMMYFUNCTION("""COMPUTED_VALUE"""),"20SDSCE01049")</f>
        <v>20SDSCE01049</v>
      </c>
      <c r="D1399" s="73">
        <f ca="1">IFERROR(__xludf.DUMMYFUNCTION("""COMPUTED_VALUE"""),44571)</f>
        <v>44571</v>
      </c>
      <c r="E1399" s="74">
        <f ca="1">IFERROR(__xludf.DUMMYFUNCTION("""COMPUTED_VALUE"""),0)</f>
        <v>0</v>
      </c>
      <c r="F1399" s="72">
        <f ca="1">IFERROR(__xludf.DUMMYFUNCTION("""COMPUTED_VALUE"""),2500)</f>
        <v>2500</v>
      </c>
      <c r="G1399" s="75"/>
      <c r="H1399" s="59" t="str">
        <f ca="1">IFERROR(__xludf.DUMMYFUNCTION("""COMPUTED_VALUE"""),"UPDATE")</f>
        <v>UPDATE</v>
      </c>
      <c r="I1399" s="76" t="str">
        <f ca="1">IFERROR(__xludf.DUMMYFUNCTION("""COMPUTED_VALUE"""),"https://drive.google.com/open?id=1Y8xAZ0OAeWTOCB-6T1T7Z-soXKmG_HPN")</f>
        <v>https://drive.google.com/open?id=1Y8xAZ0OAeWTOCB-6T1T7Z-soXKmG_HPN</v>
      </c>
      <c r="J1399" s="59"/>
      <c r="K1399" s="59"/>
      <c r="L1399" s="59"/>
      <c r="M1399" s="59"/>
      <c r="N1399" s="59"/>
      <c r="O1399" s="59"/>
      <c r="P1399" s="59"/>
    </row>
    <row r="1400" spans="1:16">
      <c r="A1400" s="71">
        <f ca="1">IFERROR(__xludf.DUMMYFUNCTION("""COMPUTED_VALUE"""),44571.8629196412)</f>
        <v>44571.8629196412</v>
      </c>
      <c r="B1400" s="59" t="str">
        <f ca="1">IFERROR(__xludf.DUMMYFUNCTION("""COMPUTED_VALUE"""),"Rignesh Kalpeshbhai Raiyani")</f>
        <v>Rignesh Kalpeshbhai Raiyani</v>
      </c>
      <c r="C1400" s="72" t="str">
        <f ca="1">IFERROR(__xludf.DUMMYFUNCTION("""COMPUTED_VALUE"""),"20SDSCE01091")</f>
        <v>20SDSCE01091</v>
      </c>
      <c r="D1400" s="73">
        <f ca="1">IFERROR(__xludf.DUMMYFUNCTION("""COMPUTED_VALUE"""),44571)</f>
        <v>44571</v>
      </c>
      <c r="E1400" s="74">
        <f ca="1">IFERROR(__xludf.DUMMYFUNCTION("""COMPUTED_VALUE"""),0)</f>
        <v>0</v>
      </c>
      <c r="F1400" s="72">
        <f ca="1">IFERROR(__xludf.DUMMYFUNCTION("""COMPUTED_VALUE"""),2500)</f>
        <v>2500</v>
      </c>
      <c r="G1400" s="75"/>
      <c r="H1400" s="59" t="str">
        <f ca="1">IFERROR(__xludf.DUMMYFUNCTION("""COMPUTED_VALUE"""),"UPDATE")</f>
        <v>UPDATE</v>
      </c>
      <c r="I1400" s="76" t="str">
        <f ca="1">IFERROR(__xludf.DUMMYFUNCTION("""COMPUTED_VALUE"""),"https://drive.google.com/open?id=1T1d25PN3qu0cJLkSJngbhA6wx0kWzDNZ")</f>
        <v>https://drive.google.com/open?id=1T1d25PN3qu0cJLkSJngbhA6wx0kWzDNZ</v>
      </c>
      <c r="J1400" s="59"/>
      <c r="K1400" s="59"/>
      <c r="L1400" s="59"/>
      <c r="M1400" s="59"/>
      <c r="N1400" s="59"/>
      <c r="O1400" s="59"/>
      <c r="P1400" s="59"/>
    </row>
    <row r="1401" spans="1:16">
      <c r="A1401" s="71">
        <f ca="1">IFERROR(__xludf.DUMMYFUNCTION("""COMPUTED_VALUE"""),44571.823725405)</f>
        <v>44571.823725404996</v>
      </c>
      <c r="B1401" s="59" t="str">
        <f ca="1">IFERROR(__xludf.DUMMYFUNCTION("""COMPUTED_VALUE"""),"Thummar meet mukeshbhai")</f>
        <v>Thummar meet mukeshbhai</v>
      </c>
      <c r="C1401" s="72" t="str">
        <f ca="1">IFERROR(__xludf.DUMMYFUNCTION("""COMPUTED_VALUE"""),"20SDSEE01026")</f>
        <v>20SDSEE01026</v>
      </c>
      <c r="D1401" s="73">
        <f ca="1">IFERROR(__xludf.DUMMYFUNCTION("""COMPUTED_VALUE"""),44571)</f>
        <v>44571</v>
      </c>
      <c r="E1401" s="72"/>
      <c r="F1401" s="72">
        <f ca="1">IFERROR(__xludf.DUMMYFUNCTION("""COMPUTED_VALUE"""),2500)</f>
        <v>2500</v>
      </c>
      <c r="G1401" s="75"/>
      <c r="H1401" s="59" t="str">
        <f ca="1">IFERROR(__xludf.DUMMYFUNCTION("""COMPUTED_VALUE"""),"UPDATE")</f>
        <v>UPDATE</v>
      </c>
      <c r="I1401" s="76" t="str">
        <f ca="1">IFERROR(__xludf.DUMMYFUNCTION("""COMPUTED_VALUE"""),"https://drive.google.com/open?id=1sHuD-bJoq6G-YNLsCSot-4eHr5sKH6PW")</f>
        <v>https://drive.google.com/open?id=1sHuD-bJoq6G-YNLsCSot-4eHr5sKH6PW</v>
      </c>
      <c r="J1401" s="59"/>
      <c r="K1401" s="59"/>
      <c r="L1401" s="59"/>
      <c r="M1401" s="59"/>
      <c r="N1401" s="59"/>
      <c r="O1401" s="59"/>
      <c r="P1401" s="59"/>
    </row>
    <row r="1402" spans="1:16">
      <c r="A1402" s="71">
        <f ca="1">IFERROR(__xludf.DUMMYFUNCTION("""COMPUTED_VALUE"""),44571.8218821064)</f>
        <v>44571.8218821064</v>
      </c>
      <c r="B1402" s="59" t="str">
        <f ca="1">IFERROR(__xludf.DUMMYFUNCTION("""COMPUTED_VALUE"""),"Thummar meet mukeshbhai")</f>
        <v>Thummar meet mukeshbhai</v>
      </c>
      <c r="C1402" s="72" t="str">
        <f ca="1">IFERROR(__xludf.DUMMYFUNCTION("""COMPUTED_VALUE"""),"20SDSEE01026")</f>
        <v>20SDSEE01026</v>
      </c>
      <c r="D1402" s="73">
        <f ca="1">IFERROR(__xludf.DUMMYFUNCTION("""COMPUTED_VALUE"""),44571)</f>
        <v>44571</v>
      </c>
      <c r="E1402" s="74">
        <f ca="1">IFERROR(__xludf.DUMMYFUNCTION("""COMPUTED_VALUE"""),20000)</f>
        <v>20000</v>
      </c>
      <c r="F1402" s="72"/>
      <c r="G1402" s="75"/>
      <c r="H1402" s="59" t="str">
        <f ca="1">IFERROR(__xludf.DUMMYFUNCTION("""COMPUTED_VALUE"""),"UPDATE")</f>
        <v>UPDATE</v>
      </c>
      <c r="I1402" s="76" t="str">
        <f ca="1">IFERROR(__xludf.DUMMYFUNCTION("""COMPUTED_VALUE"""),"https://drive.google.com/open?id=1oJuWGaQ5NGCh3mQc6NsRU-xcuIdkq1Be")</f>
        <v>https://drive.google.com/open?id=1oJuWGaQ5NGCh3mQc6NsRU-xcuIdkq1Be</v>
      </c>
      <c r="J1402" s="59"/>
      <c r="K1402" s="59"/>
      <c r="L1402" s="59"/>
      <c r="M1402" s="59"/>
      <c r="N1402" s="59"/>
      <c r="O1402" s="59"/>
      <c r="P1402" s="59"/>
    </row>
    <row r="1403" spans="1:16">
      <c r="A1403" s="71">
        <f ca="1">IFERROR(__xludf.DUMMYFUNCTION("""COMPUTED_VALUE"""),44571.8198468287)</f>
        <v>44571.819846828701</v>
      </c>
      <c r="B1403" s="59" t="str">
        <f ca="1">IFERROR(__xludf.DUMMYFUNCTION("""COMPUTED_VALUE"""),"Thummar meet mukeshbhai")</f>
        <v>Thummar meet mukeshbhai</v>
      </c>
      <c r="C1403" s="72" t="str">
        <f ca="1">IFERROR(__xludf.DUMMYFUNCTION("""COMPUTED_VALUE"""),"20SDSEE01026")</f>
        <v>20SDSEE01026</v>
      </c>
      <c r="D1403" s="73">
        <f ca="1">IFERROR(__xludf.DUMMYFUNCTION("""COMPUTED_VALUE"""),44571)</f>
        <v>44571</v>
      </c>
      <c r="E1403" s="74">
        <f ca="1">IFERROR(__xludf.DUMMYFUNCTION("""COMPUTED_VALUE"""),2500)</f>
        <v>2500</v>
      </c>
      <c r="F1403" s="72"/>
      <c r="G1403" s="75"/>
      <c r="H1403" s="59" t="str">
        <f ca="1">IFERROR(__xludf.DUMMYFUNCTION("""COMPUTED_VALUE"""),"UPDATE")</f>
        <v>UPDATE</v>
      </c>
      <c r="I1403" s="76" t="str">
        <f ca="1">IFERROR(__xludf.DUMMYFUNCTION("""COMPUTED_VALUE"""),"https://drive.google.com/open?id=1zUbpzmbGNxJMv5Z91L7KUhnsTuQF6XAl")</f>
        <v>https://drive.google.com/open?id=1zUbpzmbGNxJMv5Z91L7KUhnsTuQF6XAl</v>
      </c>
      <c r="J1403" s="59"/>
      <c r="K1403" s="59"/>
      <c r="L1403" s="59"/>
      <c r="M1403" s="59"/>
      <c r="N1403" s="59"/>
      <c r="O1403" s="59"/>
      <c r="P1403" s="59"/>
    </row>
    <row r="1404" spans="1:16">
      <c r="A1404" s="71">
        <f ca="1">IFERROR(__xludf.DUMMYFUNCTION("""COMPUTED_VALUE"""),44571.7472451388)</f>
        <v>44571.747245138802</v>
      </c>
      <c r="B1404" s="59" t="str">
        <f ca="1">IFERROR(__xludf.DUMMYFUNCTION("""COMPUTED_VALUE"""),"Kalariya jigar kiranbhai")</f>
        <v>Kalariya jigar kiranbhai</v>
      </c>
      <c r="C1404" s="72" t="str">
        <f ca="1">IFERROR(__xludf.DUMMYFUNCTION("""COMPUTED_VALUE"""),"20SDSCE01048")</f>
        <v>20SDSCE01048</v>
      </c>
      <c r="D1404" s="73">
        <f ca="1">IFERROR(__xludf.DUMMYFUNCTION("""COMPUTED_VALUE"""),44571)</f>
        <v>44571</v>
      </c>
      <c r="E1404" s="74">
        <f ca="1">IFERROR(__xludf.DUMMYFUNCTION("""COMPUTED_VALUE"""),25000)</f>
        <v>25000</v>
      </c>
      <c r="F1404" s="72"/>
      <c r="G1404" s="75"/>
      <c r="H1404" s="59" t="str">
        <f ca="1">IFERROR(__xludf.DUMMYFUNCTION("""COMPUTED_VALUE"""),"UPDATE")</f>
        <v>UPDATE</v>
      </c>
      <c r="I1404" s="76" t="str">
        <f ca="1">IFERROR(__xludf.DUMMYFUNCTION("""COMPUTED_VALUE"""),"https://drive.google.com/open?id=1YcZEsnJXB38sxnnJGltD5a_cEDO8oRnh")</f>
        <v>https://drive.google.com/open?id=1YcZEsnJXB38sxnnJGltD5a_cEDO8oRnh</v>
      </c>
      <c r="J1404" s="59"/>
      <c r="K1404" s="59"/>
      <c r="L1404" s="59"/>
      <c r="M1404" s="59"/>
      <c r="N1404" s="59"/>
      <c r="O1404" s="59"/>
      <c r="P1404" s="59"/>
    </row>
    <row r="1405" spans="1:16">
      <c r="A1405" s="71">
        <f ca="1">IFERROR(__xludf.DUMMYFUNCTION("""COMPUTED_VALUE"""),44571.7355621412)</f>
        <v>44571.735562141199</v>
      </c>
      <c r="B1405" s="59" t="str">
        <f ca="1">IFERROR(__xludf.DUMMYFUNCTION("""COMPUTED_VALUE"""),"Dhaduk Sarthak Sanjaybhai")</f>
        <v>Dhaduk Sarthak Sanjaybhai</v>
      </c>
      <c r="C1405" s="72" t="str">
        <f ca="1">IFERROR(__xludf.DUMMYFUNCTION("""COMPUTED_VALUE"""),"20sdsce01027")</f>
        <v>20sdsce01027</v>
      </c>
      <c r="D1405" s="73">
        <f ca="1">IFERROR(__xludf.DUMMYFUNCTION("""COMPUTED_VALUE"""),44570)</f>
        <v>44570</v>
      </c>
      <c r="E1405" s="74">
        <f ca="1">IFERROR(__xludf.DUMMYFUNCTION("""COMPUTED_VALUE"""),12500)</f>
        <v>12500</v>
      </c>
      <c r="F1405" s="72">
        <f ca="1">IFERROR(__xludf.DUMMYFUNCTION("""COMPUTED_VALUE"""),0)</f>
        <v>0</v>
      </c>
      <c r="G1405" s="75"/>
      <c r="H1405" s="59" t="str">
        <f ca="1">IFERROR(__xludf.DUMMYFUNCTION("""COMPUTED_VALUE"""),"UPDATE")</f>
        <v>UPDATE</v>
      </c>
      <c r="I1405" s="76" t="str">
        <f ca="1">IFERROR(__xludf.DUMMYFUNCTION("""COMPUTED_VALUE"""),"https://drive.google.com/open?id=11xIh6SdZrnzfHa4hn66LjsAHKe70ATsp")</f>
        <v>https://drive.google.com/open?id=11xIh6SdZrnzfHa4hn66LjsAHKe70ATsp</v>
      </c>
      <c r="J1405" s="59"/>
      <c r="K1405" s="59"/>
      <c r="L1405" s="59"/>
      <c r="M1405" s="59"/>
      <c r="N1405" s="59"/>
      <c r="O1405" s="59"/>
      <c r="P1405" s="59"/>
    </row>
    <row r="1406" spans="1:16">
      <c r="A1406" s="71">
        <f ca="1">IFERROR(__xludf.DUMMYFUNCTION("""COMPUTED_VALUE"""),44571.733171956)</f>
        <v>44571.733171956002</v>
      </c>
      <c r="B1406" s="59" t="str">
        <f ca="1">IFERROR(__xludf.DUMMYFUNCTION("""COMPUTED_VALUE"""),"Dhaduk Sarthak Sanjaybhai")</f>
        <v>Dhaduk Sarthak Sanjaybhai</v>
      </c>
      <c r="C1406" s="72" t="str">
        <f ca="1">IFERROR(__xludf.DUMMYFUNCTION("""COMPUTED_VALUE"""),"20sdsce01027")</f>
        <v>20sdsce01027</v>
      </c>
      <c r="D1406" s="73">
        <f ca="1">IFERROR(__xludf.DUMMYFUNCTION("""COMPUTED_VALUE"""),44570)</f>
        <v>44570</v>
      </c>
      <c r="E1406" s="74">
        <f ca="1">IFERROR(__xludf.DUMMYFUNCTION("""COMPUTED_VALUE"""),0)</f>
        <v>0</v>
      </c>
      <c r="F1406" s="72">
        <f ca="1">IFERROR(__xludf.DUMMYFUNCTION("""COMPUTED_VALUE"""),2500)</f>
        <v>2500</v>
      </c>
      <c r="G1406" s="75"/>
      <c r="H1406" s="59" t="str">
        <f ca="1">IFERROR(__xludf.DUMMYFUNCTION("""COMPUTED_VALUE"""),"UPDATE")</f>
        <v>UPDATE</v>
      </c>
      <c r="I1406" s="76" t="str">
        <f ca="1">IFERROR(__xludf.DUMMYFUNCTION("""COMPUTED_VALUE"""),"https://drive.google.com/open?id=1_TX7tJeUbIQ2fxl7o8XyWaurbG-Au_l0")</f>
        <v>https://drive.google.com/open?id=1_TX7tJeUbIQ2fxl7o8XyWaurbG-Au_l0</v>
      </c>
      <c r="J1406" s="59"/>
      <c r="K1406" s="59"/>
      <c r="L1406" s="59"/>
      <c r="M1406" s="59"/>
      <c r="N1406" s="59"/>
      <c r="O1406" s="59"/>
      <c r="P1406" s="59"/>
    </row>
    <row r="1407" spans="1:16">
      <c r="A1407" s="71">
        <f ca="1">IFERROR(__xludf.DUMMYFUNCTION("""COMPUTED_VALUE"""),44571.6739056365)</f>
        <v>44571.673905636497</v>
      </c>
      <c r="B1407" s="59" t="str">
        <f ca="1">IFERROR(__xludf.DUMMYFUNCTION("""COMPUTED_VALUE"""),"Karansinh Chavda")</f>
        <v>Karansinh Chavda</v>
      </c>
      <c r="C1407" s="72" t="str">
        <f ca="1">IFERROR(__xludf.DUMMYFUNCTION("""COMPUTED_VALUE"""),"20SDSCE01016")</f>
        <v>20SDSCE01016</v>
      </c>
      <c r="D1407" s="73">
        <f ca="1">IFERROR(__xludf.DUMMYFUNCTION("""COMPUTED_VALUE"""),44571)</f>
        <v>44571</v>
      </c>
      <c r="E1407" s="74">
        <f ca="1">IFERROR(__xludf.DUMMYFUNCTION("""COMPUTED_VALUE"""),25000)</f>
        <v>25000</v>
      </c>
      <c r="F1407" s="72">
        <f ca="1">IFERROR(__xludf.DUMMYFUNCTION("""COMPUTED_VALUE"""),2500)</f>
        <v>2500</v>
      </c>
      <c r="G1407" s="75"/>
      <c r="H1407" s="59" t="str">
        <f ca="1">IFERROR(__xludf.DUMMYFUNCTION("""COMPUTED_VALUE"""),"UPDATE")</f>
        <v>UPDATE</v>
      </c>
      <c r="I1407" s="76" t="str">
        <f ca="1">IFERROR(__xludf.DUMMYFUNCTION("""COMPUTED_VALUE"""),"https://drive.google.com/open?id=1oyt3jhnv-bAuSkpjR07OcBb1WRBSb-Z5")</f>
        <v>https://drive.google.com/open?id=1oyt3jhnv-bAuSkpjR07OcBb1WRBSb-Z5</v>
      </c>
      <c r="J1407" s="59"/>
      <c r="K1407" s="59"/>
      <c r="L1407" s="59"/>
      <c r="M1407" s="59"/>
      <c r="N1407" s="59"/>
      <c r="O1407" s="59"/>
      <c r="P1407" s="59"/>
    </row>
    <row r="1408" spans="1:16">
      <c r="A1408" s="71">
        <f ca="1">IFERROR(__xludf.DUMMYFUNCTION("""COMPUTED_VALUE"""),44571.6735287268)</f>
        <v>44571.673528726802</v>
      </c>
      <c r="B1408" s="59" t="str">
        <f ca="1">IFERROR(__xludf.DUMMYFUNCTION("""COMPUTED_VALUE"""),"Pokiya vensi jiteshbhai")</f>
        <v>Pokiya vensi jiteshbhai</v>
      </c>
      <c r="C1408" s="72" t="str">
        <f ca="1">IFERROR(__xludf.DUMMYFUNCTION("""COMPUTED_VALUE"""),"20SDSCE01090")</f>
        <v>20SDSCE01090</v>
      </c>
      <c r="D1408" s="73">
        <f ca="1">IFERROR(__xludf.DUMMYFUNCTION("""COMPUTED_VALUE"""),44571)</f>
        <v>44571</v>
      </c>
      <c r="E1408" s="72"/>
      <c r="F1408" s="72">
        <f ca="1">IFERROR(__xludf.DUMMYFUNCTION("""COMPUTED_VALUE"""),2500)</f>
        <v>2500</v>
      </c>
      <c r="G1408" s="75"/>
      <c r="H1408" s="59" t="str">
        <f ca="1">IFERROR(__xludf.DUMMYFUNCTION("""COMPUTED_VALUE"""),"UPDATE")</f>
        <v>UPDATE</v>
      </c>
      <c r="I1408" s="76" t="str">
        <f ca="1">IFERROR(__xludf.DUMMYFUNCTION("""COMPUTED_VALUE"""),"https://drive.google.com/open?id=1s0OW3OdnnC36WFAJ7Bc_0EOpsDZT7ZEJ")</f>
        <v>https://drive.google.com/open?id=1s0OW3OdnnC36WFAJ7Bc_0EOpsDZT7ZEJ</v>
      </c>
      <c r="J1408" s="59"/>
      <c r="K1408" s="59"/>
      <c r="L1408" s="59"/>
      <c r="M1408" s="59"/>
      <c r="N1408" s="59"/>
      <c r="O1408" s="59"/>
      <c r="P1408" s="59"/>
    </row>
    <row r="1409" spans="1:16">
      <c r="A1409" s="71">
        <f ca="1">IFERROR(__xludf.DUMMYFUNCTION("""COMPUTED_VALUE"""),44571.672551655)</f>
        <v>44571.672551655</v>
      </c>
      <c r="B1409" s="59" t="str">
        <f ca="1">IFERROR(__xludf.DUMMYFUNCTION("""COMPUTED_VALUE"""),"Karansinh Chavda")</f>
        <v>Karansinh Chavda</v>
      </c>
      <c r="C1409" s="72" t="str">
        <f ca="1">IFERROR(__xludf.DUMMYFUNCTION("""COMPUTED_VALUE"""),"20SDSCE01016")</f>
        <v>20SDSCE01016</v>
      </c>
      <c r="D1409" s="73">
        <f ca="1">IFERROR(__xludf.DUMMYFUNCTION("""COMPUTED_VALUE"""),44571)</f>
        <v>44571</v>
      </c>
      <c r="E1409" s="74">
        <f ca="1">IFERROR(__xludf.DUMMYFUNCTION("""COMPUTED_VALUE"""),25000)</f>
        <v>25000</v>
      </c>
      <c r="F1409" s="72">
        <f ca="1">IFERROR(__xludf.DUMMYFUNCTION("""COMPUTED_VALUE"""),2500)</f>
        <v>2500</v>
      </c>
      <c r="G1409" s="75"/>
      <c r="H1409" s="59" t="str">
        <f ca="1">IFERROR(__xludf.DUMMYFUNCTION("""COMPUTED_VALUE"""),"UPDATE")</f>
        <v>UPDATE</v>
      </c>
      <c r="I1409" s="76" t="str">
        <f ca="1">IFERROR(__xludf.DUMMYFUNCTION("""COMPUTED_VALUE"""),"https://drive.google.com/open?id=101_9xI5UVvQM-ZG9qg_sq3YytyVbFzSD")</f>
        <v>https://drive.google.com/open?id=101_9xI5UVvQM-ZG9qg_sq3YytyVbFzSD</v>
      </c>
      <c r="J1409" s="59"/>
      <c r="K1409" s="59"/>
      <c r="L1409" s="59"/>
      <c r="M1409" s="59"/>
      <c r="N1409" s="59"/>
      <c r="O1409" s="59"/>
      <c r="P1409" s="59"/>
    </row>
    <row r="1410" spans="1:16">
      <c r="A1410" s="71">
        <f ca="1">IFERROR(__xludf.DUMMYFUNCTION("""COMPUTED_VALUE"""),44571.6721634837)</f>
        <v>44571.672163483701</v>
      </c>
      <c r="B1410" s="59" t="str">
        <f ca="1">IFERROR(__xludf.DUMMYFUNCTION("""COMPUTED_VALUE"""),"Pokiya vensi jiteshbhai")</f>
        <v>Pokiya vensi jiteshbhai</v>
      </c>
      <c r="C1410" s="72" t="str">
        <f ca="1">IFERROR(__xludf.DUMMYFUNCTION("""COMPUTED_VALUE"""),"20SDSCE01090")</f>
        <v>20SDSCE01090</v>
      </c>
      <c r="D1410" s="73">
        <f ca="1">IFERROR(__xludf.DUMMYFUNCTION("""COMPUTED_VALUE"""),44571)</f>
        <v>44571</v>
      </c>
      <c r="E1410" s="74">
        <f ca="1">IFERROR(__xludf.DUMMYFUNCTION("""COMPUTED_VALUE"""),12500)</f>
        <v>12500</v>
      </c>
      <c r="F1410" s="72"/>
      <c r="G1410" s="75"/>
      <c r="H1410" s="59" t="str">
        <f ca="1">IFERROR(__xludf.DUMMYFUNCTION("""COMPUTED_VALUE"""),"UPDATE")</f>
        <v>UPDATE</v>
      </c>
      <c r="I1410" s="76" t="str">
        <f ca="1">IFERROR(__xludf.DUMMYFUNCTION("""COMPUTED_VALUE"""),"https://drive.google.com/open?id=1WO3pMG3Fn6hGlSRIrhS32xZX9_dh3n3r")</f>
        <v>https://drive.google.com/open?id=1WO3pMG3Fn6hGlSRIrhS32xZX9_dh3n3r</v>
      </c>
      <c r="J1410" s="59"/>
      <c r="K1410" s="59"/>
      <c r="L1410" s="59"/>
      <c r="M1410" s="59"/>
      <c r="N1410" s="59"/>
      <c r="O1410" s="59"/>
      <c r="P1410" s="59"/>
    </row>
    <row r="1411" spans="1:16">
      <c r="A1411" s="71">
        <f ca="1">IFERROR(__xludf.DUMMYFUNCTION("""COMPUTED_VALUE"""),44571.6721170138)</f>
        <v>44571.672117013797</v>
      </c>
      <c r="B1411" s="59" t="str">
        <f ca="1">IFERROR(__xludf.DUMMYFUNCTION("""COMPUTED_VALUE"""),"Ravi Nakum")</f>
        <v>Ravi Nakum</v>
      </c>
      <c r="C1411" s="72" t="str">
        <f ca="1">IFERROR(__xludf.DUMMYFUNCTION("""COMPUTED_VALUE"""),"20sdsce01068")</f>
        <v>20sdsce01068</v>
      </c>
      <c r="D1411" s="73">
        <f ca="1">IFERROR(__xludf.DUMMYFUNCTION("""COMPUTED_VALUE"""),44571)</f>
        <v>44571</v>
      </c>
      <c r="E1411" s="72"/>
      <c r="F1411" s="72">
        <f ca="1">IFERROR(__xludf.DUMMYFUNCTION("""COMPUTED_VALUE"""),2500)</f>
        <v>2500</v>
      </c>
      <c r="G1411" s="75"/>
      <c r="H1411" s="59" t="str">
        <f ca="1">IFERROR(__xludf.DUMMYFUNCTION("""COMPUTED_VALUE"""),"UPDATE")</f>
        <v>UPDATE</v>
      </c>
      <c r="I1411" s="76" t="str">
        <f ca="1">IFERROR(__xludf.DUMMYFUNCTION("""COMPUTED_VALUE"""),"https://drive.google.com/open?id=1pU7LQWEVV92D9EaluOAJSHQ6M3tb5w8u")</f>
        <v>https://drive.google.com/open?id=1pU7LQWEVV92D9EaluOAJSHQ6M3tb5w8u</v>
      </c>
      <c r="J1411" s="59"/>
      <c r="K1411" s="59"/>
      <c r="L1411" s="59"/>
      <c r="M1411" s="59"/>
      <c r="N1411" s="59"/>
      <c r="O1411" s="59"/>
      <c r="P1411" s="59"/>
    </row>
    <row r="1412" spans="1:16">
      <c r="A1412" s="71">
        <f ca="1">IFERROR(__xludf.DUMMYFUNCTION("""COMPUTED_VALUE"""),44571.670979074)</f>
        <v>44571.670979073999</v>
      </c>
      <c r="B1412" s="59" t="str">
        <f ca="1">IFERROR(__xludf.DUMMYFUNCTION("""COMPUTED_VALUE"""),"Ravi nakum")</f>
        <v>Ravi nakum</v>
      </c>
      <c r="C1412" s="72" t="str">
        <f ca="1">IFERROR(__xludf.DUMMYFUNCTION("""COMPUTED_VALUE"""),"20sdsce01068")</f>
        <v>20sdsce01068</v>
      </c>
      <c r="D1412" s="73">
        <f ca="1">IFERROR(__xludf.DUMMYFUNCTION("""COMPUTED_VALUE"""),44571)</f>
        <v>44571</v>
      </c>
      <c r="E1412" s="74">
        <f ca="1">IFERROR(__xludf.DUMMYFUNCTION("""COMPUTED_VALUE"""),18750)</f>
        <v>18750</v>
      </c>
      <c r="F1412" s="72"/>
      <c r="G1412" s="75"/>
      <c r="H1412" s="59" t="str">
        <f ca="1">IFERROR(__xludf.DUMMYFUNCTION("""COMPUTED_VALUE"""),"UPDATE")</f>
        <v>UPDATE</v>
      </c>
      <c r="I1412" s="76" t="str">
        <f ca="1">IFERROR(__xludf.DUMMYFUNCTION("""COMPUTED_VALUE"""),"https://drive.google.com/open?id=1qAa3J0v7FA-mba1F5gk10t8hJylDgFtE")</f>
        <v>https://drive.google.com/open?id=1qAa3J0v7FA-mba1F5gk10t8hJylDgFtE</v>
      </c>
      <c r="J1412" s="59"/>
      <c r="K1412" s="59"/>
      <c r="L1412" s="59"/>
      <c r="M1412" s="59"/>
      <c r="N1412" s="59"/>
      <c r="O1412" s="59"/>
      <c r="P1412" s="59"/>
    </row>
    <row r="1413" spans="1:16">
      <c r="A1413" s="71">
        <f ca="1">IFERROR(__xludf.DUMMYFUNCTION("""COMPUTED_VALUE"""),44571.6659431365)</f>
        <v>44571.665943136497</v>
      </c>
      <c r="B1413" s="59" t="str">
        <f ca="1">IFERROR(__xludf.DUMMYFUNCTION("""COMPUTED_VALUE"""),"KARIYA JAY MAHESHBAHI")</f>
        <v>KARIYA JAY MAHESHBAHI</v>
      </c>
      <c r="C1413" s="72" t="str">
        <f ca="1">IFERROR(__xludf.DUMMYFUNCTION("""COMPUTED_VALUE"""),"20SDSCE01052")</f>
        <v>20SDSCE01052</v>
      </c>
      <c r="D1413" s="73">
        <f ca="1">IFERROR(__xludf.DUMMYFUNCTION("""COMPUTED_VALUE"""),44571)</f>
        <v>44571</v>
      </c>
      <c r="E1413" s="72"/>
      <c r="F1413" s="72">
        <f ca="1">IFERROR(__xludf.DUMMYFUNCTION("""COMPUTED_VALUE"""),2500)</f>
        <v>2500</v>
      </c>
      <c r="G1413" s="75"/>
      <c r="H1413" s="59" t="str">
        <f ca="1">IFERROR(__xludf.DUMMYFUNCTION("""COMPUTED_VALUE"""),"UPDATE")</f>
        <v>UPDATE</v>
      </c>
      <c r="I1413" s="76" t="str">
        <f ca="1">IFERROR(__xludf.DUMMYFUNCTION("""COMPUTED_VALUE"""),"https://drive.google.com/open?id=1n_Irb-6xmDuU-EWeqo8-E7OvYlpk9zm9")</f>
        <v>https://drive.google.com/open?id=1n_Irb-6xmDuU-EWeqo8-E7OvYlpk9zm9</v>
      </c>
      <c r="J1413" s="59"/>
      <c r="K1413" s="59"/>
      <c r="L1413" s="59"/>
      <c r="M1413" s="59"/>
      <c r="N1413" s="59"/>
      <c r="O1413" s="59"/>
      <c r="P1413" s="59"/>
    </row>
    <row r="1414" spans="1:16">
      <c r="A1414" s="71">
        <f ca="1">IFERROR(__xludf.DUMMYFUNCTION("""COMPUTED_VALUE"""),44571.6387816666)</f>
        <v>44571.638781666603</v>
      </c>
      <c r="B1414" s="59" t="str">
        <f ca="1">IFERROR(__xludf.DUMMYFUNCTION("""COMPUTED_VALUE"""),"Kotadiya lalji Rameshbhai ")</f>
        <v xml:space="preserve">Kotadiya lalji Rameshbhai </v>
      </c>
      <c r="C1414" s="72" t="str">
        <f ca="1">IFERROR(__xludf.DUMMYFUNCTION("""COMPUTED_VALUE"""),"20sdsme01020 ")</f>
        <v xml:space="preserve">20sdsme01020 </v>
      </c>
      <c r="D1414" s="73">
        <f ca="1">IFERROR(__xludf.DUMMYFUNCTION("""COMPUTED_VALUE"""),44571)</f>
        <v>44571</v>
      </c>
      <c r="E1414" s="74">
        <f ca="1">IFERROR(__xludf.DUMMYFUNCTION("""COMPUTED_VALUE"""),25000)</f>
        <v>25000</v>
      </c>
      <c r="F1414" s="72">
        <f ca="1">IFERROR(__xludf.DUMMYFUNCTION("""COMPUTED_VALUE"""),0)</f>
        <v>0</v>
      </c>
      <c r="G1414" s="75"/>
      <c r="H1414" s="59" t="str">
        <f ca="1">IFERROR(__xludf.DUMMYFUNCTION("""COMPUTED_VALUE"""),"UPDATE")</f>
        <v>UPDATE</v>
      </c>
      <c r="I1414" s="76" t="str">
        <f ca="1">IFERROR(__xludf.DUMMYFUNCTION("""COMPUTED_VALUE"""),"https://drive.google.com/open?id=1btfZ_QVdBLl7yY_b9R5CY7TAqv3lSXMI")</f>
        <v>https://drive.google.com/open?id=1btfZ_QVdBLl7yY_b9R5CY7TAqv3lSXMI</v>
      </c>
      <c r="J1414" s="59"/>
      <c r="K1414" s="59"/>
      <c r="L1414" s="59"/>
      <c r="M1414" s="59"/>
      <c r="N1414" s="59"/>
      <c r="O1414" s="59"/>
      <c r="P1414" s="59"/>
    </row>
    <row r="1415" spans="1:16">
      <c r="A1415" s="71">
        <f ca="1">IFERROR(__xludf.DUMMYFUNCTION("""COMPUTED_VALUE"""),44571.6286263773)</f>
        <v>44571.6286263773</v>
      </c>
      <c r="B1415" s="59" t="str">
        <f ca="1">IFERROR(__xludf.DUMMYFUNCTION("""COMPUTED_VALUE"""),"Vivek ashokbhai bhatvasiya")</f>
        <v>Vivek ashokbhai bhatvasiya</v>
      </c>
      <c r="C1415" s="72" t="str">
        <f ca="1">IFERROR(__xludf.DUMMYFUNCTION("""COMPUTED_VALUE"""),"20sdsme01003")</f>
        <v>20sdsme01003</v>
      </c>
      <c r="D1415" s="73">
        <f ca="1">IFERROR(__xludf.DUMMYFUNCTION("""COMPUTED_VALUE"""),44571)</f>
        <v>44571</v>
      </c>
      <c r="E1415" s="74">
        <f ca="1">IFERROR(__xludf.DUMMYFUNCTION("""COMPUTED_VALUE"""),12500)</f>
        <v>12500</v>
      </c>
      <c r="F1415" s="72">
        <f ca="1">IFERROR(__xludf.DUMMYFUNCTION("""COMPUTED_VALUE"""),2500)</f>
        <v>2500</v>
      </c>
      <c r="G1415" s="75"/>
      <c r="H1415" s="59" t="str">
        <f ca="1">IFERROR(__xludf.DUMMYFUNCTION("""COMPUTED_VALUE"""),"UPDATE")</f>
        <v>UPDATE</v>
      </c>
      <c r="I1415" s="76" t="str">
        <f ca="1">IFERROR(__xludf.DUMMYFUNCTION("""COMPUTED_VALUE"""),"https://drive.google.com/open?id=1AJXgC1I1Lylv1-O54YHBkNml7EZi8rlJ")</f>
        <v>https://drive.google.com/open?id=1AJXgC1I1Lylv1-O54YHBkNml7EZi8rlJ</v>
      </c>
      <c r="J1415" s="59"/>
      <c r="K1415" s="59"/>
      <c r="L1415" s="59"/>
      <c r="M1415" s="59"/>
      <c r="N1415" s="59"/>
      <c r="O1415" s="59"/>
      <c r="P1415" s="59"/>
    </row>
    <row r="1416" spans="1:16">
      <c r="A1416" s="71">
        <f ca="1">IFERROR(__xludf.DUMMYFUNCTION("""COMPUTED_VALUE"""),44571.6271222569)</f>
        <v>44571.627122256898</v>
      </c>
      <c r="B1416" s="59" t="str">
        <f ca="1">IFERROR(__xludf.DUMMYFUNCTION("""COMPUTED_VALUE"""),"Vivek Ashokbhai Bhatvasiya")</f>
        <v>Vivek Ashokbhai Bhatvasiya</v>
      </c>
      <c r="C1416" s="72" t="str">
        <f ca="1">IFERROR(__xludf.DUMMYFUNCTION("""COMPUTED_VALUE"""),"20sdsme01003")</f>
        <v>20sdsme01003</v>
      </c>
      <c r="D1416" s="73">
        <f ca="1">IFERROR(__xludf.DUMMYFUNCTION("""COMPUTED_VALUE"""),44571)</f>
        <v>44571</v>
      </c>
      <c r="E1416" s="74">
        <f ca="1">IFERROR(__xludf.DUMMYFUNCTION("""COMPUTED_VALUE"""),12500)</f>
        <v>12500</v>
      </c>
      <c r="F1416" s="72">
        <f ca="1">IFERROR(__xludf.DUMMYFUNCTION("""COMPUTED_VALUE"""),2500)</f>
        <v>2500</v>
      </c>
      <c r="G1416" s="75"/>
      <c r="H1416" s="59" t="str">
        <f ca="1">IFERROR(__xludf.DUMMYFUNCTION("""COMPUTED_VALUE"""),"UPDATE")</f>
        <v>UPDATE</v>
      </c>
      <c r="I1416" s="76" t="str">
        <f ca="1">IFERROR(__xludf.DUMMYFUNCTION("""COMPUTED_VALUE"""),"https://drive.google.com/open?id=1tRcubhP4C8uOcCF0FHz7fV2I8kMqBd49")</f>
        <v>https://drive.google.com/open?id=1tRcubhP4C8uOcCF0FHz7fV2I8kMqBd49</v>
      </c>
      <c r="J1416" s="59"/>
      <c r="K1416" s="59"/>
      <c r="L1416" s="59"/>
      <c r="M1416" s="59"/>
      <c r="N1416" s="59"/>
      <c r="O1416" s="59"/>
      <c r="P1416" s="59"/>
    </row>
    <row r="1417" spans="1:16">
      <c r="A1417" s="71">
        <f ca="1">IFERROR(__xludf.DUMMYFUNCTION("""COMPUTED_VALUE"""),44571.604554618)</f>
        <v>44571.604554618003</v>
      </c>
      <c r="B1417" s="59" t="str">
        <f ca="1">IFERROR(__xludf.DUMMYFUNCTION("""COMPUTED_VALUE"""),"VIRANI JAYDEEP SURESHBHAI")</f>
        <v>VIRANI JAYDEEP SURESHBHAI</v>
      </c>
      <c r="C1417" s="72" t="str">
        <f ca="1">IFERROR(__xludf.DUMMYFUNCTION("""COMPUTED_VALUE"""),"20SDSCE01140")</f>
        <v>20SDSCE01140</v>
      </c>
      <c r="D1417" s="73">
        <f ca="1">IFERROR(__xludf.DUMMYFUNCTION("""COMPUTED_VALUE"""),44571)</f>
        <v>44571</v>
      </c>
      <c r="E1417" s="72"/>
      <c r="F1417" s="72">
        <f ca="1">IFERROR(__xludf.DUMMYFUNCTION("""COMPUTED_VALUE"""),2500)</f>
        <v>2500</v>
      </c>
      <c r="G1417" s="75"/>
      <c r="H1417" s="59" t="str">
        <f ca="1">IFERROR(__xludf.DUMMYFUNCTION("""COMPUTED_VALUE"""),"UPDATE")</f>
        <v>UPDATE</v>
      </c>
      <c r="I1417" s="76" t="str">
        <f ca="1">IFERROR(__xludf.DUMMYFUNCTION("""COMPUTED_VALUE"""),"https://drive.google.com/open?id=1AWkklvhRjPyzt_47qsHUj63Yk7ey4mK7")</f>
        <v>https://drive.google.com/open?id=1AWkklvhRjPyzt_47qsHUj63Yk7ey4mK7</v>
      </c>
      <c r="J1417" s="59"/>
      <c r="K1417" s="59"/>
      <c r="L1417" s="59"/>
      <c r="M1417" s="59"/>
      <c r="N1417" s="59"/>
      <c r="O1417" s="59"/>
      <c r="P1417" s="59"/>
    </row>
    <row r="1418" spans="1:16">
      <c r="A1418" s="71">
        <f ca="1">IFERROR(__xludf.DUMMYFUNCTION("""COMPUTED_VALUE"""),44571.6030910648)</f>
        <v>44571.603091064797</v>
      </c>
      <c r="B1418" s="59" t="str">
        <f ca="1">IFERROR(__xludf.DUMMYFUNCTION("""COMPUTED_VALUE"""),"VIRANI JAYDEEP SURESHBHAI")</f>
        <v>VIRANI JAYDEEP SURESHBHAI</v>
      </c>
      <c r="C1418" s="72" t="str">
        <f ca="1">IFERROR(__xludf.DUMMYFUNCTION("""COMPUTED_VALUE"""),"20SDSCE01140")</f>
        <v>20SDSCE01140</v>
      </c>
      <c r="D1418" s="73">
        <f ca="1">IFERROR(__xludf.DUMMYFUNCTION("""COMPUTED_VALUE"""),44571)</f>
        <v>44571</v>
      </c>
      <c r="E1418" s="74">
        <f ca="1">IFERROR(__xludf.DUMMYFUNCTION("""COMPUTED_VALUE"""),12500)</f>
        <v>12500</v>
      </c>
      <c r="F1418" s="72"/>
      <c r="G1418" s="75"/>
      <c r="H1418" s="59" t="str">
        <f ca="1">IFERROR(__xludf.DUMMYFUNCTION("""COMPUTED_VALUE"""),"UPDATE")</f>
        <v>UPDATE</v>
      </c>
      <c r="I1418" s="76" t="str">
        <f ca="1">IFERROR(__xludf.DUMMYFUNCTION("""COMPUTED_VALUE"""),"https://drive.google.com/open?id=1S_eZiTjwdJdK5p1PzICB40SSS_RaN8WG")</f>
        <v>https://drive.google.com/open?id=1S_eZiTjwdJdK5p1PzICB40SSS_RaN8WG</v>
      </c>
      <c r="J1418" s="59"/>
      <c r="K1418" s="59"/>
      <c r="L1418" s="59"/>
      <c r="M1418" s="59"/>
      <c r="N1418" s="59"/>
      <c r="O1418" s="59"/>
      <c r="P1418" s="59"/>
    </row>
    <row r="1419" spans="1:16">
      <c r="A1419" s="71">
        <f ca="1">IFERROR(__xludf.DUMMYFUNCTION("""COMPUTED_VALUE"""),44571.6014506018)</f>
        <v>44571.601450601796</v>
      </c>
      <c r="B1419" s="59" t="str">
        <f ca="1">IFERROR(__xludf.DUMMYFUNCTION("""COMPUTED_VALUE"""),"Makawana yashvi jayeshbhai")</f>
        <v>Makawana yashvi jayeshbhai</v>
      </c>
      <c r="C1419" s="72" t="str">
        <f ca="1">IFERROR(__xludf.DUMMYFUNCTION("""COMPUTED_VALUE"""),"21SDSCE01035")</f>
        <v>21SDSCE01035</v>
      </c>
      <c r="D1419" s="73">
        <f ca="1">IFERROR(__xludf.DUMMYFUNCTION("""COMPUTED_VALUE"""),44587)</f>
        <v>44587</v>
      </c>
      <c r="E1419" s="72"/>
      <c r="F1419" s="72"/>
      <c r="G1419" s="75"/>
      <c r="H1419" s="59" t="str">
        <f ca="1">IFERROR(__xludf.DUMMYFUNCTION("""COMPUTED_VALUE"""),"UPDATE")</f>
        <v>UPDATE</v>
      </c>
      <c r="I1419" s="76" t="str">
        <f ca="1">IFERROR(__xludf.DUMMYFUNCTION("""COMPUTED_VALUE"""),"https://drive.google.com/open?id=1uRyILcOhj_JYVhTOL7ExLNDX0qbRXvxy")</f>
        <v>https://drive.google.com/open?id=1uRyILcOhj_JYVhTOL7ExLNDX0qbRXvxy</v>
      </c>
      <c r="J1419" s="59"/>
      <c r="K1419" s="59"/>
      <c r="L1419" s="59"/>
      <c r="M1419" s="59"/>
      <c r="N1419" s="59"/>
      <c r="O1419" s="59"/>
      <c r="P1419" s="59"/>
    </row>
    <row r="1420" spans="1:16">
      <c r="A1420" s="71">
        <f ca="1">IFERROR(__xludf.DUMMYFUNCTION("""COMPUTED_VALUE"""),44571.5941447453)</f>
        <v>44571.594144745301</v>
      </c>
      <c r="B1420" s="59" t="str">
        <f ca="1">IFERROR(__xludf.DUMMYFUNCTION("""COMPUTED_VALUE"""),"Patadiya Bhargav")</f>
        <v>Patadiya Bhargav</v>
      </c>
      <c r="C1420" s="72" t="str">
        <f ca="1">IFERROR(__xludf.DUMMYFUNCTION("""COMPUTED_VALUE"""),"20SDSCE01084")</f>
        <v>20SDSCE01084</v>
      </c>
      <c r="D1420" s="73">
        <f ca="1">IFERROR(__xludf.DUMMYFUNCTION("""COMPUTED_VALUE"""),44570)</f>
        <v>44570</v>
      </c>
      <c r="E1420" s="74">
        <f ca="1">IFERROR(__xludf.DUMMYFUNCTION("""COMPUTED_VALUE"""),12500)</f>
        <v>12500</v>
      </c>
      <c r="F1420" s="72">
        <f ca="1">IFERROR(__xludf.DUMMYFUNCTION("""COMPUTED_VALUE"""),2500)</f>
        <v>2500</v>
      </c>
      <c r="G1420" s="75"/>
      <c r="H1420" s="59" t="str">
        <f ca="1">IFERROR(__xludf.DUMMYFUNCTION("""COMPUTED_VALUE"""),"UPDATE")</f>
        <v>UPDATE</v>
      </c>
      <c r="I1420" s="76" t="str">
        <f ca="1">IFERROR(__xludf.DUMMYFUNCTION("""COMPUTED_VALUE"""),"https://drive.google.com/open?id=1ByzZx4hnvzDCfEuuJ8B6rGx_iIA097g8")</f>
        <v>https://drive.google.com/open?id=1ByzZx4hnvzDCfEuuJ8B6rGx_iIA097g8</v>
      </c>
      <c r="J1420" s="59"/>
      <c r="K1420" s="59"/>
      <c r="L1420" s="59"/>
      <c r="M1420" s="59"/>
      <c r="N1420" s="59"/>
      <c r="O1420" s="59"/>
      <c r="P1420" s="59"/>
    </row>
    <row r="1421" spans="1:16">
      <c r="A1421" s="71">
        <f ca="1">IFERROR(__xludf.DUMMYFUNCTION("""COMPUTED_VALUE"""),44571.588213831)</f>
        <v>44571.588213830997</v>
      </c>
      <c r="B1421" s="59" t="str">
        <f ca="1">IFERROR(__xludf.DUMMYFUNCTION("""COMPUTED_VALUE"""),"smit bhimani")</f>
        <v>smit bhimani</v>
      </c>
      <c r="C1421" s="72" t="str">
        <f ca="1">IFERROR(__xludf.DUMMYFUNCTION("""COMPUTED_VALUE"""),"19SDSCE01004")</f>
        <v>19SDSCE01004</v>
      </c>
      <c r="D1421" s="73">
        <f ca="1">IFERROR(__xludf.DUMMYFUNCTION("""COMPUTED_VALUE"""),44571)</f>
        <v>44571</v>
      </c>
      <c r="E1421" s="72"/>
      <c r="F1421" s="72">
        <f ca="1">IFERROR(__xludf.DUMMYFUNCTION("""COMPUTED_VALUE"""),400)</f>
        <v>400</v>
      </c>
      <c r="G1421" s="75"/>
      <c r="H1421" s="59" t="str">
        <f ca="1">IFERROR(__xludf.DUMMYFUNCTION("""COMPUTED_VALUE"""),"UPDATE")</f>
        <v>UPDATE</v>
      </c>
      <c r="I1421" s="76" t="str">
        <f ca="1">IFERROR(__xludf.DUMMYFUNCTION("""COMPUTED_VALUE"""),"https://drive.google.com/open?id=12Ru3FMZ1Ag7GisuEtM3dZBpIjAA7R03e")</f>
        <v>https://drive.google.com/open?id=12Ru3FMZ1Ag7GisuEtM3dZBpIjAA7R03e</v>
      </c>
      <c r="J1421" s="59"/>
      <c r="K1421" s="59"/>
      <c r="L1421" s="59"/>
      <c r="M1421" s="59"/>
      <c r="N1421" s="59"/>
      <c r="O1421" s="59"/>
      <c r="P1421" s="59"/>
    </row>
    <row r="1422" spans="1:16">
      <c r="A1422" s="71">
        <f ca="1">IFERROR(__xludf.DUMMYFUNCTION("""COMPUTED_VALUE"""),44571.5029694791)</f>
        <v>44571.502969479101</v>
      </c>
      <c r="B1422" s="59" t="str">
        <f ca="1">IFERROR(__xludf.DUMMYFUNCTION("""COMPUTED_VALUE"""),"Devraj Ratilal Muliya")</f>
        <v>Devraj Ratilal Muliya</v>
      </c>
      <c r="C1422" s="72" t="str">
        <f ca="1">IFERROR(__xludf.DUMMYFUNCTION("""COMPUTED_VALUE"""),"20sdsce01065")</f>
        <v>20sdsce01065</v>
      </c>
      <c r="D1422" s="73">
        <f ca="1">IFERROR(__xludf.DUMMYFUNCTION("""COMPUTED_VALUE"""),44571)</f>
        <v>44571</v>
      </c>
      <c r="E1422" s="72"/>
      <c r="F1422" s="72">
        <f ca="1">IFERROR(__xludf.DUMMYFUNCTION("""COMPUTED_VALUE"""),2500)</f>
        <v>2500</v>
      </c>
      <c r="G1422" s="75"/>
      <c r="H1422" s="59" t="str">
        <f ca="1">IFERROR(__xludf.DUMMYFUNCTION("""COMPUTED_VALUE"""),"UPDATE")</f>
        <v>UPDATE</v>
      </c>
      <c r="I1422" s="76" t="str">
        <f ca="1">IFERROR(__xludf.DUMMYFUNCTION("""COMPUTED_VALUE"""),"https://drive.google.com/open?id=13Fc-imn8SVIqM6gNt63rqiOJYw5mkA-V")</f>
        <v>https://drive.google.com/open?id=13Fc-imn8SVIqM6gNt63rqiOJYw5mkA-V</v>
      </c>
      <c r="J1422" s="59"/>
      <c r="K1422" s="59"/>
      <c r="L1422" s="59"/>
      <c r="M1422" s="59"/>
      <c r="N1422" s="59"/>
      <c r="O1422" s="59"/>
      <c r="P1422" s="59"/>
    </row>
    <row r="1423" spans="1:16">
      <c r="A1423" s="71">
        <f ca="1">IFERROR(__xludf.DUMMYFUNCTION("""COMPUTED_VALUE"""),44571.4832679398)</f>
        <v>44571.483267939802</v>
      </c>
      <c r="B1423" s="59" t="str">
        <f ca="1">IFERROR(__xludf.DUMMYFUNCTION("""COMPUTED_VALUE"""),"Heet MukeshBhai jesur")</f>
        <v>Heet MukeshBhai jesur</v>
      </c>
      <c r="C1423" s="72" t="str">
        <f ca="1">IFERROR(__xludf.DUMMYFUNCTION("""COMPUTED_VALUE"""),"20SDSEE01012")</f>
        <v>20SDSEE01012</v>
      </c>
      <c r="D1423" s="73">
        <f ca="1">IFERROR(__xludf.DUMMYFUNCTION("""COMPUTED_VALUE"""),44571)</f>
        <v>44571</v>
      </c>
      <c r="E1423" s="74">
        <f ca="1">IFERROR(__xludf.DUMMYFUNCTION("""COMPUTED_VALUE"""),0)</f>
        <v>0</v>
      </c>
      <c r="F1423" s="72">
        <f ca="1">IFERROR(__xludf.DUMMYFUNCTION("""COMPUTED_VALUE"""),2500)</f>
        <v>2500</v>
      </c>
      <c r="G1423" s="75"/>
      <c r="H1423" s="59" t="str">
        <f ca="1">IFERROR(__xludf.DUMMYFUNCTION("""COMPUTED_VALUE"""),"UPDATE")</f>
        <v>UPDATE</v>
      </c>
      <c r="I1423" s="76" t="str">
        <f ca="1">IFERROR(__xludf.DUMMYFUNCTION("""COMPUTED_VALUE"""),"https://drive.google.com/open?id=1a-vNo-iPhKbAIG_lAGjfYjdfhu3X1nFz")</f>
        <v>https://drive.google.com/open?id=1a-vNo-iPhKbAIG_lAGjfYjdfhu3X1nFz</v>
      </c>
      <c r="J1423" s="59"/>
      <c r="K1423" s="59"/>
      <c r="L1423" s="59"/>
      <c r="M1423" s="59"/>
      <c r="N1423" s="59"/>
      <c r="O1423" s="59"/>
      <c r="P1423" s="59"/>
    </row>
    <row r="1424" spans="1:16">
      <c r="A1424" s="71">
        <f ca="1">IFERROR(__xludf.DUMMYFUNCTION("""COMPUTED_VALUE"""),44571.439972199)</f>
        <v>44571.439972198998</v>
      </c>
      <c r="B1424" s="59" t="str">
        <f ca="1">IFERROR(__xludf.DUMMYFUNCTION("""COMPUTED_VALUE"""),"Asodariya keyur hareshbhai")</f>
        <v>Asodariya keyur hareshbhai</v>
      </c>
      <c r="C1424" s="72" t="str">
        <f ca="1">IFERROR(__xludf.DUMMYFUNCTION("""COMPUTED_VALUE"""),"20SDSEE01003")</f>
        <v>20SDSEE01003</v>
      </c>
      <c r="D1424" s="73">
        <f ca="1">IFERROR(__xludf.DUMMYFUNCTION("""COMPUTED_VALUE"""),44571)</f>
        <v>44571</v>
      </c>
      <c r="E1424" s="72"/>
      <c r="F1424" s="72">
        <f ca="1">IFERROR(__xludf.DUMMYFUNCTION("""COMPUTED_VALUE"""),2500)</f>
        <v>2500</v>
      </c>
      <c r="G1424" s="75"/>
      <c r="H1424" s="59" t="str">
        <f ca="1">IFERROR(__xludf.DUMMYFUNCTION("""COMPUTED_VALUE"""),"UPDATE")</f>
        <v>UPDATE</v>
      </c>
      <c r="I1424" s="76" t="str">
        <f ca="1">IFERROR(__xludf.DUMMYFUNCTION("""COMPUTED_VALUE"""),"https://drive.google.com/open?id=11RtWze8-YtcDjwAsYnMZrBFpgI_ig3iE")</f>
        <v>https://drive.google.com/open?id=11RtWze8-YtcDjwAsYnMZrBFpgI_ig3iE</v>
      </c>
      <c r="J1424" s="59"/>
      <c r="K1424" s="59"/>
      <c r="L1424" s="59"/>
      <c r="M1424" s="59"/>
      <c r="N1424" s="59"/>
      <c r="O1424" s="59"/>
      <c r="P1424" s="59"/>
    </row>
    <row r="1425" spans="1:16">
      <c r="A1425" s="71">
        <f ca="1">IFERROR(__xludf.DUMMYFUNCTION("""COMPUTED_VALUE"""),44571.4384263657)</f>
        <v>44571.438426365698</v>
      </c>
      <c r="B1425" s="59" t="str">
        <f ca="1">IFERROR(__xludf.DUMMYFUNCTION("""COMPUTED_VALUE"""),"Asodariya keyur Hareshbhai")</f>
        <v>Asodariya keyur Hareshbhai</v>
      </c>
      <c r="C1425" s="72" t="str">
        <f ca="1">IFERROR(__xludf.DUMMYFUNCTION("""COMPUTED_VALUE"""),"20SDSEE01003")</f>
        <v>20SDSEE01003</v>
      </c>
      <c r="D1425" s="73">
        <f ca="1">IFERROR(__xludf.DUMMYFUNCTION("""COMPUTED_VALUE"""),44571)</f>
        <v>44571</v>
      </c>
      <c r="E1425" s="74">
        <f ca="1">IFERROR(__xludf.DUMMYFUNCTION("""COMPUTED_VALUE"""),25000)</f>
        <v>25000</v>
      </c>
      <c r="F1425" s="72"/>
      <c r="G1425" s="75"/>
      <c r="H1425" s="59" t="str">
        <f ca="1">IFERROR(__xludf.DUMMYFUNCTION("""COMPUTED_VALUE"""),"UPDATE")</f>
        <v>UPDATE</v>
      </c>
      <c r="I1425" s="76" t="str">
        <f ca="1">IFERROR(__xludf.DUMMYFUNCTION("""COMPUTED_VALUE"""),"https://drive.google.com/open?id=1RNBOqr7kmzlewPETyTsjs22eROcBplpj")</f>
        <v>https://drive.google.com/open?id=1RNBOqr7kmzlewPETyTsjs22eROcBplpj</v>
      </c>
      <c r="J1425" s="59"/>
      <c r="K1425" s="59"/>
      <c r="L1425" s="59"/>
      <c r="M1425" s="59"/>
      <c r="N1425" s="59"/>
      <c r="O1425" s="59"/>
      <c r="P1425" s="59"/>
    </row>
    <row r="1426" spans="1:16">
      <c r="A1426" s="71">
        <f ca="1">IFERROR(__xludf.DUMMYFUNCTION("""COMPUTED_VALUE"""),44570.8527698148)</f>
        <v>44570.852769814803</v>
      </c>
      <c r="B1426" s="59" t="str">
        <f ca="1">IFERROR(__xludf.DUMMYFUNCTION("""COMPUTED_VALUE"""),"Dave Prem Naimishbhai")</f>
        <v>Dave Prem Naimishbhai</v>
      </c>
      <c r="C1426" s="72" t="str">
        <f ca="1">IFERROR(__xludf.DUMMYFUNCTION("""COMPUTED_VALUE"""),"20sdsce01024")</f>
        <v>20sdsce01024</v>
      </c>
      <c r="D1426" s="73">
        <f ca="1">IFERROR(__xludf.DUMMYFUNCTION("""COMPUTED_VALUE"""),44570)</f>
        <v>44570</v>
      </c>
      <c r="E1426" s="72"/>
      <c r="F1426" s="72">
        <f ca="1">IFERROR(__xludf.DUMMYFUNCTION("""COMPUTED_VALUE"""),2500)</f>
        <v>2500</v>
      </c>
      <c r="G1426" s="75"/>
      <c r="H1426" s="59" t="str">
        <f ca="1">IFERROR(__xludf.DUMMYFUNCTION("""COMPUTED_VALUE"""),"UPDATE")</f>
        <v>UPDATE</v>
      </c>
      <c r="I1426" s="76" t="str">
        <f ca="1">IFERROR(__xludf.DUMMYFUNCTION("""COMPUTED_VALUE"""),"https://drive.google.com/open?id=1MUaC6lmQZI2VuGanCjNbgCW2jtW7hzik")</f>
        <v>https://drive.google.com/open?id=1MUaC6lmQZI2VuGanCjNbgCW2jtW7hzik</v>
      </c>
      <c r="J1426" s="59"/>
      <c r="K1426" s="59"/>
      <c r="L1426" s="59"/>
      <c r="M1426" s="59"/>
      <c r="N1426" s="59"/>
      <c r="O1426" s="59"/>
      <c r="P1426" s="59"/>
    </row>
    <row r="1427" spans="1:16">
      <c r="A1427" s="71">
        <f ca="1">IFERROR(__xludf.DUMMYFUNCTION("""COMPUTED_VALUE"""),44570.8512129398)</f>
        <v>44570.8512129398</v>
      </c>
      <c r="B1427" s="59" t="str">
        <f ca="1">IFERROR(__xludf.DUMMYFUNCTION("""COMPUTED_VALUE"""),"Durva Parmar ")</f>
        <v xml:space="preserve">Durva Parmar </v>
      </c>
      <c r="C1427" s="72" t="str">
        <f ca="1">IFERROR(__xludf.DUMMYFUNCTION("""COMPUTED_VALUE"""),"21SDSCE03901")</f>
        <v>21SDSCE03901</v>
      </c>
      <c r="D1427" s="73">
        <f ca="1">IFERROR(__xludf.DUMMYFUNCTION("""COMPUTED_VALUE"""),44713)</f>
        <v>44713</v>
      </c>
      <c r="E1427" s="74">
        <f ca="1">IFERROR(__xludf.DUMMYFUNCTION("""COMPUTED_VALUE"""),25000)</f>
        <v>25000</v>
      </c>
      <c r="F1427" s="72">
        <f ca="1">IFERROR(__xludf.DUMMYFUNCTION("""COMPUTED_VALUE"""),2500)</f>
        <v>2500</v>
      </c>
      <c r="G1427" s="75"/>
      <c r="H1427" s="59" t="str">
        <f ca="1">IFERROR(__xludf.DUMMYFUNCTION("""COMPUTED_VALUE"""),"UPDATE")</f>
        <v>UPDATE</v>
      </c>
      <c r="I1427" s="76" t="str">
        <f ca="1">IFERROR(__xludf.DUMMYFUNCTION("""COMPUTED_VALUE"""),"https://drive.google.com/open?id=1HsxF84IMNp-nHbuXNpUz3hAcdSmYXpRe")</f>
        <v>https://drive.google.com/open?id=1HsxF84IMNp-nHbuXNpUz3hAcdSmYXpRe</v>
      </c>
      <c r="J1427" s="59"/>
      <c r="K1427" s="59"/>
      <c r="L1427" s="59"/>
      <c r="M1427" s="59"/>
      <c r="N1427" s="59"/>
      <c r="O1427" s="59"/>
      <c r="P1427" s="59"/>
    </row>
    <row r="1428" spans="1:16">
      <c r="A1428" s="71">
        <f ca="1">IFERROR(__xludf.DUMMYFUNCTION("""COMPUTED_VALUE"""),44570.5480563541)</f>
        <v>44570.548056354099</v>
      </c>
      <c r="B1428" s="59" t="str">
        <f ca="1">IFERROR(__xludf.DUMMYFUNCTION("""COMPUTED_VALUE"""),"Gajera Urvisha Mukeshbhai ")</f>
        <v xml:space="preserve">Gajera Urvisha Mukeshbhai </v>
      </c>
      <c r="C1428" s="72" t="str">
        <f ca="1">IFERROR(__xludf.DUMMYFUNCTION("""COMPUTED_VALUE"""),"20SDSCE01034 ")</f>
        <v xml:space="preserve">20SDSCE01034 </v>
      </c>
      <c r="D1428" s="73">
        <f ca="1">IFERROR(__xludf.DUMMYFUNCTION("""COMPUTED_VALUE"""),44570)</f>
        <v>44570</v>
      </c>
      <c r="E1428" s="72"/>
      <c r="F1428" s="72">
        <f ca="1">IFERROR(__xludf.DUMMYFUNCTION("""COMPUTED_VALUE"""),2500)</f>
        <v>2500</v>
      </c>
      <c r="G1428" s="75"/>
      <c r="H1428" s="59" t="str">
        <f ca="1">IFERROR(__xludf.DUMMYFUNCTION("""COMPUTED_VALUE"""),"UPDATE")</f>
        <v>UPDATE</v>
      </c>
      <c r="I1428" s="76" t="str">
        <f ca="1">IFERROR(__xludf.DUMMYFUNCTION("""COMPUTED_VALUE"""),"https://drive.google.com/open?id=1NcXvvja3zDpZlfEu-gYKO4AtIVminmoe")</f>
        <v>https://drive.google.com/open?id=1NcXvvja3zDpZlfEu-gYKO4AtIVminmoe</v>
      </c>
      <c r="J1428" s="59"/>
      <c r="K1428" s="59"/>
      <c r="L1428" s="59"/>
      <c r="M1428" s="59"/>
      <c r="N1428" s="59"/>
      <c r="O1428" s="59"/>
      <c r="P1428" s="59"/>
    </row>
    <row r="1429" spans="1:16">
      <c r="A1429" s="71">
        <f ca="1">IFERROR(__xludf.DUMMYFUNCTION("""COMPUTED_VALUE"""),44570.4708718518)</f>
        <v>44570.470871851801</v>
      </c>
      <c r="B1429" s="59" t="str">
        <f ca="1">IFERROR(__xludf.DUMMYFUNCTION("""COMPUTED_VALUE"""),"Romil Hiteshbhai Dobariya")</f>
        <v>Romil Hiteshbhai Dobariya</v>
      </c>
      <c r="C1429" s="72" t="str">
        <f ca="1">IFERROR(__xludf.DUMMYFUNCTION("""COMPUTED_VALUE"""),"20SDSCE01029")</f>
        <v>20SDSCE01029</v>
      </c>
      <c r="D1429" s="73">
        <f ca="1">IFERROR(__xludf.DUMMYFUNCTION("""COMPUTED_VALUE"""),44570)</f>
        <v>44570</v>
      </c>
      <c r="E1429" s="72"/>
      <c r="F1429" s="72">
        <f ca="1">IFERROR(__xludf.DUMMYFUNCTION("""COMPUTED_VALUE"""),2500)</f>
        <v>2500</v>
      </c>
      <c r="G1429" s="75"/>
      <c r="H1429" s="59" t="str">
        <f ca="1">IFERROR(__xludf.DUMMYFUNCTION("""COMPUTED_VALUE"""),"UPDATE")</f>
        <v>UPDATE</v>
      </c>
      <c r="I1429" s="76" t="str">
        <f ca="1">IFERROR(__xludf.DUMMYFUNCTION("""COMPUTED_VALUE"""),"https://drive.google.com/open?id=1ryiOz_T7-NnYgzjKwHPm0-k2UvsZWEG0")</f>
        <v>https://drive.google.com/open?id=1ryiOz_T7-NnYgzjKwHPm0-k2UvsZWEG0</v>
      </c>
      <c r="J1429" s="59"/>
      <c r="K1429" s="59"/>
      <c r="L1429" s="59"/>
      <c r="M1429" s="59"/>
      <c r="N1429" s="59"/>
      <c r="O1429" s="59"/>
      <c r="P1429" s="59"/>
    </row>
    <row r="1430" spans="1:16">
      <c r="A1430" s="71">
        <f ca="1">IFERROR(__xludf.DUMMYFUNCTION("""COMPUTED_VALUE"""),44569.9042726504)</f>
        <v>44569.904272650398</v>
      </c>
      <c r="B1430" s="59" t="str">
        <f ca="1">IFERROR(__xludf.DUMMYFUNCTION("""COMPUTED_VALUE"""),"Vadariya ishva Nilesh Bhai")</f>
        <v>Vadariya ishva Nilesh Bhai</v>
      </c>
      <c r="C1430" s="72" t="str">
        <f ca="1">IFERROR(__xludf.DUMMYFUNCTION("""COMPUTED_VALUE"""),"20sdsce01124")</f>
        <v>20sdsce01124</v>
      </c>
      <c r="D1430" s="73">
        <f ca="1">IFERROR(__xludf.DUMMYFUNCTION("""COMPUTED_VALUE"""),44569)</f>
        <v>44569</v>
      </c>
      <c r="E1430" s="72"/>
      <c r="F1430" s="72">
        <f ca="1">IFERROR(__xludf.DUMMYFUNCTION("""COMPUTED_VALUE"""),2500)</f>
        <v>2500</v>
      </c>
      <c r="G1430" s="75"/>
      <c r="H1430" s="59" t="str">
        <f ca="1">IFERROR(__xludf.DUMMYFUNCTION("""COMPUTED_VALUE"""),"UPDATE")</f>
        <v>UPDATE</v>
      </c>
      <c r="I1430" s="76" t="str">
        <f ca="1">IFERROR(__xludf.DUMMYFUNCTION("""COMPUTED_VALUE"""),"https://drive.google.com/open?id=1NVgHuKNvXVgJuAKwkezuk42Dlx6FCuIC")</f>
        <v>https://drive.google.com/open?id=1NVgHuKNvXVgJuAKwkezuk42Dlx6FCuIC</v>
      </c>
      <c r="J1430" s="59"/>
      <c r="K1430" s="59"/>
      <c r="L1430" s="59"/>
      <c r="M1430" s="59"/>
      <c r="N1430" s="59"/>
      <c r="O1430" s="59"/>
      <c r="P1430" s="59"/>
    </row>
    <row r="1431" spans="1:16">
      <c r="A1431" s="71">
        <f ca="1">IFERROR(__xludf.DUMMYFUNCTION("""COMPUTED_VALUE"""),44569.6349080439)</f>
        <v>44569.634908043903</v>
      </c>
      <c r="B1431" s="59" t="str">
        <f ca="1">IFERROR(__xludf.DUMMYFUNCTION("""COMPUTED_VALUE"""),"Jetani vima ")</f>
        <v xml:space="preserve">Jetani vima </v>
      </c>
      <c r="C1431" s="72" t="str">
        <f ca="1">IFERROR(__xludf.DUMMYFUNCTION("""COMPUTED_VALUE"""),"20SDSCE01046")</f>
        <v>20SDSCE01046</v>
      </c>
      <c r="D1431" s="73">
        <f ca="1">IFERROR(__xludf.DUMMYFUNCTION("""COMPUTED_VALUE"""),44569)</f>
        <v>44569</v>
      </c>
      <c r="E1431" s="72"/>
      <c r="F1431" s="72"/>
      <c r="G1431" s="75"/>
      <c r="H1431" s="59" t="str">
        <f ca="1">IFERROR(__xludf.DUMMYFUNCTION("""COMPUTED_VALUE"""),"UPDATE")</f>
        <v>UPDATE</v>
      </c>
      <c r="I1431" s="76" t="str">
        <f ca="1">IFERROR(__xludf.DUMMYFUNCTION("""COMPUTED_VALUE"""),"https://drive.google.com/open?id=1DH7spST0_X7nDVqwor0xeFjSonjQixX4")</f>
        <v>https://drive.google.com/open?id=1DH7spST0_X7nDVqwor0xeFjSonjQixX4</v>
      </c>
      <c r="J1431" s="59"/>
      <c r="K1431" s="59"/>
      <c r="L1431" s="59"/>
      <c r="M1431" s="59"/>
      <c r="N1431" s="59"/>
      <c r="O1431" s="59"/>
      <c r="P1431" s="59"/>
    </row>
    <row r="1432" spans="1:16">
      <c r="A1432" s="71">
        <f ca="1">IFERROR(__xludf.DUMMYFUNCTION("""COMPUTED_VALUE"""),44568.939043206)</f>
        <v>44568.939043206003</v>
      </c>
      <c r="B1432" s="59" t="str">
        <f ca="1">IFERROR(__xludf.DUMMYFUNCTION("""COMPUTED_VALUE"""),"Aashvi Atulbhai kansagara")</f>
        <v>Aashvi Atulbhai kansagara</v>
      </c>
      <c r="C1432" s="72" t="str">
        <f ca="1">IFERROR(__xludf.DUMMYFUNCTION("""COMPUTED_VALUE"""),"20SDSCE01050")</f>
        <v>20SDSCE01050</v>
      </c>
      <c r="D1432" s="73">
        <f ca="1">IFERROR(__xludf.DUMMYFUNCTION("""COMPUTED_VALUE"""),37769)</f>
        <v>37769</v>
      </c>
      <c r="E1432" s="72"/>
      <c r="F1432" s="72">
        <f ca="1">IFERROR(__xludf.DUMMYFUNCTION("""COMPUTED_VALUE"""),2500)</f>
        <v>2500</v>
      </c>
      <c r="G1432" s="75"/>
      <c r="H1432" s="59" t="str">
        <f ca="1">IFERROR(__xludf.DUMMYFUNCTION("""COMPUTED_VALUE"""),"UPDATE")</f>
        <v>UPDATE</v>
      </c>
      <c r="I1432" s="76" t="str">
        <f ca="1">IFERROR(__xludf.DUMMYFUNCTION("""COMPUTED_VALUE"""),"https://drive.google.com/open?id=1CXRO8xVEc5vEjMsPEMPu6DiW7iZgWApu")</f>
        <v>https://drive.google.com/open?id=1CXRO8xVEc5vEjMsPEMPu6DiW7iZgWApu</v>
      </c>
      <c r="J1432" s="59"/>
      <c r="K1432" s="59"/>
      <c r="L1432" s="59"/>
      <c r="M1432" s="59"/>
      <c r="N1432" s="59"/>
      <c r="O1432" s="59"/>
      <c r="P1432" s="59"/>
    </row>
    <row r="1433" spans="1:16">
      <c r="A1433" s="71">
        <f ca="1">IFERROR(__xludf.DUMMYFUNCTION("""COMPUTED_VALUE"""),44568.6845693634)</f>
        <v>44568.684569363402</v>
      </c>
      <c r="B1433" s="59" t="str">
        <f ca="1">IFERROR(__xludf.DUMMYFUNCTION("""COMPUTED_VALUE"""),"Ghetia Bhaktiben Yogendrakumar")</f>
        <v>Ghetia Bhaktiben Yogendrakumar</v>
      </c>
      <c r="C1433" s="72" t="str">
        <f ca="1">IFERROR(__xludf.DUMMYFUNCTION("""COMPUTED_VALUE"""),"19sdsce01013")</f>
        <v>19sdsce01013</v>
      </c>
      <c r="D1433" s="73">
        <f ca="1">IFERROR(__xludf.DUMMYFUNCTION("""COMPUTED_VALUE"""),44568)</f>
        <v>44568</v>
      </c>
      <c r="E1433" s="74">
        <f ca="1">IFERROR(__xludf.DUMMYFUNCTION("""COMPUTED_VALUE"""),12500)</f>
        <v>12500</v>
      </c>
      <c r="F1433" s="72">
        <f ca="1">IFERROR(__xludf.DUMMYFUNCTION("""COMPUTED_VALUE"""),0)</f>
        <v>0</v>
      </c>
      <c r="G1433" s="75"/>
      <c r="H1433" s="59" t="str">
        <f ca="1">IFERROR(__xludf.DUMMYFUNCTION("""COMPUTED_VALUE"""),"UPDATE")</f>
        <v>UPDATE</v>
      </c>
      <c r="I1433" s="76" t="str">
        <f ca="1">IFERROR(__xludf.DUMMYFUNCTION("""COMPUTED_VALUE"""),"https://drive.google.com/open?id=1JOVEEwFi63_wlWtUJTJZZX6kGQaima5H")</f>
        <v>https://drive.google.com/open?id=1JOVEEwFi63_wlWtUJTJZZX6kGQaima5H</v>
      </c>
      <c r="J1433" s="59"/>
      <c r="K1433" s="59"/>
      <c r="L1433" s="59"/>
      <c r="M1433" s="59"/>
      <c r="N1433" s="59"/>
      <c r="O1433" s="59"/>
      <c r="P1433" s="59"/>
    </row>
    <row r="1434" spans="1:16">
      <c r="A1434" s="71">
        <f ca="1">IFERROR(__xludf.DUMMYFUNCTION("""COMPUTED_VALUE"""),44568.6721532523)</f>
        <v>44568.672153252301</v>
      </c>
      <c r="B1434" s="59" t="str">
        <f ca="1">IFERROR(__xludf.DUMMYFUNCTION("""COMPUTED_VALUE"""),"Mansi nakrani")</f>
        <v>Mansi nakrani</v>
      </c>
      <c r="C1434" s="72" t="str">
        <f ca="1">IFERROR(__xludf.DUMMYFUNCTION("""COMPUTED_VALUE"""),"20sdsce01067")</f>
        <v>20sdsce01067</v>
      </c>
      <c r="D1434" s="73">
        <f ca="1">IFERROR(__xludf.DUMMYFUNCTION("""COMPUTED_VALUE"""),44568)</f>
        <v>44568</v>
      </c>
      <c r="E1434" s="72"/>
      <c r="F1434" s="72">
        <f ca="1">IFERROR(__xludf.DUMMYFUNCTION("""COMPUTED_VALUE"""),2500)</f>
        <v>2500</v>
      </c>
      <c r="G1434" s="75"/>
      <c r="H1434" s="59" t="str">
        <f ca="1">IFERROR(__xludf.DUMMYFUNCTION("""COMPUTED_VALUE"""),"UPDATE")</f>
        <v>UPDATE</v>
      </c>
      <c r="I1434" s="76" t="str">
        <f ca="1">IFERROR(__xludf.DUMMYFUNCTION("""COMPUTED_VALUE"""),"https://drive.google.com/open?id=12E2ZKUnaN3q9TUjAGzREQNhcjFcXzo-z")</f>
        <v>https://drive.google.com/open?id=12E2ZKUnaN3q9TUjAGzREQNhcjFcXzo-z</v>
      </c>
      <c r="J1434" s="59"/>
      <c r="K1434" s="59"/>
      <c r="L1434" s="59"/>
      <c r="M1434" s="59"/>
      <c r="N1434" s="59"/>
      <c r="O1434" s="59"/>
      <c r="P1434" s="59"/>
    </row>
    <row r="1435" spans="1:16">
      <c r="A1435" s="71">
        <f ca="1">IFERROR(__xludf.DUMMYFUNCTION("""COMPUTED_VALUE"""),44568.6709975925)</f>
        <v>44568.670997592497</v>
      </c>
      <c r="B1435" s="59" t="str">
        <f ca="1">IFERROR(__xludf.DUMMYFUNCTION("""COMPUTED_VALUE"""),"Mansi nakrani")</f>
        <v>Mansi nakrani</v>
      </c>
      <c r="C1435" s="72" t="str">
        <f ca="1">IFERROR(__xludf.DUMMYFUNCTION("""COMPUTED_VALUE"""),"20sdsce01067")</f>
        <v>20sdsce01067</v>
      </c>
      <c r="D1435" s="73">
        <f ca="1">IFERROR(__xludf.DUMMYFUNCTION("""COMPUTED_VALUE"""),44568)</f>
        <v>44568</v>
      </c>
      <c r="E1435" s="74">
        <f ca="1">IFERROR(__xludf.DUMMYFUNCTION("""COMPUTED_VALUE"""),12500)</f>
        <v>12500</v>
      </c>
      <c r="F1435" s="72"/>
      <c r="G1435" s="75"/>
      <c r="H1435" s="59" t="str">
        <f ca="1">IFERROR(__xludf.DUMMYFUNCTION("""COMPUTED_VALUE"""),"UPDATE")</f>
        <v>UPDATE</v>
      </c>
      <c r="I1435" s="76" t="str">
        <f ca="1">IFERROR(__xludf.DUMMYFUNCTION("""COMPUTED_VALUE"""),"https://drive.google.com/open?id=1X7vlJAfnYIjNh4cJIylWcHaPOEM1fSMn")</f>
        <v>https://drive.google.com/open?id=1X7vlJAfnYIjNh4cJIylWcHaPOEM1fSMn</v>
      </c>
      <c r="J1435" s="59"/>
      <c r="K1435" s="59"/>
      <c r="L1435" s="59"/>
      <c r="M1435" s="59"/>
      <c r="N1435" s="59"/>
      <c r="O1435" s="59"/>
      <c r="P1435" s="59"/>
    </row>
    <row r="1436" spans="1:16">
      <c r="A1436" s="71">
        <f ca="1">IFERROR(__xludf.DUMMYFUNCTION("""COMPUTED_VALUE"""),44567.5068213773)</f>
        <v>44567.506821377297</v>
      </c>
      <c r="B1436" s="59" t="str">
        <f ca="1">IFERROR(__xludf.DUMMYFUNCTION("""COMPUTED_VALUE"""),"Dev Vyas")</f>
        <v>Dev Vyas</v>
      </c>
      <c r="C1436" s="72" t="str">
        <f ca="1">IFERROR(__xludf.DUMMYFUNCTION("""COMPUTED_VALUE"""),"20sdsce01142")</f>
        <v>20sdsce01142</v>
      </c>
      <c r="D1436" s="73">
        <f ca="1">IFERROR(__xludf.DUMMYFUNCTION("""COMPUTED_VALUE"""),44567)</f>
        <v>44567</v>
      </c>
      <c r="E1436" s="74">
        <f ca="1">IFERROR(__xludf.DUMMYFUNCTION("""COMPUTED_VALUE"""),25000)</f>
        <v>25000</v>
      </c>
      <c r="F1436" s="72">
        <f ca="1">IFERROR(__xludf.DUMMYFUNCTION("""COMPUTED_VALUE"""),2500)</f>
        <v>2500</v>
      </c>
      <c r="G1436" s="75"/>
      <c r="H1436" s="59" t="str">
        <f ca="1">IFERROR(__xludf.DUMMYFUNCTION("""COMPUTED_VALUE"""),"UPDATE")</f>
        <v>UPDATE</v>
      </c>
      <c r="I1436" s="76" t="str">
        <f ca="1">IFERROR(__xludf.DUMMYFUNCTION("""COMPUTED_VALUE"""),"https://drive.google.com/open?id=1H7kmZrvuwqBiPPUqTJq5_WsLHOkrSEgd")</f>
        <v>https://drive.google.com/open?id=1H7kmZrvuwqBiPPUqTJq5_WsLHOkrSEgd</v>
      </c>
      <c r="J1436" s="59"/>
      <c r="K1436" s="59"/>
      <c r="L1436" s="59"/>
      <c r="M1436" s="59"/>
      <c r="N1436" s="59"/>
      <c r="O1436" s="59"/>
      <c r="P1436" s="59"/>
    </row>
    <row r="1437" spans="1:16">
      <c r="A1437" s="71">
        <f ca="1">IFERROR(__xludf.DUMMYFUNCTION("""COMPUTED_VALUE"""),44567.5056438541)</f>
        <v>44567.5056438541</v>
      </c>
      <c r="B1437" s="59" t="str">
        <f ca="1">IFERROR(__xludf.DUMMYFUNCTION("""COMPUTED_VALUE"""),"Dev Vyas")</f>
        <v>Dev Vyas</v>
      </c>
      <c r="C1437" s="72" t="str">
        <f ca="1">IFERROR(__xludf.DUMMYFUNCTION("""COMPUTED_VALUE"""),"20sdsce01142")</f>
        <v>20sdsce01142</v>
      </c>
      <c r="D1437" s="73">
        <f ca="1">IFERROR(__xludf.DUMMYFUNCTION("""COMPUTED_VALUE"""),44567)</f>
        <v>44567</v>
      </c>
      <c r="E1437" s="74">
        <f ca="1">IFERROR(__xludf.DUMMYFUNCTION("""COMPUTED_VALUE"""),25000)</f>
        <v>25000</v>
      </c>
      <c r="F1437" s="72">
        <f ca="1">IFERROR(__xludf.DUMMYFUNCTION("""COMPUTED_VALUE"""),2500)</f>
        <v>2500</v>
      </c>
      <c r="G1437" s="75"/>
      <c r="H1437" s="59" t="str">
        <f ca="1">IFERROR(__xludf.DUMMYFUNCTION("""COMPUTED_VALUE"""),"UPDATE")</f>
        <v>UPDATE</v>
      </c>
      <c r="I1437" s="76" t="str">
        <f ca="1">IFERROR(__xludf.DUMMYFUNCTION("""COMPUTED_VALUE"""),"https://drive.google.com/open?id=1e-NlQMBKDoUhVuORcVFVZK6YfxBCLM-e")</f>
        <v>https://drive.google.com/open?id=1e-NlQMBKDoUhVuORcVFVZK6YfxBCLM-e</v>
      </c>
      <c r="J1437" s="59"/>
      <c r="K1437" s="59"/>
      <c r="L1437" s="59"/>
      <c r="M1437" s="59"/>
      <c r="N1437" s="59"/>
      <c r="O1437" s="59"/>
      <c r="P1437" s="59"/>
    </row>
    <row r="1438" spans="1:16">
      <c r="A1438" s="71">
        <f ca="1">IFERROR(__xludf.DUMMYFUNCTION("""COMPUTED_VALUE"""),44564.6694623263)</f>
        <v>44564.669462326303</v>
      </c>
      <c r="B1438" s="59" t="str">
        <f ca="1">IFERROR(__xludf.DUMMYFUNCTION("""COMPUTED_VALUE"""),"KARANSINH HEMRAJSINH CHAVDA")</f>
        <v>KARANSINH HEMRAJSINH CHAVDA</v>
      </c>
      <c r="C1438" s="72" t="str">
        <f ca="1">IFERROR(__xludf.DUMMYFUNCTION("""COMPUTED_VALUE"""),"20SDSCE01016")</f>
        <v>20SDSCE01016</v>
      </c>
      <c r="D1438" s="73">
        <f ca="1">IFERROR(__xludf.DUMMYFUNCTION("""COMPUTED_VALUE"""),44563)</f>
        <v>44563</v>
      </c>
      <c r="E1438" s="74">
        <f ca="1">IFERROR(__xludf.DUMMYFUNCTION("""COMPUTED_VALUE"""),25000)</f>
        <v>25000</v>
      </c>
      <c r="F1438" s="72">
        <f ca="1">IFERROR(__xludf.DUMMYFUNCTION("""COMPUTED_VALUE"""),2500)</f>
        <v>2500</v>
      </c>
      <c r="G1438" s="75"/>
      <c r="H1438" s="59" t="str">
        <f ca="1">IFERROR(__xludf.DUMMYFUNCTION("""COMPUTED_VALUE"""),"UPDATE")</f>
        <v>UPDATE</v>
      </c>
      <c r="I1438" s="76" t="str">
        <f ca="1">IFERROR(__xludf.DUMMYFUNCTION("""COMPUTED_VALUE"""),"https://drive.google.com/open?id=1PC6pH3FoFDicyFzDi8pQsU1kw6LQoSe-")</f>
        <v>https://drive.google.com/open?id=1PC6pH3FoFDicyFzDi8pQsU1kw6LQoSe-</v>
      </c>
      <c r="J1438" s="59"/>
      <c r="K1438" s="59"/>
      <c r="L1438" s="59"/>
      <c r="M1438" s="59"/>
      <c r="N1438" s="59"/>
      <c r="O1438" s="59"/>
      <c r="P1438" s="59"/>
    </row>
    <row r="1439" spans="1:16">
      <c r="A1439" s="71">
        <f ca="1">IFERROR(__xludf.DUMMYFUNCTION("""COMPUTED_VALUE"""),44564.5208016782)</f>
        <v>44564.520801678198</v>
      </c>
      <c r="B1439" s="59" t="str">
        <f ca="1">IFERROR(__xludf.DUMMYFUNCTION("""COMPUTED_VALUE"""),"Kalariya jigar kiranbhai")</f>
        <v>Kalariya jigar kiranbhai</v>
      </c>
      <c r="C1439" s="72" t="str">
        <f ca="1">IFERROR(__xludf.DUMMYFUNCTION("""COMPUTED_VALUE"""),"20sdsce01048")</f>
        <v>20sdsce01048</v>
      </c>
      <c r="D1439" s="73">
        <f ca="1">IFERROR(__xludf.DUMMYFUNCTION("""COMPUTED_VALUE"""),44564)</f>
        <v>44564</v>
      </c>
      <c r="E1439" s="72"/>
      <c r="F1439" s="72"/>
      <c r="G1439" s="75"/>
      <c r="H1439" s="59" t="str">
        <f ca="1">IFERROR(__xludf.DUMMYFUNCTION("""COMPUTED_VALUE"""),"UPDATE")</f>
        <v>UPDATE</v>
      </c>
      <c r="I1439" s="76" t="str">
        <f ca="1">IFERROR(__xludf.DUMMYFUNCTION("""COMPUTED_VALUE"""),"https://drive.google.com/open?id=1--YaSm8dhbdyBHxb4KewnmU0oW1M3ltf")</f>
        <v>https://drive.google.com/open?id=1--YaSm8dhbdyBHxb4KewnmU0oW1M3ltf</v>
      </c>
      <c r="J1439" s="59"/>
      <c r="K1439" s="59"/>
      <c r="L1439" s="59"/>
      <c r="M1439" s="59"/>
      <c r="N1439" s="59"/>
      <c r="O1439" s="59"/>
      <c r="P1439" s="59"/>
    </row>
    <row r="1440" spans="1:16">
      <c r="A1440" s="71">
        <f ca="1">IFERROR(__xludf.DUMMYFUNCTION("""COMPUTED_VALUE"""),44561.0620258564)</f>
        <v>44561.062025856401</v>
      </c>
      <c r="B1440" s="59" t="str">
        <f ca="1">IFERROR(__xludf.DUMMYFUNCTION("""COMPUTED_VALUE"""),"DARSHAN LAKHANI")</f>
        <v>DARSHAN LAKHANI</v>
      </c>
      <c r="C1440" s="72" t="str">
        <f ca="1">IFERROR(__xludf.DUMMYFUNCTION("""COMPUTED_VALUE"""),"19Sdsce01027")</f>
        <v>19Sdsce01027</v>
      </c>
      <c r="D1440" s="73">
        <f ca="1">IFERROR(__xludf.DUMMYFUNCTION("""COMPUTED_VALUE"""),44560)</f>
        <v>44560</v>
      </c>
      <c r="E1440" s="72"/>
      <c r="F1440" s="72">
        <f ca="1">IFERROR(__xludf.DUMMYFUNCTION("""COMPUTED_VALUE"""),3500)</f>
        <v>3500</v>
      </c>
      <c r="G1440" s="75"/>
      <c r="H1440" s="59" t="str">
        <f ca="1">IFERROR(__xludf.DUMMYFUNCTION("""COMPUTED_VALUE"""),"UPDATE")</f>
        <v>UPDATE</v>
      </c>
      <c r="I1440" s="76" t="str">
        <f ca="1">IFERROR(__xludf.DUMMYFUNCTION("""COMPUTED_VALUE"""),"https://drive.google.com/open?id=1r780Ho7ns4Xhw2B4CLffiyuVivqJTmys")</f>
        <v>https://drive.google.com/open?id=1r780Ho7ns4Xhw2B4CLffiyuVivqJTmys</v>
      </c>
      <c r="J1440" s="59"/>
      <c r="K1440" s="59"/>
      <c r="L1440" s="59"/>
      <c r="M1440" s="59"/>
      <c r="N1440" s="59"/>
      <c r="O1440" s="59"/>
      <c r="P1440" s="59"/>
    </row>
    <row r="1441" spans="1:16">
      <c r="A1441" s="71">
        <f ca="1">IFERROR(__xludf.DUMMYFUNCTION("""COMPUTED_VALUE"""),44557.6856517476)</f>
        <v>44557.685651747597</v>
      </c>
      <c r="B1441" s="59" t="str">
        <f ca="1">IFERROR(__xludf.DUMMYFUNCTION("""COMPUTED_VALUE"""),"Pansuriya jay jigneshbhai")</f>
        <v>Pansuriya jay jigneshbhai</v>
      </c>
      <c r="C1441" s="72" t="str">
        <f ca="1">IFERROR(__xludf.DUMMYFUNCTION("""COMPUTED_VALUE"""),"20SDSCE01076")</f>
        <v>20SDSCE01076</v>
      </c>
      <c r="D1441" s="73">
        <f ca="1">IFERROR(__xludf.DUMMYFUNCTION("""COMPUTED_VALUE"""),44557)</f>
        <v>44557</v>
      </c>
      <c r="E1441" s="74">
        <f ca="1">IFERROR(__xludf.DUMMYFUNCTION("""COMPUTED_VALUE"""),25000)</f>
        <v>25000</v>
      </c>
      <c r="F1441" s="72">
        <f ca="1">IFERROR(__xludf.DUMMYFUNCTION("""COMPUTED_VALUE"""),0)</f>
        <v>0</v>
      </c>
      <c r="G1441" s="75"/>
      <c r="H1441" s="59" t="str">
        <f ca="1">IFERROR(__xludf.DUMMYFUNCTION("""COMPUTED_VALUE"""),"UPDATE")</f>
        <v>UPDATE</v>
      </c>
      <c r="I1441" s="76" t="str">
        <f ca="1">IFERROR(__xludf.DUMMYFUNCTION("""COMPUTED_VALUE"""),"https://drive.google.com/open?id=1yiLXg7ZCJCv3JOtY6rvAnFJuptuCNR6e")</f>
        <v>https://drive.google.com/open?id=1yiLXg7ZCJCv3JOtY6rvAnFJuptuCNR6e</v>
      </c>
      <c r="J1441" s="59"/>
      <c r="K1441" s="59"/>
      <c r="L1441" s="59"/>
      <c r="M1441" s="59"/>
      <c r="N1441" s="59"/>
      <c r="O1441" s="59"/>
      <c r="P1441" s="59"/>
    </row>
    <row r="1442" spans="1:16">
      <c r="A1442" s="71">
        <f ca="1">IFERROR(__xludf.DUMMYFUNCTION("""COMPUTED_VALUE"""),44557.5061956018)</f>
        <v>44557.506195601803</v>
      </c>
      <c r="B1442" s="59" t="str">
        <f ca="1">IFERROR(__xludf.DUMMYFUNCTION("""COMPUTED_VALUE"""),"VALA TIRTH ANILBHAI")</f>
        <v>VALA TIRTH ANILBHAI</v>
      </c>
      <c r="C1442" s="72" t="str">
        <f ca="1">IFERROR(__xludf.DUMMYFUNCTION("""COMPUTED_VALUE"""),"19SDSME01030")</f>
        <v>19SDSME01030</v>
      </c>
      <c r="D1442" s="73">
        <f ca="1">IFERROR(__xludf.DUMMYFUNCTION("""COMPUTED_VALUE"""),44556)</f>
        <v>44556</v>
      </c>
      <c r="E1442" s="72"/>
      <c r="F1442" s="72">
        <f ca="1">IFERROR(__xludf.DUMMYFUNCTION("""COMPUTED_VALUE"""),2500)</f>
        <v>2500</v>
      </c>
      <c r="G1442" s="75"/>
      <c r="H1442" s="59" t="str">
        <f ca="1">IFERROR(__xludf.DUMMYFUNCTION("""COMPUTED_VALUE"""),"UPDATE")</f>
        <v>UPDATE</v>
      </c>
      <c r="I1442" s="76" t="str">
        <f ca="1">IFERROR(__xludf.DUMMYFUNCTION("""COMPUTED_VALUE"""),"https://drive.google.com/open?id=1zRhDexe9AVkS35OeNRH5-DRKp4vpQlPm")</f>
        <v>https://drive.google.com/open?id=1zRhDexe9AVkS35OeNRH5-DRKp4vpQlPm</v>
      </c>
      <c r="J1442" s="59"/>
      <c r="K1442" s="59"/>
      <c r="L1442" s="59"/>
      <c r="M1442" s="59"/>
      <c r="N1442" s="59"/>
      <c r="O1442" s="59"/>
      <c r="P1442" s="59"/>
    </row>
    <row r="1443" spans="1:16">
      <c r="A1443" s="71">
        <f ca="1">IFERROR(__xludf.DUMMYFUNCTION("""COMPUTED_VALUE"""),44557.5053310995)</f>
        <v>44557.505331099499</v>
      </c>
      <c r="B1443" s="59" t="str">
        <f ca="1">IFERROR(__xludf.DUMMYFUNCTION("""COMPUTED_VALUE"""),"VALA TIRTH ANILBHAI")</f>
        <v>VALA TIRTH ANILBHAI</v>
      </c>
      <c r="C1443" s="72" t="str">
        <f ca="1">IFERROR(__xludf.DUMMYFUNCTION("""COMPUTED_VALUE"""),"19SDSME01030")</f>
        <v>19SDSME01030</v>
      </c>
      <c r="D1443" s="73">
        <f ca="1">IFERROR(__xludf.DUMMYFUNCTION("""COMPUTED_VALUE"""),44556)</f>
        <v>44556</v>
      </c>
      <c r="E1443" s="74">
        <f ca="1">IFERROR(__xludf.DUMMYFUNCTION("""COMPUTED_VALUE"""),25400)</f>
        <v>25400</v>
      </c>
      <c r="F1443" s="72"/>
      <c r="G1443" s="75"/>
      <c r="H1443" s="59" t="str">
        <f ca="1">IFERROR(__xludf.DUMMYFUNCTION("""COMPUTED_VALUE"""),"UPDATE")</f>
        <v>UPDATE</v>
      </c>
      <c r="I1443" s="76" t="str">
        <f ca="1">IFERROR(__xludf.DUMMYFUNCTION("""COMPUTED_VALUE"""),"https://drive.google.com/open?id=1b5YRbKgbtJgs3brdcKgnHtJyuWZYFApe")</f>
        <v>https://drive.google.com/open?id=1b5YRbKgbtJgs3brdcKgnHtJyuWZYFApe</v>
      </c>
      <c r="J1443" s="59"/>
      <c r="K1443" s="59"/>
      <c r="L1443" s="59"/>
      <c r="M1443" s="59"/>
      <c r="N1443" s="59"/>
      <c r="O1443" s="59"/>
      <c r="P1443" s="59"/>
    </row>
    <row r="1444" spans="1:16">
      <c r="A1444" s="71">
        <f ca="1">IFERROR(__xludf.DUMMYFUNCTION("""COMPUTED_VALUE"""),44555.4217625231)</f>
        <v>44555.421762523103</v>
      </c>
      <c r="B1444" s="59" t="str">
        <f ca="1">IFERROR(__xludf.DUMMYFUNCTION("""COMPUTED_VALUE"""),"Yash Ranpariya")</f>
        <v>Yash Ranpariya</v>
      </c>
      <c r="C1444" s="72" t="str">
        <f ca="1">IFERROR(__xludf.DUMMYFUNCTION("""COMPUTED_VALUE"""),"19SDSME01020")</f>
        <v>19SDSME01020</v>
      </c>
      <c r="D1444" s="73">
        <f ca="1">IFERROR(__xludf.DUMMYFUNCTION("""COMPUTED_VALUE"""),44555)</f>
        <v>44555</v>
      </c>
      <c r="E1444" s="74">
        <f ca="1">IFERROR(__xludf.DUMMYFUNCTION("""COMPUTED_VALUE"""),6250)</f>
        <v>6250</v>
      </c>
      <c r="F1444" s="72">
        <f ca="1">IFERROR(__xludf.DUMMYFUNCTION("""COMPUTED_VALUE"""),3500)</f>
        <v>3500</v>
      </c>
      <c r="G1444" s="75"/>
      <c r="H1444" s="59" t="str">
        <f ca="1">IFERROR(__xludf.DUMMYFUNCTION("""COMPUTED_VALUE"""),"UPDATE")</f>
        <v>UPDATE</v>
      </c>
      <c r="I1444" s="76" t="str">
        <f ca="1">IFERROR(__xludf.DUMMYFUNCTION("""COMPUTED_VALUE"""),"https://drive.google.com/open?id=1RowhzPTPj9WR7rdbiTRVm_7Z2rh4Azo8")</f>
        <v>https://drive.google.com/open?id=1RowhzPTPj9WR7rdbiTRVm_7Z2rh4Azo8</v>
      </c>
      <c r="J1444" s="59"/>
      <c r="K1444" s="59"/>
      <c r="L1444" s="59"/>
      <c r="M1444" s="59"/>
      <c r="N1444" s="59"/>
      <c r="O1444" s="59"/>
      <c r="P1444" s="59"/>
    </row>
    <row r="1445" spans="1:16">
      <c r="A1445" s="71">
        <f ca="1">IFERROR(__xludf.DUMMYFUNCTION("""COMPUTED_VALUE"""),44554.8132813425)</f>
        <v>44554.813281342504</v>
      </c>
      <c r="B1445" s="59" t="str">
        <f ca="1">IFERROR(__xludf.DUMMYFUNCTION("""COMPUTED_VALUE"""),"Panchani Pritesh Kishor ")</f>
        <v xml:space="preserve">Panchani Pritesh Kishor </v>
      </c>
      <c r="C1445" s="72" t="str">
        <f ca="1">IFERROR(__xludf.DUMMYFUNCTION("""COMPUTED_VALUE"""),"19SDSCE01035")</f>
        <v>19SDSCE01035</v>
      </c>
      <c r="D1445" s="73">
        <f ca="1">IFERROR(__xludf.DUMMYFUNCTION("""COMPUTED_VALUE"""),44554)</f>
        <v>44554</v>
      </c>
      <c r="E1445" s="72"/>
      <c r="F1445" s="72">
        <f ca="1">IFERROR(__xludf.DUMMYFUNCTION("""COMPUTED_VALUE"""),3500)</f>
        <v>3500</v>
      </c>
      <c r="G1445" s="75"/>
      <c r="H1445" s="59" t="str">
        <f ca="1">IFERROR(__xludf.DUMMYFUNCTION("""COMPUTED_VALUE"""),"UPDATE")</f>
        <v>UPDATE</v>
      </c>
      <c r="I1445" s="76" t="str">
        <f ca="1">IFERROR(__xludf.DUMMYFUNCTION("""COMPUTED_VALUE"""),"https://drive.google.com/open?id=13qDaMxJ0IjmEmyX6Cr-SML2wcOCOyO6B")</f>
        <v>https://drive.google.com/open?id=13qDaMxJ0IjmEmyX6Cr-SML2wcOCOyO6B</v>
      </c>
      <c r="J1445" s="59"/>
      <c r="K1445" s="59"/>
      <c r="L1445" s="59"/>
      <c r="M1445" s="59"/>
      <c r="N1445" s="59"/>
      <c r="O1445" s="59"/>
      <c r="P1445" s="59"/>
    </row>
    <row r="1446" spans="1:16">
      <c r="A1446" s="71">
        <f ca="1">IFERROR(__xludf.DUMMYFUNCTION("""COMPUTED_VALUE"""),44553.5315235763)</f>
        <v>44553.531523576297</v>
      </c>
      <c r="B1446" s="59" t="str">
        <f ca="1">IFERROR(__xludf.DUMMYFUNCTION("""COMPUTED_VALUE"""),"Pallavi khatra")</f>
        <v>Pallavi khatra</v>
      </c>
      <c r="C1446" s="72" t="str">
        <f ca="1">IFERROR(__xludf.DUMMYFUNCTION("""COMPUTED_VALUE"""),"19SDSCE01024")</f>
        <v>19SDSCE01024</v>
      </c>
      <c r="D1446" s="73">
        <f ca="1">IFERROR(__xludf.DUMMYFUNCTION("""COMPUTED_VALUE"""),44552)</f>
        <v>44552</v>
      </c>
      <c r="E1446" s="72"/>
      <c r="F1446" s="72">
        <f ca="1">IFERROR(__xludf.DUMMYFUNCTION("""COMPUTED_VALUE"""),3500)</f>
        <v>3500</v>
      </c>
      <c r="G1446" s="75"/>
      <c r="H1446" s="59" t="str">
        <f ca="1">IFERROR(__xludf.DUMMYFUNCTION("""COMPUTED_VALUE"""),"UPDATE")</f>
        <v>UPDATE</v>
      </c>
      <c r="I1446" s="76" t="str">
        <f ca="1">IFERROR(__xludf.DUMMYFUNCTION("""COMPUTED_VALUE"""),"https://drive.google.com/open?id=1TGwCdw2KriAZddYIHvdDLWw9oUJFx4-0")</f>
        <v>https://drive.google.com/open?id=1TGwCdw2KriAZddYIHvdDLWw9oUJFx4-0</v>
      </c>
      <c r="J1446" s="59"/>
      <c r="K1446" s="59"/>
      <c r="L1446" s="59"/>
      <c r="M1446" s="59"/>
      <c r="N1446" s="59"/>
      <c r="O1446" s="59"/>
      <c r="P1446" s="59"/>
    </row>
    <row r="1447" spans="1:16">
      <c r="A1447" s="71">
        <f ca="1">IFERROR(__xludf.DUMMYFUNCTION("""COMPUTED_VALUE"""),44553.5307864236)</f>
        <v>44553.530786423602</v>
      </c>
      <c r="B1447" s="59" t="str">
        <f ca="1">IFERROR(__xludf.DUMMYFUNCTION("""COMPUTED_VALUE"""),"PAllavi khatra ")</f>
        <v xml:space="preserve">PAllavi khatra </v>
      </c>
      <c r="C1447" s="72" t="str">
        <f ca="1">IFERROR(__xludf.DUMMYFUNCTION("""COMPUTED_VALUE"""),"19SDSCE01024")</f>
        <v>19SDSCE01024</v>
      </c>
      <c r="D1447" s="73">
        <f ca="1">IFERROR(__xludf.DUMMYFUNCTION("""COMPUTED_VALUE"""),44552)</f>
        <v>44552</v>
      </c>
      <c r="E1447" s="74">
        <f ca="1">IFERROR(__xludf.DUMMYFUNCTION("""COMPUTED_VALUE"""),25000)</f>
        <v>25000</v>
      </c>
      <c r="F1447" s="72"/>
      <c r="G1447" s="75"/>
      <c r="H1447" s="59" t="str">
        <f ca="1">IFERROR(__xludf.DUMMYFUNCTION("""COMPUTED_VALUE"""),"UPDATE")</f>
        <v>UPDATE</v>
      </c>
      <c r="I1447" s="76" t="str">
        <f ca="1">IFERROR(__xludf.DUMMYFUNCTION("""COMPUTED_VALUE"""),"https://drive.google.com/open?id=116UDxVRHsLpyC5EvmQ_fFRHot3hRjSLh")</f>
        <v>https://drive.google.com/open?id=116UDxVRHsLpyC5EvmQ_fFRHot3hRjSLh</v>
      </c>
      <c r="J1447" s="59"/>
      <c r="K1447" s="59"/>
      <c r="L1447" s="59"/>
      <c r="M1447" s="59"/>
      <c r="N1447" s="59"/>
      <c r="O1447" s="59"/>
      <c r="P1447" s="59"/>
    </row>
    <row r="1448" spans="1:16">
      <c r="A1448" s="71">
        <f ca="1">IFERROR(__xludf.DUMMYFUNCTION("""COMPUTED_VALUE"""),44552.7856314351)</f>
        <v>44552.785631435101</v>
      </c>
      <c r="B1448" s="59" t="str">
        <f ca="1">IFERROR(__xludf.DUMMYFUNCTION("""COMPUTED_VALUE"""),"Khimani Faizan Yusufbhai")</f>
        <v>Khimani Faizan Yusufbhai</v>
      </c>
      <c r="C1448" s="72" t="str">
        <f ca="1">IFERROR(__xludf.DUMMYFUNCTION("""COMPUTED_VALUE"""),"19SDSCE01025")</f>
        <v>19SDSCE01025</v>
      </c>
      <c r="D1448" s="73">
        <f ca="1">IFERROR(__xludf.DUMMYFUNCTION("""COMPUTED_VALUE"""),44552)</f>
        <v>44552</v>
      </c>
      <c r="E1448" s="74">
        <f ca="1">IFERROR(__xludf.DUMMYFUNCTION("""COMPUTED_VALUE"""),25000)</f>
        <v>25000</v>
      </c>
      <c r="F1448" s="72"/>
      <c r="G1448" s="75"/>
      <c r="H1448" s="59" t="str">
        <f ca="1">IFERROR(__xludf.DUMMYFUNCTION("""COMPUTED_VALUE"""),"UPDATE")</f>
        <v>UPDATE</v>
      </c>
      <c r="I1448" s="76" t="str">
        <f ca="1">IFERROR(__xludf.DUMMYFUNCTION("""COMPUTED_VALUE"""),"https://drive.google.com/open?id=1vDctc_OCxnbmE_QbJuDLSzf6z-Ol5Qse")</f>
        <v>https://drive.google.com/open?id=1vDctc_OCxnbmE_QbJuDLSzf6z-Ol5Qse</v>
      </c>
      <c r="J1448" s="59"/>
      <c r="K1448" s="59"/>
      <c r="L1448" s="59"/>
      <c r="M1448" s="59"/>
      <c r="N1448" s="59"/>
      <c r="O1448" s="59"/>
      <c r="P1448" s="59"/>
    </row>
    <row r="1449" spans="1:16">
      <c r="A1449" s="71">
        <f ca="1">IFERROR(__xludf.DUMMYFUNCTION("""COMPUTED_VALUE"""),44552.467174699)</f>
        <v>44552.467174698999</v>
      </c>
      <c r="B1449" s="59" t="str">
        <f ca="1">IFERROR(__xludf.DUMMYFUNCTION("""COMPUTED_VALUE"""),"smit bhimani")</f>
        <v>smit bhimani</v>
      </c>
      <c r="C1449" s="72" t="str">
        <f ca="1">IFERROR(__xludf.DUMMYFUNCTION("""COMPUTED_VALUE"""),"19SDSCE01004")</f>
        <v>19SDSCE01004</v>
      </c>
      <c r="D1449" s="73">
        <f ca="1">IFERROR(__xludf.DUMMYFUNCTION("""COMPUTED_VALUE"""),44552)</f>
        <v>44552</v>
      </c>
      <c r="E1449" s="74">
        <f ca="1">IFERROR(__xludf.DUMMYFUNCTION("""COMPUTED_VALUE"""),25000)</f>
        <v>25000</v>
      </c>
      <c r="F1449" s="72"/>
      <c r="G1449" s="75"/>
      <c r="H1449" s="59" t="str">
        <f ca="1">IFERROR(__xludf.DUMMYFUNCTION("""COMPUTED_VALUE"""),"UPDATE")</f>
        <v>UPDATE</v>
      </c>
      <c r="I1449" s="76" t="str">
        <f ca="1">IFERROR(__xludf.DUMMYFUNCTION("""COMPUTED_VALUE"""),"https://drive.google.com/open?id=1JyFGXfodFNBVdHK1oPImBzDgpMectgiY")</f>
        <v>https://drive.google.com/open?id=1JyFGXfodFNBVdHK1oPImBzDgpMectgiY</v>
      </c>
      <c r="J1449" s="59"/>
      <c r="K1449" s="59"/>
      <c r="L1449" s="59"/>
      <c r="M1449" s="59"/>
      <c r="N1449" s="59"/>
      <c r="O1449" s="59"/>
      <c r="P1449" s="59"/>
    </row>
    <row r="1450" spans="1:16">
      <c r="A1450" s="71">
        <f ca="1">IFERROR(__xludf.DUMMYFUNCTION("""COMPUTED_VALUE"""),44552.4667181713)</f>
        <v>44552.466718171301</v>
      </c>
      <c r="B1450" s="59" t="str">
        <f ca="1">IFERROR(__xludf.DUMMYFUNCTION("""COMPUTED_VALUE"""),"smit bhimani")</f>
        <v>smit bhimani</v>
      </c>
      <c r="C1450" s="72" t="str">
        <f ca="1">IFERROR(__xludf.DUMMYFUNCTION("""COMPUTED_VALUE"""),"19SDSCE01004")</f>
        <v>19SDSCE01004</v>
      </c>
      <c r="D1450" s="73">
        <f ca="1">IFERROR(__xludf.DUMMYFUNCTION("""COMPUTED_VALUE"""),44552)</f>
        <v>44552</v>
      </c>
      <c r="E1450" s="72"/>
      <c r="F1450" s="72">
        <f ca="1">IFERROR(__xludf.DUMMYFUNCTION("""COMPUTED_VALUE"""),3500)</f>
        <v>3500</v>
      </c>
      <c r="G1450" s="75"/>
      <c r="H1450" s="59" t="str">
        <f ca="1">IFERROR(__xludf.DUMMYFUNCTION("""COMPUTED_VALUE"""),"UPDATE")</f>
        <v>UPDATE</v>
      </c>
      <c r="I1450" s="76" t="str">
        <f ca="1">IFERROR(__xludf.DUMMYFUNCTION("""COMPUTED_VALUE"""),"https://drive.google.com/open?id=1kGqgF4M5k8dtBagtcxPyEr8AuHYg2E1q")</f>
        <v>https://drive.google.com/open?id=1kGqgF4M5k8dtBagtcxPyEr8AuHYg2E1q</v>
      </c>
      <c r="J1450" s="59"/>
      <c r="K1450" s="59"/>
      <c r="L1450" s="59"/>
      <c r="M1450" s="59"/>
      <c r="N1450" s="59"/>
      <c r="O1450" s="59"/>
      <c r="P1450" s="59"/>
    </row>
    <row r="1451" spans="1:16">
      <c r="A1451" s="71">
        <f ca="1">IFERROR(__xludf.DUMMYFUNCTION("""COMPUTED_VALUE"""),44550.8829074189)</f>
        <v>44550.882907418898</v>
      </c>
      <c r="B1451" s="59" t="str">
        <f ca="1">IFERROR(__xludf.DUMMYFUNCTION("""COMPUTED_VALUE"""),"Dangar Dharmik Bharatbhai")</f>
        <v>Dangar Dharmik Bharatbhai</v>
      </c>
      <c r="C1451" s="72" t="str">
        <f ca="1">IFERROR(__xludf.DUMMYFUNCTION("""COMPUTED_VALUE"""),"19sdscv01001")</f>
        <v>19sdscv01001</v>
      </c>
      <c r="D1451" s="73">
        <f ca="1">IFERROR(__xludf.DUMMYFUNCTION("""COMPUTED_VALUE"""),44548)</f>
        <v>44548</v>
      </c>
      <c r="E1451" s="74">
        <f ca="1">IFERROR(__xludf.DUMMYFUNCTION("""COMPUTED_VALUE"""),0)</f>
        <v>0</v>
      </c>
      <c r="F1451" s="72">
        <f ca="1">IFERROR(__xludf.DUMMYFUNCTION("""COMPUTED_VALUE"""),3500)</f>
        <v>3500</v>
      </c>
      <c r="G1451" s="75"/>
      <c r="H1451" s="59" t="str">
        <f ca="1">IFERROR(__xludf.DUMMYFUNCTION("""COMPUTED_VALUE"""),"UPDATE")</f>
        <v>UPDATE</v>
      </c>
      <c r="I1451" s="76" t="str">
        <f ca="1">IFERROR(__xludf.DUMMYFUNCTION("""COMPUTED_VALUE"""),"https://drive.google.com/open?id=1-4yp4-Q3H4xERebwY-M_fHWXKBefIyVV")</f>
        <v>https://drive.google.com/open?id=1-4yp4-Q3H4xERebwY-M_fHWXKBefIyVV</v>
      </c>
      <c r="J1451" s="59"/>
      <c r="K1451" s="59"/>
      <c r="L1451" s="59"/>
      <c r="M1451" s="59"/>
      <c r="N1451" s="59"/>
      <c r="O1451" s="59"/>
      <c r="P1451" s="59"/>
    </row>
    <row r="1452" spans="1:16">
      <c r="A1452" s="71">
        <f ca="1">IFERROR(__xludf.DUMMYFUNCTION("""COMPUTED_VALUE"""),44550.6489621412)</f>
        <v>44550.648962141197</v>
      </c>
      <c r="B1452" s="59" t="str">
        <f ca="1">IFERROR(__xludf.DUMMYFUNCTION("""COMPUTED_VALUE"""),"Dangar Dharmik Bharatbhai")</f>
        <v>Dangar Dharmik Bharatbhai</v>
      </c>
      <c r="C1452" s="72" t="str">
        <f ca="1">IFERROR(__xludf.DUMMYFUNCTION("""COMPUTED_VALUE"""),"19sdscv01001")</f>
        <v>19sdscv01001</v>
      </c>
      <c r="D1452" s="73">
        <f ca="1">IFERROR(__xludf.DUMMYFUNCTION("""COMPUTED_VALUE"""),44550)</f>
        <v>44550</v>
      </c>
      <c r="E1452" s="74">
        <f ca="1">IFERROR(__xludf.DUMMYFUNCTION("""COMPUTED_VALUE"""),25000)</f>
        <v>25000</v>
      </c>
      <c r="F1452" s="72">
        <f ca="1">IFERROR(__xludf.DUMMYFUNCTION("""COMPUTED_VALUE"""),0)</f>
        <v>0</v>
      </c>
      <c r="G1452" s="75"/>
      <c r="H1452" s="59" t="str">
        <f ca="1">IFERROR(__xludf.DUMMYFUNCTION("""COMPUTED_VALUE"""),"UPDATE")</f>
        <v>UPDATE</v>
      </c>
      <c r="I1452" s="76" t="str">
        <f ca="1">IFERROR(__xludf.DUMMYFUNCTION("""COMPUTED_VALUE"""),"https://drive.google.com/open?id=1ireP1mlC2qrU8thW27vEhqFL1H0gzkyz")</f>
        <v>https://drive.google.com/open?id=1ireP1mlC2qrU8thW27vEhqFL1H0gzkyz</v>
      </c>
      <c r="J1452" s="59"/>
      <c r="K1452" s="59"/>
      <c r="L1452" s="59"/>
      <c r="M1452" s="59"/>
      <c r="N1452" s="59"/>
      <c r="O1452" s="59"/>
      <c r="P1452" s="59"/>
    </row>
    <row r="1453" spans="1:16">
      <c r="A1453" s="71">
        <f ca="1">IFERROR(__xludf.DUMMYFUNCTION("""COMPUTED_VALUE"""),44550.3450517361)</f>
        <v>44550.345051736098</v>
      </c>
      <c r="B1453" s="59" t="str">
        <f ca="1">IFERROR(__xludf.DUMMYFUNCTION("""COMPUTED_VALUE"""),"Dangar Dharmik Bharatbhai")</f>
        <v>Dangar Dharmik Bharatbhai</v>
      </c>
      <c r="C1453" s="72" t="str">
        <f ca="1">IFERROR(__xludf.DUMMYFUNCTION("""COMPUTED_VALUE"""),"19sdscv01001")</f>
        <v>19sdscv01001</v>
      </c>
      <c r="D1453" s="73">
        <f ca="1">IFERROR(__xludf.DUMMYFUNCTION("""COMPUTED_VALUE"""),44548)</f>
        <v>44548</v>
      </c>
      <c r="E1453" s="74">
        <f ca="1">IFERROR(__xludf.DUMMYFUNCTION("""COMPUTED_VALUE"""),0)</f>
        <v>0</v>
      </c>
      <c r="F1453" s="72">
        <f ca="1">IFERROR(__xludf.DUMMYFUNCTION("""COMPUTED_VALUE"""),3500)</f>
        <v>3500</v>
      </c>
      <c r="G1453" s="75"/>
      <c r="H1453" s="59" t="str">
        <f ca="1">IFERROR(__xludf.DUMMYFUNCTION("""COMPUTED_VALUE"""),"UPDATE")</f>
        <v>UPDATE</v>
      </c>
      <c r="I1453" s="76" t="str">
        <f ca="1">IFERROR(__xludf.DUMMYFUNCTION("""COMPUTED_VALUE"""),"https://drive.google.com/open?id=1WFwoEwStKRSpQrfwmR13IH-jspu6sqQu")</f>
        <v>https://drive.google.com/open?id=1WFwoEwStKRSpQrfwmR13IH-jspu6sqQu</v>
      </c>
      <c r="J1453" s="59"/>
      <c r="K1453" s="59"/>
      <c r="L1453" s="59"/>
      <c r="M1453" s="59"/>
      <c r="N1453" s="59"/>
      <c r="O1453" s="59"/>
      <c r="P1453" s="59"/>
    </row>
    <row r="1454" spans="1:16">
      <c r="A1454" s="71">
        <f ca="1">IFERROR(__xludf.DUMMYFUNCTION("""COMPUTED_VALUE"""),44547.9227408217)</f>
        <v>44547.922740821698</v>
      </c>
      <c r="B1454" s="59" t="str">
        <f ca="1">IFERROR(__xludf.DUMMYFUNCTION("""COMPUTED_VALUE"""),"Dave Dhruvil")</f>
        <v>Dave Dhruvil</v>
      </c>
      <c r="C1454" s="72" t="str">
        <f ca="1">IFERROR(__xludf.DUMMYFUNCTION("""COMPUTED_VALUE"""),"19SDSCE01009")</f>
        <v>19SDSCE01009</v>
      </c>
      <c r="D1454" s="73">
        <f ca="1">IFERROR(__xludf.DUMMYFUNCTION("""COMPUTED_VALUE"""),44547)</f>
        <v>44547</v>
      </c>
      <c r="E1454" s="72"/>
      <c r="F1454" s="72">
        <f ca="1">IFERROR(__xludf.DUMMYFUNCTION("""COMPUTED_VALUE"""),3500)</f>
        <v>3500</v>
      </c>
      <c r="G1454" s="75"/>
      <c r="H1454" s="59" t="str">
        <f ca="1">IFERROR(__xludf.DUMMYFUNCTION("""COMPUTED_VALUE"""),"UPDATE")</f>
        <v>UPDATE</v>
      </c>
      <c r="I1454" s="76" t="str">
        <f ca="1">IFERROR(__xludf.DUMMYFUNCTION("""COMPUTED_VALUE"""),"https://drive.google.com/open?id=1BsuFAqjyUKWO56zht7La7qBZDkupWv7W")</f>
        <v>https://drive.google.com/open?id=1BsuFAqjyUKWO56zht7La7qBZDkupWv7W</v>
      </c>
      <c r="J1454" s="59"/>
      <c r="K1454" s="59"/>
      <c r="L1454" s="59"/>
      <c r="M1454" s="59"/>
      <c r="N1454" s="59"/>
      <c r="O1454" s="59"/>
      <c r="P1454" s="59"/>
    </row>
    <row r="1455" spans="1:16">
      <c r="A1455" s="71">
        <f ca="1">IFERROR(__xludf.DUMMYFUNCTION("""COMPUTED_VALUE"""),44546.9783882638)</f>
        <v>44546.9783882638</v>
      </c>
      <c r="B1455" s="59" t="str">
        <f ca="1">IFERROR(__xludf.DUMMYFUNCTION("""COMPUTED_VALUE"""),"Varshil Raycha")</f>
        <v>Varshil Raycha</v>
      </c>
      <c r="C1455" s="72" t="str">
        <f ca="1">IFERROR(__xludf.DUMMYFUNCTION("""COMPUTED_VALUE"""),"19SDSCE01041")</f>
        <v>19SDSCE01041</v>
      </c>
      <c r="D1455" s="73">
        <f ca="1">IFERROR(__xludf.DUMMYFUNCTION("""COMPUTED_VALUE"""),44546)</f>
        <v>44546</v>
      </c>
      <c r="E1455" s="72"/>
      <c r="F1455" s="72">
        <f ca="1">IFERROR(__xludf.DUMMYFUNCTION("""COMPUTED_VALUE"""),3500)</f>
        <v>3500</v>
      </c>
      <c r="G1455" s="75"/>
      <c r="H1455" s="59" t="str">
        <f ca="1">IFERROR(__xludf.DUMMYFUNCTION("""COMPUTED_VALUE"""),"UPDATE")</f>
        <v>UPDATE</v>
      </c>
      <c r="I1455" s="76" t="str">
        <f ca="1">IFERROR(__xludf.DUMMYFUNCTION("""COMPUTED_VALUE"""),"https://drive.google.com/open?id=12KzNRU67pPCbiuUXrC1vai9ngFZWmvJL")</f>
        <v>https://drive.google.com/open?id=12KzNRU67pPCbiuUXrC1vai9ngFZWmvJL</v>
      </c>
      <c r="J1455" s="59"/>
      <c r="K1455" s="59"/>
      <c r="L1455" s="59"/>
      <c r="M1455" s="59"/>
      <c r="N1455" s="59"/>
      <c r="O1455" s="59"/>
      <c r="P1455" s="59"/>
    </row>
    <row r="1456" spans="1:16">
      <c r="A1456" s="71">
        <f ca="1">IFERROR(__xludf.DUMMYFUNCTION("""COMPUTED_VALUE"""),44546.6846026041)</f>
        <v>44546.684602604102</v>
      </c>
      <c r="B1456" s="59" t="str">
        <f ca="1">IFERROR(__xludf.DUMMYFUNCTION("""COMPUTED_VALUE"""),"Jatin Mangal Singh Kanyal")</f>
        <v>Jatin Mangal Singh Kanyal</v>
      </c>
      <c r="C1456" s="72" t="str">
        <f ca="1">IFERROR(__xludf.DUMMYFUNCTION("""COMPUTED_VALUE"""),"19SDSCE01020")</f>
        <v>19SDSCE01020</v>
      </c>
      <c r="D1456" s="73">
        <f ca="1">IFERROR(__xludf.DUMMYFUNCTION("""COMPUTED_VALUE"""),44544)</f>
        <v>44544</v>
      </c>
      <c r="E1456" s="74">
        <f ca="1">IFERROR(__xludf.DUMMYFUNCTION("""COMPUTED_VALUE"""),25000)</f>
        <v>25000</v>
      </c>
      <c r="F1456" s="72">
        <f ca="1">IFERROR(__xludf.DUMMYFUNCTION("""COMPUTED_VALUE"""),3500)</f>
        <v>3500</v>
      </c>
      <c r="G1456" s="75"/>
      <c r="H1456" s="59" t="str">
        <f ca="1">IFERROR(__xludf.DUMMYFUNCTION("""COMPUTED_VALUE"""),"UPDATE")</f>
        <v>UPDATE</v>
      </c>
      <c r="I1456" s="76" t="str">
        <f ca="1">IFERROR(__xludf.DUMMYFUNCTION("""COMPUTED_VALUE"""),"https://drive.google.com/open?id=1K1HGrmcslau1t-VXvohIPSe7xbbby09a")</f>
        <v>https://drive.google.com/open?id=1K1HGrmcslau1t-VXvohIPSe7xbbby09a</v>
      </c>
      <c r="J1456" s="59"/>
      <c r="K1456" s="59"/>
      <c r="L1456" s="59"/>
      <c r="M1456" s="59"/>
      <c r="N1456" s="59"/>
      <c r="O1456" s="59"/>
      <c r="P1456" s="59"/>
    </row>
    <row r="1457" spans="1:16">
      <c r="A1457" s="71">
        <f ca="1">IFERROR(__xludf.DUMMYFUNCTION("""COMPUTED_VALUE"""),44546.6414928819)</f>
        <v>44546.641492881899</v>
      </c>
      <c r="B1457" s="59" t="str">
        <f ca="1">IFERROR(__xludf.DUMMYFUNCTION("""COMPUTED_VALUE"""),"SUREJA KEVIN HARIBHAI")</f>
        <v>SUREJA KEVIN HARIBHAI</v>
      </c>
      <c r="C1457" s="72" t="str">
        <f ca="1">IFERROR(__xludf.DUMMYFUNCTION("""COMPUTED_VALUE"""),"19SDSCE01054")</f>
        <v>19SDSCE01054</v>
      </c>
      <c r="D1457" s="73">
        <f ca="1">IFERROR(__xludf.DUMMYFUNCTION("""COMPUTED_VALUE"""),44545)</f>
        <v>44545</v>
      </c>
      <c r="E1457" s="72"/>
      <c r="F1457" s="72">
        <f ca="1">IFERROR(__xludf.DUMMYFUNCTION("""COMPUTED_VALUE"""),3500)</f>
        <v>3500</v>
      </c>
      <c r="G1457" s="75"/>
      <c r="H1457" s="59" t="str">
        <f ca="1">IFERROR(__xludf.DUMMYFUNCTION("""COMPUTED_VALUE"""),"UPDATE")</f>
        <v>UPDATE</v>
      </c>
      <c r="I1457" s="76" t="str">
        <f ca="1">IFERROR(__xludf.DUMMYFUNCTION("""COMPUTED_VALUE"""),"https://drive.google.com/open?id=1_CxXWtNmL-48EAX8xlgPH0O6VHKaa3-r")</f>
        <v>https://drive.google.com/open?id=1_CxXWtNmL-48EAX8xlgPH0O6VHKaa3-r</v>
      </c>
      <c r="J1457" s="59"/>
      <c r="K1457" s="59"/>
      <c r="L1457" s="59"/>
      <c r="M1457" s="59"/>
      <c r="N1457" s="59"/>
      <c r="O1457" s="59"/>
      <c r="P1457" s="59"/>
    </row>
    <row r="1458" spans="1:16">
      <c r="A1458" s="71">
        <f ca="1">IFERROR(__xludf.DUMMYFUNCTION("""COMPUTED_VALUE"""),44546.6356111689)</f>
        <v>44546.635611168902</v>
      </c>
      <c r="B1458" s="59" t="str">
        <f ca="1">IFERROR(__xludf.DUMMYFUNCTION("""COMPUTED_VALUE"""),"Parth Maheshbhai Madariya ")</f>
        <v xml:space="preserve">Parth Maheshbhai Madariya </v>
      </c>
      <c r="C1458" s="72" t="str">
        <f ca="1">IFERROR(__xludf.DUMMYFUNCTION("""COMPUTED_VALUE"""),"19SDSCE01029")</f>
        <v>19SDSCE01029</v>
      </c>
      <c r="D1458" s="73">
        <f ca="1">IFERROR(__xludf.DUMMYFUNCTION("""COMPUTED_VALUE"""),44481)</f>
        <v>44481</v>
      </c>
      <c r="E1458" s="72"/>
      <c r="F1458" s="72">
        <f ca="1">IFERROR(__xludf.DUMMYFUNCTION("""COMPUTED_VALUE"""),3500)</f>
        <v>3500</v>
      </c>
      <c r="G1458" s="75"/>
      <c r="H1458" s="59" t="str">
        <f ca="1">IFERROR(__xludf.DUMMYFUNCTION("""COMPUTED_VALUE"""),"UPDATE")</f>
        <v>UPDATE</v>
      </c>
      <c r="I1458" s="76" t="str">
        <f ca="1">IFERROR(__xludf.DUMMYFUNCTION("""COMPUTED_VALUE"""),"https://drive.google.com/open?id=1ijYc-ddRSca78ZcF06FiHr5rTvncugsq")</f>
        <v>https://drive.google.com/open?id=1ijYc-ddRSca78ZcF06FiHr5rTvncugsq</v>
      </c>
      <c r="J1458" s="59"/>
      <c r="K1458" s="59"/>
      <c r="L1458" s="59"/>
      <c r="M1458" s="59"/>
      <c r="N1458" s="59"/>
      <c r="O1458" s="59"/>
      <c r="P1458" s="59"/>
    </row>
    <row r="1459" spans="1:16">
      <c r="A1459" s="71">
        <f ca="1">IFERROR(__xludf.DUMMYFUNCTION("""COMPUTED_VALUE"""),44546.6253222338)</f>
        <v>44546.625322233798</v>
      </c>
      <c r="B1459" s="59" t="str">
        <f ca="1">IFERROR(__xludf.DUMMYFUNCTION("""COMPUTED_VALUE"""),"Atara Rushi")</f>
        <v>Atara Rushi</v>
      </c>
      <c r="C1459" s="72" t="str">
        <f ca="1">IFERROR(__xludf.DUMMYFUNCTION("""COMPUTED_VALUE"""),"19sdsce01001")</f>
        <v>19sdsce01001</v>
      </c>
      <c r="D1459" s="73">
        <f ca="1">IFERROR(__xludf.DUMMYFUNCTION("""COMPUTED_VALUE"""),44546)</f>
        <v>44546</v>
      </c>
      <c r="E1459" s="72"/>
      <c r="F1459" s="72">
        <f ca="1">IFERROR(__xludf.DUMMYFUNCTION("""COMPUTED_VALUE"""),3500)</f>
        <v>3500</v>
      </c>
      <c r="G1459" s="75"/>
      <c r="H1459" s="59" t="str">
        <f ca="1">IFERROR(__xludf.DUMMYFUNCTION("""COMPUTED_VALUE"""),"UPDATE")</f>
        <v>UPDATE</v>
      </c>
      <c r="I1459" s="76" t="str">
        <f ca="1">IFERROR(__xludf.DUMMYFUNCTION("""COMPUTED_VALUE"""),"https://drive.google.com/open?id=167PjTdZtfES-7cZ4puAB64lptw1rUBe2")</f>
        <v>https://drive.google.com/open?id=167PjTdZtfES-7cZ4puAB64lptw1rUBe2</v>
      </c>
      <c r="J1459" s="59"/>
      <c r="K1459" s="59"/>
      <c r="L1459" s="59"/>
      <c r="M1459" s="59"/>
      <c r="N1459" s="59"/>
      <c r="O1459" s="59"/>
      <c r="P1459" s="59"/>
    </row>
    <row r="1460" spans="1:16">
      <c r="A1460" s="71">
        <f ca="1">IFERROR(__xludf.DUMMYFUNCTION("""COMPUTED_VALUE"""),44544.7109909606)</f>
        <v>44544.710990960601</v>
      </c>
      <c r="B1460" s="59" t="str">
        <f ca="1">IFERROR(__xludf.DUMMYFUNCTION("""COMPUTED_VALUE"""),"Sakariya Hardik Bharatbhai")</f>
        <v>Sakariya Hardik Bharatbhai</v>
      </c>
      <c r="C1460" s="72" t="str">
        <f ca="1">IFERROR(__xludf.DUMMYFUNCTION("""COMPUTED_VALUE"""),"19SDSCE01043")</f>
        <v>19SDSCE01043</v>
      </c>
      <c r="D1460" s="73">
        <f ca="1">IFERROR(__xludf.DUMMYFUNCTION("""COMPUTED_VALUE"""),44544)</f>
        <v>44544</v>
      </c>
      <c r="E1460" s="72"/>
      <c r="F1460" s="72">
        <f ca="1">IFERROR(__xludf.DUMMYFUNCTION("""COMPUTED_VALUE"""),3500)</f>
        <v>3500</v>
      </c>
      <c r="G1460" s="75"/>
      <c r="H1460" s="59" t="str">
        <f ca="1">IFERROR(__xludf.DUMMYFUNCTION("""COMPUTED_VALUE"""),"UPDATE")</f>
        <v>UPDATE</v>
      </c>
      <c r="I1460" s="76" t="str">
        <f ca="1">IFERROR(__xludf.DUMMYFUNCTION("""COMPUTED_VALUE"""),"https://drive.google.com/open?id=1F-uxlUxB5qhjW4DvQ8wYgkT2_3GJ8Y_r")</f>
        <v>https://drive.google.com/open?id=1F-uxlUxB5qhjW4DvQ8wYgkT2_3GJ8Y_r</v>
      </c>
      <c r="J1460" s="59"/>
      <c r="K1460" s="59"/>
      <c r="L1460" s="59"/>
      <c r="M1460" s="59"/>
      <c r="N1460" s="59"/>
      <c r="O1460" s="59"/>
      <c r="P1460" s="59"/>
    </row>
    <row r="1461" spans="1:16">
      <c r="A1461" s="71">
        <f ca="1">IFERROR(__xludf.DUMMYFUNCTION("""COMPUTED_VALUE"""),44544.6590873032)</f>
        <v>44544.659087303196</v>
      </c>
      <c r="B1461" s="59" t="str">
        <f ca="1">IFERROR(__xludf.DUMMYFUNCTION("""COMPUTED_VALUE"""),"Rushi Dipakbhai Dudhatra")</f>
        <v>Rushi Dipakbhai Dudhatra</v>
      </c>
      <c r="C1461" s="72" t="str">
        <f ca="1">IFERROR(__xludf.DUMMYFUNCTION("""COMPUTED_VALUE"""),"19SDSCE01012")</f>
        <v>19SDSCE01012</v>
      </c>
      <c r="D1461" s="73">
        <f ca="1">IFERROR(__xludf.DUMMYFUNCTION("""COMPUTED_VALUE"""),44544)</f>
        <v>44544</v>
      </c>
      <c r="E1461" s="74">
        <f ca="1">IFERROR(__xludf.DUMMYFUNCTION("""COMPUTED_VALUE"""),0)</f>
        <v>0</v>
      </c>
      <c r="F1461" s="72">
        <f ca="1">IFERROR(__xludf.DUMMYFUNCTION("""COMPUTED_VALUE"""),3500)</f>
        <v>3500</v>
      </c>
      <c r="G1461" s="75"/>
      <c r="H1461" s="59" t="str">
        <f ca="1">IFERROR(__xludf.DUMMYFUNCTION("""COMPUTED_VALUE"""),"UPDATE")</f>
        <v>UPDATE</v>
      </c>
      <c r="I1461" s="76" t="str">
        <f ca="1">IFERROR(__xludf.DUMMYFUNCTION("""COMPUTED_VALUE"""),"https://drive.google.com/open?id=1KlCvP1c6leWDDlrb_sjVD4QdDphAKjJw")</f>
        <v>https://drive.google.com/open?id=1KlCvP1c6leWDDlrb_sjVD4QdDphAKjJw</v>
      </c>
      <c r="J1461" s="59"/>
      <c r="K1461" s="59"/>
      <c r="L1461" s="59"/>
      <c r="M1461" s="59"/>
      <c r="N1461" s="59"/>
      <c r="O1461" s="59"/>
      <c r="P1461" s="59"/>
    </row>
    <row r="1462" spans="1:16">
      <c r="A1462" s="71">
        <f ca="1">IFERROR(__xludf.DUMMYFUNCTION("""COMPUTED_VALUE"""),44544.5833595254)</f>
        <v>44544.583359525401</v>
      </c>
      <c r="B1462" s="59" t="str">
        <f ca="1">IFERROR(__xludf.DUMMYFUNCTION("""COMPUTED_VALUE"""),"Kava Dhruv Kirtibhai")</f>
        <v>Kava Dhruv Kirtibhai</v>
      </c>
      <c r="C1462" s="72" t="str">
        <f ca="1">IFERROR(__xludf.DUMMYFUNCTION("""COMPUTED_VALUE"""),"19SDSME01011")</f>
        <v>19SDSME01011</v>
      </c>
      <c r="D1462" s="73">
        <f ca="1">IFERROR(__xludf.DUMMYFUNCTION("""COMPUTED_VALUE"""),44544)</f>
        <v>44544</v>
      </c>
      <c r="E1462" s="74">
        <f ca="1">IFERROR(__xludf.DUMMYFUNCTION("""COMPUTED_VALUE"""),25000)</f>
        <v>25000</v>
      </c>
      <c r="F1462" s="72">
        <f ca="1">IFERROR(__xludf.DUMMYFUNCTION("""COMPUTED_VALUE"""),3500)</f>
        <v>3500</v>
      </c>
      <c r="G1462" s="75"/>
      <c r="H1462" s="59" t="str">
        <f ca="1">IFERROR(__xludf.DUMMYFUNCTION("""COMPUTED_VALUE"""),"UPDATE")</f>
        <v>UPDATE</v>
      </c>
      <c r="I1462" s="76" t="str">
        <f ca="1">IFERROR(__xludf.DUMMYFUNCTION("""COMPUTED_VALUE"""),"https://drive.google.com/open?id=1DUdcvTQuq7uAxParfI0B_9Y3OwQ-jtHz")</f>
        <v>https://drive.google.com/open?id=1DUdcvTQuq7uAxParfI0B_9Y3OwQ-jtHz</v>
      </c>
      <c r="J1462" s="59"/>
      <c r="K1462" s="59"/>
      <c r="L1462" s="59"/>
      <c r="M1462" s="59"/>
      <c r="N1462" s="59"/>
      <c r="O1462" s="59"/>
      <c r="P1462" s="59"/>
    </row>
    <row r="1463" spans="1:16">
      <c r="A1463" s="71">
        <f ca="1">IFERROR(__xludf.DUMMYFUNCTION("""COMPUTED_VALUE"""),44543.6954589699)</f>
        <v>44543.695458969902</v>
      </c>
      <c r="B1463" s="59" t="str">
        <f ca="1">IFERROR(__xludf.DUMMYFUNCTION("""COMPUTED_VALUE"""),"Tejas Hirani")</f>
        <v>Tejas Hirani</v>
      </c>
      <c r="C1463" s="72" t="str">
        <f ca="1">IFERROR(__xludf.DUMMYFUNCTION("""COMPUTED_VALUE"""),"19SDSCE01015")</f>
        <v>19SDSCE01015</v>
      </c>
      <c r="D1463" s="73">
        <f ca="1">IFERROR(__xludf.DUMMYFUNCTION("""COMPUTED_VALUE"""),44543)</f>
        <v>44543</v>
      </c>
      <c r="E1463" s="74">
        <f ca="1">IFERROR(__xludf.DUMMYFUNCTION("""COMPUTED_VALUE"""),25000)</f>
        <v>25000</v>
      </c>
      <c r="F1463" s="72">
        <f ca="1">IFERROR(__xludf.DUMMYFUNCTION("""COMPUTED_VALUE"""),0)</f>
        <v>0</v>
      </c>
      <c r="G1463" s="75"/>
      <c r="H1463" s="59" t="str">
        <f ca="1">IFERROR(__xludf.DUMMYFUNCTION("""COMPUTED_VALUE"""),"UPDATE")</f>
        <v>UPDATE</v>
      </c>
      <c r="I1463" s="76" t="str">
        <f ca="1">IFERROR(__xludf.DUMMYFUNCTION("""COMPUTED_VALUE"""),"https://drive.google.com/open?id=1moIiOeScEqtSNEAgY5ybo3fgIHeBZWVX")</f>
        <v>https://drive.google.com/open?id=1moIiOeScEqtSNEAgY5ybo3fgIHeBZWVX</v>
      </c>
      <c r="J1463" s="59"/>
      <c r="K1463" s="59"/>
      <c r="L1463" s="59"/>
      <c r="M1463" s="59"/>
      <c r="N1463" s="59"/>
      <c r="O1463" s="59"/>
      <c r="P1463" s="59"/>
    </row>
    <row r="1464" spans="1:16">
      <c r="A1464" s="71">
        <f ca="1">IFERROR(__xludf.DUMMYFUNCTION("""COMPUTED_VALUE"""),44543.6340678125)</f>
        <v>44543.634067812498</v>
      </c>
      <c r="B1464" s="59" t="str">
        <f ca="1">IFERROR(__xludf.DUMMYFUNCTION("""COMPUTED_VALUE"""),"Dhwaj Shah")</f>
        <v>Dhwaj Shah</v>
      </c>
      <c r="C1464" s="72" t="str">
        <f ca="1">IFERROR(__xludf.DUMMYFUNCTION("""COMPUTED_VALUE"""),"19SDSCE01046")</f>
        <v>19SDSCE01046</v>
      </c>
      <c r="D1464" s="73">
        <f ca="1">IFERROR(__xludf.DUMMYFUNCTION("""COMPUTED_VALUE"""),44542)</f>
        <v>44542</v>
      </c>
      <c r="E1464" s="72"/>
      <c r="F1464" s="72">
        <f ca="1">IFERROR(__xludf.DUMMYFUNCTION("""COMPUTED_VALUE"""),3500)</f>
        <v>3500</v>
      </c>
      <c r="G1464" s="75"/>
      <c r="H1464" s="59" t="str">
        <f ca="1">IFERROR(__xludf.DUMMYFUNCTION("""COMPUTED_VALUE"""),"UPDATE")</f>
        <v>UPDATE</v>
      </c>
      <c r="I1464" s="76" t="str">
        <f ca="1">IFERROR(__xludf.DUMMYFUNCTION("""COMPUTED_VALUE"""),"https://drive.google.com/open?id=1SsL_gxtlrzyk9QwlJY8XnUbcaNTtUcGx")</f>
        <v>https://drive.google.com/open?id=1SsL_gxtlrzyk9QwlJY8XnUbcaNTtUcGx</v>
      </c>
      <c r="J1464" s="59"/>
      <c r="K1464" s="59"/>
      <c r="L1464" s="59"/>
      <c r="M1464" s="59"/>
      <c r="N1464" s="59"/>
      <c r="O1464" s="59"/>
      <c r="P1464" s="59"/>
    </row>
    <row r="1465" spans="1:16">
      <c r="A1465" s="71">
        <f ca="1">IFERROR(__xludf.DUMMYFUNCTION("""COMPUTED_VALUE"""),44543.6327083333)</f>
        <v>44543.632708333302</v>
      </c>
      <c r="B1465" s="59" t="str">
        <f ca="1">IFERROR(__xludf.DUMMYFUNCTION("""COMPUTED_VALUE"""),"Dhwaj Shah")</f>
        <v>Dhwaj Shah</v>
      </c>
      <c r="C1465" s="72" t="str">
        <f ca="1">IFERROR(__xludf.DUMMYFUNCTION("""COMPUTED_VALUE"""),"19SDSCE01046")</f>
        <v>19SDSCE01046</v>
      </c>
      <c r="D1465" s="73">
        <f ca="1">IFERROR(__xludf.DUMMYFUNCTION("""COMPUTED_VALUE"""),44542)</f>
        <v>44542</v>
      </c>
      <c r="E1465" s="74">
        <f ca="1">IFERROR(__xludf.DUMMYFUNCTION("""COMPUTED_VALUE"""),25000)</f>
        <v>25000</v>
      </c>
      <c r="F1465" s="72"/>
      <c r="G1465" s="75"/>
      <c r="H1465" s="59" t="str">
        <f ca="1">IFERROR(__xludf.DUMMYFUNCTION("""COMPUTED_VALUE"""),"UPDATE")</f>
        <v>UPDATE</v>
      </c>
      <c r="I1465" s="76" t="str">
        <f ca="1">IFERROR(__xludf.DUMMYFUNCTION("""COMPUTED_VALUE"""),"https://drive.google.com/open?id=14ZuDaLBX2QPIFfky0Sdn3nf_IhIl2v6p")</f>
        <v>https://drive.google.com/open?id=14ZuDaLBX2QPIFfky0Sdn3nf_IhIl2v6p</v>
      </c>
      <c r="J1465" s="59"/>
      <c r="K1465" s="59"/>
      <c r="L1465" s="59"/>
      <c r="M1465" s="59"/>
      <c r="N1465" s="59"/>
      <c r="O1465" s="59"/>
      <c r="P1465" s="59"/>
    </row>
    <row r="1466" spans="1:16">
      <c r="A1466" s="71">
        <f ca="1">IFERROR(__xludf.DUMMYFUNCTION("""COMPUTED_VALUE"""),44543.5291014351)</f>
        <v>44543.529101435102</v>
      </c>
      <c r="B1466" s="59" t="str">
        <f ca="1">IFERROR(__xludf.DUMMYFUNCTION("""COMPUTED_VALUE"""),"Tejas Hirani")</f>
        <v>Tejas Hirani</v>
      </c>
      <c r="C1466" s="72" t="str">
        <f ca="1">IFERROR(__xludf.DUMMYFUNCTION("""COMPUTED_VALUE"""),"19SDSCE01015")</f>
        <v>19SDSCE01015</v>
      </c>
      <c r="D1466" s="73">
        <f ca="1">IFERROR(__xludf.DUMMYFUNCTION("""COMPUTED_VALUE"""),44543)</f>
        <v>44543</v>
      </c>
      <c r="E1466" s="74">
        <f ca="1">IFERROR(__xludf.DUMMYFUNCTION("""COMPUTED_VALUE"""),0)</f>
        <v>0</v>
      </c>
      <c r="F1466" s="72">
        <f ca="1">IFERROR(__xludf.DUMMYFUNCTION("""COMPUTED_VALUE"""),3500)</f>
        <v>3500</v>
      </c>
      <c r="G1466" s="75"/>
      <c r="H1466" s="59" t="str">
        <f ca="1">IFERROR(__xludf.DUMMYFUNCTION("""COMPUTED_VALUE"""),"UPDATE")</f>
        <v>UPDATE</v>
      </c>
      <c r="I1466" s="76" t="str">
        <f ca="1">IFERROR(__xludf.DUMMYFUNCTION("""COMPUTED_VALUE"""),"https://drive.google.com/open?id=1CqeEJhgnIAOoI364KjJ5HT9LjIhaIPcQ")</f>
        <v>https://drive.google.com/open?id=1CqeEJhgnIAOoI364KjJ5HT9LjIhaIPcQ</v>
      </c>
      <c r="J1466" s="59"/>
      <c r="K1466" s="59"/>
      <c r="L1466" s="59"/>
      <c r="M1466" s="59"/>
      <c r="N1466" s="59"/>
      <c r="O1466" s="59"/>
      <c r="P1466" s="59"/>
    </row>
    <row r="1467" spans="1:16">
      <c r="A1467" s="71">
        <f ca="1">IFERROR(__xludf.DUMMYFUNCTION("""COMPUTED_VALUE"""),44543.5051094907)</f>
        <v>44543.505109490703</v>
      </c>
      <c r="B1467" s="59" t="str">
        <f ca="1">IFERROR(__xludf.DUMMYFUNCTION("""COMPUTED_VALUE"""),"Prince shingala")</f>
        <v>Prince shingala</v>
      </c>
      <c r="C1467" s="72" t="str">
        <f ca="1">IFERROR(__xludf.DUMMYFUNCTION("""COMPUTED_VALUE"""),"19SDSME01025")</f>
        <v>19SDSME01025</v>
      </c>
      <c r="D1467" s="73">
        <f ca="1">IFERROR(__xludf.DUMMYFUNCTION("""COMPUTED_VALUE"""),44542)</f>
        <v>44542</v>
      </c>
      <c r="E1467" s="74">
        <f ca="1">IFERROR(__xludf.DUMMYFUNCTION("""COMPUTED_VALUE"""),25000)</f>
        <v>25000</v>
      </c>
      <c r="F1467" s="72">
        <f ca="1">IFERROR(__xludf.DUMMYFUNCTION("""COMPUTED_VALUE"""),0)</f>
        <v>0</v>
      </c>
      <c r="G1467" s="75"/>
      <c r="H1467" s="59" t="str">
        <f ca="1">IFERROR(__xludf.DUMMYFUNCTION("""COMPUTED_VALUE"""),"UPDATE")</f>
        <v>UPDATE</v>
      </c>
      <c r="I1467" s="76" t="str">
        <f ca="1">IFERROR(__xludf.DUMMYFUNCTION("""COMPUTED_VALUE"""),"https://drive.google.com/open?id=1yxxfi_mIeo6EDu-r-WJf67UqfmEFhjCs")</f>
        <v>https://drive.google.com/open?id=1yxxfi_mIeo6EDu-r-WJf67UqfmEFhjCs</v>
      </c>
      <c r="J1467" s="59"/>
      <c r="K1467" s="59"/>
      <c r="L1467" s="59"/>
      <c r="M1467" s="59"/>
      <c r="N1467" s="59"/>
      <c r="O1467" s="59"/>
      <c r="P1467" s="59"/>
    </row>
    <row r="1468" spans="1:16">
      <c r="A1468" s="71">
        <f ca="1">IFERROR(__xludf.DUMMYFUNCTION("""COMPUTED_VALUE"""),44543.3474796527)</f>
        <v>44543.347479652701</v>
      </c>
      <c r="B1468" s="59" t="str">
        <f ca="1">IFERROR(__xludf.DUMMYFUNCTION("""COMPUTED_VALUE"""),"Prince shingala")</f>
        <v>Prince shingala</v>
      </c>
      <c r="C1468" s="72" t="str">
        <f ca="1">IFERROR(__xludf.DUMMYFUNCTION("""COMPUTED_VALUE"""),"19SDSME01025")</f>
        <v>19SDSME01025</v>
      </c>
      <c r="D1468" s="73">
        <f ca="1">IFERROR(__xludf.DUMMYFUNCTION("""COMPUTED_VALUE"""),44542)</f>
        <v>44542</v>
      </c>
      <c r="E1468" s="74">
        <f ca="1">IFERROR(__xludf.DUMMYFUNCTION("""COMPUTED_VALUE"""),25000)</f>
        <v>25000</v>
      </c>
      <c r="F1468" s="72">
        <f ca="1">IFERROR(__xludf.DUMMYFUNCTION("""COMPUTED_VALUE"""),0)</f>
        <v>0</v>
      </c>
      <c r="G1468" s="75"/>
      <c r="H1468" s="59" t="str">
        <f ca="1">IFERROR(__xludf.DUMMYFUNCTION("""COMPUTED_VALUE"""),"UPDATE")</f>
        <v>UPDATE</v>
      </c>
      <c r="I1468" s="76" t="str">
        <f ca="1">IFERROR(__xludf.DUMMYFUNCTION("""COMPUTED_VALUE"""),"https://drive.google.com/open?id=1vmGuPnUaX1afGQWUreEqL3iqIIYotiM1")</f>
        <v>https://drive.google.com/open?id=1vmGuPnUaX1afGQWUreEqL3iqIIYotiM1</v>
      </c>
      <c r="J1468" s="59"/>
      <c r="K1468" s="59"/>
      <c r="L1468" s="59"/>
      <c r="M1468" s="59"/>
      <c r="N1468" s="59"/>
      <c r="O1468" s="59"/>
      <c r="P1468" s="59"/>
    </row>
    <row r="1469" spans="1:16">
      <c r="A1469" s="71">
        <f ca="1">IFERROR(__xludf.DUMMYFUNCTION("""COMPUTED_VALUE"""),44540.5258557175)</f>
        <v>44540.525855717497</v>
      </c>
      <c r="B1469" s="59" t="str">
        <f ca="1">IFERROR(__xludf.DUMMYFUNCTION("""COMPUTED_VALUE"""),"Dhoriya Chandrika Somabhai")</f>
        <v>Dhoriya Chandrika Somabhai</v>
      </c>
      <c r="C1469" s="72" t="str">
        <f ca="1">IFERROR(__xludf.DUMMYFUNCTION("""COMPUTED_VALUE"""),"19SDSCE01011")</f>
        <v>19SDSCE01011</v>
      </c>
      <c r="D1469" s="73">
        <f ca="1">IFERROR(__xludf.DUMMYFUNCTION("""COMPUTED_VALUE"""),44540)</f>
        <v>44540</v>
      </c>
      <c r="E1469" s="72"/>
      <c r="F1469" s="72">
        <f ca="1">IFERROR(__xludf.DUMMYFUNCTION("""COMPUTED_VALUE"""),3500)</f>
        <v>3500</v>
      </c>
      <c r="G1469" s="75"/>
      <c r="H1469" s="59" t="str">
        <f ca="1">IFERROR(__xludf.DUMMYFUNCTION("""COMPUTED_VALUE"""),"UPDATE")</f>
        <v>UPDATE</v>
      </c>
      <c r="I1469" s="76" t="str">
        <f ca="1">IFERROR(__xludf.DUMMYFUNCTION("""COMPUTED_VALUE"""),"https://drive.google.com/open?id=14zFIZmxdhDCGJwwUWgGQyDFYM0j1Qha7")</f>
        <v>https://drive.google.com/open?id=14zFIZmxdhDCGJwwUWgGQyDFYM0j1Qha7</v>
      </c>
      <c r="J1469" s="59"/>
      <c r="K1469" s="59"/>
      <c r="L1469" s="59"/>
      <c r="M1469" s="59"/>
      <c r="N1469" s="59"/>
      <c r="O1469" s="59"/>
      <c r="P1469" s="59"/>
    </row>
    <row r="1470" spans="1:16">
      <c r="A1470" s="71">
        <f ca="1">IFERROR(__xludf.DUMMYFUNCTION("""COMPUTED_VALUE"""),44538.4431101967)</f>
        <v>44538.443110196698</v>
      </c>
      <c r="B1470" s="59" t="str">
        <f ca="1">IFERROR(__xludf.DUMMYFUNCTION("""COMPUTED_VALUE"""),"Padalia Richakumari Manojkumar ")</f>
        <v xml:space="preserve">Padalia Richakumari Manojkumar </v>
      </c>
      <c r="C1470" s="72" t="str">
        <f ca="1">IFERROR(__xludf.DUMMYFUNCTION("""COMPUTED_VALUE"""),"19SDSCE01034")</f>
        <v>19SDSCE01034</v>
      </c>
      <c r="D1470" s="73">
        <f ca="1">IFERROR(__xludf.DUMMYFUNCTION("""COMPUTED_VALUE"""),44538)</f>
        <v>44538</v>
      </c>
      <c r="E1470" s="72"/>
      <c r="F1470" s="72">
        <f ca="1">IFERROR(__xludf.DUMMYFUNCTION("""COMPUTED_VALUE"""),3500)</f>
        <v>3500</v>
      </c>
      <c r="G1470" s="75"/>
      <c r="H1470" s="59" t="str">
        <f ca="1">IFERROR(__xludf.DUMMYFUNCTION("""COMPUTED_VALUE"""),"UPDATE")</f>
        <v>UPDATE</v>
      </c>
      <c r="I1470" s="76" t="str">
        <f ca="1">IFERROR(__xludf.DUMMYFUNCTION("""COMPUTED_VALUE"""),"https://drive.google.com/open?id=1vYwf00ZD9XT-ZQ04tEtBTiM5fpw4A1tc")</f>
        <v>https://drive.google.com/open?id=1vYwf00ZD9XT-ZQ04tEtBTiM5fpw4A1tc</v>
      </c>
      <c r="J1470" s="59"/>
      <c r="K1470" s="59"/>
      <c r="L1470" s="59"/>
      <c r="M1470" s="59"/>
      <c r="N1470" s="59"/>
      <c r="O1470" s="59"/>
      <c r="P1470" s="59"/>
    </row>
    <row r="1471" spans="1:16">
      <c r="A1471" s="71">
        <f ca="1">IFERROR(__xludf.DUMMYFUNCTION("""COMPUTED_VALUE"""),44538.4421046643)</f>
        <v>44538.442104664296</v>
      </c>
      <c r="B1471" s="59" t="str">
        <f ca="1">IFERROR(__xludf.DUMMYFUNCTION("""COMPUTED_VALUE"""),"Padalia Richakumari Manojkumar ")</f>
        <v xml:space="preserve">Padalia Richakumari Manojkumar </v>
      </c>
      <c r="C1471" s="72" t="str">
        <f ca="1">IFERROR(__xludf.DUMMYFUNCTION("""COMPUTED_VALUE"""),"19SDSCE01034")</f>
        <v>19SDSCE01034</v>
      </c>
      <c r="D1471" s="73">
        <f ca="1">IFERROR(__xludf.DUMMYFUNCTION("""COMPUTED_VALUE"""),44538)</f>
        <v>44538</v>
      </c>
      <c r="E1471" s="74">
        <f ca="1">IFERROR(__xludf.DUMMYFUNCTION("""COMPUTED_VALUE"""),25000)</f>
        <v>25000</v>
      </c>
      <c r="F1471" s="72"/>
      <c r="G1471" s="75"/>
      <c r="H1471" s="59" t="str">
        <f ca="1">IFERROR(__xludf.DUMMYFUNCTION("""COMPUTED_VALUE"""),"UPDATE")</f>
        <v>UPDATE</v>
      </c>
      <c r="I1471" s="76" t="str">
        <f ca="1">IFERROR(__xludf.DUMMYFUNCTION("""COMPUTED_VALUE"""),"https://drive.google.com/open?id=1RzndL3V8M8J9cLFR7V3gJ9Phx3ZqDXIx")</f>
        <v>https://drive.google.com/open?id=1RzndL3V8M8J9cLFR7V3gJ9Phx3ZqDXIx</v>
      </c>
      <c r="J1471" s="59"/>
      <c r="K1471" s="59"/>
      <c r="L1471" s="59"/>
      <c r="M1471" s="59"/>
      <c r="N1471" s="59"/>
      <c r="O1471" s="59"/>
      <c r="P1471" s="59"/>
    </row>
    <row r="1472" spans="1:16">
      <c r="A1472" s="71">
        <f ca="1">IFERROR(__xludf.DUMMYFUNCTION("""COMPUTED_VALUE"""),44537.512996412)</f>
        <v>44537.512996411999</v>
      </c>
      <c r="B1472" s="59" t="str">
        <f ca="1">IFERROR(__xludf.DUMMYFUNCTION("""COMPUTED_VALUE"""),"Ghetia Bhaktiben Yogendrakumar")</f>
        <v>Ghetia Bhaktiben Yogendrakumar</v>
      </c>
      <c r="C1472" s="72" t="str">
        <f ca="1">IFERROR(__xludf.DUMMYFUNCTION("""COMPUTED_VALUE"""),"19sdsce01013")</f>
        <v>19sdsce01013</v>
      </c>
      <c r="D1472" s="73">
        <f ca="1">IFERROR(__xludf.DUMMYFUNCTION("""COMPUTED_VALUE"""),44537)</f>
        <v>44537</v>
      </c>
      <c r="E1472" s="72"/>
      <c r="F1472" s="72">
        <f ca="1">IFERROR(__xludf.DUMMYFUNCTION("""COMPUTED_VALUE"""),3500)</f>
        <v>3500</v>
      </c>
      <c r="G1472" s="75"/>
      <c r="H1472" s="59" t="str">
        <f ca="1">IFERROR(__xludf.DUMMYFUNCTION("""COMPUTED_VALUE"""),"UPDATE")</f>
        <v>UPDATE</v>
      </c>
      <c r="I1472" s="76" t="str">
        <f ca="1">IFERROR(__xludf.DUMMYFUNCTION("""COMPUTED_VALUE"""),"https://drive.google.com/open?id=1vKgY5186gVLwkbzxe7NWeX6gxrD1PC8I")</f>
        <v>https://drive.google.com/open?id=1vKgY5186gVLwkbzxe7NWeX6gxrD1PC8I</v>
      </c>
      <c r="J1472" s="59"/>
      <c r="K1472" s="59"/>
      <c r="L1472" s="59"/>
      <c r="M1472" s="59"/>
      <c r="N1472" s="59"/>
      <c r="O1472" s="59"/>
      <c r="P1472" s="59"/>
    </row>
    <row r="1473" spans="1:16">
      <c r="A1473" s="71">
        <f ca="1">IFERROR(__xludf.DUMMYFUNCTION("""COMPUTED_VALUE"""),44536.2657279282)</f>
        <v>44536.265727928199</v>
      </c>
      <c r="B1473" s="59" t="str">
        <f ca="1">IFERROR(__xludf.DUMMYFUNCTION("""COMPUTED_VALUE"""),"Harshil Vanparia")</f>
        <v>Harshil Vanparia</v>
      </c>
      <c r="C1473" s="72" t="str">
        <f ca="1">IFERROR(__xludf.DUMMYFUNCTION("""COMPUTED_VALUE"""),"20SDSCE00137")</f>
        <v>20SDSCE00137</v>
      </c>
      <c r="D1473" s="73">
        <f ca="1">IFERROR(__xludf.DUMMYFUNCTION("""COMPUTED_VALUE"""),44536)</f>
        <v>44536</v>
      </c>
      <c r="E1473" s="74">
        <f ca="1">IFERROR(__xludf.DUMMYFUNCTION("""COMPUTED_VALUE"""),13750)</f>
        <v>13750</v>
      </c>
      <c r="F1473" s="72"/>
      <c r="G1473" s="75"/>
      <c r="H1473" s="59" t="str">
        <f ca="1">IFERROR(__xludf.DUMMYFUNCTION("""COMPUTED_VALUE"""),"UPDATE")</f>
        <v>UPDATE</v>
      </c>
      <c r="I1473" s="76" t="str">
        <f ca="1">IFERROR(__xludf.DUMMYFUNCTION("""COMPUTED_VALUE"""),"https://drive.google.com/open?id=1KDJqowmE8en-6W8PxXkh1X-jrEsSvtSP")</f>
        <v>https://drive.google.com/open?id=1KDJqowmE8en-6W8PxXkh1X-jrEsSvtSP</v>
      </c>
      <c r="J1473" s="59"/>
      <c r="K1473" s="59"/>
      <c r="L1473" s="59"/>
      <c r="M1473" s="59"/>
      <c r="N1473" s="59"/>
      <c r="O1473" s="59"/>
      <c r="P1473" s="59"/>
    </row>
    <row r="1474" spans="1:16">
      <c r="A1474" s="71">
        <f ca="1">IFERROR(__xludf.DUMMYFUNCTION("""COMPUTED_VALUE"""),44533.3336155439)</f>
        <v>44533.333615543903</v>
      </c>
      <c r="B1474" s="59" t="str">
        <f ca="1">IFERROR(__xludf.DUMMYFUNCTION("""COMPUTED_VALUE"""),"GAJERA MAYANK JAYANTIBHAI")</f>
        <v>GAJERA MAYANK JAYANTIBHAI</v>
      </c>
      <c r="C1474" s="72" t="str">
        <f ca="1">IFERROR(__xludf.DUMMYFUNCTION("""COMPUTED_VALUE"""),"21SDSME01015")</f>
        <v>21SDSME01015</v>
      </c>
      <c r="D1474" s="73">
        <f ca="1">IFERROR(__xludf.DUMMYFUNCTION("""COMPUTED_VALUE"""),44527)</f>
        <v>44527</v>
      </c>
      <c r="E1474" s="74">
        <f ca="1">IFERROR(__xludf.DUMMYFUNCTION("""COMPUTED_VALUE"""),25000)</f>
        <v>25000</v>
      </c>
      <c r="F1474" s="72"/>
      <c r="G1474" s="75"/>
      <c r="H1474" s="59" t="str">
        <f ca="1">IFERROR(__xludf.DUMMYFUNCTION("""COMPUTED_VALUE"""),"UPDATE")</f>
        <v>UPDATE</v>
      </c>
      <c r="I1474" s="76" t="str">
        <f ca="1">IFERROR(__xludf.DUMMYFUNCTION("""COMPUTED_VALUE"""),"https://drive.google.com/open?id=1q70femFcR8fezQ8m9w45EXH_gPN0JWBb")</f>
        <v>https://drive.google.com/open?id=1q70femFcR8fezQ8m9w45EXH_gPN0JWBb</v>
      </c>
      <c r="J1474" s="59"/>
      <c r="K1474" s="59"/>
      <c r="L1474" s="59"/>
      <c r="M1474" s="59"/>
      <c r="N1474" s="59"/>
      <c r="O1474" s="59"/>
      <c r="P1474" s="59"/>
    </row>
    <row r="1475" spans="1:16">
      <c r="A1475" s="71">
        <f ca="1">IFERROR(__xludf.DUMMYFUNCTION("""COMPUTED_VALUE"""),44532.7288381134)</f>
        <v>44532.728838113399</v>
      </c>
      <c r="B1475" s="59" t="str">
        <f ca="1">IFERROR(__xludf.DUMMYFUNCTION("""COMPUTED_VALUE"""),"keval kothiya")</f>
        <v>keval kothiya</v>
      </c>
      <c r="C1475" s="72" t="str">
        <f ca="1">IFERROR(__xludf.DUMMYFUNCTION("""COMPUTED_VALUE"""),"21sdsce01031")</f>
        <v>21sdsce01031</v>
      </c>
      <c r="D1475" s="73">
        <f ca="1">IFERROR(__xludf.DUMMYFUNCTION("""COMPUTED_VALUE"""),44532)</f>
        <v>44532</v>
      </c>
      <c r="E1475" s="74">
        <f ca="1">IFERROR(__xludf.DUMMYFUNCTION("""COMPUTED_VALUE"""),6250)</f>
        <v>6250</v>
      </c>
      <c r="F1475" s="72"/>
      <c r="G1475" s="75"/>
      <c r="H1475" s="59" t="str">
        <f ca="1">IFERROR(__xludf.DUMMYFUNCTION("""COMPUTED_VALUE"""),"UPDATE")</f>
        <v>UPDATE</v>
      </c>
      <c r="I1475" s="76" t="str">
        <f ca="1">IFERROR(__xludf.DUMMYFUNCTION("""COMPUTED_VALUE"""),"https://drive.google.com/open?id=1k06E9KYtQgivsPsGYsNV4cTYfazR25bs")</f>
        <v>https://drive.google.com/open?id=1k06E9KYtQgivsPsGYsNV4cTYfazR25bs</v>
      </c>
      <c r="J1475" s="59"/>
      <c r="K1475" s="59"/>
      <c r="L1475" s="59"/>
      <c r="M1475" s="59"/>
      <c r="N1475" s="59"/>
      <c r="O1475" s="59"/>
      <c r="P1475" s="59"/>
    </row>
    <row r="1476" spans="1:16">
      <c r="A1476" s="71">
        <f ca="1">IFERROR(__xludf.DUMMYFUNCTION("""COMPUTED_VALUE"""),44532.5629191435)</f>
        <v>44532.5629191435</v>
      </c>
      <c r="B1476" s="59" t="str">
        <f ca="1">IFERROR(__xludf.DUMMYFUNCTION("""COMPUTED_VALUE"""),"Jetani vima ")</f>
        <v xml:space="preserve">Jetani vima </v>
      </c>
      <c r="C1476" s="72" t="str">
        <f ca="1">IFERROR(__xludf.DUMMYFUNCTION("""COMPUTED_VALUE"""),"20SDSCE01046")</f>
        <v>20SDSCE01046</v>
      </c>
      <c r="D1476" s="73">
        <f ca="1">IFERROR(__xludf.DUMMYFUNCTION("""COMPUTED_VALUE"""),44351)</f>
        <v>44351</v>
      </c>
      <c r="E1476" s="72"/>
      <c r="F1476" s="72"/>
      <c r="G1476" s="75"/>
      <c r="H1476" s="59" t="str">
        <f ca="1">IFERROR(__xludf.DUMMYFUNCTION("""COMPUTED_VALUE"""),"UPDATE")</f>
        <v>UPDATE</v>
      </c>
      <c r="I1476" s="76" t="str">
        <f ca="1">IFERROR(__xludf.DUMMYFUNCTION("""COMPUTED_VALUE"""),"https://drive.google.com/open?id=1kIV6G9WbmyPAz9ibLbTqg9wceWmpnlLv")</f>
        <v>https://drive.google.com/open?id=1kIV6G9WbmyPAz9ibLbTqg9wceWmpnlLv</v>
      </c>
      <c r="J1476" s="59"/>
      <c r="K1476" s="59"/>
      <c r="L1476" s="59"/>
      <c r="M1476" s="59"/>
      <c r="N1476" s="59"/>
      <c r="O1476" s="59"/>
      <c r="P1476" s="59"/>
    </row>
    <row r="1477" spans="1:16">
      <c r="A1477" s="71">
        <f ca="1">IFERROR(__xludf.DUMMYFUNCTION("""COMPUTED_VALUE"""),44532.4268660995)</f>
        <v>44532.4268660995</v>
      </c>
      <c r="B1477" s="59" t="str">
        <f ca="1">IFERROR(__xludf.DUMMYFUNCTION("""COMPUTED_VALUE"""),"Parth amipara")</f>
        <v>Parth amipara</v>
      </c>
      <c r="C1477" s="72" t="str">
        <f ca="1">IFERROR(__xludf.DUMMYFUNCTION("""COMPUTED_VALUE"""),"21sdsce01114")</f>
        <v>21sdsce01114</v>
      </c>
      <c r="D1477" s="73">
        <f ca="1">IFERROR(__xludf.DUMMYFUNCTION("""COMPUTED_VALUE"""),44528)</f>
        <v>44528</v>
      </c>
      <c r="E1477" s="74">
        <f ca="1">IFERROR(__xludf.DUMMYFUNCTION("""COMPUTED_VALUE"""),12500)</f>
        <v>12500</v>
      </c>
      <c r="F1477" s="72"/>
      <c r="G1477" s="75"/>
      <c r="H1477" s="59" t="str">
        <f ca="1">IFERROR(__xludf.DUMMYFUNCTION("""COMPUTED_VALUE"""),"UPDATE")</f>
        <v>UPDATE</v>
      </c>
      <c r="I1477" s="76" t="str">
        <f ca="1">IFERROR(__xludf.DUMMYFUNCTION("""COMPUTED_VALUE"""),"https://drive.google.com/open?id=1Y2cWi6BVA_VcwK8LvqenG18mYF09t_VL")</f>
        <v>https://drive.google.com/open?id=1Y2cWi6BVA_VcwK8LvqenG18mYF09t_VL</v>
      </c>
      <c r="J1477" s="59"/>
      <c r="K1477" s="59"/>
      <c r="L1477" s="59"/>
      <c r="M1477" s="59"/>
      <c r="N1477" s="59"/>
      <c r="O1477" s="59"/>
      <c r="P1477" s="59"/>
    </row>
    <row r="1478" spans="1:16">
      <c r="A1478" s="71">
        <f ca="1">IFERROR(__xludf.DUMMYFUNCTION("""COMPUTED_VALUE"""),44532.4251009606)</f>
        <v>44532.425100960601</v>
      </c>
      <c r="B1478" s="59" t="str">
        <f ca="1">IFERROR(__xludf.DUMMYFUNCTION("""COMPUTED_VALUE"""),"Shrut Kalathiya")</f>
        <v>Shrut Kalathiya</v>
      </c>
      <c r="C1478" s="72" t="str">
        <f ca="1">IFERROR(__xludf.DUMMYFUNCTION("""COMPUTED_VALUE"""),"21sdsce01077")</f>
        <v>21sdsce01077</v>
      </c>
      <c r="D1478" s="73">
        <f ca="1">IFERROR(__xludf.DUMMYFUNCTION("""COMPUTED_VALUE"""),44531)</f>
        <v>44531</v>
      </c>
      <c r="E1478" s="72"/>
      <c r="F1478" s="72"/>
      <c r="G1478" s="75"/>
      <c r="H1478" s="59" t="str">
        <f ca="1">IFERROR(__xludf.DUMMYFUNCTION("""COMPUTED_VALUE"""),"UPDATE")</f>
        <v>UPDATE</v>
      </c>
      <c r="I1478" s="76" t="str">
        <f ca="1">IFERROR(__xludf.DUMMYFUNCTION("""COMPUTED_VALUE"""),"https://drive.google.com/open?id=12F8RVWXICbFqZOOyYj0J_qjXEPXRi6Sy")</f>
        <v>https://drive.google.com/open?id=12F8RVWXICbFqZOOyYj0J_qjXEPXRi6Sy</v>
      </c>
      <c r="J1478" s="59"/>
      <c r="K1478" s="59"/>
      <c r="L1478" s="59"/>
      <c r="M1478" s="59"/>
      <c r="N1478" s="59"/>
      <c r="O1478" s="59"/>
      <c r="P1478" s="59"/>
    </row>
    <row r="1479" spans="1:16">
      <c r="A1479" s="71">
        <f ca="1">IFERROR(__xludf.DUMMYFUNCTION("""COMPUTED_VALUE"""),44531.9101024074)</f>
        <v>44531.910102407397</v>
      </c>
      <c r="B1479" s="59" t="str">
        <f ca="1">IFERROR(__xludf.DUMMYFUNCTION("""COMPUTED_VALUE"""),"Prutha panchani")</f>
        <v>Prutha panchani</v>
      </c>
      <c r="C1479" s="72" t="str">
        <f ca="1">IFERROR(__xludf.DUMMYFUNCTION("""COMPUTED_VALUE"""),"21SDSCE01086")</f>
        <v>21SDSCE01086</v>
      </c>
      <c r="D1479" s="73">
        <f ca="1">IFERROR(__xludf.DUMMYFUNCTION("""COMPUTED_VALUE"""),44526)</f>
        <v>44526</v>
      </c>
      <c r="E1479" s="74">
        <f ca="1">IFERROR(__xludf.DUMMYFUNCTION("""COMPUTED_VALUE"""),13000)</f>
        <v>13000</v>
      </c>
      <c r="F1479" s="72">
        <f ca="1">IFERROR(__xludf.DUMMYFUNCTION("""COMPUTED_VALUE"""),2500)</f>
        <v>2500</v>
      </c>
      <c r="G1479" s="75"/>
      <c r="H1479" s="59" t="str">
        <f ca="1">IFERROR(__xludf.DUMMYFUNCTION("""COMPUTED_VALUE"""),"UPDATE")</f>
        <v>UPDATE</v>
      </c>
      <c r="I1479" s="76" t="str">
        <f ca="1">IFERROR(__xludf.DUMMYFUNCTION("""COMPUTED_VALUE"""),"https://drive.google.com/open?id=10vPS5Rtuw6jzLXKyViVRXVZXnLRBx4Ew")</f>
        <v>https://drive.google.com/open?id=10vPS5Rtuw6jzLXKyViVRXVZXnLRBx4Ew</v>
      </c>
      <c r="J1479" s="59"/>
      <c r="K1479" s="59"/>
      <c r="L1479" s="59"/>
      <c r="M1479" s="59"/>
      <c r="N1479" s="59"/>
      <c r="O1479" s="59"/>
      <c r="P1479" s="59"/>
    </row>
    <row r="1480" spans="1:16">
      <c r="A1480" s="71">
        <f ca="1">IFERROR(__xludf.DUMMYFUNCTION("""COMPUTED_VALUE"""),44531.8702352662)</f>
        <v>44531.8702352662</v>
      </c>
      <c r="B1480" s="59" t="str">
        <f ca="1">IFERROR(__xludf.DUMMYFUNCTION("""COMPUTED_VALUE"""),"Agravat dip Dineshbhai")</f>
        <v>Agravat dip Dineshbhai</v>
      </c>
      <c r="C1480" s="72" t="str">
        <f ca="1">IFERROR(__xludf.DUMMYFUNCTION("""COMPUTED_VALUE"""),"21SDSME01002")</f>
        <v>21SDSME01002</v>
      </c>
      <c r="D1480" s="73">
        <f ca="1">IFERROR(__xludf.DUMMYFUNCTION("""COMPUTED_VALUE"""),44531)</f>
        <v>44531</v>
      </c>
      <c r="E1480" s="72"/>
      <c r="F1480" s="72"/>
      <c r="G1480" s="75"/>
      <c r="H1480" s="59" t="str">
        <f ca="1">IFERROR(__xludf.DUMMYFUNCTION("""COMPUTED_VALUE"""),"UPDATE")</f>
        <v>UPDATE</v>
      </c>
      <c r="I1480" s="76" t="str">
        <f ca="1">IFERROR(__xludf.DUMMYFUNCTION("""COMPUTED_VALUE"""),"https://drive.google.com/open?id=1-fb_nCtv8VMfjcOryjH7ICFd1enfYbsa")</f>
        <v>https://drive.google.com/open?id=1-fb_nCtv8VMfjcOryjH7ICFd1enfYbsa</v>
      </c>
      <c r="J1480" s="59"/>
      <c r="K1480" s="59"/>
      <c r="L1480" s="59"/>
      <c r="M1480" s="59"/>
      <c r="N1480" s="59"/>
      <c r="O1480" s="59"/>
      <c r="P1480" s="59"/>
    </row>
    <row r="1481" spans="1:16">
      <c r="A1481" s="71">
        <f ca="1">IFERROR(__xludf.DUMMYFUNCTION("""COMPUTED_VALUE"""),44529.7599183912)</f>
        <v>44529.759918391203</v>
      </c>
      <c r="B1481" s="59" t="str">
        <f ca="1">IFERROR(__xludf.DUMMYFUNCTION("""COMPUTED_VALUE"""),"Dobariya Nandani")</f>
        <v>Dobariya Nandani</v>
      </c>
      <c r="C1481" s="72" t="str">
        <f ca="1">IFERROR(__xludf.DUMMYFUNCTION("""COMPUTED_VALUE"""),"21SDSCE01068")</f>
        <v>21SDSCE01068</v>
      </c>
      <c r="D1481" s="73">
        <f ca="1">IFERROR(__xludf.DUMMYFUNCTION("""COMPUTED_VALUE"""),44526)</f>
        <v>44526</v>
      </c>
      <c r="E1481" s="72"/>
      <c r="F1481" s="72">
        <f ca="1">IFERROR(__xludf.DUMMYFUNCTION("""COMPUTED_VALUE"""),2500)</f>
        <v>2500</v>
      </c>
      <c r="G1481" s="75"/>
      <c r="H1481" s="59" t="str">
        <f ca="1">IFERROR(__xludf.DUMMYFUNCTION("""COMPUTED_VALUE"""),"UPDATE")</f>
        <v>UPDATE</v>
      </c>
      <c r="I1481" s="76" t="str">
        <f ca="1">IFERROR(__xludf.DUMMYFUNCTION("""COMPUTED_VALUE"""),"https://drive.google.com/open?id=1kzZjTYmNRF4HAYlh8clMTWRCZgJskGST")</f>
        <v>https://drive.google.com/open?id=1kzZjTYmNRF4HAYlh8clMTWRCZgJskGST</v>
      </c>
      <c r="J1481" s="59"/>
      <c r="K1481" s="59"/>
      <c r="L1481" s="59"/>
      <c r="M1481" s="59"/>
      <c r="N1481" s="59"/>
      <c r="O1481" s="59"/>
      <c r="P1481" s="59"/>
    </row>
    <row r="1482" spans="1:16">
      <c r="A1482" s="71">
        <f ca="1">IFERROR(__xludf.DUMMYFUNCTION("""COMPUTED_VALUE"""),44529.6335563541)</f>
        <v>44529.6335563541</v>
      </c>
      <c r="B1482" s="59" t="str">
        <f ca="1">IFERROR(__xludf.DUMMYFUNCTION("""COMPUTED_VALUE"""),"Bhadaliya krishil")</f>
        <v>Bhadaliya krishil</v>
      </c>
      <c r="C1482" s="72" t="str">
        <f ca="1">IFERROR(__xludf.DUMMYFUNCTION("""COMPUTED_VALUE"""),"21SDSCE01005")</f>
        <v>21SDSCE01005</v>
      </c>
      <c r="D1482" s="73">
        <f ca="1">IFERROR(__xludf.DUMMYFUNCTION("""COMPUTED_VALUE"""),44529)</f>
        <v>44529</v>
      </c>
      <c r="E1482" s="74">
        <f ca="1">IFERROR(__xludf.DUMMYFUNCTION("""COMPUTED_VALUE"""),12500)</f>
        <v>12500</v>
      </c>
      <c r="F1482" s="72"/>
      <c r="G1482" s="75"/>
      <c r="H1482" s="59" t="str">
        <f ca="1">IFERROR(__xludf.DUMMYFUNCTION("""COMPUTED_VALUE"""),"UPDATE")</f>
        <v>UPDATE</v>
      </c>
      <c r="I1482" s="76" t="str">
        <f ca="1">IFERROR(__xludf.DUMMYFUNCTION("""COMPUTED_VALUE"""),"https://drive.google.com/open?id=1yWz933yiiGVILxuD9uyoMksrAvpdkABQ")</f>
        <v>https://drive.google.com/open?id=1yWz933yiiGVILxuD9uyoMksrAvpdkABQ</v>
      </c>
      <c r="J1482" s="59"/>
      <c r="K1482" s="59"/>
      <c r="L1482" s="59"/>
      <c r="M1482" s="59"/>
      <c r="N1482" s="59"/>
      <c r="O1482" s="59"/>
      <c r="P1482" s="59"/>
    </row>
    <row r="1483" spans="1:16">
      <c r="A1483" s="71">
        <f ca="1">IFERROR(__xludf.DUMMYFUNCTION("""COMPUTED_VALUE"""),44529.5550348148)</f>
        <v>44529.555034814803</v>
      </c>
      <c r="B1483" s="59" t="str">
        <f ca="1">IFERROR(__xludf.DUMMYFUNCTION("""COMPUTED_VALUE"""),"Gabu Daxa Rasikbhai")</f>
        <v>Gabu Daxa Rasikbhai</v>
      </c>
      <c r="C1483" s="72" t="str">
        <f ca="1">IFERROR(__xludf.DUMMYFUNCTION("""COMPUTED_VALUE"""),"20SDSCE01032")</f>
        <v>20SDSCE01032</v>
      </c>
      <c r="D1483" s="73">
        <f ca="1">IFERROR(__xludf.DUMMYFUNCTION("""COMPUTED_VALUE"""),44529)</f>
        <v>44529</v>
      </c>
      <c r="E1483" s="74">
        <f ca="1">IFERROR(__xludf.DUMMYFUNCTION("""COMPUTED_VALUE"""),25000)</f>
        <v>25000</v>
      </c>
      <c r="F1483" s="72">
        <f ca="1">IFERROR(__xludf.DUMMYFUNCTION("""COMPUTED_VALUE"""),0)</f>
        <v>0</v>
      </c>
      <c r="G1483" s="75"/>
      <c r="H1483" s="59" t="str">
        <f ca="1">IFERROR(__xludf.DUMMYFUNCTION("""COMPUTED_VALUE"""),"UPDATE")</f>
        <v>UPDATE</v>
      </c>
      <c r="I1483" s="76" t="str">
        <f ca="1">IFERROR(__xludf.DUMMYFUNCTION("""COMPUTED_VALUE"""),"https://drive.google.com/open?id=1iLippEScmTOD52duHQVq9N6u5kn8XhWM")</f>
        <v>https://drive.google.com/open?id=1iLippEScmTOD52duHQVq9N6u5kn8XhWM</v>
      </c>
      <c r="J1483" s="59"/>
      <c r="K1483" s="59"/>
      <c r="L1483" s="59"/>
      <c r="M1483" s="59"/>
      <c r="N1483" s="59"/>
      <c r="O1483" s="59"/>
      <c r="P1483" s="59"/>
    </row>
    <row r="1484" spans="1:16">
      <c r="A1484" s="71">
        <f ca="1">IFERROR(__xludf.DUMMYFUNCTION("""COMPUTED_VALUE"""),44527.595359074)</f>
        <v>44527.595359074003</v>
      </c>
      <c r="B1484" s="59" t="str">
        <f ca="1">IFERROR(__xludf.DUMMYFUNCTION("""COMPUTED_VALUE"""),"PITHAVA KEVIN PANKAJBHAI")</f>
        <v>PITHAVA KEVIN PANKAJBHAI</v>
      </c>
      <c r="C1484" s="72" t="str">
        <f ca="1">IFERROR(__xludf.DUMMYFUNCTION("""COMPUTED_VALUE"""),"20SDSME01031")</f>
        <v>20SDSME01031</v>
      </c>
      <c r="D1484" s="73">
        <f ca="1">IFERROR(__xludf.DUMMYFUNCTION("""COMPUTED_VALUE"""),44527)</f>
        <v>44527</v>
      </c>
      <c r="E1484" s="74">
        <f ca="1">IFERROR(__xludf.DUMMYFUNCTION("""COMPUTED_VALUE"""),12500)</f>
        <v>12500</v>
      </c>
      <c r="F1484" s="72"/>
      <c r="G1484" s="75"/>
      <c r="H1484" s="59" t="str">
        <f ca="1">IFERROR(__xludf.DUMMYFUNCTION("""COMPUTED_VALUE"""),"UPDATE")</f>
        <v>UPDATE</v>
      </c>
      <c r="I1484" s="76" t="str">
        <f ca="1">IFERROR(__xludf.DUMMYFUNCTION("""COMPUTED_VALUE"""),"https://drive.google.com/open?id=1JrB6krMZ73YABM-zyeGMZgAqVbH8TNAM")</f>
        <v>https://drive.google.com/open?id=1JrB6krMZ73YABM-zyeGMZgAqVbH8TNAM</v>
      </c>
      <c r="J1484" s="59"/>
      <c r="K1484" s="59"/>
      <c r="L1484" s="59"/>
      <c r="M1484" s="59"/>
      <c r="N1484" s="59"/>
      <c r="O1484" s="59"/>
      <c r="P1484" s="59"/>
    </row>
    <row r="1485" spans="1:16">
      <c r="A1485" s="71">
        <f ca="1">IFERROR(__xludf.DUMMYFUNCTION("""COMPUTED_VALUE"""),44527.5946491898)</f>
        <v>44527.594649189799</v>
      </c>
      <c r="B1485" s="59" t="str">
        <f ca="1">IFERROR(__xludf.DUMMYFUNCTION("""COMPUTED_VALUE"""),"PITHAVA KEVIN PANKAJBHAI")</f>
        <v>PITHAVA KEVIN PANKAJBHAI</v>
      </c>
      <c r="C1485" s="72" t="str">
        <f ca="1">IFERROR(__xludf.DUMMYFUNCTION("""COMPUTED_VALUE"""),"20SDSME01031")</f>
        <v>20SDSME01031</v>
      </c>
      <c r="D1485" s="73">
        <f ca="1">IFERROR(__xludf.DUMMYFUNCTION("""COMPUTED_VALUE"""),44527)</f>
        <v>44527</v>
      </c>
      <c r="E1485" s="72"/>
      <c r="F1485" s="72">
        <f ca="1">IFERROR(__xludf.DUMMYFUNCTION("""COMPUTED_VALUE"""),2500)</f>
        <v>2500</v>
      </c>
      <c r="G1485" s="75"/>
      <c r="H1485" s="59" t="str">
        <f ca="1">IFERROR(__xludf.DUMMYFUNCTION("""COMPUTED_VALUE"""),"UPDATE")</f>
        <v>UPDATE</v>
      </c>
      <c r="I1485" s="76" t="str">
        <f ca="1">IFERROR(__xludf.DUMMYFUNCTION("""COMPUTED_VALUE"""),"https://drive.google.com/open?id=13ANjM7GA9ra-_myqwuwHIVKLTA7hqzs3")</f>
        <v>https://drive.google.com/open?id=13ANjM7GA9ra-_myqwuwHIVKLTA7hqzs3</v>
      </c>
      <c r="J1485" s="59"/>
      <c r="K1485" s="59"/>
      <c r="L1485" s="59"/>
      <c r="M1485" s="59"/>
      <c r="N1485" s="59"/>
      <c r="O1485" s="59"/>
      <c r="P1485" s="59"/>
    </row>
    <row r="1486" spans="1:16">
      <c r="A1486" s="71">
        <f ca="1">IFERROR(__xludf.DUMMYFUNCTION("""COMPUTED_VALUE"""),44526.7519844213)</f>
        <v>44526.751984421302</v>
      </c>
      <c r="B1486" s="59" t="str">
        <f ca="1">IFERROR(__xludf.DUMMYFUNCTION("""COMPUTED_VALUE"""),"Ravaliya Tushar Maheshbhai")</f>
        <v>Ravaliya Tushar Maheshbhai</v>
      </c>
      <c r="C1486" s="72" t="str">
        <f ca="1">IFERROR(__xludf.DUMMYFUNCTION("""COMPUTED_VALUE"""),"21SDSCE01101")</f>
        <v>21SDSCE01101</v>
      </c>
      <c r="D1486" s="73">
        <f ca="1">IFERROR(__xludf.DUMMYFUNCTION("""COMPUTED_VALUE"""),44524)</f>
        <v>44524</v>
      </c>
      <c r="E1486" s="74">
        <f ca="1">IFERROR(__xludf.DUMMYFUNCTION("""COMPUTED_VALUE"""),25000)</f>
        <v>25000</v>
      </c>
      <c r="F1486" s="72"/>
      <c r="G1486" s="75"/>
      <c r="H1486" s="59" t="str">
        <f ca="1">IFERROR(__xludf.DUMMYFUNCTION("""COMPUTED_VALUE"""),"UPDATE")</f>
        <v>UPDATE</v>
      </c>
      <c r="I1486" s="76" t="str">
        <f ca="1">IFERROR(__xludf.DUMMYFUNCTION("""COMPUTED_VALUE"""),"https://drive.google.com/open?id=1VVvrEx6hkSOFXa3UWz69XRTB3wPiMR_E")</f>
        <v>https://drive.google.com/open?id=1VVvrEx6hkSOFXa3UWz69XRTB3wPiMR_E</v>
      </c>
      <c r="J1486" s="59"/>
      <c r="K1486" s="59"/>
      <c r="L1486" s="59"/>
      <c r="M1486" s="59"/>
      <c r="N1486" s="59"/>
      <c r="O1486" s="59"/>
      <c r="P1486" s="59"/>
    </row>
    <row r="1487" spans="1:16">
      <c r="A1487" s="71">
        <f ca="1">IFERROR(__xludf.DUMMYFUNCTION("""COMPUTED_VALUE"""),44526.6964012847)</f>
        <v>44526.696401284702</v>
      </c>
      <c r="B1487" s="59" t="str">
        <f ca="1">IFERROR(__xludf.DUMMYFUNCTION("""COMPUTED_VALUE"""),"Panchani Tirth pareshbhai")</f>
        <v>Panchani Tirth pareshbhai</v>
      </c>
      <c r="C1487" s="72" t="str">
        <f ca="1">IFERROR(__xludf.DUMMYFUNCTION("""COMPUTED_VALUE"""),"21SDSCE01087")</f>
        <v>21SDSCE01087</v>
      </c>
      <c r="D1487" s="73">
        <f ca="1">IFERROR(__xludf.DUMMYFUNCTION("""COMPUTED_VALUE"""),44526)</f>
        <v>44526</v>
      </c>
      <c r="E1487" s="72"/>
      <c r="F1487" s="72">
        <f ca="1">IFERROR(__xludf.DUMMYFUNCTION("""COMPUTED_VALUE"""),2500)</f>
        <v>2500</v>
      </c>
      <c r="G1487" s="75"/>
      <c r="H1487" s="59" t="str">
        <f ca="1">IFERROR(__xludf.DUMMYFUNCTION("""COMPUTED_VALUE"""),"UPDATE")</f>
        <v>UPDATE</v>
      </c>
      <c r="I1487" s="76" t="str">
        <f ca="1">IFERROR(__xludf.DUMMYFUNCTION("""COMPUTED_VALUE"""),"https://drive.google.com/open?id=1jdAPpzW0CkpMSM54NirPhoOanLfhhlQB")</f>
        <v>https://drive.google.com/open?id=1jdAPpzW0CkpMSM54NirPhoOanLfhhlQB</v>
      </c>
      <c r="J1487" s="59"/>
      <c r="K1487" s="59"/>
      <c r="L1487" s="59"/>
      <c r="M1487" s="59"/>
      <c r="N1487" s="59"/>
      <c r="O1487" s="59"/>
      <c r="P1487" s="59"/>
    </row>
    <row r="1488" spans="1:16">
      <c r="A1488" s="71">
        <f ca="1">IFERROR(__xludf.DUMMYFUNCTION("""COMPUTED_VALUE"""),44526.4596821296)</f>
        <v>44526.4596821296</v>
      </c>
      <c r="B1488" s="59" t="str">
        <f ca="1">IFERROR(__xludf.DUMMYFUNCTION("""COMPUTED_VALUE"""),"TANNA KISHAN DILIPBHAI")</f>
        <v>TANNA KISHAN DILIPBHAI</v>
      </c>
      <c r="C1488" s="72" t="str">
        <f ca="1">IFERROR(__xludf.DUMMYFUNCTION("""COMPUTED_VALUE"""),"20SDSME01037")</f>
        <v>20SDSME01037</v>
      </c>
      <c r="D1488" s="73">
        <f ca="1">IFERROR(__xludf.DUMMYFUNCTION("""COMPUTED_VALUE"""),44525)</f>
        <v>44525</v>
      </c>
      <c r="E1488" s="72"/>
      <c r="F1488" s="72">
        <f ca="1">IFERROR(__xludf.DUMMYFUNCTION("""COMPUTED_VALUE"""),2500)</f>
        <v>2500</v>
      </c>
      <c r="G1488" s="75"/>
      <c r="H1488" s="59" t="str">
        <f ca="1">IFERROR(__xludf.DUMMYFUNCTION("""COMPUTED_VALUE"""),"UPDATE")</f>
        <v>UPDATE</v>
      </c>
      <c r="I1488" s="76" t="str">
        <f ca="1">IFERROR(__xludf.DUMMYFUNCTION("""COMPUTED_VALUE"""),"https://drive.google.com/open?id=1F13QD8TUPVxkOABRpUKMY6Rd_wPhMt0q")</f>
        <v>https://drive.google.com/open?id=1F13QD8TUPVxkOABRpUKMY6Rd_wPhMt0q</v>
      </c>
      <c r="J1488" s="59"/>
      <c r="K1488" s="59"/>
      <c r="L1488" s="59"/>
      <c r="M1488" s="59"/>
      <c r="N1488" s="59"/>
      <c r="O1488" s="59"/>
      <c r="P1488" s="59"/>
    </row>
    <row r="1489" spans="1:16">
      <c r="A1489" s="71">
        <f ca="1">IFERROR(__xludf.DUMMYFUNCTION("""COMPUTED_VALUE"""),44526.4067062731)</f>
        <v>44526.406706273097</v>
      </c>
      <c r="B1489" s="59" t="str">
        <f ca="1">IFERROR(__xludf.DUMMYFUNCTION("""COMPUTED_VALUE"""),"ZALA RAVIBHAI VALLABHBHAI")</f>
        <v>ZALA RAVIBHAI VALLABHBHAI</v>
      </c>
      <c r="C1489" s="72" t="str">
        <f ca="1">IFERROR(__xludf.DUMMYFUNCTION("""COMPUTED_VALUE"""),"20SDSME01047")</f>
        <v>20SDSME01047</v>
      </c>
      <c r="D1489" s="73">
        <f ca="1">IFERROR(__xludf.DUMMYFUNCTION("""COMPUTED_VALUE"""),44525)</f>
        <v>44525</v>
      </c>
      <c r="E1489" s="74">
        <f ca="1">IFERROR(__xludf.DUMMYFUNCTION("""COMPUTED_VALUE"""),12500)</f>
        <v>12500</v>
      </c>
      <c r="F1489" s="72">
        <f ca="1">IFERROR(__xludf.DUMMYFUNCTION("""COMPUTED_VALUE"""),2500)</f>
        <v>2500</v>
      </c>
      <c r="G1489" s="75"/>
      <c r="H1489" s="59" t="str">
        <f ca="1">IFERROR(__xludf.DUMMYFUNCTION("""COMPUTED_VALUE"""),"UPDATE")</f>
        <v>UPDATE</v>
      </c>
      <c r="I1489" s="76" t="str">
        <f ca="1">IFERROR(__xludf.DUMMYFUNCTION("""COMPUTED_VALUE"""),"https://drive.google.com/open?id=13NEWR2NMWY52Hfnykz5nrlj2lWkx3eI_")</f>
        <v>https://drive.google.com/open?id=13NEWR2NMWY52Hfnykz5nrlj2lWkx3eI_</v>
      </c>
      <c r="J1489" s="59"/>
      <c r="K1489" s="59"/>
      <c r="L1489" s="59"/>
      <c r="M1489" s="59"/>
      <c r="N1489" s="59"/>
      <c r="O1489" s="59"/>
      <c r="P1489" s="59"/>
    </row>
    <row r="1490" spans="1:16">
      <c r="A1490" s="71">
        <f ca="1">IFERROR(__xludf.DUMMYFUNCTION("""COMPUTED_VALUE"""),44526.4042589351)</f>
        <v>44526.404258935101</v>
      </c>
      <c r="B1490" s="59" t="str">
        <f ca="1">IFERROR(__xludf.DUMMYFUNCTION("""COMPUTED_VALUE"""),"DAHIYA HENIL RAMESHJI")</f>
        <v>DAHIYA HENIL RAMESHJI</v>
      </c>
      <c r="C1490" s="72" t="str">
        <f ca="1">IFERROR(__xludf.DUMMYFUNCTION("""COMPUTED_VALUE"""),"20SDSME01009")</f>
        <v>20SDSME01009</v>
      </c>
      <c r="D1490" s="73">
        <f ca="1">IFERROR(__xludf.DUMMYFUNCTION("""COMPUTED_VALUE"""),44524)</f>
        <v>44524</v>
      </c>
      <c r="E1490" s="72"/>
      <c r="F1490" s="72">
        <f ca="1">IFERROR(__xludf.DUMMYFUNCTION("""COMPUTED_VALUE"""),2500)</f>
        <v>2500</v>
      </c>
      <c r="G1490" s="75"/>
      <c r="H1490" s="59" t="str">
        <f ca="1">IFERROR(__xludf.DUMMYFUNCTION("""COMPUTED_VALUE"""),"UPDATE")</f>
        <v>UPDATE</v>
      </c>
      <c r="I1490" s="76" t="str">
        <f ca="1">IFERROR(__xludf.DUMMYFUNCTION("""COMPUTED_VALUE"""),"https://drive.google.com/open?id=1WcCe4MpxStYnNQpzMQdvxjdx-vHqwq1y")</f>
        <v>https://drive.google.com/open?id=1WcCe4MpxStYnNQpzMQdvxjdx-vHqwq1y</v>
      </c>
      <c r="J1490" s="59"/>
      <c r="K1490" s="59"/>
      <c r="L1490" s="59"/>
      <c r="M1490" s="59"/>
      <c r="N1490" s="59"/>
      <c r="O1490" s="59"/>
      <c r="P1490" s="59"/>
    </row>
    <row r="1491" spans="1:16">
      <c r="A1491" s="71">
        <f ca="1">IFERROR(__xludf.DUMMYFUNCTION("""COMPUTED_VALUE"""),44525.9213765393)</f>
        <v>44525.9213765393</v>
      </c>
      <c r="B1491" s="59" t="str">
        <f ca="1">IFERROR(__xludf.DUMMYFUNCTION("""COMPUTED_VALUE"""),"Ramani Tejas AshokBhai")</f>
        <v>Ramani Tejas AshokBhai</v>
      </c>
      <c r="C1491" s="72" t="str">
        <f ca="1">IFERROR(__xludf.DUMMYFUNCTION("""COMPUTED_VALUE"""),"21SDSCE01143")</f>
        <v>21SDSCE01143</v>
      </c>
      <c r="D1491" s="73">
        <f ca="1">IFERROR(__xludf.DUMMYFUNCTION("""COMPUTED_VALUE"""),44366)</f>
        <v>44366</v>
      </c>
      <c r="E1491" s="74">
        <f ca="1">IFERROR(__xludf.DUMMYFUNCTION("""COMPUTED_VALUE"""),5000)</f>
        <v>5000</v>
      </c>
      <c r="F1491" s="72">
        <f ca="1">IFERROR(__xludf.DUMMYFUNCTION("""COMPUTED_VALUE"""),2500)</f>
        <v>2500</v>
      </c>
      <c r="G1491" s="75"/>
      <c r="H1491" s="59" t="str">
        <f ca="1">IFERROR(__xludf.DUMMYFUNCTION("""COMPUTED_VALUE"""),"UPDATE")</f>
        <v>UPDATE</v>
      </c>
      <c r="I1491" s="76" t="str">
        <f ca="1">IFERROR(__xludf.DUMMYFUNCTION("""COMPUTED_VALUE"""),"https://drive.google.com/open?id=1L4IT4enUQfhIK_zYDBGXQRjtBbDY_9ij")</f>
        <v>https://drive.google.com/open?id=1L4IT4enUQfhIK_zYDBGXQRjtBbDY_9ij</v>
      </c>
      <c r="J1491" s="59"/>
      <c r="K1491" s="59"/>
      <c r="L1491" s="59"/>
      <c r="M1491" s="59"/>
      <c r="N1491" s="59"/>
      <c r="O1491" s="59"/>
      <c r="P1491" s="59"/>
    </row>
    <row r="1492" spans="1:16">
      <c r="A1492" s="71">
        <f ca="1">IFERROR(__xludf.DUMMYFUNCTION("""COMPUTED_VALUE"""),44525.9184953588)</f>
        <v>44525.918495358797</v>
      </c>
      <c r="B1492" s="59" t="str">
        <f ca="1">IFERROR(__xludf.DUMMYFUNCTION("""COMPUTED_VALUE"""),"Om vqghasiya")</f>
        <v>Om vqghasiya</v>
      </c>
      <c r="C1492" s="72" t="str">
        <f ca="1">IFERROR(__xludf.DUMMYFUNCTION("""COMPUTED_VALUE"""),"21SDSCE01157")</f>
        <v>21SDSCE01157</v>
      </c>
      <c r="D1492" s="73">
        <f ca="1">IFERROR(__xludf.DUMMYFUNCTION("""COMPUTED_VALUE"""),44464)</f>
        <v>44464</v>
      </c>
      <c r="E1492" s="74">
        <f ca="1">IFERROR(__xludf.DUMMYFUNCTION("""COMPUTED_VALUE"""),5000)</f>
        <v>5000</v>
      </c>
      <c r="F1492" s="72">
        <f ca="1">IFERROR(__xludf.DUMMYFUNCTION("""COMPUTED_VALUE"""),2500)</f>
        <v>2500</v>
      </c>
      <c r="G1492" s="75"/>
      <c r="H1492" s="59" t="str">
        <f ca="1">IFERROR(__xludf.DUMMYFUNCTION("""COMPUTED_VALUE"""),"UPDATE")</f>
        <v>UPDATE</v>
      </c>
      <c r="I1492" s="76" t="str">
        <f ca="1">IFERROR(__xludf.DUMMYFUNCTION("""COMPUTED_VALUE"""),"https://drive.google.com/open?id=1euxpyzDPfFK6jVgrUrAkRe8uoJ54PYOW")</f>
        <v>https://drive.google.com/open?id=1euxpyzDPfFK6jVgrUrAkRe8uoJ54PYOW</v>
      </c>
      <c r="J1492" s="59"/>
      <c r="K1492" s="59"/>
      <c r="L1492" s="59"/>
      <c r="M1492" s="59"/>
      <c r="N1492" s="59"/>
      <c r="O1492" s="59"/>
      <c r="P1492" s="59"/>
    </row>
    <row r="1493" spans="1:16">
      <c r="A1493" s="71">
        <f ca="1">IFERROR(__xludf.DUMMYFUNCTION("""COMPUTED_VALUE"""),44525.651075868)</f>
        <v>44525.651075868001</v>
      </c>
      <c r="B1493" s="59" t="str">
        <f ca="1">IFERROR(__xludf.DUMMYFUNCTION("""COMPUTED_VALUE"""),"VASANI HARSHIL MITESHBHAI ")</f>
        <v xml:space="preserve">VASANI HARSHIL MITESHBHAI </v>
      </c>
      <c r="C1493" s="72" t="str">
        <f ca="1">IFERROR(__xludf.DUMMYFUNCTION("""COMPUTED_VALUE"""),"21SDSCE01160")</f>
        <v>21SDSCE01160</v>
      </c>
      <c r="D1493" s="73">
        <f ca="1">IFERROR(__xludf.DUMMYFUNCTION("""COMPUTED_VALUE"""),44352)</f>
        <v>44352</v>
      </c>
      <c r="E1493" s="72"/>
      <c r="F1493" s="72">
        <f ca="1">IFERROR(__xludf.DUMMYFUNCTION("""COMPUTED_VALUE"""),13000)</f>
        <v>13000</v>
      </c>
      <c r="G1493" s="75"/>
      <c r="H1493" s="59" t="str">
        <f ca="1">IFERROR(__xludf.DUMMYFUNCTION("""COMPUTED_VALUE"""),"UPDATE")</f>
        <v>UPDATE</v>
      </c>
      <c r="I1493" s="76" t="str">
        <f ca="1">IFERROR(__xludf.DUMMYFUNCTION("""COMPUTED_VALUE"""),"https://drive.google.com/open?id=1u8Tkm7ZoxDGYyVg8oE0cg_dVnUja_dth")</f>
        <v>https://drive.google.com/open?id=1u8Tkm7ZoxDGYyVg8oE0cg_dVnUja_dth</v>
      </c>
      <c r="J1493" s="59"/>
      <c r="K1493" s="59"/>
      <c r="L1493" s="59"/>
      <c r="M1493" s="59"/>
      <c r="N1493" s="59"/>
      <c r="O1493" s="59"/>
      <c r="P1493" s="59"/>
    </row>
    <row r="1494" spans="1:16">
      <c r="A1494" s="71">
        <f ca="1">IFERROR(__xludf.DUMMYFUNCTION("""COMPUTED_VALUE"""),44525.6494923726)</f>
        <v>44525.649492372599</v>
      </c>
      <c r="B1494" s="59" t="str">
        <f ca="1">IFERROR(__xludf.DUMMYFUNCTION("""COMPUTED_VALUE"""),"Vasani harshil miteshbhai ")</f>
        <v xml:space="preserve">Vasani harshil miteshbhai </v>
      </c>
      <c r="C1494" s="72" t="str">
        <f ca="1">IFERROR(__xludf.DUMMYFUNCTION("""COMPUTED_VALUE"""),"21SDSCE01160")</f>
        <v>21SDSCE01160</v>
      </c>
      <c r="D1494" s="73">
        <f ca="1">IFERROR(__xludf.DUMMYFUNCTION("""COMPUTED_VALUE"""),44352)</f>
        <v>44352</v>
      </c>
      <c r="E1494" s="72"/>
      <c r="F1494" s="72">
        <f ca="1">IFERROR(__xludf.DUMMYFUNCTION("""COMPUTED_VALUE"""),13000)</f>
        <v>13000</v>
      </c>
      <c r="G1494" s="75"/>
      <c r="H1494" s="59" t="str">
        <f ca="1">IFERROR(__xludf.DUMMYFUNCTION("""COMPUTED_VALUE"""),"UPDATE")</f>
        <v>UPDATE</v>
      </c>
      <c r="I1494" s="76" t="str">
        <f ca="1">IFERROR(__xludf.DUMMYFUNCTION("""COMPUTED_VALUE"""),"https://drive.google.com/open?id=1s2haFrcdr065igbPRsc5sEDIrM7VTNIs")</f>
        <v>https://drive.google.com/open?id=1s2haFrcdr065igbPRsc5sEDIrM7VTNIs</v>
      </c>
      <c r="J1494" s="59"/>
      <c r="K1494" s="59"/>
      <c r="L1494" s="59"/>
      <c r="M1494" s="59"/>
      <c r="N1494" s="59"/>
      <c r="O1494" s="59"/>
      <c r="P1494" s="59"/>
    </row>
    <row r="1495" spans="1:16">
      <c r="A1495" s="71">
        <f ca="1">IFERROR(__xludf.DUMMYFUNCTION("""COMPUTED_VALUE"""),44525.6363950231)</f>
        <v>44525.636395023103</v>
      </c>
      <c r="B1495" s="59" t="str">
        <f ca="1">IFERROR(__xludf.DUMMYFUNCTION("""COMPUTED_VALUE"""),"Zinzuvadiya Raj Manojbhai")</f>
        <v>Zinzuvadiya Raj Manojbhai</v>
      </c>
      <c r="C1495" s="72" t="str">
        <f ca="1">IFERROR(__xludf.DUMMYFUNCTION("""COMPUTED_VALUE"""),"20sdsce01143")</f>
        <v>20sdsce01143</v>
      </c>
      <c r="D1495" s="73">
        <f ca="1">IFERROR(__xludf.DUMMYFUNCTION("""COMPUTED_VALUE"""),44524)</f>
        <v>44524</v>
      </c>
      <c r="E1495" s="74">
        <f ca="1">IFERROR(__xludf.DUMMYFUNCTION("""COMPUTED_VALUE"""),6000)</f>
        <v>6000</v>
      </c>
      <c r="F1495" s="72"/>
      <c r="G1495" s="75"/>
      <c r="H1495" s="59" t="str">
        <f ca="1">IFERROR(__xludf.DUMMYFUNCTION("""COMPUTED_VALUE"""),"UPDATE")</f>
        <v>UPDATE</v>
      </c>
      <c r="I1495" s="76" t="str">
        <f ca="1">IFERROR(__xludf.DUMMYFUNCTION("""COMPUTED_VALUE"""),"https://drive.google.com/open?id=1fTSMk4qe3oUCfMuq7q9u0qPj-r_skXP-")</f>
        <v>https://drive.google.com/open?id=1fTSMk4qe3oUCfMuq7q9u0qPj-r_skXP-</v>
      </c>
      <c r="J1495" s="59"/>
      <c r="K1495" s="59"/>
      <c r="L1495" s="59"/>
      <c r="M1495" s="59"/>
      <c r="N1495" s="59"/>
      <c r="O1495" s="59"/>
      <c r="P1495" s="59"/>
    </row>
    <row r="1496" spans="1:16">
      <c r="A1496" s="71">
        <f ca="1">IFERROR(__xludf.DUMMYFUNCTION("""COMPUTED_VALUE"""),44523.5245231365)</f>
        <v>44523.524523136497</v>
      </c>
      <c r="B1496" s="59" t="str">
        <f ca="1">IFERROR(__xludf.DUMMYFUNCTION("""COMPUTED_VALUE"""),"DABHI MAYUR JAYESHBHAI")</f>
        <v>DABHI MAYUR JAYESHBHAI</v>
      </c>
      <c r="C1496" s="72" t="str">
        <f ca="1">IFERROR(__xludf.DUMMYFUNCTION("""COMPUTED_VALUE"""),"20SDSME01007")</f>
        <v>20SDSME01007</v>
      </c>
      <c r="D1496" s="73">
        <f ca="1">IFERROR(__xludf.DUMMYFUNCTION("""COMPUTED_VALUE"""),44523)</f>
        <v>44523</v>
      </c>
      <c r="E1496" s="72"/>
      <c r="F1496" s="72">
        <f ca="1">IFERROR(__xludf.DUMMYFUNCTION("""COMPUTED_VALUE"""),2500)</f>
        <v>2500</v>
      </c>
      <c r="G1496" s="75"/>
      <c r="H1496" s="59" t="str">
        <f ca="1">IFERROR(__xludf.DUMMYFUNCTION("""COMPUTED_VALUE"""),"UPDATE")</f>
        <v>UPDATE</v>
      </c>
      <c r="I1496" s="76" t="str">
        <f ca="1">IFERROR(__xludf.DUMMYFUNCTION("""COMPUTED_VALUE"""),"https://drive.google.com/open?id=1PbsRw7GOab-dq-J_Cykj5Rc5XiwIpr_B")</f>
        <v>https://drive.google.com/open?id=1PbsRw7GOab-dq-J_Cykj5Rc5XiwIpr_B</v>
      </c>
      <c r="J1496" s="59"/>
      <c r="K1496" s="59"/>
      <c r="L1496" s="59"/>
      <c r="M1496" s="59"/>
      <c r="N1496" s="59"/>
      <c r="O1496" s="59"/>
      <c r="P1496" s="59"/>
    </row>
    <row r="1497" spans="1:16">
      <c r="A1497" s="71">
        <f ca="1">IFERROR(__xludf.DUMMYFUNCTION("""COMPUTED_VALUE"""),44523.5239551967)</f>
        <v>44523.523955196702</v>
      </c>
      <c r="B1497" s="59" t="str">
        <f ca="1">IFERROR(__xludf.DUMMYFUNCTION("""COMPUTED_VALUE"""),"DABHI MAYUR JAYESHBHAI")</f>
        <v>DABHI MAYUR JAYESHBHAI</v>
      </c>
      <c r="C1497" s="72" t="str">
        <f ca="1">IFERROR(__xludf.DUMMYFUNCTION("""COMPUTED_VALUE"""),"20SDSME01007")</f>
        <v>20SDSME01007</v>
      </c>
      <c r="D1497" s="73">
        <f ca="1">IFERROR(__xludf.DUMMYFUNCTION("""COMPUTED_VALUE"""),44523)</f>
        <v>44523</v>
      </c>
      <c r="E1497" s="74">
        <f ca="1">IFERROR(__xludf.DUMMYFUNCTION("""COMPUTED_VALUE"""),12000)</f>
        <v>12000</v>
      </c>
      <c r="F1497" s="72"/>
      <c r="G1497" s="75"/>
      <c r="H1497" s="59" t="str">
        <f ca="1">IFERROR(__xludf.DUMMYFUNCTION("""COMPUTED_VALUE"""),"UPDATE")</f>
        <v>UPDATE</v>
      </c>
      <c r="I1497" s="76" t="str">
        <f ca="1">IFERROR(__xludf.DUMMYFUNCTION("""COMPUTED_VALUE"""),"https://drive.google.com/open?id=1AcPWVz4zu1yblv7v4K0jvL78TGPBpBPA")</f>
        <v>https://drive.google.com/open?id=1AcPWVz4zu1yblv7v4K0jvL78TGPBpBPA</v>
      </c>
      <c r="J1497" s="59"/>
      <c r="K1497" s="59"/>
      <c r="L1497" s="59"/>
      <c r="M1497" s="59"/>
      <c r="N1497" s="59"/>
      <c r="O1497" s="59"/>
      <c r="P1497" s="59"/>
    </row>
    <row r="1498" spans="1:16">
      <c r="A1498" s="71">
        <f ca="1">IFERROR(__xludf.DUMMYFUNCTION("""COMPUTED_VALUE"""),44522.6965940162)</f>
        <v>44522.696594016197</v>
      </c>
      <c r="B1498" s="59" t="str">
        <f ca="1">IFERROR(__xludf.DUMMYFUNCTION("""COMPUTED_VALUE"""),"Hadiyal Harshil Maheshbhai")</f>
        <v>Hadiyal Harshil Maheshbhai</v>
      </c>
      <c r="C1498" s="72" t="str">
        <f ca="1">IFERROR(__xludf.DUMMYFUNCTION("""COMPUTED_VALUE"""),"20SDSCE01041")</f>
        <v>20SDSCE01041</v>
      </c>
      <c r="D1498" s="73">
        <f ca="1">IFERROR(__xludf.DUMMYFUNCTION("""COMPUTED_VALUE"""),44522)</f>
        <v>44522</v>
      </c>
      <c r="E1498" s="74">
        <f ca="1">IFERROR(__xludf.DUMMYFUNCTION("""COMPUTED_VALUE"""),12500)</f>
        <v>12500</v>
      </c>
      <c r="F1498" s="72"/>
      <c r="G1498" s="75"/>
      <c r="H1498" s="59" t="str">
        <f ca="1">IFERROR(__xludf.DUMMYFUNCTION("""COMPUTED_VALUE"""),"UPDATE")</f>
        <v>UPDATE</v>
      </c>
      <c r="I1498" s="76" t="str">
        <f ca="1">IFERROR(__xludf.DUMMYFUNCTION("""COMPUTED_VALUE"""),"https://drive.google.com/open?id=1-xChW7ChJjx7uT1QQObDMl6mc1K9VEmw")</f>
        <v>https://drive.google.com/open?id=1-xChW7ChJjx7uT1QQObDMl6mc1K9VEmw</v>
      </c>
      <c r="J1498" s="59"/>
      <c r="K1498" s="59"/>
      <c r="L1498" s="59"/>
      <c r="M1498" s="59"/>
      <c r="N1498" s="59"/>
      <c r="O1498" s="59"/>
      <c r="P1498" s="59"/>
    </row>
    <row r="1499" spans="1:16">
      <c r="A1499" s="71">
        <f ca="1">IFERROR(__xludf.DUMMYFUNCTION("""COMPUTED_VALUE"""),44522.6135292708)</f>
        <v>44522.613529270799</v>
      </c>
      <c r="B1499" s="59" t="str">
        <f ca="1">IFERROR(__xludf.DUMMYFUNCTION("""COMPUTED_VALUE"""),"Aman sumara")</f>
        <v>Aman sumara</v>
      </c>
      <c r="C1499" s="72" t="str">
        <f ca="1">IFERROR(__xludf.DUMMYFUNCTION("""COMPUTED_VALUE"""),"20sdsce01115")</f>
        <v>20sdsce01115</v>
      </c>
      <c r="D1499" s="73">
        <f ca="1">IFERROR(__xludf.DUMMYFUNCTION("""COMPUTED_VALUE"""),44443)</f>
        <v>44443</v>
      </c>
      <c r="E1499" s="72"/>
      <c r="F1499" s="72">
        <f ca="1">IFERROR(__xludf.DUMMYFUNCTION("""COMPUTED_VALUE"""),2500)</f>
        <v>2500</v>
      </c>
      <c r="G1499" s="75"/>
      <c r="H1499" s="59" t="str">
        <f ca="1">IFERROR(__xludf.DUMMYFUNCTION("""COMPUTED_VALUE"""),"UPDATE")</f>
        <v>UPDATE</v>
      </c>
      <c r="I1499" s="76" t="str">
        <f ca="1">IFERROR(__xludf.DUMMYFUNCTION("""COMPUTED_VALUE"""),"https://drive.google.com/open?id=18P_kzVR0cBlHdFT0zv0CGLw8frCXg2iW")</f>
        <v>https://drive.google.com/open?id=18P_kzVR0cBlHdFT0zv0CGLw8frCXg2iW</v>
      </c>
      <c r="J1499" s="59"/>
      <c r="K1499" s="59"/>
      <c r="L1499" s="59"/>
      <c r="M1499" s="59"/>
      <c r="N1499" s="59"/>
      <c r="O1499" s="59"/>
      <c r="P1499" s="59"/>
    </row>
    <row r="1500" spans="1:16">
      <c r="A1500" s="71">
        <f ca="1">IFERROR(__xludf.DUMMYFUNCTION("""COMPUTED_VALUE"""),44522.5086698148)</f>
        <v>44522.508669814801</v>
      </c>
      <c r="B1500" s="59" t="str">
        <f ca="1">IFERROR(__xludf.DUMMYFUNCTION("""COMPUTED_VALUE"""),"ROKAD MARMIK SURESHBHAI")</f>
        <v>ROKAD MARMIK SURESHBHAI</v>
      </c>
      <c r="C1500" s="72" t="str">
        <f ca="1">IFERROR(__xludf.DUMMYFUNCTION("""COMPUTED_VALUE"""),"20SDSME01034")</f>
        <v>20SDSME01034</v>
      </c>
      <c r="D1500" s="73">
        <f ca="1">IFERROR(__xludf.DUMMYFUNCTION("""COMPUTED_VALUE"""),44446)</f>
        <v>44446</v>
      </c>
      <c r="E1500" s="72"/>
      <c r="F1500" s="72">
        <f ca="1">IFERROR(__xludf.DUMMYFUNCTION("""COMPUTED_VALUE"""),2500)</f>
        <v>2500</v>
      </c>
      <c r="G1500" s="75"/>
      <c r="H1500" s="59" t="str">
        <f ca="1">IFERROR(__xludf.DUMMYFUNCTION("""COMPUTED_VALUE"""),"UPDATE")</f>
        <v>UPDATE</v>
      </c>
      <c r="I1500" s="76" t="str">
        <f ca="1">IFERROR(__xludf.DUMMYFUNCTION("""COMPUTED_VALUE"""),"https://drive.google.com/open?id=1SqniS9-QRz9tIY6SfcwO8MmKuwYs6dmr")</f>
        <v>https://drive.google.com/open?id=1SqniS9-QRz9tIY6SfcwO8MmKuwYs6dmr</v>
      </c>
      <c r="J1500" s="59"/>
      <c r="K1500" s="59"/>
      <c r="L1500" s="59"/>
      <c r="M1500" s="59"/>
      <c r="N1500" s="59"/>
      <c r="O1500" s="59"/>
      <c r="P1500" s="59"/>
    </row>
    <row r="1501" spans="1:16">
      <c r="A1501" s="71">
        <f ca="1">IFERROR(__xludf.DUMMYFUNCTION("""COMPUTED_VALUE"""),44522.5077615277)</f>
        <v>44522.507761527697</v>
      </c>
      <c r="B1501" s="59" t="str">
        <f ca="1">IFERROR(__xludf.DUMMYFUNCTION("""COMPUTED_VALUE"""),"ROKAD MARMIK SURESHBHAI")</f>
        <v>ROKAD MARMIK SURESHBHAI</v>
      </c>
      <c r="C1501" s="72" t="str">
        <f ca="1">IFERROR(__xludf.DUMMYFUNCTION("""COMPUTED_VALUE"""),"20SDSME01034")</f>
        <v>20SDSME01034</v>
      </c>
      <c r="D1501" s="73">
        <f ca="1">IFERROR(__xludf.DUMMYFUNCTION("""COMPUTED_VALUE"""),44446)</f>
        <v>44446</v>
      </c>
      <c r="E1501" s="74">
        <f ca="1">IFERROR(__xludf.DUMMYFUNCTION("""COMPUTED_VALUE"""),12500)</f>
        <v>12500</v>
      </c>
      <c r="F1501" s="72"/>
      <c r="G1501" s="75"/>
      <c r="H1501" s="59" t="str">
        <f ca="1">IFERROR(__xludf.DUMMYFUNCTION("""COMPUTED_VALUE"""),"UPDATE")</f>
        <v>UPDATE</v>
      </c>
      <c r="I1501" s="76" t="str">
        <f ca="1">IFERROR(__xludf.DUMMYFUNCTION("""COMPUTED_VALUE"""),"https://drive.google.com/open?id=11XQAofTTh3iCad_8rPSiBvRF3jv68NFn")</f>
        <v>https://drive.google.com/open?id=11XQAofTTh3iCad_8rPSiBvRF3jv68NFn</v>
      </c>
      <c r="J1501" s="59"/>
      <c r="K1501" s="59"/>
      <c r="L1501" s="59"/>
      <c r="M1501" s="59"/>
      <c r="N1501" s="59"/>
      <c r="O1501" s="59"/>
      <c r="P1501" s="59"/>
    </row>
    <row r="1502" spans="1:16">
      <c r="A1502" s="71">
        <f ca="1">IFERROR(__xludf.DUMMYFUNCTION("""COMPUTED_VALUE"""),44522.4799226851)</f>
        <v>44522.479922685103</v>
      </c>
      <c r="B1502" s="59" t="str">
        <f ca="1">IFERROR(__xludf.DUMMYFUNCTION("""COMPUTED_VALUE"""),"KOGATHIYA JENILKUMAR PREMAJIBHAI")</f>
        <v>KOGATHIYA JENILKUMAR PREMAJIBHAI</v>
      </c>
      <c r="C1502" s="72" t="str">
        <f ca="1">IFERROR(__xludf.DUMMYFUNCTION("""COMPUTED_VALUE"""),"20SDSME01019")</f>
        <v>20SDSME01019</v>
      </c>
      <c r="D1502" s="73">
        <f ca="1">IFERROR(__xludf.DUMMYFUNCTION("""COMPUTED_VALUE"""),44522)</f>
        <v>44522</v>
      </c>
      <c r="E1502" s="72"/>
      <c r="F1502" s="72">
        <f ca="1">IFERROR(__xludf.DUMMYFUNCTION("""COMPUTED_VALUE"""),2500)</f>
        <v>2500</v>
      </c>
      <c r="G1502" s="75"/>
      <c r="H1502" s="59" t="str">
        <f ca="1">IFERROR(__xludf.DUMMYFUNCTION("""COMPUTED_VALUE"""),"UPDATE")</f>
        <v>UPDATE</v>
      </c>
      <c r="I1502" s="76" t="str">
        <f ca="1">IFERROR(__xludf.DUMMYFUNCTION("""COMPUTED_VALUE"""),"https://drive.google.com/open?id=1bQ24_6gwgt4l6ySfGGU36ewsvbGakR7d")</f>
        <v>https://drive.google.com/open?id=1bQ24_6gwgt4l6ySfGGU36ewsvbGakR7d</v>
      </c>
      <c r="J1502" s="59"/>
      <c r="K1502" s="59"/>
      <c r="L1502" s="59"/>
      <c r="M1502" s="59"/>
      <c r="N1502" s="59"/>
      <c r="O1502" s="59"/>
      <c r="P1502" s="59"/>
    </row>
    <row r="1503" spans="1:16">
      <c r="A1503" s="71">
        <f ca="1">IFERROR(__xludf.DUMMYFUNCTION("""COMPUTED_VALUE"""),44522.3638736805)</f>
        <v>44522.363873680501</v>
      </c>
      <c r="B1503" s="59" t="str">
        <f ca="1">IFERROR(__xludf.DUMMYFUNCTION("""COMPUTED_VALUE"""),"Dabhi mayur")</f>
        <v>Dabhi mayur</v>
      </c>
      <c r="C1503" s="72" t="str">
        <f ca="1">IFERROR(__xludf.DUMMYFUNCTION("""COMPUTED_VALUE"""),"20SDSME01007")</f>
        <v>20SDSME01007</v>
      </c>
      <c r="D1503" s="73">
        <f ca="1">IFERROR(__xludf.DUMMYFUNCTION("""COMPUTED_VALUE"""),44444)</f>
        <v>44444</v>
      </c>
      <c r="E1503" s="74">
        <f ca="1">IFERROR(__xludf.DUMMYFUNCTION("""COMPUTED_VALUE"""),13000)</f>
        <v>13000</v>
      </c>
      <c r="F1503" s="72"/>
      <c r="G1503" s="75"/>
      <c r="H1503" s="59" t="str">
        <f ca="1">IFERROR(__xludf.DUMMYFUNCTION("""COMPUTED_VALUE"""),"UPDATE")</f>
        <v>UPDATE</v>
      </c>
      <c r="I1503" s="76" t="str">
        <f ca="1">IFERROR(__xludf.DUMMYFUNCTION("""COMPUTED_VALUE"""),"https://drive.google.com/open?id=1yjhmwfNZmwO0VFGwmo005NzIPfAAfG4r")</f>
        <v>https://drive.google.com/open?id=1yjhmwfNZmwO0VFGwmo005NzIPfAAfG4r</v>
      </c>
      <c r="J1503" s="59"/>
      <c r="K1503" s="59"/>
      <c r="L1503" s="59"/>
      <c r="M1503" s="59"/>
      <c r="N1503" s="59"/>
      <c r="O1503" s="59"/>
      <c r="P1503" s="59"/>
    </row>
    <row r="1504" spans="1:16">
      <c r="A1504" s="71">
        <f ca="1">IFERROR(__xludf.DUMMYFUNCTION("""COMPUTED_VALUE"""),44522.2882687962)</f>
        <v>44522.288268796197</v>
      </c>
      <c r="B1504" s="59" t="str">
        <f ca="1">IFERROR(__xludf.DUMMYFUNCTION("""COMPUTED_VALUE"""),"Bhimani Bhargav Manishbhai")</f>
        <v>Bhimani Bhargav Manishbhai</v>
      </c>
      <c r="C1504" s="72" t="str">
        <f ca="1">IFERROR(__xludf.DUMMYFUNCTION("""COMPUTED_VALUE"""),"20SDSCE01012")</f>
        <v>20SDSCE01012</v>
      </c>
      <c r="D1504" s="73">
        <f ca="1">IFERROR(__xludf.DUMMYFUNCTION("""COMPUTED_VALUE"""),44522)</f>
        <v>44522</v>
      </c>
      <c r="E1504" s="74">
        <f ca="1">IFERROR(__xludf.DUMMYFUNCTION("""COMPUTED_VALUE"""),6250)</f>
        <v>6250</v>
      </c>
      <c r="F1504" s="72"/>
      <c r="G1504" s="75"/>
      <c r="H1504" s="59" t="str">
        <f ca="1">IFERROR(__xludf.DUMMYFUNCTION("""COMPUTED_VALUE"""),"UPDATE")</f>
        <v>UPDATE</v>
      </c>
      <c r="I1504" s="76" t="str">
        <f ca="1">IFERROR(__xludf.DUMMYFUNCTION("""COMPUTED_VALUE"""),"https://drive.google.com/open?id=1uFhi9HY-NHUFZwkVJWA0NJklIudjSfRh")</f>
        <v>https://drive.google.com/open?id=1uFhi9HY-NHUFZwkVJWA0NJklIudjSfRh</v>
      </c>
      <c r="J1504" s="59"/>
      <c r="K1504" s="59"/>
      <c r="L1504" s="59"/>
      <c r="M1504" s="59"/>
      <c r="N1504" s="59"/>
      <c r="O1504" s="59"/>
      <c r="P1504" s="59"/>
    </row>
    <row r="1505" spans="1:16">
      <c r="A1505" s="71">
        <f ca="1">IFERROR(__xludf.DUMMYFUNCTION("""COMPUTED_VALUE"""),44521.9099236226)</f>
        <v>44521.909923622603</v>
      </c>
      <c r="B1505" s="59" t="str">
        <f ca="1">IFERROR(__xludf.DUMMYFUNCTION("""COMPUTED_VALUE"""),"Keval Shah")</f>
        <v>Keval Shah</v>
      </c>
      <c r="C1505" s="72" t="str">
        <f ca="1">IFERROR(__xludf.DUMMYFUNCTION("""COMPUTED_VALUE"""),"20SDSCE01110")</f>
        <v>20SDSCE01110</v>
      </c>
      <c r="D1505" s="73">
        <f ca="1">IFERROR(__xludf.DUMMYFUNCTION("""COMPUTED_VALUE"""),44454)</f>
        <v>44454</v>
      </c>
      <c r="E1505" s="74">
        <f ca="1">IFERROR(__xludf.DUMMYFUNCTION("""COMPUTED_VALUE"""),18750)</f>
        <v>18750</v>
      </c>
      <c r="F1505" s="72">
        <f ca="1">IFERROR(__xludf.DUMMYFUNCTION("""COMPUTED_VALUE"""),2500)</f>
        <v>2500</v>
      </c>
      <c r="G1505" s="75"/>
      <c r="H1505" s="59" t="str">
        <f ca="1">IFERROR(__xludf.DUMMYFUNCTION("""COMPUTED_VALUE"""),"UPDATE")</f>
        <v>UPDATE</v>
      </c>
      <c r="I1505" s="76" t="str">
        <f ca="1">IFERROR(__xludf.DUMMYFUNCTION("""COMPUTED_VALUE"""),"https://drive.google.com/open?id=1JWT6LOmgpTD3-dpgoNybzlLcJ8sH31CA")</f>
        <v>https://drive.google.com/open?id=1JWT6LOmgpTD3-dpgoNybzlLcJ8sH31CA</v>
      </c>
      <c r="J1505" s="59"/>
      <c r="K1505" s="59"/>
      <c r="L1505" s="59"/>
      <c r="M1505" s="59"/>
      <c r="N1505" s="59"/>
      <c r="O1505" s="59"/>
      <c r="P1505" s="59"/>
    </row>
    <row r="1506" spans="1:16">
      <c r="A1506" s="71">
        <f ca="1">IFERROR(__xludf.DUMMYFUNCTION("""COMPUTED_VALUE"""),44521.3695388888)</f>
        <v>44521.369538888801</v>
      </c>
      <c r="B1506" s="59" t="str">
        <f ca="1">IFERROR(__xludf.DUMMYFUNCTION("""COMPUTED_VALUE"""),"Koladiya Nirmal Ramesh Bhai ")</f>
        <v xml:space="preserve">Koladiya Nirmal Ramesh Bhai </v>
      </c>
      <c r="C1506" s="72" t="str">
        <f ca="1">IFERROR(__xludf.DUMMYFUNCTION("""COMPUTED_VALUE"""),"20SDSCE01057")</f>
        <v>20SDSCE01057</v>
      </c>
      <c r="D1506" s="73">
        <f ca="1">IFERROR(__xludf.DUMMYFUNCTION("""COMPUTED_VALUE"""),44518)</f>
        <v>44518</v>
      </c>
      <c r="E1506" s="74">
        <f ca="1">IFERROR(__xludf.DUMMYFUNCTION("""COMPUTED_VALUE"""),12500)</f>
        <v>12500</v>
      </c>
      <c r="F1506" s="72"/>
      <c r="G1506" s="75"/>
      <c r="H1506" s="59" t="str">
        <f ca="1">IFERROR(__xludf.DUMMYFUNCTION("""COMPUTED_VALUE"""),"UPDATE")</f>
        <v>UPDATE</v>
      </c>
      <c r="I1506" s="76" t="str">
        <f ca="1">IFERROR(__xludf.DUMMYFUNCTION("""COMPUTED_VALUE"""),"https://drive.google.com/open?id=1y80PhESmLodh10tGi3qIDgYNge9O2Jwu")</f>
        <v>https://drive.google.com/open?id=1y80PhESmLodh10tGi3qIDgYNge9O2Jwu</v>
      </c>
      <c r="J1506" s="59"/>
      <c r="K1506" s="59"/>
      <c r="L1506" s="59"/>
      <c r="M1506" s="59"/>
      <c r="N1506" s="59"/>
      <c r="O1506" s="59"/>
      <c r="P1506" s="59"/>
    </row>
    <row r="1507" spans="1:16">
      <c r="A1507" s="71">
        <f ca="1">IFERROR(__xludf.DUMMYFUNCTION("""COMPUTED_VALUE"""),44521.004268125)</f>
        <v>44521.004268124998</v>
      </c>
      <c r="B1507" s="59" t="str">
        <f ca="1">IFERROR(__xludf.DUMMYFUNCTION("""COMPUTED_VALUE"""),"Zinzuvadiya Raj Manojbhai")</f>
        <v>Zinzuvadiya Raj Manojbhai</v>
      </c>
      <c r="C1507" s="72" t="str">
        <f ca="1">IFERROR(__xludf.DUMMYFUNCTION("""COMPUTED_VALUE"""),"20SDSCE01143")</f>
        <v>20SDSCE01143</v>
      </c>
      <c r="D1507" s="73">
        <f ca="1">IFERROR(__xludf.DUMMYFUNCTION("""COMPUTED_VALUE"""),44520)</f>
        <v>44520</v>
      </c>
      <c r="E1507" s="72"/>
      <c r="F1507" s="72">
        <f ca="1">IFERROR(__xludf.DUMMYFUNCTION("""COMPUTED_VALUE"""),2500)</f>
        <v>2500</v>
      </c>
      <c r="G1507" s="75"/>
      <c r="H1507" s="59" t="str">
        <f ca="1">IFERROR(__xludf.DUMMYFUNCTION("""COMPUTED_VALUE"""),"UPDATE")</f>
        <v>UPDATE</v>
      </c>
      <c r="I1507" s="76" t="str">
        <f ca="1">IFERROR(__xludf.DUMMYFUNCTION("""COMPUTED_VALUE"""),"https://drive.google.com/open?id=1wxq6OdFugpEsmu8wz2MjvuTzK_bgtL-o")</f>
        <v>https://drive.google.com/open?id=1wxq6OdFugpEsmu8wz2MjvuTzK_bgtL-o</v>
      </c>
      <c r="J1507" s="59"/>
      <c r="K1507" s="59"/>
      <c r="L1507" s="59"/>
      <c r="M1507" s="59"/>
      <c r="N1507" s="59"/>
      <c r="O1507" s="59"/>
      <c r="P1507" s="59"/>
    </row>
    <row r="1508" spans="1:16">
      <c r="A1508" s="71">
        <f ca="1">IFERROR(__xludf.DUMMYFUNCTION("""COMPUTED_VALUE"""),44521.0031882523)</f>
        <v>44521.003188252304</v>
      </c>
      <c r="B1508" s="59" t="str">
        <f ca="1">IFERROR(__xludf.DUMMYFUNCTION("""COMPUTED_VALUE"""),"Zinzuvadiya Raj Manojbhai")</f>
        <v>Zinzuvadiya Raj Manojbhai</v>
      </c>
      <c r="C1508" s="72" t="str">
        <f ca="1">IFERROR(__xludf.DUMMYFUNCTION("""COMPUTED_VALUE"""),"20SDSCE01143")</f>
        <v>20SDSCE01143</v>
      </c>
      <c r="D1508" s="73">
        <f ca="1">IFERROR(__xludf.DUMMYFUNCTION("""COMPUTED_VALUE"""),44520)</f>
        <v>44520</v>
      </c>
      <c r="E1508" s="74">
        <f ca="1">IFERROR(__xludf.DUMMYFUNCTION("""COMPUTED_VALUE"""),6500)</f>
        <v>6500</v>
      </c>
      <c r="F1508" s="72"/>
      <c r="G1508" s="75"/>
      <c r="H1508" s="59" t="str">
        <f ca="1">IFERROR(__xludf.DUMMYFUNCTION("""COMPUTED_VALUE"""),"UPDATE")</f>
        <v>UPDATE</v>
      </c>
      <c r="I1508" s="76" t="str">
        <f ca="1">IFERROR(__xludf.DUMMYFUNCTION("""COMPUTED_VALUE"""),"https://drive.google.com/open?id=18oHDtaM_qpDFyyEt9sYqjbVxHbi3xlz-")</f>
        <v>https://drive.google.com/open?id=18oHDtaM_qpDFyyEt9sYqjbVxHbi3xlz-</v>
      </c>
      <c r="J1508" s="59"/>
      <c r="K1508" s="59"/>
      <c r="L1508" s="59"/>
      <c r="M1508" s="59"/>
      <c r="N1508" s="59"/>
      <c r="O1508" s="59"/>
      <c r="P1508" s="59"/>
    </row>
    <row r="1509" spans="1:16">
      <c r="A1509" s="71">
        <f ca="1">IFERROR(__xludf.DUMMYFUNCTION("""COMPUTED_VALUE"""),44520.9264986458)</f>
        <v>44520.9264986458</v>
      </c>
      <c r="B1509" s="59" t="str">
        <f ca="1">IFERROR(__xludf.DUMMYFUNCTION("""COMPUTED_VALUE"""),"Hiren Vaghela")</f>
        <v>Hiren Vaghela</v>
      </c>
      <c r="C1509" s="72" t="str">
        <f ca="1">IFERROR(__xludf.DUMMYFUNCTION("""COMPUTED_VALUE"""),"20SDSCE01130")</f>
        <v>20SDSCE01130</v>
      </c>
      <c r="D1509" s="73">
        <f ca="1">IFERROR(__xludf.DUMMYFUNCTION("""COMPUTED_VALUE"""),44520)</f>
        <v>44520</v>
      </c>
      <c r="E1509" s="74">
        <f ca="1">IFERROR(__xludf.DUMMYFUNCTION("""COMPUTED_VALUE"""),8750)</f>
        <v>8750</v>
      </c>
      <c r="F1509" s="72"/>
      <c r="G1509" s="75"/>
      <c r="H1509" s="59" t="str">
        <f ca="1">IFERROR(__xludf.DUMMYFUNCTION("""COMPUTED_VALUE"""),"UPDATE")</f>
        <v>UPDATE</v>
      </c>
      <c r="I1509" s="76" t="str">
        <f ca="1">IFERROR(__xludf.DUMMYFUNCTION("""COMPUTED_VALUE"""),"https://drive.google.com/open?id=17Wo15VNGID8OKJqyXy6aKfyhPvchQ7DX")</f>
        <v>https://drive.google.com/open?id=17Wo15VNGID8OKJqyXy6aKfyhPvchQ7DX</v>
      </c>
      <c r="J1509" s="59"/>
      <c r="K1509" s="59"/>
      <c r="L1509" s="59"/>
      <c r="M1509" s="59"/>
      <c r="N1509" s="59"/>
      <c r="O1509" s="59"/>
      <c r="P1509" s="59"/>
    </row>
    <row r="1510" spans="1:16">
      <c r="A1510" s="71">
        <f ca="1">IFERROR(__xludf.DUMMYFUNCTION("""COMPUTED_VALUE"""),44520.8553755092)</f>
        <v>44520.8553755092</v>
      </c>
      <c r="B1510" s="59" t="str">
        <f ca="1">IFERROR(__xludf.DUMMYFUNCTION("""COMPUTED_VALUE"""),"Yash Bhatti ")</f>
        <v xml:space="preserve">Yash Bhatti </v>
      </c>
      <c r="C1510" s="72" t="str">
        <f ca="1">IFERROR(__xludf.DUMMYFUNCTION("""COMPUTED_VALUE"""),"20SDSCE01011")</f>
        <v>20SDSCE01011</v>
      </c>
      <c r="D1510" s="73">
        <f ca="1">IFERROR(__xludf.DUMMYFUNCTION("""COMPUTED_VALUE"""),44519)</f>
        <v>44519</v>
      </c>
      <c r="E1510" s="72"/>
      <c r="F1510" s="72">
        <f ca="1">IFERROR(__xludf.DUMMYFUNCTION("""COMPUTED_VALUE"""),2500)</f>
        <v>2500</v>
      </c>
      <c r="G1510" s="75"/>
      <c r="H1510" s="59" t="str">
        <f ca="1">IFERROR(__xludf.DUMMYFUNCTION("""COMPUTED_VALUE"""),"UPDATE")</f>
        <v>UPDATE</v>
      </c>
      <c r="I1510" s="76" t="str">
        <f ca="1">IFERROR(__xludf.DUMMYFUNCTION("""COMPUTED_VALUE"""),"https://drive.google.com/open?id=1zGDTJyfYKcszvHDeIjX1IkyILx_3-jbg")</f>
        <v>https://drive.google.com/open?id=1zGDTJyfYKcszvHDeIjX1IkyILx_3-jbg</v>
      </c>
      <c r="J1510" s="59"/>
      <c r="K1510" s="59"/>
      <c r="L1510" s="59"/>
      <c r="M1510" s="59"/>
      <c r="N1510" s="59"/>
      <c r="O1510" s="59"/>
      <c r="P1510" s="59"/>
    </row>
    <row r="1511" spans="1:16">
      <c r="A1511" s="71">
        <f ca="1">IFERROR(__xludf.DUMMYFUNCTION("""COMPUTED_VALUE"""),44520.6263453587)</f>
        <v>44520.626345358702</v>
      </c>
      <c r="B1511" s="59" t="str">
        <f ca="1">IFERROR(__xludf.DUMMYFUNCTION("""COMPUTED_VALUE"""),"Adeshara Umang")</f>
        <v>Adeshara Umang</v>
      </c>
      <c r="C1511" s="72" t="str">
        <f ca="1">IFERROR(__xludf.DUMMYFUNCTION("""COMPUTED_VALUE"""),"20SDSCE01001")</f>
        <v>20SDSCE01001</v>
      </c>
      <c r="D1511" s="73">
        <f ca="1">IFERROR(__xludf.DUMMYFUNCTION("""COMPUTED_VALUE"""),44441)</f>
        <v>44441</v>
      </c>
      <c r="E1511" s="74">
        <f ca="1">IFERROR(__xludf.DUMMYFUNCTION("""COMPUTED_VALUE"""),6250)</f>
        <v>6250</v>
      </c>
      <c r="F1511" s="72">
        <f ca="1">IFERROR(__xludf.DUMMYFUNCTION("""COMPUTED_VALUE"""),2500)</f>
        <v>2500</v>
      </c>
      <c r="G1511" s="75"/>
      <c r="H1511" s="59" t="str">
        <f ca="1">IFERROR(__xludf.DUMMYFUNCTION("""COMPUTED_VALUE"""),"UPDATE")</f>
        <v>UPDATE</v>
      </c>
      <c r="I1511" s="76" t="str">
        <f ca="1">IFERROR(__xludf.DUMMYFUNCTION("""COMPUTED_VALUE"""),"https://drive.google.com/open?id=1xFCA4FZLvDmY2Xf54e2Q3tcpgxw2j6Pp")</f>
        <v>https://drive.google.com/open?id=1xFCA4FZLvDmY2Xf54e2Q3tcpgxw2j6Pp</v>
      </c>
      <c r="J1511" s="59"/>
      <c r="K1511" s="59"/>
      <c r="L1511" s="59"/>
      <c r="M1511" s="59"/>
      <c r="N1511" s="59"/>
      <c r="O1511" s="59"/>
      <c r="P1511" s="59"/>
    </row>
    <row r="1512" spans="1:16">
      <c r="A1512" s="71">
        <f ca="1">IFERROR(__xludf.DUMMYFUNCTION("""COMPUTED_VALUE"""),44520.6235745717)</f>
        <v>44520.623574571699</v>
      </c>
      <c r="B1512" s="59" t="str">
        <f ca="1">IFERROR(__xludf.DUMMYFUNCTION("""COMPUTED_VALUE"""),"Vasant Meet Hiteshbhai")</f>
        <v>Vasant Meet Hiteshbhai</v>
      </c>
      <c r="C1512" s="72" t="str">
        <f ca="1">IFERROR(__xludf.DUMMYFUNCTION("""COMPUTED_VALUE"""),"20SDSCE01138")</f>
        <v>20SDSCE01138</v>
      </c>
      <c r="D1512" s="73">
        <f ca="1">IFERROR(__xludf.DUMMYFUNCTION("""COMPUTED_VALUE"""),37751)</f>
        <v>37751</v>
      </c>
      <c r="E1512" s="74">
        <f ca="1">IFERROR(__xludf.DUMMYFUNCTION("""COMPUTED_VALUE"""),25000)</f>
        <v>25000</v>
      </c>
      <c r="F1512" s="72">
        <f ca="1">IFERROR(__xludf.DUMMYFUNCTION("""COMPUTED_VALUE"""),2500)</f>
        <v>2500</v>
      </c>
      <c r="G1512" s="75"/>
      <c r="H1512" s="59" t="str">
        <f ca="1">IFERROR(__xludf.DUMMYFUNCTION("""COMPUTED_VALUE"""),"UPDATE")</f>
        <v>UPDATE</v>
      </c>
      <c r="I1512" s="76" t="str">
        <f ca="1">IFERROR(__xludf.DUMMYFUNCTION("""COMPUTED_VALUE"""),"https://drive.google.com/open?id=1Kh2Rm6ejUi_OrV8E3FfNia7_C4Vp6O6z")</f>
        <v>https://drive.google.com/open?id=1Kh2Rm6ejUi_OrV8E3FfNia7_C4Vp6O6z</v>
      </c>
      <c r="J1512" s="59"/>
      <c r="K1512" s="59"/>
      <c r="L1512" s="59"/>
      <c r="M1512" s="59"/>
      <c r="N1512" s="59"/>
      <c r="O1512" s="59"/>
      <c r="P1512" s="59"/>
    </row>
    <row r="1513" spans="1:16">
      <c r="A1513" s="71">
        <f ca="1">IFERROR(__xludf.DUMMYFUNCTION("""COMPUTED_VALUE"""),44520.6200846412)</f>
        <v>44520.620084641203</v>
      </c>
      <c r="B1513" s="59" t="str">
        <f ca="1">IFERROR(__xludf.DUMMYFUNCTION("""COMPUTED_VALUE"""),"Vasant Meet Hiteshbhai")</f>
        <v>Vasant Meet Hiteshbhai</v>
      </c>
      <c r="C1513" s="72" t="str">
        <f ca="1">IFERROR(__xludf.DUMMYFUNCTION("""COMPUTED_VALUE"""),"20SDSCE0138")</f>
        <v>20SDSCE0138</v>
      </c>
      <c r="D1513" s="73">
        <f ca="1">IFERROR(__xludf.DUMMYFUNCTION("""COMPUTED_VALUE"""),37386)</f>
        <v>37386</v>
      </c>
      <c r="E1513" s="74">
        <f ca="1">IFERROR(__xludf.DUMMYFUNCTION("""COMPUTED_VALUE"""),25000)</f>
        <v>25000</v>
      </c>
      <c r="F1513" s="72">
        <f ca="1">IFERROR(__xludf.DUMMYFUNCTION("""COMPUTED_VALUE"""),2500)</f>
        <v>2500</v>
      </c>
      <c r="G1513" s="75"/>
      <c r="H1513" s="59" t="str">
        <f ca="1">IFERROR(__xludf.DUMMYFUNCTION("""COMPUTED_VALUE"""),"UPDATE")</f>
        <v>UPDATE</v>
      </c>
      <c r="I1513" s="76" t="str">
        <f ca="1">IFERROR(__xludf.DUMMYFUNCTION("""COMPUTED_VALUE"""),"https://drive.google.com/open?id=1vgpzqsDsKyzBApuy3Dgfvkr-XJXTnxmd")</f>
        <v>https://drive.google.com/open?id=1vgpzqsDsKyzBApuy3Dgfvkr-XJXTnxmd</v>
      </c>
      <c r="J1513" s="59"/>
      <c r="K1513" s="59"/>
      <c r="L1513" s="59"/>
      <c r="M1513" s="59"/>
      <c r="N1513" s="59"/>
      <c r="O1513" s="59"/>
      <c r="P1513" s="59"/>
    </row>
    <row r="1514" spans="1:16">
      <c r="A1514" s="71">
        <f ca="1">IFERROR(__xludf.DUMMYFUNCTION("""COMPUTED_VALUE"""),44520.5939435995)</f>
        <v>44520.593943599502</v>
      </c>
      <c r="B1514" s="59" t="str">
        <f ca="1">IFERROR(__xludf.DUMMYFUNCTION("""COMPUTED_VALUE"""),"Bhimani Bhargav Manishbhai")</f>
        <v>Bhimani Bhargav Manishbhai</v>
      </c>
      <c r="C1514" s="72" t="str">
        <f ca="1">IFERROR(__xludf.DUMMYFUNCTION("""COMPUTED_VALUE"""),"20SDSCE01012")</f>
        <v>20SDSCE01012</v>
      </c>
      <c r="D1514" s="73">
        <f ca="1">IFERROR(__xludf.DUMMYFUNCTION("""COMPUTED_VALUE"""),44442)</f>
        <v>44442</v>
      </c>
      <c r="E1514" s="74">
        <f ca="1">IFERROR(__xludf.DUMMYFUNCTION("""COMPUTED_VALUE"""),2500)</f>
        <v>2500</v>
      </c>
      <c r="F1514" s="72"/>
      <c r="G1514" s="75"/>
      <c r="H1514" s="59" t="str">
        <f ca="1">IFERROR(__xludf.DUMMYFUNCTION("""COMPUTED_VALUE"""),"UPDATE")</f>
        <v>UPDATE</v>
      </c>
      <c r="I1514" s="76" t="str">
        <f ca="1">IFERROR(__xludf.DUMMYFUNCTION("""COMPUTED_VALUE"""),"https://drive.google.com/open?id=1Hu6R_mrqPbaHQf7Nyo2J30B6QX0AC3Qm")</f>
        <v>https://drive.google.com/open?id=1Hu6R_mrqPbaHQf7Nyo2J30B6QX0AC3Qm</v>
      </c>
      <c r="J1514" s="59"/>
      <c r="K1514" s="59"/>
      <c r="L1514" s="59"/>
      <c r="M1514" s="59"/>
      <c r="N1514" s="59"/>
      <c r="O1514" s="59"/>
      <c r="P1514" s="59"/>
    </row>
    <row r="1515" spans="1:16">
      <c r="A1515" s="71">
        <f ca="1">IFERROR(__xludf.DUMMYFUNCTION("""COMPUTED_VALUE"""),44520.5926172916)</f>
        <v>44520.592617291601</v>
      </c>
      <c r="B1515" s="59" t="str">
        <f ca="1">IFERROR(__xludf.DUMMYFUNCTION("""COMPUTED_VALUE"""),"Bhimani Bhargav Manishbhai ")</f>
        <v xml:space="preserve">Bhimani Bhargav Manishbhai </v>
      </c>
      <c r="C1515" s="72" t="str">
        <f ca="1">IFERROR(__xludf.DUMMYFUNCTION("""COMPUTED_VALUE"""),"20SDSCE01012")</f>
        <v>20SDSCE01012</v>
      </c>
      <c r="D1515" s="73">
        <f ca="1">IFERROR(__xludf.DUMMYFUNCTION("""COMPUTED_VALUE"""),44442)</f>
        <v>44442</v>
      </c>
      <c r="E1515" s="72"/>
      <c r="F1515" s="72">
        <f ca="1">IFERROR(__xludf.DUMMYFUNCTION("""COMPUTED_VALUE"""),6250)</f>
        <v>6250</v>
      </c>
      <c r="G1515" s="75"/>
      <c r="H1515" s="59" t="str">
        <f ca="1">IFERROR(__xludf.DUMMYFUNCTION("""COMPUTED_VALUE"""),"UPDATE")</f>
        <v>UPDATE</v>
      </c>
      <c r="I1515" s="76" t="str">
        <f ca="1">IFERROR(__xludf.DUMMYFUNCTION("""COMPUTED_VALUE"""),"https://drive.google.com/open?id=1umQFevzy9ONq7oJfP6xeCHWmwlAj79Yb")</f>
        <v>https://drive.google.com/open?id=1umQFevzy9ONq7oJfP6xeCHWmwlAj79Yb</v>
      </c>
      <c r="J1515" s="59"/>
      <c r="K1515" s="59"/>
      <c r="L1515" s="59"/>
      <c r="M1515" s="59"/>
      <c r="N1515" s="59"/>
      <c r="O1515" s="59"/>
      <c r="P1515" s="59"/>
    </row>
    <row r="1516" spans="1:16">
      <c r="A1516" s="71">
        <f ca="1">IFERROR(__xludf.DUMMYFUNCTION("""COMPUTED_VALUE"""),44520.4922259143)</f>
        <v>44520.492225914299</v>
      </c>
      <c r="B1516" s="59" t="str">
        <f ca="1">IFERROR(__xludf.DUMMYFUNCTION("""COMPUTED_VALUE"""),"Harshil Vanparia")</f>
        <v>Harshil Vanparia</v>
      </c>
      <c r="C1516" s="72" t="str">
        <f ca="1">IFERROR(__xludf.DUMMYFUNCTION("""COMPUTED_VALUE"""),"20SDSCE01137")</f>
        <v>20SDSCE01137</v>
      </c>
      <c r="D1516" s="73">
        <f ca="1">IFERROR(__xludf.DUMMYFUNCTION("""COMPUTED_VALUE"""),44520)</f>
        <v>44520</v>
      </c>
      <c r="E1516" s="74">
        <f ca="1">IFERROR(__xludf.DUMMYFUNCTION("""COMPUTED_VALUE"""),5000)</f>
        <v>5000</v>
      </c>
      <c r="F1516" s="72"/>
      <c r="G1516" s="75"/>
      <c r="H1516" s="59" t="str">
        <f ca="1">IFERROR(__xludf.DUMMYFUNCTION("""COMPUTED_VALUE"""),"UPDATE")</f>
        <v>UPDATE</v>
      </c>
      <c r="I1516" s="76" t="str">
        <f ca="1">IFERROR(__xludf.DUMMYFUNCTION("""COMPUTED_VALUE"""),"https://drive.google.com/open?id=10I3ona_Nwr4b-eP4hDXSH2qV9ZVrgxJf")</f>
        <v>https://drive.google.com/open?id=10I3ona_Nwr4b-eP4hDXSH2qV9ZVrgxJf</v>
      </c>
      <c r="J1516" s="59"/>
      <c r="K1516" s="59"/>
      <c r="L1516" s="59"/>
      <c r="M1516" s="59"/>
      <c r="N1516" s="59"/>
      <c r="O1516" s="59"/>
      <c r="P1516" s="59"/>
    </row>
    <row r="1517" spans="1:16">
      <c r="A1517" s="71">
        <f ca="1">IFERROR(__xludf.DUMMYFUNCTION("""COMPUTED_VALUE"""),44520.4503496759)</f>
        <v>44520.450349675899</v>
      </c>
      <c r="B1517" s="59" t="str">
        <f ca="1">IFERROR(__xludf.DUMMYFUNCTION("""COMPUTED_VALUE"""),"Harshil Vanparia")</f>
        <v>Harshil Vanparia</v>
      </c>
      <c r="C1517" s="72" t="str">
        <f ca="1">IFERROR(__xludf.DUMMYFUNCTION("""COMPUTED_VALUE"""),"20SDSCE01137")</f>
        <v>20SDSCE01137</v>
      </c>
      <c r="D1517" s="73">
        <f ca="1">IFERROR(__xludf.DUMMYFUNCTION("""COMPUTED_VALUE"""),44520)</f>
        <v>44520</v>
      </c>
      <c r="E1517" s="72"/>
      <c r="F1517" s="72">
        <f ca="1">IFERROR(__xludf.DUMMYFUNCTION("""COMPUTED_VALUE"""),2500)</f>
        <v>2500</v>
      </c>
      <c r="G1517" s="75"/>
      <c r="H1517" s="59" t="str">
        <f ca="1">IFERROR(__xludf.DUMMYFUNCTION("""COMPUTED_VALUE"""),"UPDATE")</f>
        <v>UPDATE</v>
      </c>
      <c r="I1517" s="76" t="str">
        <f ca="1">IFERROR(__xludf.DUMMYFUNCTION("""COMPUTED_VALUE"""),"https://drive.google.com/open?id=1nTAZ6TUUR9h_mKrIL1DwBaTGoYoLSP5B")</f>
        <v>https://drive.google.com/open?id=1nTAZ6TUUR9h_mKrIL1DwBaTGoYoLSP5B</v>
      </c>
      <c r="J1517" s="59"/>
      <c r="K1517" s="59"/>
      <c r="L1517" s="59"/>
      <c r="M1517" s="59"/>
      <c r="N1517" s="59"/>
      <c r="O1517" s="59"/>
      <c r="P1517" s="59"/>
    </row>
    <row r="1518" spans="1:16">
      <c r="A1518" s="71">
        <f ca="1">IFERROR(__xludf.DUMMYFUNCTION("""COMPUTED_VALUE"""),44519.6291428125)</f>
        <v>44519.629142812497</v>
      </c>
      <c r="B1518" s="59" t="str">
        <f ca="1">IFERROR(__xludf.DUMMYFUNCTION("""COMPUTED_VALUE"""),"Smit Barbhaya")</f>
        <v>Smit Barbhaya</v>
      </c>
      <c r="C1518" s="72" t="str">
        <f ca="1">IFERROR(__xludf.DUMMYFUNCTION("""COMPUTED_VALUE"""),"20SDSCE01007")</f>
        <v>20SDSCE01007</v>
      </c>
      <c r="D1518" s="73">
        <f ca="1">IFERROR(__xludf.DUMMYFUNCTION("""COMPUTED_VALUE"""),44518)</f>
        <v>44518</v>
      </c>
      <c r="E1518" s="74">
        <f ca="1">IFERROR(__xludf.DUMMYFUNCTION("""COMPUTED_VALUE"""),6250)</f>
        <v>6250</v>
      </c>
      <c r="F1518" s="72"/>
      <c r="G1518" s="75"/>
      <c r="H1518" s="59" t="str">
        <f ca="1">IFERROR(__xludf.DUMMYFUNCTION("""COMPUTED_VALUE"""),"UPDATE")</f>
        <v>UPDATE</v>
      </c>
      <c r="I1518" s="76" t="str">
        <f ca="1">IFERROR(__xludf.DUMMYFUNCTION("""COMPUTED_VALUE"""),"https://drive.google.com/open?id=10QB8CaIBR-iKkWSzf_aQiORvYKRmF1Fa")</f>
        <v>https://drive.google.com/open?id=10QB8CaIBR-iKkWSzf_aQiORvYKRmF1Fa</v>
      </c>
      <c r="J1518" s="59"/>
      <c r="K1518" s="59"/>
      <c r="L1518" s="59"/>
      <c r="M1518" s="59"/>
      <c r="N1518" s="59"/>
      <c r="O1518" s="59"/>
      <c r="P1518" s="59"/>
    </row>
    <row r="1519" spans="1:16">
      <c r="A1519" s="71">
        <f ca="1">IFERROR(__xludf.DUMMYFUNCTION("""COMPUTED_VALUE"""),44519.6052235185)</f>
        <v>44519.605223518498</v>
      </c>
      <c r="B1519" s="59" t="str">
        <f ca="1">IFERROR(__xludf.DUMMYFUNCTION("""COMPUTED_VALUE"""),"Vadariya ishva Nilesh Bhai")</f>
        <v>Vadariya ishva Nilesh Bhai</v>
      </c>
      <c r="C1519" s="72" t="str">
        <f ca="1">IFERROR(__xludf.DUMMYFUNCTION("""COMPUTED_VALUE"""),"20sdsce01124")</f>
        <v>20sdsce01124</v>
      </c>
      <c r="D1519" s="73">
        <f ca="1">IFERROR(__xludf.DUMMYFUNCTION("""COMPUTED_VALUE"""),44518)</f>
        <v>44518</v>
      </c>
      <c r="E1519" s="72"/>
      <c r="F1519" s="72"/>
      <c r="G1519" s="75"/>
      <c r="H1519" s="59" t="str">
        <f ca="1">IFERROR(__xludf.DUMMYFUNCTION("""COMPUTED_VALUE"""),"UPDATE")</f>
        <v>UPDATE</v>
      </c>
      <c r="I1519" s="76" t="str">
        <f ca="1">IFERROR(__xludf.DUMMYFUNCTION("""COMPUTED_VALUE"""),"https://drive.google.com/open?id=17YvXATJL11g3YIjkfLMKF7J4SWE-DZ1L")</f>
        <v>https://drive.google.com/open?id=17YvXATJL11g3YIjkfLMKF7J4SWE-DZ1L</v>
      </c>
      <c r="J1519" s="59"/>
      <c r="K1519" s="59"/>
      <c r="L1519" s="59"/>
      <c r="M1519" s="59"/>
      <c r="N1519" s="59"/>
      <c r="O1519" s="59"/>
      <c r="P1519" s="59"/>
    </row>
    <row r="1520" spans="1:16">
      <c r="A1520" s="71">
        <f ca="1">IFERROR(__xludf.DUMMYFUNCTION("""COMPUTED_VALUE"""),44519.6036194328)</f>
        <v>44519.603619432797</v>
      </c>
      <c r="B1520" s="59" t="str">
        <f ca="1">IFERROR(__xludf.DUMMYFUNCTION("""COMPUTED_VALUE"""),"Vadariya ishva Nilesh Bhai")</f>
        <v>Vadariya ishva Nilesh Bhai</v>
      </c>
      <c r="C1520" s="72" t="str">
        <f ca="1">IFERROR(__xludf.DUMMYFUNCTION("""COMPUTED_VALUE"""),"20sdsce01124")</f>
        <v>20sdsce01124</v>
      </c>
      <c r="D1520" s="73">
        <f ca="1">IFERROR(__xludf.DUMMYFUNCTION("""COMPUTED_VALUE"""),44518)</f>
        <v>44518</v>
      </c>
      <c r="E1520" s="72"/>
      <c r="F1520" s="72"/>
      <c r="G1520" s="75"/>
      <c r="H1520" s="59" t="str">
        <f ca="1">IFERROR(__xludf.DUMMYFUNCTION("""COMPUTED_VALUE"""),"UPDATE")</f>
        <v>UPDATE</v>
      </c>
      <c r="I1520" s="76" t="str">
        <f ca="1">IFERROR(__xludf.DUMMYFUNCTION("""COMPUTED_VALUE"""),"https://drive.google.com/open?id=1ojTeYAHnXTernfkypjrJGhmcLPGVdVdJ")</f>
        <v>https://drive.google.com/open?id=1ojTeYAHnXTernfkypjrJGhmcLPGVdVdJ</v>
      </c>
      <c r="J1520" s="59"/>
      <c r="K1520" s="59"/>
      <c r="L1520" s="59"/>
      <c r="M1520" s="59"/>
      <c r="N1520" s="59"/>
      <c r="O1520" s="59"/>
      <c r="P1520" s="59"/>
    </row>
    <row r="1521" spans="1:16">
      <c r="A1521" s="71">
        <f ca="1">IFERROR(__xludf.DUMMYFUNCTION("""COMPUTED_VALUE"""),44519.5944320833)</f>
        <v>44519.5944320833</v>
      </c>
      <c r="B1521" s="59" t="str">
        <f ca="1">IFERROR(__xludf.DUMMYFUNCTION("""COMPUTED_VALUE"""),"Devdip vaghela")</f>
        <v>Devdip vaghela</v>
      </c>
      <c r="C1521" s="72" t="str">
        <f ca="1">IFERROR(__xludf.DUMMYFUNCTION("""COMPUTED_VALUE"""),"20sdsce01128")</f>
        <v>20sdsce01128</v>
      </c>
      <c r="D1521" s="73">
        <f ca="1">IFERROR(__xludf.DUMMYFUNCTION("""COMPUTED_VALUE"""),44515)</f>
        <v>44515</v>
      </c>
      <c r="E1521" s="72"/>
      <c r="F1521" s="72"/>
      <c r="G1521" s="75"/>
      <c r="H1521" s="59" t="str">
        <f ca="1">IFERROR(__xludf.DUMMYFUNCTION("""COMPUTED_VALUE"""),"UPDATE")</f>
        <v>UPDATE</v>
      </c>
      <c r="I1521" s="76" t="str">
        <f ca="1">IFERROR(__xludf.DUMMYFUNCTION("""COMPUTED_VALUE"""),"https://drive.google.com/open?id=1e8UNYLdGJclDVSwfu78N6hUtasPxha-q")</f>
        <v>https://drive.google.com/open?id=1e8UNYLdGJclDVSwfu78N6hUtasPxha-q</v>
      </c>
      <c r="J1521" s="59"/>
      <c r="K1521" s="59"/>
      <c r="L1521" s="59"/>
      <c r="M1521" s="59"/>
      <c r="N1521" s="59"/>
      <c r="O1521" s="59"/>
      <c r="P1521" s="59"/>
    </row>
    <row r="1522" spans="1:16">
      <c r="A1522" s="71">
        <f ca="1">IFERROR(__xludf.DUMMYFUNCTION("""COMPUTED_VALUE"""),44518.9486419444)</f>
        <v>44518.9486419444</v>
      </c>
      <c r="B1522" s="59" t="str">
        <f ca="1">IFERROR(__xludf.DUMMYFUNCTION("""COMPUTED_VALUE"""),"Heet kanabar rajeshbhai")</f>
        <v>Heet kanabar rajeshbhai</v>
      </c>
      <c r="C1522" s="72" t="str">
        <f ca="1">IFERROR(__xludf.DUMMYFUNCTION("""COMPUTED_VALUE"""),"20SDSCE01049")</f>
        <v>20SDSCE01049</v>
      </c>
      <c r="D1522" s="73">
        <f ca="1">IFERROR(__xludf.DUMMYFUNCTION("""COMPUTED_VALUE"""),44518)</f>
        <v>44518</v>
      </c>
      <c r="E1522" s="74">
        <f ca="1">IFERROR(__xludf.DUMMYFUNCTION("""COMPUTED_VALUE"""),6250)</f>
        <v>6250</v>
      </c>
      <c r="F1522" s="72"/>
      <c r="G1522" s="75"/>
      <c r="H1522" s="59" t="str">
        <f ca="1">IFERROR(__xludf.DUMMYFUNCTION("""COMPUTED_VALUE"""),"UPDATE")</f>
        <v>UPDATE</v>
      </c>
      <c r="I1522" s="76" t="str">
        <f ca="1">IFERROR(__xludf.DUMMYFUNCTION("""COMPUTED_VALUE"""),"https://drive.google.com/open?id=1tQWv-FW-fU-wCQarrN-4l12WSWc39chn")</f>
        <v>https://drive.google.com/open?id=1tQWv-FW-fU-wCQarrN-4l12WSWc39chn</v>
      </c>
      <c r="J1522" s="59"/>
      <c r="K1522" s="59"/>
      <c r="L1522" s="59"/>
      <c r="M1522" s="59"/>
      <c r="N1522" s="59"/>
      <c r="O1522" s="59"/>
      <c r="P1522" s="59"/>
    </row>
    <row r="1523" spans="1:16">
      <c r="A1523" s="71">
        <f ca="1">IFERROR(__xludf.DUMMYFUNCTION("""COMPUTED_VALUE"""),44518.9340098148)</f>
        <v>44518.934009814802</v>
      </c>
      <c r="B1523" s="59" t="str">
        <f ca="1">IFERROR(__xludf.DUMMYFUNCTION("""COMPUTED_VALUE"""),"aditymakwana")</f>
        <v>aditymakwana</v>
      </c>
      <c r="C1523" s="72" t="str">
        <f ca="1">IFERROR(__xludf.DUMMYFUNCTION("""COMPUTED_VALUE"""),"20SDSCE01061")</f>
        <v>20SDSCE01061</v>
      </c>
      <c r="D1523" s="73">
        <f ca="1">IFERROR(__xludf.DUMMYFUNCTION("""COMPUTED_VALUE"""),44518)</f>
        <v>44518</v>
      </c>
      <c r="E1523" s="74">
        <f ca="1">IFERROR(__xludf.DUMMYFUNCTION("""COMPUTED_VALUE"""),13500)</f>
        <v>13500</v>
      </c>
      <c r="F1523" s="72"/>
      <c r="G1523" s="75"/>
      <c r="H1523" s="59" t="str">
        <f ca="1">IFERROR(__xludf.DUMMYFUNCTION("""COMPUTED_VALUE"""),"UPDATE")</f>
        <v>UPDATE</v>
      </c>
      <c r="I1523" s="76" t="str">
        <f ca="1">IFERROR(__xludf.DUMMYFUNCTION("""COMPUTED_VALUE"""),"https://drive.google.com/open?id=1Y0bE4DpD8CP81fDhzXqy1RFz5VI3v6bo")</f>
        <v>https://drive.google.com/open?id=1Y0bE4DpD8CP81fDhzXqy1RFz5VI3v6bo</v>
      </c>
      <c r="J1523" s="59"/>
      <c r="K1523" s="59"/>
      <c r="L1523" s="59"/>
      <c r="M1523" s="59"/>
      <c r="N1523" s="59"/>
      <c r="O1523" s="59"/>
      <c r="P1523" s="59"/>
    </row>
    <row r="1524" spans="1:16">
      <c r="A1524" s="71">
        <f ca="1">IFERROR(__xludf.DUMMYFUNCTION("""COMPUTED_VALUE"""),44518.5587246064)</f>
        <v>44518.558724606402</v>
      </c>
      <c r="B1524" s="59" t="str">
        <f ca="1">IFERROR(__xludf.DUMMYFUNCTION("""COMPUTED_VALUE"""),"Nasit Nirav Jitendrabhai")</f>
        <v>Nasit Nirav Jitendrabhai</v>
      </c>
      <c r="C1524" s="72" t="str">
        <f ca="1">IFERROR(__xludf.DUMMYFUNCTION("""COMPUTED_VALUE"""),"20SDSCE01069")</f>
        <v>20SDSCE01069</v>
      </c>
      <c r="D1524" s="73">
        <f ca="1">IFERROR(__xludf.DUMMYFUNCTION("""COMPUTED_VALUE"""),44443)</f>
        <v>44443</v>
      </c>
      <c r="E1524" s="74">
        <f ca="1">IFERROR(__xludf.DUMMYFUNCTION("""COMPUTED_VALUE"""),12500)</f>
        <v>12500</v>
      </c>
      <c r="F1524" s="72">
        <f ca="1">IFERROR(__xludf.DUMMYFUNCTION("""COMPUTED_VALUE"""),2500)</f>
        <v>2500</v>
      </c>
      <c r="G1524" s="75"/>
      <c r="H1524" s="59" t="str">
        <f ca="1">IFERROR(__xludf.DUMMYFUNCTION("""COMPUTED_VALUE"""),"UPDATE")</f>
        <v>UPDATE</v>
      </c>
      <c r="I1524" s="76" t="str">
        <f ca="1">IFERROR(__xludf.DUMMYFUNCTION("""COMPUTED_VALUE"""),"https://drive.google.com/open?id=1RJrzuehP5vGizyh_HHFF2egoiugxgsEf")</f>
        <v>https://drive.google.com/open?id=1RJrzuehP5vGizyh_HHFF2egoiugxgsEf</v>
      </c>
      <c r="J1524" s="59"/>
      <c r="K1524" s="59"/>
      <c r="L1524" s="59"/>
      <c r="M1524" s="59"/>
      <c r="N1524" s="59"/>
      <c r="O1524" s="59"/>
      <c r="P1524" s="59"/>
    </row>
    <row r="1525" spans="1:16">
      <c r="A1525" s="71">
        <f ca="1">IFERROR(__xludf.DUMMYFUNCTION("""COMPUTED_VALUE"""),44518.3096031828)</f>
        <v>44518.309603182803</v>
      </c>
      <c r="B1525" s="59" t="str">
        <f ca="1">IFERROR(__xludf.DUMMYFUNCTION("""COMPUTED_VALUE"""),"Kalariya jigar kiranbhai")</f>
        <v>Kalariya jigar kiranbhai</v>
      </c>
      <c r="C1525" s="72" t="str">
        <f ca="1">IFERROR(__xludf.DUMMYFUNCTION("""COMPUTED_VALUE"""),"20sdsce01048")</f>
        <v>20sdsce01048</v>
      </c>
      <c r="D1525" s="73">
        <f ca="1">IFERROR(__xludf.DUMMYFUNCTION("""COMPUTED_VALUE"""),44518)</f>
        <v>44518</v>
      </c>
      <c r="E1525" s="74">
        <f ca="1">IFERROR(__xludf.DUMMYFUNCTION("""COMPUTED_VALUE"""),6250)</f>
        <v>6250</v>
      </c>
      <c r="F1525" s="72"/>
      <c r="G1525" s="75"/>
      <c r="H1525" s="59" t="str">
        <f ca="1">IFERROR(__xludf.DUMMYFUNCTION("""COMPUTED_VALUE"""),"UPDATE")</f>
        <v>UPDATE</v>
      </c>
      <c r="I1525" s="76" t="str">
        <f ca="1">IFERROR(__xludf.DUMMYFUNCTION("""COMPUTED_VALUE"""),"https://drive.google.com/open?id=1eSVdF6t3ydb5CRzge5M0Mjfj3GM4LVds")</f>
        <v>https://drive.google.com/open?id=1eSVdF6t3ydb5CRzge5M0Mjfj3GM4LVds</v>
      </c>
      <c r="J1525" s="59"/>
      <c r="K1525" s="59"/>
      <c r="L1525" s="59"/>
      <c r="M1525" s="59"/>
      <c r="N1525" s="59"/>
      <c r="O1525" s="59"/>
      <c r="P1525" s="59"/>
    </row>
    <row r="1526" spans="1:16">
      <c r="A1526" s="71">
        <f ca="1">IFERROR(__xludf.DUMMYFUNCTION("""COMPUTED_VALUE"""),44517.5035461342)</f>
        <v>44517.503546134198</v>
      </c>
      <c r="B1526" s="59" t="str">
        <f ca="1">IFERROR(__xludf.DUMMYFUNCTION("""COMPUTED_VALUE"""),"hariyani arjun")</f>
        <v>hariyani arjun</v>
      </c>
      <c r="C1526" s="72" t="str">
        <f ca="1">IFERROR(__xludf.DUMMYFUNCTION("""COMPUTED_VALUE"""),"20sdsce01043")</f>
        <v>20sdsce01043</v>
      </c>
      <c r="D1526" s="73">
        <f ca="1">IFERROR(__xludf.DUMMYFUNCTION("""COMPUTED_VALUE"""),44517)</f>
        <v>44517</v>
      </c>
      <c r="E1526" s="74">
        <f ca="1">IFERROR(__xludf.DUMMYFUNCTION("""COMPUTED_VALUE"""),12500)</f>
        <v>12500</v>
      </c>
      <c r="F1526" s="72"/>
      <c r="G1526" s="75"/>
      <c r="H1526" s="59" t="str">
        <f ca="1">IFERROR(__xludf.DUMMYFUNCTION("""COMPUTED_VALUE"""),"UPDATE")</f>
        <v>UPDATE</v>
      </c>
      <c r="I1526" s="76" t="str">
        <f ca="1">IFERROR(__xludf.DUMMYFUNCTION("""COMPUTED_VALUE"""),"https://drive.google.com/open?id=19jYlbSZr2nopt5wUZRinPGnJFpqvy2mn")</f>
        <v>https://drive.google.com/open?id=19jYlbSZr2nopt5wUZRinPGnJFpqvy2mn</v>
      </c>
      <c r="J1526" s="59"/>
      <c r="K1526" s="59"/>
      <c r="L1526" s="59"/>
      <c r="M1526" s="59"/>
      <c r="N1526" s="59"/>
      <c r="O1526" s="59"/>
      <c r="P1526" s="59"/>
    </row>
    <row r="1527" spans="1:16">
      <c r="A1527" s="71">
        <f ca="1">IFERROR(__xludf.DUMMYFUNCTION("""COMPUTED_VALUE"""),44516.8828527314)</f>
        <v>44516.882852731404</v>
      </c>
      <c r="B1527" s="59" t="str">
        <f ca="1">IFERROR(__xludf.DUMMYFUNCTION("""COMPUTED_VALUE"""),"Kardani daksh rajeshbhai")</f>
        <v>Kardani daksh rajeshbhai</v>
      </c>
      <c r="C1527" s="72" t="str">
        <f ca="1">IFERROR(__xludf.DUMMYFUNCTION("""COMPUTED_VALUE"""),"20sdsce01051")</f>
        <v>20sdsce01051</v>
      </c>
      <c r="D1527" s="73">
        <f ca="1">IFERROR(__xludf.DUMMYFUNCTION("""COMPUTED_VALUE"""),44443)</f>
        <v>44443</v>
      </c>
      <c r="E1527" s="74">
        <f ca="1">IFERROR(__xludf.DUMMYFUNCTION("""COMPUTED_VALUE"""),2500)</f>
        <v>2500</v>
      </c>
      <c r="F1527" s="72">
        <f ca="1">IFERROR(__xludf.DUMMYFUNCTION("""COMPUTED_VALUE"""),25000)</f>
        <v>25000</v>
      </c>
      <c r="G1527" s="75"/>
      <c r="H1527" s="59" t="str">
        <f ca="1">IFERROR(__xludf.DUMMYFUNCTION("""COMPUTED_VALUE"""),"UPDATE")</f>
        <v>UPDATE</v>
      </c>
      <c r="I1527" s="76" t="str">
        <f ca="1">IFERROR(__xludf.DUMMYFUNCTION("""COMPUTED_VALUE"""),"https://drive.google.com/open?id=1EEm7LZ-rEkowh6o_XflhJb3qrMgQgbmw")</f>
        <v>https://drive.google.com/open?id=1EEm7LZ-rEkowh6o_XflhJb3qrMgQgbmw</v>
      </c>
      <c r="J1527" s="59"/>
      <c r="K1527" s="59"/>
      <c r="L1527" s="59"/>
      <c r="M1527" s="59"/>
      <c r="N1527" s="59"/>
      <c r="O1527" s="59"/>
      <c r="P1527" s="59"/>
    </row>
    <row r="1528" spans="1:16">
      <c r="A1528" s="71">
        <f ca="1">IFERROR(__xludf.DUMMYFUNCTION("""COMPUTED_VALUE"""),44516.6021934375)</f>
        <v>44516.602193437502</v>
      </c>
      <c r="B1528" s="59" t="str">
        <f ca="1">IFERROR(__xludf.DUMMYFUNCTION("""COMPUTED_VALUE"""),"aditymakwana")</f>
        <v>aditymakwana</v>
      </c>
      <c r="C1528" s="72" t="str">
        <f ca="1">IFERROR(__xludf.DUMMYFUNCTION("""COMPUTED_VALUE"""),"20SDSCE01061")</f>
        <v>20SDSCE01061</v>
      </c>
      <c r="D1528" s="73">
        <f ca="1">IFERROR(__xludf.DUMMYFUNCTION("""COMPUTED_VALUE"""),44444)</f>
        <v>44444</v>
      </c>
      <c r="E1528" s="74">
        <f ca="1">IFERROR(__xludf.DUMMYFUNCTION("""COMPUTED_VALUE"""),25000)</f>
        <v>25000</v>
      </c>
      <c r="F1528" s="72">
        <f ca="1">IFERROR(__xludf.DUMMYFUNCTION("""COMPUTED_VALUE"""),2500)</f>
        <v>2500</v>
      </c>
      <c r="G1528" s="75"/>
      <c r="H1528" s="59" t="str">
        <f ca="1">IFERROR(__xludf.DUMMYFUNCTION("""COMPUTED_VALUE"""),"UPDATE")</f>
        <v>UPDATE</v>
      </c>
      <c r="I1528" s="76" t="str">
        <f ca="1">IFERROR(__xludf.DUMMYFUNCTION("""COMPUTED_VALUE"""),"https://drive.google.com/open?id=1VbxiY43LJ7dcNn0gtnKNmyudNQ9kRh4L")</f>
        <v>https://drive.google.com/open?id=1VbxiY43LJ7dcNn0gtnKNmyudNQ9kRh4L</v>
      </c>
      <c r="J1528" s="59"/>
      <c r="K1528" s="59"/>
      <c r="L1528" s="59"/>
      <c r="M1528" s="59"/>
      <c r="N1528" s="59"/>
      <c r="O1528" s="59"/>
      <c r="P1528" s="59"/>
    </row>
    <row r="1529" spans="1:16">
      <c r="A1529" s="71">
        <f ca="1">IFERROR(__xludf.DUMMYFUNCTION("""COMPUTED_VALUE"""),44516.585841875)</f>
        <v>44516.585841874999</v>
      </c>
      <c r="B1529" s="59" t="str">
        <f ca="1">IFERROR(__xludf.DUMMYFUNCTION("""COMPUTED_VALUE"""),"Patel Nishant manishbhai")</f>
        <v>Patel Nishant manishbhai</v>
      </c>
      <c r="C1529" s="72" t="str">
        <f ca="1">IFERROR(__xludf.DUMMYFUNCTION("""COMPUTED_VALUE"""),"20sdsce01087")</f>
        <v>20sdsce01087</v>
      </c>
      <c r="D1529" s="73">
        <f ca="1">IFERROR(__xludf.DUMMYFUNCTION("""COMPUTED_VALUE"""),44441)</f>
        <v>44441</v>
      </c>
      <c r="E1529" s="74">
        <f ca="1">IFERROR(__xludf.DUMMYFUNCTION("""COMPUTED_VALUE"""),12500)</f>
        <v>12500</v>
      </c>
      <c r="F1529" s="72"/>
      <c r="G1529" s="75"/>
      <c r="H1529" s="59" t="str">
        <f ca="1">IFERROR(__xludf.DUMMYFUNCTION("""COMPUTED_VALUE"""),"UPDATE")</f>
        <v>UPDATE</v>
      </c>
      <c r="I1529" s="76" t="str">
        <f ca="1">IFERROR(__xludf.DUMMYFUNCTION("""COMPUTED_VALUE"""),"https://drive.google.com/open?id=1kogg7jMG5rMwgmLT4N1mLIooVy6UT1Jy")</f>
        <v>https://drive.google.com/open?id=1kogg7jMG5rMwgmLT4N1mLIooVy6UT1Jy</v>
      </c>
      <c r="J1529" s="59"/>
      <c r="K1529" s="59"/>
      <c r="L1529" s="59"/>
      <c r="M1529" s="59"/>
      <c r="N1529" s="59"/>
      <c r="O1529" s="59"/>
      <c r="P1529" s="59"/>
    </row>
    <row r="1530" spans="1:16">
      <c r="A1530" s="71">
        <f ca="1">IFERROR(__xludf.DUMMYFUNCTION("""COMPUTED_VALUE"""),44516.5439309953)</f>
        <v>44516.5439309953</v>
      </c>
      <c r="B1530" s="59" t="str">
        <f ca="1">IFERROR(__xludf.DUMMYFUNCTION("""COMPUTED_VALUE"""),"Kardani daksh rajeshbhau")</f>
        <v>Kardani daksh rajeshbhau</v>
      </c>
      <c r="C1530" s="72" t="str">
        <f ca="1">IFERROR(__xludf.DUMMYFUNCTION("""COMPUTED_VALUE"""),"20sdsce01051")</f>
        <v>20sdsce01051</v>
      </c>
      <c r="D1530" s="73">
        <f ca="1">IFERROR(__xludf.DUMMYFUNCTION("""COMPUTED_VALUE"""),44342)</f>
        <v>44342</v>
      </c>
      <c r="E1530" s="74">
        <f ca="1">IFERROR(__xludf.DUMMYFUNCTION("""COMPUTED_VALUE"""),2500)</f>
        <v>2500</v>
      </c>
      <c r="F1530" s="72">
        <f ca="1">IFERROR(__xludf.DUMMYFUNCTION("""COMPUTED_VALUE"""),25000)</f>
        <v>25000</v>
      </c>
      <c r="G1530" s="75"/>
      <c r="H1530" s="59" t="str">
        <f ca="1">IFERROR(__xludf.DUMMYFUNCTION("""COMPUTED_VALUE"""),"UPDATE")</f>
        <v>UPDATE</v>
      </c>
      <c r="I1530" s="76" t="str">
        <f ca="1">IFERROR(__xludf.DUMMYFUNCTION("""COMPUTED_VALUE"""),"https://drive.google.com/open?id=1gz4Fnpko_WGM6PdYfKk3NpkJkpjOs9Tx")</f>
        <v>https://drive.google.com/open?id=1gz4Fnpko_WGM6PdYfKk3NpkJkpjOs9Tx</v>
      </c>
      <c r="J1530" s="59"/>
      <c r="K1530" s="59"/>
      <c r="L1530" s="59"/>
      <c r="M1530" s="59"/>
      <c r="N1530" s="59"/>
      <c r="O1530" s="59"/>
      <c r="P1530" s="59"/>
    </row>
    <row r="1531" spans="1:16">
      <c r="A1531" s="71">
        <f ca="1">IFERROR(__xludf.DUMMYFUNCTION("""COMPUTED_VALUE"""),44516.5429222222)</f>
        <v>44516.542922222201</v>
      </c>
      <c r="B1531" s="59" t="str">
        <f ca="1">IFERROR(__xludf.DUMMYFUNCTION("""COMPUTED_VALUE"""),"Mili bathani")</f>
        <v>Mili bathani</v>
      </c>
      <c r="C1531" s="72" t="str">
        <f ca="1">IFERROR(__xludf.DUMMYFUNCTION("""COMPUTED_VALUE"""),"20sdsce01008")</f>
        <v>20sdsce01008</v>
      </c>
      <c r="D1531" s="73">
        <f ca="1">IFERROR(__xludf.DUMMYFUNCTION("""COMPUTED_VALUE"""),44516)</f>
        <v>44516</v>
      </c>
      <c r="E1531" s="74">
        <f ca="1">IFERROR(__xludf.DUMMYFUNCTION("""COMPUTED_VALUE"""),20000)</f>
        <v>20000</v>
      </c>
      <c r="F1531" s="72"/>
      <c r="G1531" s="75"/>
      <c r="H1531" s="59" t="str">
        <f ca="1">IFERROR(__xludf.DUMMYFUNCTION("""COMPUTED_VALUE"""),"UPDATE")</f>
        <v>UPDATE</v>
      </c>
      <c r="I1531" s="76" t="str">
        <f ca="1">IFERROR(__xludf.DUMMYFUNCTION("""COMPUTED_VALUE"""),"https://drive.google.com/open?id=12e8MrSg-QST8LFW4M2t8SU9sNSYd4GII")</f>
        <v>https://drive.google.com/open?id=12e8MrSg-QST8LFW4M2t8SU9sNSYd4GII</v>
      </c>
      <c r="J1531" s="59"/>
      <c r="K1531" s="59"/>
      <c r="L1531" s="59"/>
      <c r="M1531" s="59"/>
      <c r="N1531" s="59"/>
      <c r="O1531" s="59"/>
      <c r="P1531" s="59"/>
    </row>
    <row r="1532" spans="1:16">
      <c r="A1532" s="71">
        <f ca="1">IFERROR(__xludf.DUMMYFUNCTION("""COMPUTED_VALUE"""),44514.4349575578)</f>
        <v>44514.434957557802</v>
      </c>
      <c r="B1532" s="59" t="str">
        <f ca="1">IFERROR(__xludf.DUMMYFUNCTION("""COMPUTED_VALUE"""),"Vaghasia Bhargish Hareshbhai")</f>
        <v>Vaghasia Bhargish Hareshbhai</v>
      </c>
      <c r="C1532" s="72" t="str">
        <f ca="1">IFERROR(__xludf.DUMMYFUNCTION("""COMPUTED_VALUE"""),"20SDSCV01013")</f>
        <v>20SDSCV01013</v>
      </c>
      <c r="D1532" s="73">
        <f ca="1">IFERROR(__xludf.DUMMYFUNCTION("""COMPUTED_VALUE"""),44513)</f>
        <v>44513</v>
      </c>
      <c r="E1532" s="74">
        <f ca="1">IFERROR(__xludf.DUMMYFUNCTION("""COMPUTED_VALUE"""),25000)</f>
        <v>25000</v>
      </c>
      <c r="F1532" s="72"/>
      <c r="G1532" s="75"/>
      <c r="H1532" s="59" t="str">
        <f ca="1">IFERROR(__xludf.DUMMYFUNCTION("""COMPUTED_VALUE"""),"UPDATE")</f>
        <v>UPDATE</v>
      </c>
      <c r="I1532" s="76" t="str">
        <f ca="1">IFERROR(__xludf.DUMMYFUNCTION("""COMPUTED_VALUE"""),"https://drive.google.com/open?id=1W1JITF42KyXoI7dB00HjXgL3ZVw9-C4v")</f>
        <v>https://drive.google.com/open?id=1W1JITF42KyXoI7dB00HjXgL3ZVw9-C4v</v>
      </c>
      <c r="J1532" s="59"/>
      <c r="K1532" s="59"/>
      <c r="L1532" s="59"/>
      <c r="M1532" s="59"/>
      <c r="N1532" s="59"/>
      <c r="O1532" s="59"/>
      <c r="P1532" s="59"/>
    </row>
    <row r="1533" spans="1:16">
      <c r="A1533" s="71">
        <f ca="1">IFERROR(__xludf.DUMMYFUNCTION("""COMPUTED_VALUE"""),44497.4328848148)</f>
        <v>44497.4328848148</v>
      </c>
      <c r="B1533" s="59" t="str">
        <f ca="1">IFERROR(__xludf.DUMMYFUNCTION("""COMPUTED_VALUE"""),"Dharmik gadhiya")</f>
        <v>Dharmik gadhiya</v>
      </c>
      <c r="C1533" s="72" t="str">
        <f ca="1">IFERROR(__xludf.DUMMYFUNCTION("""COMPUTED_VALUE"""),"20SDSCE01033")</f>
        <v>20SDSCE01033</v>
      </c>
      <c r="D1533" s="73">
        <f ca="1">IFERROR(__xludf.DUMMYFUNCTION("""COMPUTED_VALUE"""),44443)</f>
        <v>44443</v>
      </c>
      <c r="E1533" s="72"/>
      <c r="F1533" s="72">
        <f ca="1">IFERROR(__xludf.DUMMYFUNCTION("""COMPUTED_VALUE"""),2500)</f>
        <v>2500</v>
      </c>
      <c r="G1533" s="75"/>
      <c r="H1533" s="59" t="str">
        <f ca="1">IFERROR(__xludf.DUMMYFUNCTION("""COMPUTED_VALUE"""),"UPDATE")</f>
        <v>UPDATE</v>
      </c>
      <c r="I1533" s="76" t="str">
        <f ca="1">IFERROR(__xludf.DUMMYFUNCTION("""COMPUTED_VALUE"""),"https://drive.google.com/open?id=1ihIzptwja6Xu-xOPxH3C5_b_25r-fWhp")</f>
        <v>https://drive.google.com/open?id=1ihIzptwja6Xu-xOPxH3C5_b_25r-fWhp</v>
      </c>
      <c r="J1533" s="59"/>
      <c r="K1533" s="59"/>
      <c r="L1533" s="59"/>
      <c r="M1533" s="59"/>
      <c r="N1533" s="59"/>
      <c r="O1533" s="59"/>
      <c r="P1533" s="59"/>
    </row>
    <row r="1534" spans="1:16">
      <c r="A1534" s="71">
        <f ca="1">IFERROR(__xludf.DUMMYFUNCTION("""COMPUTED_VALUE"""),44496.3692621527)</f>
        <v>44496.369262152701</v>
      </c>
      <c r="B1534" s="59" t="str">
        <f ca="1">IFERROR(__xludf.DUMMYFUNCTION("""COMPUTED_VALUE"""),"Makwana Natasha")</f>
        <v>Makwana Natasha</v>
      </c>
      <c r="C1534" s="72" t="str">
        <f ca="1">IFERROR(__xludf.DUMMYFUNCTION("""COMPUTED_VALUE"""),"19sdsce01030")</f>
        <v>19sdsce01030</v>
      </c>
      <c r="D1534" s="73">
        <f ca="1">IFERROR(__xludf.DUMMYFUNCTION("""COMPUTED_VALUE"""),44496)</f>
        <v>44496</v>
      </c>
      <c r="E1534" s="74">
        <f ca="1">IFERROR(__xludf.DUMMYFUNCTION("""COMPUTED_VALUE"""),9000)</f>
        <v>9000</v>
      </c>
      <c r="F1534" s="72"/>
      <c r="G1534" s="75"/>
      <c r="H1534" s="59" t="str">
        <f ca="1">IFERROR(__xludf.DUMMYFUNCTION("""COMPUTED_VALUE"""),"UPDATE")</f>
        <v>UPDATE</v>
      </c>
      <c r="I1534" s="76" t="str">
        <f ca="1">IFERROR(__xludf.DUMMYFUNCTION("""COMPUTED_VALUE"""),"https://drive.google.com/open?id=1LAFl1ACp7ug4zF-71HBFrBblXjjyUHOl")</f>
        <v>https://drive.google.com/open?id=1LAFl1ACp7ug4zF-71HBFrBblXjjyUHOl</v>
      </c>
      <c r="J1534" s="59"/>
      <c r="K1534" s="59"/>
      <c r="L1534" s="59"/>
      <c r="M1534" s="59"/>
      <c r="N1534" s="59"/>
      <c r="O1534" s="59"/>
      <c r="P1534" s="59"/>
    </row>
    <row r="1535" spans="1:16">
      <c r="A1535" s="71">
        <f ca="1">IFERROR(__xludf.DUMMYFUNCTION("""COMPUTED_VALUE"""),44494.6933561226)</f>
        <v>44494.693356122603</v>
      </c>
      <c r="B1535" s="59" t="str">
        <f ca="1">IFERROR(__xludf.DUMMYFUNCTION("""COMPUTED_VALUE"""),"Pragati Rathod")</f>
        <v>Pragati Rathod</v>
      </c>
      <c r="C1535" s="72" t="str">
        <f ca="1">IFERROR(__xludf.DUMMYFUNCTION("""COMPUTED_VALUE"""),"20SDSEE01023")</f>
        <v>20SDSEE01023</v>
      </c>
      <c r="D1535" s="73">
        <f ca="1">IFERROR(__xludf.DUMMYFUNCTION("""COMPUTED_VALUE"""),44491)</f>
        <v>44491</v>
      </c>
      <c r="E1535" s="74">
        <f ca="1">IFERROR(__xludf.DUMMYFUNCTION("""COMPUTED_VALUE"""),25000)</f>
        <v>25000</v>
      </c>
      <c r="F1535" s="72">
        <f ca="1">IFERROR(__xludf.DUMMYFUNCTION("""COMPUTED_VALUE"""),2500)</f>
        <v>2500</v>
      </c>
      <c r="G1535" s="75"/>
      <c r="H1535" s="59" t="str">
        <f ca="1">IFERROR(__xludf.DUMMYFUNCTION("""COMPUTED_VALUE"""),"UPDATE")</f>
        <v>UPDATE</v>
      </c>
      <c r="I1535" s="76" t="str">
        <f ca="1">IFERROR(__xludf.DUMMYFUNCTION("""COMPUTED_VALUE"""),"https://drive.google.com/open?id=1hBchsFs4H1abrzQFUQ_JCSR3wAC1jYxD")</f>
        <v>https://drive.google.com/open?id=1hBchsFs4H1abrzQFUQ_JCSR3wAC1jYxD</v>
      </c>
      <c r="J1535" s="59"/>
      <c r="K1535" s="59"/>
      <c r="L1535" s="59"/>
      <c r="M1535" s="59"/>
      <c r="N1535" s="59"/>
      <c r="O1535" s="59"/>
      <c r="P1535" s="59"/>
    </row>
    <row r="1536" spans="1:16">
      <c r="A1536" s="71">
        <f ca="1">IFERROR(__xludf.DUMMYFUNCTION("""COMPUTED_VALUE"""),44494.4192280555)</f>
        <v>44494.4192280555</v>
      </c>
      <c r="B1536" s="59" t="str">
        <f ca="1">IFERROR(__xludf.DUMMYFUNCTION("""COMPUTED_VALUE"""),"Thummar Prasit Chimanbhai")</f>
        <v>Thummar Prasit Chimanbhai</v>
      </c>
      <c r="C1536" s="72" t="str">
        <f ca="1">IFERROR(__xludf.DUMMYFUNCTION("""COMPUTED_VALUE"""),"20SDSCE01121")</f>
        <v>20SDSCE01121</v>
      </c>
      <c r="D1536" s="73">
        <f ca="1">IFERROR(__xludf.DUMMYFUNCTION("""COMPUTED_VALUE"""),44494)</f>
        <v>44494</v>
      </c>
      <c r="E1536" s="74">
        <f ca="1">IFERROR(__xludf.DUMMYFUNCTION("""COMPUTED_VALUE"""),9500)</f>
        <v>9500</v>
      </c>
      <c r="F1536" s="72">
        <f ca="1">IFERROR(__xludf.DUMMYFUNCTION("""COMPUTED_VALUE"""),0)</f>
        <v>0</v>
      </c>
      <c r="G1536" s="75"/>
      <c r="H1536" s="59" t="str">
        <f ca="1">IFERROR(__xludf.DUMMYFUNCTION("""COMPUTED_VALUE"""),"UPDATE")</f>
        <v>UPDATE</v>
      </c>
      <c r="I1536" s="76" t="str">
        <f ca="1">IFERROR(__xludf.DUMMYFUNCTION("""COMPUTED_VALUE"""),"https://drive.google.com/open?id=1SYt7UjJSiFNfu9HcQG9XVCQ1cCs7HLhQ")</f>
        <v>https://drive.google.com/open?id=1SYt7UjJSiFNfu9HcQG9XVCQ1cCs7HLhQ</v>
      </c>
      <c r="J1536" s="59"/>
      <c r="K1536" s="59"/>
      <c r="L1536" s="59"/>
      <c r="M1536" s="59"/>
      <c r="N1536" s="59"/>
      <c r="O1536" s="59"/>
      <c r="P1536" s="59"/>
    </row>
    <row r="1537" spans="1:16">
      <c r="A1537" s="71">
        <f ca="1">IFERROR(__xludf.DUMMYFUNCTION("""COMPUTED_VALUE"""),44494.3737776851)</f>
        <v>44494.373777685098</v>
      </c>
      <c r="B1537" s="59" t="str">
        <f ca="1">IFERROR(__xludf.DUMMYFUNCTION("""COMPUTED_VALUE"""),"HIMANSHU PANSURIYA")</f>
        <v>HIMANSHU PANSURIYA</v>
      </c>
      <c r="C1537" s="72" t="str">
        <f ca="1">IFERROR(__xludf.DUMMYFUNCTION("""COMPUTED_VALUE"""),"20SDSCE01075")</f>
        <v>20SDSCE01075</v>
      </c>
      <c r="D1537" s="73">
        <f ca="1">IFERROR(__xludf.DUMMYFUNCTION("""COMPUTED_VALUE"""),44442)</f>
        <v>44442</v>
      </c>
      <c r="E1537" s="74">
        <f ca="1">IFERROR(__xludf.DUMMYFUNCTION("""COMPUTED_VALUE"""),12500)</f>
        <v>12500</v>
      </c>
      <c r="F1537" s="72">
        <f ca="1">IFERROR(__xludf.DUMMYFUNCTION("""COMPUTED_VALUE"""),2500)</f>
        <v>2500</v>
      </c>
      <c r="G1537" s="75"/>
      <c r="H1537" s="59" t="str">
        <f ca="1">IFERROR(__xludf.DUMMYFUNCTION("""COMPUTED_VALUE"""),"UPDATE")</f>
        <v>UPDATE</v>
      </c>
      <c r="I1537" s="76" t="str">
        <f ca="1">IFERROR(__xludf.DUMMYFUNCTION("""COMPUTED_VALUE"""),"https://drive.google.com/open?id=1VeRwXnmYEievfEy9BDwnSP5E4ftTIBra")</f>
        <v>https://drive.google.com/open?id=1VeRwXnmYEievfEy9BDwnSP5E4ftTIBra</v>
      </c>
      <c r="J1537" s="59"/>
      <c r="K1537" s="59"/>
      <c r="L1537" s="59"/>
      <c r="M1537" s="59"/>
      <c r="N1537" s="59"/>
      <c r="O1537" s="59"/>
      <c r="P1537" s="59"/>
    </row>
    <row r="1538" spans="1:16">
      <c r="A1538" s="71">
        <f ca="1">IFERROR(__xludf.DUMMYFUNCTION("""COMPUTED_VALUE"""),44494.3727820254)</f>
        <v>44494.372782025399</v>
      </c>
      <c r="B1538" s="59" t="str">
        <f ca="1">IFERROR(__xludf.DUMMYFUNCTION("""COMPUTED_VALUE"""),"HIMANSHU PANSURIYA")</f>
        <v>HIMANSHU PANSURIYA</v>
      </c>
      <c r="C1538" s="72" t="str">
        <f ca="1">IFERROR(__xludf.DUMMYFUNCTION("""COMPUTED_VALUE"""),"20SDSCE01075")</f>
        <v>20SDSCE01075</v>
      </c>
      <c r="D1538" s="73">
        <f ca="1">IFERROR(__xludf.DUMMYFUNCTION("""COMPUTED_VALUE"""),44442)</f>
        <v>44442</v>
      </c>
      <c r="E1538" s="74">
        <f ca="1">IFERROR(__xludf.DUMMYFUNCTION("""COMPUTED_VALUE"""),12500)</f>
        <v>12500</v>
      </c>
      <c r="F1538" s="72">
        <f ca="1">IFERROR(__xludf.DUMMYFUNCTION("""COMPUTED_VALUE"""),2500)</f>
        <v>2500</v>
      </c>
      <c r="G1538" s="75"/>
      <c r="H1538" s="59" t="str">
        <f ca="1">IFERROR(__xludf.DUMMYFUNCTION("""COMPUTED_VALUE"""),"UPDATE")</f>
        <v>UPDATE</v>
      </c>
      <c r="I1538" s="76" t="str">
        <f ca="1">IFERROR(__xludf.DUMMYFUNCTION("""COMPUTED_VALUE"""),"https://drive.google.com/open?id=1cuHazDX5dwLsX1wqSde1zIptKxf0W-bA")</f>
        <v>https://drive.google.com/open?id=1cuHazDX5dwLsX1wqSde1zIptKxf0W-bA</v>
      </c>
      <c r="J1538" s="59"/>
      <c r="K1538" s="59"/>
      <c r="L1538" s="59"/>
      <c r="M1538" s="59"/>
      <c r="N1538" s="59"/>
      <c r="O1538" s="59"/>
      <c r="P1538" s="59"/>
    </row>
    <row r="1539" spans="1:16">
      <c r="A1539" s="71">
        <f ca="1">IFERROR(__xludf.DUMMYFUNCTION("""COMPUTED_VALUE"""),44492.5724525463)</f>
        <v>44492.572452546301</v>
      </c>
      <c r="B1539" s="59" t="str">
        <f ca="1">IFERROR(__xludf.DUMMYFUNCTION("""COMPUTED_VALUE"""),"Bishal prasad Yadav")</f>
        <v>Bishal prasad Yadav</v>
      </c>
      <c r="C1539" s="72" t="str">
        <f ca="1">IFERROR(__xludf.DUMMYFUNCTION("""COMPUTED_VALUE"""),"20SDSCE01159")</f>
        <v>20SDSCE01159</v>
      </c>
      <c r="D1539" s="73">
        <f ca="1">IFERROR(__xludf.DUMMYFUNCTION("""COMPUTED_VALUE"""),44491)</f>
        <v>44491</v>
      </c>
      <c r="E1539" s="74">
        <f ca="1">IFERROR(__xludf.DUMMYFUNCTION("""COMPUTED_VALUE"""),55000)</f>
        <v>55000</v>
      </c>
      <c r="F1539" s="72"/>
      <c r="G1539" s="75"/>
      <c r="H1539" s="59" t="str">
        <f ca="1">IFERROR(__xludf.DUMMYFUNCTION("""COMPUTED_VALUE"""),"UPDATE")</f>
        <v>UPDATE</v>
      </c>
      <c r="I1539" s="76" t="str">
        <f ca="1">IFERROR(__xludf.DUMMYFUNCTION("""COMPUTED_VALUE"""),"https://drive.google.com/open?id=1j5SZpqsepR2JTYecn0nwXaOaiozasZL_")</f>
        <v>https://drive.google.com/open?id=1j5SZpqsepR2JTYecn0nwXaOaiozasZL_</v>
      </c>
      <c r="J1539" s="59"/>
      <c r="K1539" s="59"/>
      <c r="L1539" s="59"/>
      <c r="M1539" s="59"/>
      <c r="N1539" s="59"/>
      <c r="O1539" s="59"/>
      <c r="P1539" s="59"/>
    </row>
    <row r="1540" spans="1:16">
      <c r="A1540" s="71">
        <f ca="1">IFERROR(__xludf.DUMMYFUNCTION("""COMPUTED_VALUE"""),44491.5868426041)</f>
        <v>44491.586842604098</v>
      </c>
      <c r="B1540" s="59" t="str">
        <f ca="1">IFERROR(__xludf.DUMMYFUNCTION("""COMPUTED_VALUE"""),"Bishal prasad Yadav")</f>
        <v>Bishal prasad Yadav</v>
      </c>
      <c r="C1540" s="72" t="str">
        <f ca="1">IFERROR(__xludf.DUMMYFUNCTION("""COMPUTED_VALUE"""),"20SDSCE01159")</f>
        <v>20SDSCE01159</v>
      </c>
      <c r="D1540" s="73">
        <f ca="1">IFERROR(__xludf.DUMMYFUNCTION("""COMPUTED_VALUE"""),44490)</f>
        <v>44490</v>
      </c>
      <c r="E1540" s="74">
        <f ca="1">IFERROR(__xludf.DUMMYFUNCTION("""COMPUTED_VALUE"""),5000)</f>
        <v>5000</v>
      </c>
      <c r="F1540" s="72"/>
      <c r="G1540" s="75"/>
      <c r="H1540" s="59" t="str">
        <f ca="1">IFERROR(__xludf.DUMMYFUNCTION("""COMPUTED_VALUE"""),"UPDATE")</f>
        <v>UPDATE</v>
      </c>
      <c r="I1540" s="76" t="str">
        <f ca="1">IFERROR(__xludf.DUMMYFUNCTION("""COMPUTED_VALUE"""),"https://drive.google.com/open?id=1_XBuLBwBvu7dIEvg_owAllyIsfmfhoCs")</f>
        <v>https://drive.google.com/open?id=1_XBuLBwBvu7dIEvg_owAllyIsfmfhoCs</v>
      </c>
      <c r="J1540" s="59"/>
      <c r="K1540" s="59"/>
      <c r="L1540" s="59"/>
      <c r="M1540" s="59"/>
      <c r="N1540" s="59"/>
      <c r="O1540" s="59"/>
      <c r="P1540" s="59"/>
    </row>
    <row r="1541" spans="1:16">
      <c r="A1541" s="71">
        <f ca="1">IFERROR(__xludf.DUMMYFUNCTION("""COMPUTED_VALUE"""),44490.4904226041)</f>
        <v>44490.490422604104</v>
      </c>
      <c r="B1541" s="59" t="str">
        <f ca="1">IFERROR(__xludf.DUMMYFUNCTION("""COMPUTED_VALUE"""),"Asodariya keyur hareshbhai")</f>
        <v>Asodariya keyur hareshbhai</v>
      </c>
      <c r="C1541" s="72" t="str">
        <f ca="1">IFERROR(__xludf.DUMMYFUNCTION("""COMPUTED_VALUE"""),"20SDSEE01003")</f>
        <v>20SDSEE01003</v>
      </c>
      <c r="D1541" s="73">
        <f ca="1">IFERROR(__xludf.DUMMYFUNCTION("""COMPUTED_VALUE"""),44490)</f>
        <v>44490</v>
      </c>
      <c r="E1541" s="74">
        <f ca="1">IFERROR(__xludf.DUMMYFUNCTION("""COMPUTED_VALUE"""),25000)</f>
        <v>25000</v>
      </c>
      <c r="F1541" s="72"/>
      <c r="G1541" s="75"/>
      <c r="H1541" s="59" t="str">
        <f ca="1">IFERROR(__xludf.DUMMYFUNCTION("""COMPUTED_VALUE"""),"UPDATE")</f>
        <v>UPDATE</v>
      </c>
      <c r="I1541" s="76" t="str">
        <f ca="1">IFERROR(__xludf.DUMMYFUNCTION("""COMPUTED_VALUE"""),"https://drive.google.com/open?id=1wd4zGjG8KFyiBmhGCQRK22-xkgvhEB8R")</f>
        <v>https://drive.google.com/open?id=1wd4zGjG8KFyiBmhGCQRK22-xkgvhEB8R</v>
      </c>
      <c r="J1541" s="59"/>
      <c r="K1541" s="59"/>
      <c r="L1541" s="59"/>
      <c r="M1541" s="59"/>
      <c r="N1541" s="59"/>
      <c r="O1541" s="59"/>
      <c r="P1541" s="59"/>
    </row>
    <row r="1542" spans="1:16">
      <c r="A1542" s="71">
        <f ca="1">IFERROR(__xludf.DUMMYFUNCTION("""COMPUTED_VALUE"""),44488.6646025231)</f>
        <v>44488.664602523102</v>
      </c>
      <c r="B1542" s="59" t="str">
        <f ca="1">IFERROR(__xludf.DUMMYFUNCTION("""COMPUTED_VALUE"""),"Satasiya Bhautik Rameshbhai")</f>
        <v>Satasiya Bhautik Rameshbhai</v>
      </c>
      <c r="C1542" s="72" t="str">
        <f ca="1">IFERROR(__xludf.DUMMYFUNCTION("""COMPUTED_VALUE"""),"19SDSEE01009")</f>
        <v>19SDSEE01009</v>
      </c>
      <c r="D1542" s="73">
        <f ca="1">IFERROR(__xludf.DUMMYFUNCTION("""COMPUTED_VALUE"""),44387)</f>
        <v>44387</v>
      </c>
      <c r="E1542" s="72"/>
      <c r="F1542" s="72">
        <f ca="1">IFERROR(__xludf.DUMMYFUNCTION("""COMPUTED_VALUE"""),800)</f>
        <v>800</v>
      </c>
      <c r="G1542" s="75"/>
      <c r="H1542" s="59" t="str">
        <f ca="1">IFERROR(__xludf.DUMMYFUNCTION("""COMPUTED_VALUE"""),"UPDATE")</f>
        <v>UPDATE</v>
      </c>
      <c r="I1542" s="76" t="str">
        <f ca="1">IFERROR(__xludf.DUMMYFUNCTION("""COMPUTED_VALUE"""),"https://drive.google.com/open?id=1Ltgi8jzrxh7b9VpuZJxKnnzRUaUnjnwx")</f>
        <v>https://drive.google.com/open?id=1Ltgi8jzrxh7b9VpuZJxKnnzRUaUnjnwx</v>
      </c>
      <c r="J1542" s="59"/>
      <c r="K1542" s="59"/>
      <c r="L1542" s="59"/>
      <c r="M1542" s="59"/>
      <c r="N1542" s="59"/>
      <c r="O1542" s="59"/>
      <c r="P1542" s="59"/>
    </row>
    <row r="1543" spans="1:16">
      <c r="A1543" s="71">
        <f ca="1">IFERROR(__xludf.DUMMYFUNCTION("""COMPUTED_VALUE"""),44488.6631322916)</f>
        <v>44488.6631322916</v>
      </c>
      <c r="B1543" s="59" t="str">
        <f ca="1">IFERROR(__xludf.DUMMYFUNCTION("""COMPUTED_VALUE"""),"Satasiya Bhautik Rameshbhai")</f>
        <v>Satasiya Bhautik Rameshbhai</v>
      </c>
      <c r="C1543" s="72" t="str">
        <f ca="1">IFERROR(__xludf.DUMMYFUNCTION("""COMPUTED_VALUE"""),"19SDSEE01009")</f>
        <v>19SDSEE01009</v>
      </c>
      <c r="D1543" s="73">
        <f ca="1">IFERROR(__xludf.DUMMYFUNCTION("""COMPUTED_VALUE"""),44411)</f>
        <v>44411</v>
      </c>
      <c r="E1543" s="72"/>
      <c r="F1543" s="72">
        <f ca="1">IFERROR(__xludf.DUMMYFUNCTION("""COMPUTED_VALUE"""),1700)</f>
        <v>1700</v>
      </c>
      <c r="G1543" s="75"/>
      <c r="H1543" s="59" t="str">
        <f ca="1">IFERROR(__xludf.DUMMYFUNCTION("""COMPUTED_VALUE"""),"UPDATE")</f>
        <v>UPDATE</v>
      </c>
      <c r="I1543" s="76" t="str">
        <f ca="1">IFERROR(__xludf.DUMMYFUNCTION("""COMPUTED_VALUE"""),"https://drive.google.com/open?id=1lmp1rMuZ0ez-J3sR-YOmqxbT2YVwbCgX")</f>
        <v>https://drive.google.com/open?id=1lmp1rMuZ0ez-J3sR-YOmqxbT2YVwbCgX</v>
      </c>
      <c r="J1543" s="59"/>
      <c r="K1543" s="59"/>
      <c r="L1543" s="59"/>
      <c r="M1543" s="59"/>
      <c r="N1543" s="59"/>
      <c r="O1543" s="59"/>
      <c r="P1543" s="59"/>
    </row>
    <row r="1544" spans="1:16">
      <c r="A1544" s="71">
        <f ca="1">IFERROR(__xludf.DUMMYFUNCTION("""COMPUTED_VALUE"""),44488.6114959722)</f>
        <v>44488.611495972204</v>
      </c>
      <c r="B1544" s="59" t="str">
        <f ca="1">IFERROR(__xludf.DUMMYFUNCTION("""COMPUTED_VALUE"""),"SHUBH RUPAPARA")</f>
        <v>SHUBH RUPAPARA</v>
      </c>
      <c r="C1544" s="72" t="str">
        <f ca="1">IFERROR(__xludf.DUMMYFUNCTION("""COMPUTED_VALUE"""),"20sdsce01103")</f>
        <v>20sdsce01103</v>
      </c>
      <c r="D1544" s="73">
        <f ca="1">IFERROR(__xludf.DUMMYFUNCTION("""COMPUTED_VALUE"""),44482)</f>
        <v>44482</v>
      </c>
      <c r="E1544" s="74">
        <f ca="1">IFERROR(__xludf.DUMMYFUNCTION("""COMPUTED_VALUE"""),25000)</f>
        <v>25000</v>
      </c>
      <c r="F1544" s="72"/>
      <c r="G1544" s="75"/>
      <c r="H1544" s="59" t="str">
        <f ca="1">IFERROR(__xludf.DUMMYFUNCTION("""COMPUTED_VALUE"""),"UPDATE")</f>
        <v>UPDATE</v>
      </c>
      <c r="I1544" s="76" t="str">
        <f ca="1">IFERROR(__xludf.DUMMYFUNCTION("""COMPUTED_VALUE"""),"https://drive.google.com/open?id=1gLtrqFHPu0t36BMsAB5OLKWqWPjShQ6o")</f>
        <v>https://drive.google.com/open?id=1gLtrqFHPu0t36BMsAB5OLKWqWPjShQ6o</v>
      </c>
      <c r="J1544" s="59"/>
      <c r="K1544" s="59"/>
      <c r="L1544" s="59"/>
      <c r="M1544" s="59"/>
      <c r="N1544" s="59"/>
      <c r="O1544" s="59"/>
      <c r="P1544" s="59"/>
    </row>
    <row r="1545" spans="1:16">
      <c r="A1545" s="71">
        <f ca="1">IFERROR(__xludf.DUMMYFUNCTION("""COMPUTED_VALUE"""),44487.6594521296)</f>
        <v>44487.659452129599</v>
      </c>
      <c r="B1545" s="59" t="str">
        <f ca="1">IFERROR(__xludf.DUMMYFUNCTION("""COMPUTED_VALUE"""),"Kaman Mamer Kuandak Tiok")</f>
        <v>Kaman Mamer Kuandak Tiok</v>
      </c>
      <c r="C1545" s="72" t="str">
        <f ca="1">IFERROR(__xludf.DUMMYFUNCTION("""COMPUTED_VALUE"""),"20SDSCE01161")</f>
        <v>20SDSCE01161</v>
      </c>
      <c r="D1545" s="73">
        <f ca="1">IFERROR(__xludf.DUMMYFUNCTION("""COMPUTED_VALUE"""),44487)</f>
        <v>44487</v>
      </c>
      <c r="E1545" s="74">
        <f ca="1">IFERROR(__xludf.DUMMYFUNCTION("""COMPUTED_VALUE"""),25000)</f>
        <v>25000</v>
      </c>
      <c r="F1545" s="72">
        <f ca="1">IFERROR(__xludf.DUMMYFUNCTION("""COMPUTED_VALUE"""),25000)</f>
        <v>25000</v>
      </c>
      <c r="G1545" s="75"/>
      <c r="H1545" s="59" t="str">
        <f ca="1">IFERROR(__xludf.DUMMYFUNCTION("""COMPUTED_VALUE"""),"UPDATE")</f>
        <v>UPDATE</v>
      </c>
      <c r="I1545" s="76" t="str">
        <f ca="1">IFERROR(__xludf.DUMMYFUNCTION("""COMPUTED_VALUE"""),"https://drive.google.com/open?id=1L3yM0iK2ha3kinO43b1POMeFwP6dMDs-")</f>
        <v>https://drive.google.com/open?id=1L3yM0iK2ha3kinO43b1POMeFwP6dMDs-</v>
      </c>
      <c r="J1545" s="59"/>
      <c r="K1545" s="59"/>
      <c r="L1545" s="59"/>
      <c r="M1545" s="59"/>
      <c r="N1545" s="59"/>
      <c r="O1545" s="59"/>
      <c r="P1545" s="59"/>
    </row>
    <row r="1546" spans="1:16">
      <c r="A1546" s="71">
        <f ca="1">IFERROR(__xludf.DUMMYFUNCTION("""COMPUTED_VALUE"""),44487.6365138773)</f>
        <v>44487.636513877304</v>
      </c>
      <c r="B1546" s="59" t="str">
        <f ca="1">IFERROR(__xludf.DUMMYFUNCTION("""COMPUTED_VALUE"""),"SHUBH RUPAPARA")</f>
        <v>SHUBH RUPAPARA</v>
      </c>
      <c r="C1546" s="72" t="str">
        <f ca="1">IFERROR(__xludf.DUMMYFUNCTION("""COMPUTED_VALUE"""),"20SDSCE01103")</f>
        <v>20SDSCE01103</v>
      </c>
      <c r="D1546" s="73">
        <f ca="1">IFERROR(__xludf.DUMMYFUNCTION("""COMPUTED_VALUE"""),44421)</f>
        <v>44421</v>
      </c>
      <c r="E1546" s="72"/>
      <c r="F1546" s="72"/>
      <c r="G1546" s="75"/>
      <c r="H1546" s="59" t="str">
        <f ca="1">IFERROR(__xludf.DUMMYFUNCTION("""COMPUTED_VALUE"""),"UPDATE")</f>
        <v>UPDATE</v>
      </c>
      <c r="I1546" s="76" t="str">
        <f ca="1">IFERROR(__xludf.DUMMYFUNCTION("""COMPUTED_VALUE"""),"https://drive.google.com/open?id=16n2U-3-jNE834VyiSP3ZpoJlx10dK8_M")</f>
        <v>https://drive.google.com/open?id=16n2U-3-jNE834VyiSP3ZpoJlx10dK8_M</v>
      </c>
      <c r="J1546" s="59"/>
      <c r="K1546" s="59"/>
      <c r="L1546" s="59"/>
      <c r="M1546" s="59"/>
      <c r="N1546" s="59"/>
      <c r="O1546" s="59"/>
      <c r="P1546" s="59"/>
    </row>
    <row r="1547" spans="1:16">
      <c r="A1547" s="71">
        <f ca="1">IFERROR(__xludf.DUMMYFUNCTION("""COMPUTED_VALUE"""),44487.6355502314)</f>
        <v>44487.635550231404</v>
      </c>
      <c r="B1547" s="59" t="str">
        <f ca="1">IFERROR(__xludf.DUMMYFUNCTION("""COMPUTED_VALUE"""),"SHUBH RUPAPARA")</f>
        <v>SHUBH RUPAPARA</v>
      </c>
      <c r="C1547" s="72" t="str">
        <f ca="1">IFERROR(__xludf.DUMMYFUNCTION("""COMPUTED_VALUE"""),"20sdsce01103")</f>
        <v>20sdsce01103</v>
      </c>
      <c r="D1547" s="73">
        <f ca="1">IFERROR(__xludf.DUMMYFUNCTION("""COMPUTED_VALUE"""),44482)</f>
        <v>44482</v>
      </c>
      <c r="E1547" s="74">
        <f ca="1">IFERROR(__xludf.DUMMYFUNCTION("""COMPUTED_VALUE"""),25000)</f>
        <v>25000</v>
      </c>
      <c r="F1547" s="72"/>
      <c r="G1547" s="75"/>
      <c r="H1547" s="59" t="str">
        <f ca="1">IFERROR(__xludf.DUMMYFUNCTION("""COMPUTED_VALUE"""),"UPDATE")</f>
        <v>UPDATE</v>
      </c>
      <c r="I1547" s="76" t="str">
        <f ca="1">IFERROR(__xludf.DUMMYFUNCTION("""COMPUTED_VALUE"""),"https://drive.google.com/open?id=1Fr69WR0LbDkO2vvIFhlepHV7XJngz2K_")</f>
        <v>https://drive.google.com/open?id=1Fr69WR0LbDkO2vvIFhlepHV7XJngz2K_</v>
      </c>
      <c r="J1547" s="59"/>
      <c r="K1547" s="59"/>
      <c r="L1547" s="59"/>
      <c r="M1547" s="59"/>
      <c r="N1547" s="59"/>
      <c r="O1547" s="59"/>
      <c r="P1547" s="59"/>
    </row>
    <row r="1548" spans="1:16">
      <c r="A1548" s="71">
        <f ca="1">IFERROR(__xludf.DUMMYFUNCTION("""COMPUTED_VALUE"""),44487.6325339814)</f>
        <v>44487.632533981399</v>
      </c>
      <c r="B1548" s="59" t="str">
        <f ca="1">IFERROR(__xludf.DUMMYFUNCTION("""COMPUTED_VALUE"""),"Thummar Prasit Chimanbhai")</f>
        <v>Thummar Prasit Chimanbhai</v>
      </c>
      <c r="C1548" s="72" t="str">
        <f ca="1">IFERROR(__xludf.DUMMYFUNCTION("""COMPUTED_VALUE"""),"20SDSCE01121")</f>
        <v>20SDSCE01121</v>
      </c>
      <c r="D1548" s="73">
        <f ca="1">IFERROR(__xludf.DUMMYFUNCTION("""COMPUTED_VALUE"""),44487)</f>
        <v>44487</v>
      </c>
      <c r="E1548" s="74">
        <f ca="1">IFERROR(__xludf.DUMMYFUNCTION("""COMPUTED_VALUE"""),25000)</f>
        <v>25000</v>
      </c>
      <c r="F1548" s="72">
        <f ca="1">IFERROR(__xludf.DUMMYFUNCTION("""COMPUTED_VALUE"""),0)</f>
        <v>0</v>
      </c>
      <c r="G1548" s="75"/>
      <c r="H1548" s="59" t="str">
        <f ca="1">IFERROR(__xludf.DUMMYFUNCTION("""COMPUTED_VALUE"""),"UPDATE")</f>
        <v>UPDATE</v>
      </c>
      <c r="I1548" s="76" t="str">
        <f ca="1">IFERROR(__xludf.DUMMYFUNCTION("""COMPUTED_VALUE"""),"https://drive.google.com/open?id=1tWXQhrA9FM4fZbbQutdc3CeBSgO69wX7")</f>
        <v>https://drive.google.com/open?id=1tWXQhrA9FM4fZbbQutdc3CeBSgO69wX7</v>
      </c>
      <c r="J1548" s="59"/>
      <c r="K1548" s="59"/>
      <c r="L1548" s="59"/>
      <c r="M1548" s="59"/>
      <c r="N1548" s="59"/>
      <c r="O1548" s="59"/>
      <c r="P1548" s="59"/>
    </row>
    <row r="1549" spans="1:16">
      <c r="A1549" s="71">
        <f ca="1">IFERROR(__xludf.DUMMYFUNCTION("""COMPUTED_VALUE"""),44487.6325002893)</f>
        <v>44487.632500289299</v>
      </c>
      <c r="B1549" s="59" t="str">
        <f ca="1">IFERROR(__xludf.DUMMYFUNCTION("""COMPUTED_VALUE"""),"SHUBH RUPAPARA")</f>
        <v>SHUBH RUPAPARA</v>
      </c>
      <c r="C1549" s="72" t="str">
        <f ca="1">IFERROR(__xludf.DUMMYFUNCTION("""COMPUTED_VALUE"""),"20sdsce01103")</f>
        <v>20sdsce01103</v>
      </c>
      <c r="D1549" s="73">
        <f ca="1">IFERROR(__xludf.DUMMYFUNCTION("""COMPUTED_VALUE"""),44482)</f>
        <v>44482</v>
      </c>
      <c r="E1549" s="74">
        <f ca="1">IFERROR(__xludf.DUMMYFUNCTION("""COMPUTED_VALUE"""),25000)</f>
        <v>25000</v>
      </c>
      <c r="F1549" s="72">
        <f ca="1">IFERROR(__xludf.DUMMYFUNCTION("""COMPUTED_VALUE"""),0)</f>
        <v>0</v>
      </c>
      <c r="G1549" s="75"/>
      <c r="H1549" s="59" t="str">
        <f ca="1">IFERROR(__xludf.DUMMYFUNCTION("""COMPUTED_VALUE"""),"UPDATE")</f>
        <v>UPDATE</v>
      </c>
      <c r="I1549" s="76" t="str">
        <f ca="1">IFERROR(__xludf.DUMMYFUNCTION("""COMPUTED_VALUE"""),"https://drive.google.com/open?id=1wBZc2gjiHNggSdZ1TuTswzvzprVEF3bI")</f>
        <v>https://drive.google.com/open?id=1wBZc2gjiHNggSdZ1TuTswzvzprVEF3bI</v>
      </c>
      <c r="J1549" s="59"/>
      <c r="K1549" s="59"/>
      <c r="L1549" s="59"/>
      <c r="M1549" s="59"/>
      <c r="N1549" s="59"/>
      <c r="O1549" s="59"/>
      <c r="P1549" s="59"/>
    </row>
    <row r="1550" spans="1:16">
      <c r="A1550" s="71">
        <f ca="1">IFERROR(__xludf.DUMMYFUNCTION("""COMPUTED_VALUE"""),44481.4233844213)</f>
        <v>44481.423384421301</v>
      </c>
      <c r="B1550" s="59" t="str">
        <f ca="1">IFERROR(__xludf.DUMMYFUNCTION("""COMPUTED_VALUE"""),"Raj Chauhan ")</f>
        <v xml:space="preserve">Raj Chauhan </v>
      </c>
      <c r="C1550" s="72" t="str">
        <f ca="1">IFERROR(__xludf.DUMMYFUNCTION("""COMPUTED_VALUE"""),"19sdsce01006 ")</f>
        <v xml:space="preserve">19sdsce01006 </v>
      </c>
      <c r="D1550" s="73">
        <f ca="1">IFERROR(__xludf.DUMMYFUNCTION("""COMPUTED_VALUE"""),44477)</f>
        <v>44477</v>
      </c>
      <c r="E1550" s="74">
        <f ca="1">IFERROR(__xludf.DUMMYFUNCTION("""COMPUTED_VALUE"""),12500)</f>
        <v>12500</v>
      </c>
      <c r="F1550" s="72"/>
      <c r="G1550" s="75"/>
      <c r="H1550" s="59" t="str">
        <f ca="1">IFERROR(__xludf.DUMMYFUNCTION("""COMPUTED_VALUE"""),"UPDATE")</f>
        <v>UPDATE</v>
      </c>
      <c r="I1550" s="76" t="str">
        <f ca="1">IFERROR(__xludf.DUMMYFUNCTION("""COMPUTED_VALUE"""),"https://drive.google.com/open?id=1RlaM0vjle8IiVUz8CLgvzW_5zGTHx49R")</f>
        <v>https://drive.google.com/open?id=1RlaM0vjle8IiVUz8CLgvzW_5zGTHx49R</v>
      </c>
      <c r="J1550" s="59"/>
      <c r="K1550" s="59"/>
      <c r="L1550" s="59"/>
      <c r="M1550" s="59"/>
      <c r="N1550" s="59"/>
      <c r="O1550" s="59"/>
      <c r="P1550" s="59"/>
    </row>
    <row r="1551" spans="1:16">
      <c r="A1551" s="71">
        <f ca="1">IFERROR(__xludf.DUMMYFUNCTION("""COMPUTED_VALUE"""),44480.5839714814)</f>
        <v>44480.583971481399</v>
      </c>
      <c r="B1551" s="59" t="str">
        <f ca="1">IFERROR(__xludf.DUMMYFUNCTION("""COMPUTED_VALUE"""),"Satasiya bhautik Rameshbhai")</f>
        <v>Satasiya bhautik Rameshbhai</v>
      </c>
      <c r="C1551" s="72" t="str">
        <f ca="1">IFERROR(__xludf.DUMMYFUNCTION("""COMPUTED_VALUE"""),"19sdsee01009")</f>
        <v>19sdsee01009</v>
      </c>
      <c r="D1551" s="73">
        <f ca="1">IFERROR(__xludf.DUMMYFUNCTION("""COMPUTED_VALUE"""),44480)</f>
        <v>44480</v>
      </c>
      <c r="E1551" s="74">
        <f ca="1">IFERROR(__xludf.DUMMYFUNCTION("""COMPUTED_VALUE"""),25000)</f>
        <v>25000</v>
      </c>
      <c r="F1551" s="72"/>
      <c r="G1551" s="75"/>
      <c r="H1551" s="59" t="str">
        <f ca="1">IFERROR(__xludf.DUMMYFUNCTION("""COMPUTED_VALUE"""),"UPDATE")</f>
        <v>UPDATE</v>
      </c>
      <c r="I1551" s="76" t="str">
        <f ca="1">IFERROR(__xludf.DUMMYFUNCTION("""COMPUTED_VALUE"""),"https://drive.google.com/open?id=1G_GJANqE1Vb8kLMHQnbAtqkF9KCuRavm")</f>
        <v>https://drive.google.com/open?id=1G_GJANqE1Vb8kLMHQnbAtqkF9KCuRavm</v>
      </c>
      <c r="J1551" s="59"/>
      <c r="K1551" s="59"/>
      <c r="L1551" s="59"/>
      <c r="M1551" s="59"/>
      <c r="N1551" s="59"/>
      <c r="O1551" s="59"/>
      <c r="P1551" s="59"/>
    </row>
    <row r="1552" spans="1:16">
      <c r="A1552" s="71">
        <f ca="1">IFERROR(__xludf.DUMMYFUNCTION("""COMPUTED_VALUE"""),44480.5827624421)</f>
        <v>44480.5827624421</v>
      </c>
      <c r="B1552" s="59" t="str">
        <f ca="1">IFERROR(__xludf.DUMMYFUNCTION("""COMPUTED_VALUE"""),"Satasiya Bhautik Rameshbhai")</f>
        <v>Satasiya Bhautik Rameshbhai</v>
      </c>
      <c r="C1552" s="72" t="str">
        <f ca="1">IFERROR(__xludf.DUMMYFUNCTION("""COMPUTED_VALUE"""),"19sdsee01009")</f>
        <v>19sdsee01009</v>
      </c>
      <c r="D1552" s="73">
        <f ca="1">IFERROR(__xludf.DUMMYFUNCTION("""COMPUTED_VALUE"""),44480)</f>
        <v>44480</v>
      </c>
      <c r="E1552" s="74">
        <f ca="1">IFERROR(__xludf.DUMMYFUNCTION("""COMPUTED_VALUE"""),25000)</f>
        <v>25000</v>
      </c>
      <c r="F1552" s="72"/>
      <c r="G1552" s="75"/>
      <c r="H1552" s="59" t="str">
        <f ca="1">IFERROR(__xludf.DUMMYFUNCTION("""COMPUTED_VALUE"""),"UPDATE")</f>
        <v>UPDATE</v>
      </c>
      <c r="I1552" s="76" t="str">
        <f ca="1">IFERROR(__xludf.DUMMYFUNCTION("""COMPUTED_VALUE"""),"https://drive.google.com/open?id=1FHgigGDWQm28_LdrzMF_8CR91jnARiDD")</f>
        <v>https://drive.google.com/open?id=1FHgigGDWQm28_LdrzMF_8CR91jnARiDD</v>
      </c>
      <c r="J1552" s="59"/>
      <c r="K1552" s="59"/>
      <c r="L1552" s="59"/>
      <c r="M1552" s="59"/>
      <c r="N1552" s="59"/>
      <c r="O1552" s="59"/>
      <c r="P1552" s="59"/>
    </row>
    <row r="1553" spans="1:16">
      <c r="A1553" s="71">
        <f ca="1">IFERROR(__xludf.DUMMYFUNCTION("""COMPUTED_VALUE"""),44480.3870653703)</f>
        <v>44480.387065370298</v>
      </c>
      <c r="B1553" s="59" t="str">
        <f ca="1">IFERROR(__xludf.DUMMYFUNCTION("""COMPUTED_VALUE"""),"Jesur Heet mukeshbhai")</f>
        <v>Jesur Heet mukeshbhai</v>
      </c>
      <c r="C1553" s="72" t="str">
        <f ca="1">IFERROR(__xludf.DUMMYFUNCTION("""COMPUTED_VALUE"""),"20SDSEE01012")</f>
        <v>20SDSEE01012</v>
      </c>
      <c r="D1553" s="73">
        <f ca="1">IFERROR(__xludf.DUMMYFUNCTION("""COMPUTED_VALUE"""),44442)</f>
        <v>44442</v>
      </c>
      <c r="E1553" s="72"/>
      <c r="F1553" s="72">
        <f ca="1">IFERROR(__xludf.DUMMYFUNCTION("""COMPUTED_VALUE"""),2500)</f>
        <v>2500</v>
      </c>
      <c r="G1553" s="75"/>
      <c r="H1553" s="59" t="str">
        <f ca="1">IFERROR(__xludf.DUMMYFUNCTION("""COMPUTED_VALUE"""),"UPDATE")</f>
        <v>UPDATE</v>
      </c>
      <c r="I1553" s="76" t="str">
        <f ca="1">IFERROR(__xludf.DUMMYFUNCTION("""COMPUTED_VALUE"""),"https://drive.google.com/open?id=1PwqFKebkoVnTAsyinpgPFdcju_E_zGey")</f>
        <v>https://drive.google.com/open?id=1PwqFKebkoVnTAsyinpgPFdcju_E_zGey</v>
      </c>
      <c r="J1553" s="59"/>
      <c r="K1553" s="59"/>
      <c r="L1553" s="59"/>
      <c r="M1553" s="59"/>
      <c r="N1553" s="59"/>
      <c r="O1553" s="59"/>
      <c r="P1553" s="59"/>
    </row>
    <row r="1554" spans="1:16">
      <c r="A1554" s="71">
        <f ca="1">IFERROR(__xludf.DUMMYFUNCTION("""COMPUTED_VALUE"""),44480.38520125)</f>
        <v>44480.385201249999</v>
      </c>
      <c r="B1554" s="59" t="str">
        <f ca="1">IFERROR(__xludf.DUMMYFUNCTION("""COMPUTED_VALUE"""),"Jesur Heet mukeshbhai")</f>
        <v>Jesur Heet mukeshbhai</v>
      </c>
      <c r="C1554" s="72" t="str">
        <f ca="1">IFERROR(__xludf.DUMMYFUNCTION("""COMPUTED_VALUE"""),"20SDSEE01012")</f>
        <v>20SDSEE01012</v>
      </c>
      <c r="D1554" s="73">
        <f ca="1">IFERROR(__xludf.DUMMYFUNCTION("""COMPUTED_VALUE"""),44442)</f>
        <v>44442</v>
      </c>
      <c r="E1554" s="74">
        <f ca="1">IFERROR(__xludf.DUMMYFUNCTION("""COMPUTED_VALUE"""),12500)</f>
        <v>12500</v>
      </c>
      <c r="F1554" s="72"/>
      <c r="G1554" s="75"/>
      <c r="H1554" s="59" t="str">
        <f ca="1">IFERROR(__xludf.DUMMYFUNCTION("""COMPUTED_VALUE"""),"UPDATE")</f>
        <v>UPDATE</v>
      </c>
      <c r="I1554" s="76" t="str">
        <f ca="1">IFERROR(__xludf.DUMMYFUNCTION("""COMPUTED_VALUE"""),"https://drive.google.com/open?id=1UhZXnMmH7iBOdB29z7tKnkZUOzDfIory")</f>
        <v>https://drive.google.com/open?id=1UhZXnMmH7iBOdB29z7tKnkZUOzDfIory</v>
      </c>
      <c r="J1554" s="59"/>
      <c r="K1554" s="59"/>
      <c r="L1554" s="59"/>
      <c r="M1554" s="59"/>
      <c r="N1554" s="59"/>
      <c r="O1554" s="59"/>
      <c r="P1554" s="59"/>
    </row>
    <row r="1555" spans="1:16">
      <c r="A1555" s="71">
        <f ca="1">IFERROR(__xludf.DUMMYFUNCTION("""COMPUTED_VALUE"""),44478.4725005208)</f>
        <v>44478.472500520802</v>
      </c>
      <c r="B1555" s="59" t="str">
        <f ca="1">IFERROR(__xludf.DUMMYFUNCTION("""COMPUTED_VALUE"""),"Krunal lunagariya")</f>
        <v>Krunal lunagariya</v>
      </c>
      <c r="C1555" s="72" t="str">
        <f ca="1">IFERROR(__xludf.DUMMYFUNCTION("""COMPUTED_VALUE"""),"20sdsce01060")</f>
        <v>20sdsce01060</v>
      </c>
      <c r="D1555" s="73">
        <f ca="1">IFERROR(__xludf.DUMMYFUNCTION("""COMPUTED_VALUE"""),44478)</f>
        <v>44478</v>
      </c>
      <c r="E1555" s="74">
        <f ca="1">IFERROR(__xludf.DUMMYFUNCTION("""COMPUTED_VALUE"""),12500)</f>
        <v>12500</v>
      </c>
      <c r="F1555" s="72">
        <f ca="1">IFERROR(__xludf.DUMMYFUNCTION("""COMPUTED_VALUE"""),2500)</f>
        <v>2500</v>
      </c>
      <c r="G1555" s="75"/>
      <c r="H1555" s="59" t="str">
        <f ca="1">IFERROR(__xludf.DUMMYFUNCTION("""COMPUTED_VALUE"""),"UPDATE")</f>
        <v>UPDATE</v>
      </c>
      <c r="I1555" s="76" t="str">
        <f ca="1">IFERROR(__xludf.DUMMYFUNCTION("""COMPUTED_VALUE"""),"https://drive.google.com/open?id=19EefwpvQlb3bMlXXVXdA0cE26jWtILM5")</f>
        <v>https://drive.google.com/open?id=19EefwpvQlb3bMlXXVXdA0cE26jWtILM5</v>
      </c>
      <c r="J1555" s="59"/>
      <c r="K1555" s="59"/>
      <c r="L1555" s="59"/>
      <c r="M1555" s="59"/>
      <c r="N1555" s="59"/>
      <c r="O1555" s="59"/>
      <c r="P1555" s="59"/>
    </row>
    <row r="1556" spans="1:16">
      <c r="A1556" s="71">
        <f ca="1">IFERROR(__xludf.DUMMYFUNCTION("""COMPUTED_VALUE"""),44478.4713403703)</f>
        <v>44478.471340370299</v>
      </c>
      <c r="B1556" s="59" t="str">
        <f ca="1">IFERROR(__xludf.DUMMYFUNCTION("""COMPUTED_VALUE"""),"Krunal")</f>
        <v>Krunal</v>
      </c>
      <c r="C1556" s="72" t="str">
        <f ca="1">IFERROR(__xludf.DUMMYFUNCTION("""COMPUTED_VALUE"""),"20SDSCE01060")</f>
        <v>20SDSCE01060</v>
      </c>
      <c r="D1556" s="73">
        <f ca="1">IFERROR(__xludf.DUMMYFUNCTION("""COMPUTED_VALUE"""),44478)</f>
        <v>44478</v>
      </c>
      <c r="E1556" s="74">
        <f ca="1">IFERROR(__xludf.DUMMYFUNCTION("""COMPUTED_VALUE"""),12500)</f>
        <v>12500</v>
      </c>
      <c r="F1556" s="72">
        <f ca="1">IFERROR(__xludf.DUMMYFUNCTION("""COMPUTED_VALUE"""),2500)</f>
        <v>2500</v>
      </c>
      <c r="G1556" s="75"/>
      <c r="H1556" s="59" t="str">
        <f ca="1">IFERROR(__xludf.DUMMYFUNCTION("""COMPUTED_VALUE"""),"UPDATE")</f>
        <v>UPDATE</v>
      </c>
      <c r="I1556" s="76" t="str">
        <f ca="1">IFERROR(__xludf.DUMMYFUNCTION("""COMPUTED_VALUE"""),"https://drive.google.com/open?id=1ubP1SUxB1zEs0ehQyK0WYMDApGBXt8BY")</f>
        <v>https://drive.google.com/open?id=1ubP1SUxB1zEs0ehQyK0WYMDApGBXt8BY</v>
      </c>
      <c r="J1556" s="59"/>
      <c r="K1556" s="59"/>
      <c r="L1556" s="59"/>
      <c r="M1556" s="59"/>
      <c r="N1556" s="59"/>
      <c r="O1556" s="59"/>
      <c r="P1556" s="59"/>
    </row>
    <row r="1557" spans="1:16">
      <c r="A1557" s="71">
        <f ca="1">IFERROR(__xludf.DUMMYFUNCTION("""COMPUTED_VALUE"""),44476.6459244444)</f>
        <v>44476.645924444398</v>
      </c>
      <c r="B1557" s="59" t="str">
        <f ca="1">IFERROR(__xludf.DUMMYFUNCTION("""COMPUTED_VALUE"""),"Devdip vaghela ")</f>
        <v xml:space="preserve">Devdip vaghela </v>
      </c>
      <c r="C1557" s="72" t="str">
        <f ca="1">IFERROR(__xludf.DUMMYFUNCTION("""COMPUTED_VALUE"""),"20sdsce01128")</f>
        <v>20sdsce01128</v>
      </c>
      <c r="D1557" s="73">
        <f ca="1">IFERROR(__xludf.DUMMYFUNCTION("""COMPUTED_VALUE"""),44419)</f>
        <v>44419</v>
      </c>
      <c r="E1557" s="74">
        <f ca="1">IFERROR(__xludf.DUMMYFUNCTION("""COMPUTED_VALUE"""),25000)</f>
        <v>25000</v>
      </c>
      <c r="F1557" s="72">
        <f ca="1">IFERROR(__xludf.DUMMYFUNCTION("""COMPUTED_VALUE"""),0)</f>
        <v>0</v>
      </c>
      <c r="G1557" s="75"/>
      <c r="H1557" s="59" t="str">
        <f ca="1">IFERROR(__xludf.DUMMYFUNCTION("""COMPUTED_VALUE"""),"UPDATE")</f>
        <v>UPDATE</v>
      </c>
      <c r="I1557" s="76" t="str">
        <f ca="1">IFERROR(__xludf.DUMMYFUNCTION("""COMPUTED_VALUE"""),"https://drive.google.com/open?id=1OfZ_lsPrHOFNJN5HDURfUaE47TFgKvtY")</f>
        <v>https://drive.google.com/open?id=1OfZ_lsPrHOFNJN5HDURfUaE47TFgKvtY</v>
      </c>
      <c r="J1557" s="59"/>
      <c r="K1557" s="59"/>
      <c r="L1557" s="59"/>
      <c r="M1557" s="59"/>
      <c r="N1557" s="59"/>
      <c r="O1557" s="59"/>
      <c r="P1557" s="59"/>
    </row>
    <row r="1558" spans="1:16">
      <c r="A1558" s="71">
        <f ca="1">IFERROR(__xludf.DUMMYFUNCTION("""COMPUTED_VALUE"""),44476.6378511111)</f>
        <v>44476.637851111103</v>
      </c>
      <c r="B1558" s="59" t="str">
        <f ca="1">IFERROR(__xludf.DUMMYFUNCTION("""COMPUTED_VALUE"""),"devdip Vaghela")</f>
        <v>devdip Vaghela</v>
      </c>
      <c r="C1558" s="72" t="str">
        <f ca="1">IFERROR(__xludf.DUMMYFUNCTION("""COMPUTED_VALUE"""),"20sdsce01128")</f>
        <v>20sdsce01128</v>
      </c>
      <c r="D1558" s="73">
        <f ca="1">IFERROR(__xludf.DUMMYFUNCTION("""COMPUTED_VALUE"""),44419)</f>
        <v>44419</v>
      </c>
      <c r="E1558" s="74">
        <f ca="1">IFERROR(__xludf.DUMMYFUNCTION("""COMPUTED_VALUE"""),25000)</f>
        <v>25000</v>
      </c>
      <c r="F1558" s="72">
        <f ca="1">IFERROR(__xludf.DUMMYFUNCTION("""COMPUTED_VALUE"""),2500)</f>
        <v>2500</v>
      </c>
      <c r="G1558" s="75"/>
      <c r="H1558" s="59" t="str">
        <f ca="1">IFERROR(__xludf.DUMMYFUNCTION("""COMPUTED_VALUE"""),"UPDATE")</f>
        <v>UPDATE</v>
      </c>
      <c r="I1558" s="76" t="str">
        <f ca="1">IFERROR(__xludf.DUMMYFUNCTION("""COMPUTED_VALUE"""),"https://drive.google.com/open?id=1Xq6dRhgEJDsWbgiI1ISXtUQ4tuekgBr8")</f>
        <v>https://drive.google.com/open?id=1Xq6dRhgEJDsWbgiI1ISXtUQ4tuekgBr8</v>
      </c>
      <c r="J1558" s="59"/>
      <c r="K1558" s="59"/>
      <c r="L1558" s="59"/>
      <c r="M1558" s="59"/>
      <c r="N1558" s="59"/>
      <c r="O1558" s="59"/>
      <c r="P1558" s="59"/>
    </row>
    <row r="1559" spans="1:16">
      <c r="A1559" s="71">
        <f ca="1">IFERROR(__xludf.DUMMYFUNCTION("""COMPUTED_VALUE"""),44475.5226862384)</f>
        <v>44475.522686238401</v>
      </c>
      <c r="B1559" s="59" t="str">
        <f ca="1">IFERROR(__xludf.DUMMYFUNCTION("""COMPUTED_VALUE"""),"Tilak kothiya")</f>
        <v>Tilak kothiya</v>
      </c>
      <c r="C1559" s="72" t="str">
        <f ca="1">IFERROR(__xludf.DUMMYFUNCTION("""COMPUTED_VALUE"""),"19sdscv01003")</f>
        <v>19sdscv01003</v>
      </c>
      <c r="D1559" s="73">
        <f ca="1">IFERROR(__xludf.DUMMYFUNCTION("""COMPUTED_VALUE"""),44475)</f>
        <v>44475</v>
      </c>
      <c r="E1559" s="74">
        <f ca="1">IFERROR(__xludf.DUMMYFUNCTION("""COMPUTED_VALUE"""),17000)</f>
        <v>17000</v>
      </c>
      <c r="F1559" s="72">
        <f ca="1">IFERROR(__xludf.DUMMYFUNCTION("""COMPUTED_VALUE"""),2500)</f>
        <v>2500</v>
      </c>
      <c r="G1559" s="75"/>
      <c r="H1559" s="59" t="str">
        <f ca="1">IFERROR(__xludf.DUMMYFUNCTION("""COMPUTED_VALUE"""),"UPDATE")</f>
        <v>UPDATE</v>
      </c>
      <c r="I1559" s="76" t="str">
        <f ca="1">IFERROR(__xludf.DUMMYFUNCTION("""COMPUTED_VALUE"""),"https://drive.google.com/open?id=1oS-oyMA8vL_4ecxV77ZZS_vMurhJ9Iy4")</f>
        <v>https://drive.google.com/open?id=1oS-oyMA8vL_4ecxV77ZZS_vMurhJ9Iy4</v>
      </c>
      <c r="J1559" s="59"/>
      <c r="K1559" s="59"/>
      <c r="L1559" s="59"/>
      <c r="M1559" s="59"/>
      <c r="N1559" s="59"/>
      <c r="O1559" s="59"/>
      <c r="P1559" s="59"/>
    </row>
    <row r="1560" spans="1:16">
      <c r="A1560" s="71">
        <f ca="1">IFERROR(__xludf.DUMMYFUNCTION("""COMPUTED_VALUE"""),44470.358698912)</f>
        <v>44470.358698912001</v>
      </c>
      <c r="B1560" s="59" t="str">
        <f ca="1">IFERROR(__xludf.DUMMYFUNCTION("""COMPUTED_VALUE"""),"SUKHADIYA JASMINBHAI GOPALBHAI ")</f>
        <v xml:space="preserve">SUKHADIYA JASMINBHAI GOPALBHAI </v>
      </c>
      <c r="C1560" s="72" t="str">
        <f ca="1">IFERROR(__xludf.DUMMYFUNCTION("""COMPUTED_VALUE"""),"19SDSME01028")</f>
        <v>19SDSME01028</v>
      </c>
      <c r="D1560" s="73">
        <f ca="1">IFERROR(__xludf.DUMMYFUNCTION("""COMPUTED_VALUE"""),44464)</f>
        <v>44464</v>
      </c>
      <c r="E1560" s="74">
        <f ca="1">IFERROR(__xludf.DUMMYFUNCTION("""COMPUTED_VALUE"""),10000)</f>
        <v>10000</v>
      </c>
      <c r="F1560" s="72">
        <f ca="1">IFERROR(__xludf.DUMMYFUNCTION("""COMPUTED_VALUE"""),2500)</f>
        <v>2500</v>
      </c>
      <c r="G1560" s="75"/>
      <c r="H1560" s="59" t="str">
        <f ca="1">IFERROR(__xludf.DUMMYFUNCTION("""COMPUTED_VALUE"""),"UPDATE")</f>
        <v>UPDATE</v>
      </c>
      <c r="I1560" s="76" t="str">
        <f ca="1">IFERROR(__xludf.DUMMYFUNCTION("""COMPUTED_VALUE"""),"https://drive.google.com/open?id=1xr3FT0YAtYkyakMdSle6cLFyqib1xt8n")</f>
        <v>https://drive.google.com/open?id=1xr3FT0YAtYkyakMdSle6cLFyqib1xt8n</v>
      </c>
      <c r="J1560" s="59"/>
      <c r="K1560" s="59"/>
      <c r="L1560" s="59"/>
      <c r="M1560" s="59"/>
      <c r="N1560" s="59"/>
      <c r="O1560" s="59"/>
      <c r="P1560" s="59"/>
    </row>
    <row r="1561" spans="1:16">
      <c r="A1561" s="71">
        <f ca="1">IFERROR(__xludf.DUMMYFUNCTION("""COMPUTED_VALUE"""),44470.3579392361)</f>
        <v>44470.357939236099</v>
      </c>
      <c r="B1561" s="59" t="str">
        <f ca="1">IFERROR(__xludf.DUMMYFUNCTION("""COMPUTED_VALUE"""),"SUKHADIYA DURGESH DAMABHAI")</f>
        <v>SUKHADIYA DURGESH DAMABHAI</v>
      </c>
      <c r="C1561" s="72" t="str">
        <f ca="1">IFERROR(__xludf.DUMMYFUNCTION("""COMPUTED_VALUE"""),"19SDSME01027")</f>
        <v>19SDSME01027</v>
      </c>
      <c r="D1561" s="73">
        <f ca="1">IFERROR(__xludf.DUMMYFUNCTION("""COMPUTED_VALUE"""),44464)</f>
        <v>44464</v>
      </c>
      <c r="E1561" s="74">
        <f ca="1">IFERROR(__xludf.DUMMYFUNCTION("""COMPUTED_VALUE"""),10000)</f>
        <v>10000</v>
      </c>
      <c r="F1561" s="72">
        <f ca="1">IFERROR(__xludf.DUMMYFUNCTION("""COMPUTED_VALUE"""),2500)</f>
        <v>2500</v>
      </c>
      <c r="G1561" s="75"/>
      <c r="H1561" s="59" t="str">
        <f ca="1">IFERROR(__xludf.DUMMYFUNCTION("""COMPUTED_VALUE"""),"UPDATE")</f>
        <v>UPDATE</v>
      </c>
      <c r="I1561" s="76" t="str">
        <f ca="1">IFERROR(__xludf.DUMMYFUNCTION("""COMPUTED_VALUE"""),"https://drive.google.com/open?id=1knpEnpJc-bnoRo0SLBb8PgKSkgCgCqPO")</f>
        <v>https://drive.google.com/open?id=1knpEnpJc-bnoRo0SLBb8PgKSkgCgCqPO</v>
      </c>
      <c r="J1561" s="59"/>
      <c r="K1561" s="59"/>
      <c r="L1561" s="59"/>
      <c r="M1561" s="59"/>
      <c r="N1561" s="59"/>
      <c r="O1561" s="59"/>
      <c r="P1561" s="59"/>
    </row>
    <row r="1562" spans="1:16">
      <c r="A1562" s="71">
        <f ca="1">IFERROR(__xludf.DUMMYFUNCTION("""COMPUTED_VALUE"""),44468.4371353819)</f>
        <v>44468.437135381901</v>
      </c>
      <c r="B1562" s="59" t="str">
        <f ca="1">IFERROR(__xludf.DUMMYFUNCTION("""COMPUTED_VALUE"""),"Shirvi charmi dineshbhai")</f>
        <v>Shirvi charmi dineshbhai</v>
      </c>
      <c r="C1562" s="72" t="str">
        <f ca="1">IFERROR(__xludf.DUMMYFUNCTION("""COMPUTED_VALUE"""),"19sdsce01049")</f>
        <v>19sdsce01049</v>
      </c>
      <c r="D1562" s="73">
        <f ca="1">IFERROR(__xludf.DUMMYFUNCTION("""COMPUTED_VALUE"""),44468)</f>
        <v>44468</v>
      </c>
      <c r="E1562" s="72"/>
      <c r="F1562" s="72"/>
      <c r="G1562" s="75"/>
      <c r="H1562" s="59" t="str">
        <f ca="1">IFERROR(__xludf.DUMMYFUNCTION("""COMPUTED_VALUE"""),"UPDATE")</f>
        <v>UPDATE</v>
      </c>
      <c r="I1562" s="76" t="str">
        <f ca="1">IFERROR(__xludf.DUMMYFUNCTION("""COMPUTED_VALUE"""),"https://drive.google.com/open?id=1pwHNMfzTFzolhFUCBfch2pziJ0OhxdLB")</f>
        <v>https://drive.google.com/open?id=1pwHNMfzTFzolhFUCBfch2pziJ0OhxdLB</v>
      </c>
      <c r="J1562" s="59"/>
      <c r="K1562" s="59"/>
      <c r="L1562" s="59"/>
      <c r="M1562" s="59"/>
      <c r="N1562" s="59"/>
      <c r="O1562" s="59"/>
      <c r="P1562" s="59"/>
    </row>
    <row r="1563" spans="1:16">
      <c r="A1563" s="71">
        <f ca="1">IFERROR(__xludf.DUMMYFUNCTION("""COMPUTED_VALUE"""),44468.4360673611)</f>
        <v>44468.436067361101</v>
      </c>
      <c r="B1563" s="59" t="str">
        <f ca="1">IFERROR(__xludf.DUMMYFUNCTION("""COMPUTED_VALUE"""),"Shirvi charmi dineshbhai")</f>
        <v>Shirvi charmi dineshbhai</v>
      </c>
      <c r="C1563" s="72" t="str">
        <f ca="1">IFERROR(__xludf.DUMMYFUNCTION("""COMPUTED_VALUE"""),"19Sdsce01049")</f>
        <v>19Sdsce01049</v>
      </c>
      <c r="D1563" s="73">
        <f ca="1">IFERROR(__xludf.DUMMYFUNCTION("""COMPUTED_VALUE"""),44466)</f>
        <v>44466</v>
      </c>
      <c r="E1563" s="74">
        <f ca="1">IFERROR(__xludf.DUMMYFUNCTION("""COMPUTED_VALUE"""),8500)</f>
        <v>8500</v>
      </c>
      <c r="F1563" s="72"/>
      <c r="G1563" s="75"/>
      <c r="H1563" s="59" t="str">
        <f ca="1">IFERROR(__xludf.DUMMYFUNCTION("""COMPUTED_VALUE"""),"UPDATE")</f>
        <v>UPDATE</v>
      </c>
      <c r="I1563" s="76" t="str">
        <f ca="1">IFERROR(__xludf.DUMMYFUNCTION("""COMPUTED_VALUE"""),"https://drive.google.com/open?id=18D6vGyrVh_tSdMuHGgWvV2ZYnlkcbQ9x")</f>
        <v>https://drive.google.com/open?id=18D6vGyrVh_tSdMuHGgWvV2ZYnlkcbQ9x</v>
      </c>
      <c r="J1563" s="59"/>
      <c r="K1563" s="59"/>
      <c r="L1563" s="59"/>
      <c r="M1563" s="59"/>
      <c r="N1563" s="59"/>
      <c r="O1563" s="59"/>
      <c r="P1563" s="59"/>
    </row>
    <row r="1564" spans="1:16">
      <c r="A1564" s="71">
        <f ca="1">IFERROR(__xludf.DUMMYFUNCTION("""COMPUTED_VALUE"""),44468.4349406018)</f>
        <v>44468.434940601801</v>
      </c>
      <c r="B1564" s="59" t="str">
        <f ca="1">IFERROR(__xludf.DUMMYFUNCTION("""COMPUTED_VALUE"""),"Shirvi charmi dineshbhai")</f>
        <v>Shirvi charmi dineshbhai</v>
      </c>
      <c r="C1564" s="72" t="str">
        <f ca="1">IFERROR(__xludf.DUMMYFUNCTION("""COMPUTED_VALUE"""),"19sdsce01049")</f>
        <v>19sdsce01049</v>
      </c>
      <c r="D1564" s="73">
        <f ca="1">IFERROR(__xludf.DUMMYFUNCTION("""COMPUTED_VALUE"""),44467)</f>
        <v>44467</v>
      </c>
      <c r="E1564" s="74">
        <f ca="1">IFERROR(__xludf.DUMMYFUNCTION("""COMPUTED_VALUE"""),8000)</f>
        <v>8000</v>
      </c>
      <c r="F1564" s="72"/>
      <c r="G1564" s="75"/>
      <c r="H1564" s="59" t="str">
        <f ca="1">IFERROR(__xludf.DUMMYFUNCTION("""COMPUTED_VALUE"""),"UPDATE")</f>
        <v>UPDATE</v>
      </c>
      <c r="I1564" s="76" t="str">
        <f ca="1">IFERROR(__xludf.DUMMYFUNCTION("""COMPUTED_VALUE"""),"https://drive.google.com/open?id=1cFeG34-n9XBJhYbbEWgpE_ckDnXpJRN0")</f>
        <v>https://drive.google.com/open?id=1cFeG34-n9XBJhYbbEWgpE_ckDnXpJRN0</v>
      </c>
      <c r="J1564" s="59"/>
      <c r="K1564" s="59"/>
      <c r="L1564" s="59"/>
      <c r="M1564" s="59"/>
      <c r="N1564" s="59"/>
      <c r="O1564" s="59"/>
      <c r="P1564" s="59"/>
    </row>
    <row r="1565" spans="1:16">
      <c r="A1565" s="71">
        <f ca="1">IFERROR(__xludf.DUMMYFUNCTION("""COMPUTED_VALUE"""),44468.4337784838)</f>
        <v>44468.433778483799</v>
      </c>
      <c r="B1565" s="59" t="str">
        <f ca="1">IFERROR(__xludf.DUMMYFUNCTION("""COMPUTED_VALUE"""),"Shirvi charmi dineshbhai")</f>
        <v>Shirvi charmi dineshbhai</v>
      </c>
      <c r="C1565" s="72" t="str">
        <f ca="1">IFERROR(__xludf.DUMMYFUNCTION("""COMPUTED_VALUE"""),"19sdsce0049")</f>
        <v>19sdsce0049</v>
      </c>
      <c r="D1565" s="73">
        <f ca="1">IFERROR(__xludf.DUMMYFUNCTION("""COMPUTED_VALUE"""),44466)</f>
        <v>44466</v>
      </c>
      <c r="E1565" s="74">
        <f ca="1">IFERROR(__xludf.DUMMYFUNCTION("""COMPUTED_VALUE"""),8500)</f>
        <v>8500</v>
      </c>
      <c r="F1565" s="72">
        <f ca="1">IFERROR(__xludf.DUMMYFUNCTION("""COMPUTED_VALUE"""),2500)</f>
        <v>2500</v>
      </c>
      <c r="G1565" s="75"/>
      <c r="H1565" s="59" t="str">
        <f ca="1">IFERROR(__xludf.DUMMYFUNCTION("""COMPUTED_VALUE"""),"UPDATE")</f>
        <v>UPDATE</v>
      </c>
      <c r="I1565" s="76" t="str">
        <f ca="1">IFERROR(__xludf.DUMMYFUNCTION("""COMPUTED_VALUE"""),"https://drive.google.com/open?id=1IUFNwPRCTQ9mRpE_3SHM3QpvmPaxQWj8")</f>
        <v>https://drive.google.com/open?id=1IUFNwPRCTQ9mRpE_3SHM3QpvmPaxQWj8</v>
      </c>
      <c r="J1565" s="59"/>
      <c r="K1565" s="59"/>
      <c r="L1565" s="59"/>
      <c r="M1565" s="59"/>
      <c r="N1565" s="59"/>
      <c r="O1565" s="59"/>
      <c r="P1565" s="59"/>
    </row>
    <row r="1566" spans="1:16">
      <c r="A1566" s="71">
        <f ca="1">IFERROR(__xludf.DUMMYFUNCTION("""COMPUTED_VALUE"""),44468.432638206)</f>
        <v>44468.432638206003</v>
      </c>
      <c r="B1566" s="59" t="str">
        <f ca="1">IFERROR(__xludf.DUMMYFUNCTION("""COMPUTED_VALUE"""),"Shirvi charmi dineshbhai")</f>
        <v>Shirvi charmi dineshbhai</v>
      </c>
      <c r="C1566" s="72" t="str">
        <f ca="1">IFERROR(__xludf.DUMMYFUNCTION("""COMPUTED_VALUE"""),"19sdsce01049")</f>
        <v>19sdsce01049</v>
      </c>
      <c r="D1566" s="73">
        <f ca="1">IFERROR(__xludf.DUMMYFUNCTION("""COMPUTED_VALUE"""),44466)</f>
        <v>44466</v>
      </c>
      <c r="E1566" s="74">
        <f ca="1">IFERROR(__xludf.DUMMYFUNCTION("""COMPUTED_VALUE"""),8500)</f>
        <v>8500</v>
      </c>
      <c r="F1566" s="72">
        <f ca="1">IFERROR(__xludf.DUMMYFUNCTION("""COMPUTED_VALUE"""),2500)</f>
        <v>2500</v>
      </c>
      <c r="G1566" s="75"/>
      <c r="H1566" s="59" t="str">
        <f ca="1">IFERROR(__xludf.DUMMYFUNCTION("""COMPUTED_VALUE"""),"UPDATE")</f>
        <v>UPDATE</v>
      </c>
      <c r="I1566" s="76" t="str">
        <f ca="1">IFERROR(__xludf.DUMMYFUNCTION("""COMPUTED_VALUE"""),"https://drive.google.com/open?id=1BQSVfBDG6G2qc1xYYnWGoF6zPBw8v8sP")</f>
        <v>https://drive.google.com/open?id=1BQSVfBDG6G2qc1xYYnWGoF6zPBw8v8sP</v>
      </c>
      <c r="J1566" s="59"/>
      <c r="K1566" s="59"/>
      <c r="L1566" s="59"/>
      <c r="M1566" s="59"/>
      <c r="N1566" s="59"/>
      <c r="O1566" s="59"/>
      <c r="P1566" s="59"/>
    </row>
    <row r="1567" spans="1:16">
      <c r="A1567" s="71">
        <f ca="1">IFERROR(__xludf.DUMMYFUNCTION("""COMPUTED_VALUE"""),44467.961464537)</f>
        <v>44467.961464537002</v>
      </c>
      <c r="B1567" s="59" t="str">
        <f ca="1">IFERROR(__xludf.DUMMYFUNCTION("""COMPUTED_VALUE"""),"Lodhiya Parth Vipulbhai")</f>
        <v>Lodhiya Parth Vipulbhai</v>
      </c>
      <c r="C1567" s="72" t="str">
        <f ca="1">IFERROR(__xludf.DUMMYFUNCTION("""COMPUTED_VALUE"""),"19SDSCE01028")</f>
        <v>19SDSCE01028</v>
      </c>
      <c r="D1567" s="73">
        <f ca="1">IFERROR(__xludf.DUMMYFUNCTION("""COMPUTED_VALUE"""),44467)</f>
        <v>44467</v>
      </c>
      <c r="E1567" s="74">
        <f ca="1">IFERROR(__xludf.DUMMYFUNCTION("""COMPUTED_VALUE"""),7500)</f>
        <v>7500</v>
      </c>
      <c r="F1567" s="72"/>
      <c r="G1567" s="75"/>
      <c r="H1567" s="59" t="str">
        <f ca="1">IFERROR(__xludf.DUMMYFUNCTION("""COMPUTED_VALUE"""),"UPDATE")</f>
        <v>UPDATE</v>
      </c>
      <c r="I1567" s="76" t="str">
        <f ca="1">IFERROR(__xludf.DUMMYFUNCTION("""COMPUTED_VALUE"""),"https://drive.google.com/open?id=1Qruc9en9_Sp1Xc1qPlkgIrwp_w05G5xO")</f>
        <v>https://drive.google.com/open?id=1Qruc9en9_Sp1Xc1qPlkgIrwp_w05G5xO</v>
      </c>
      <c r="J1567" s="59"/>
      <c r="K1567" s="59"/>
      <c r="L1567" s="59"/>
      <c r="M1567" s="59"/>
      <c r="N1567" s="59"/>
      <c r="O1567" s="59"/>
      <c r="P1567" s="59"/>
    </row>
    <row r="1568" spans="1:16">
      <c r="A1568" s="71">
        <f ca="1">IFERROR(__xludf.DUMMYFUNCTION("""COMPUTED_VALUE"""),44466.4349931018)</f>
        <v>44466.434993101801</v>
      </c>
      <c r="B1568" s="59" t="str">
        <f ca="1">IFERROR(__xludf.DUMMYFUNCTION("""COMPUTED_VALUE"""),"Tilak kothiya ")</f>
        <v xml:space="preserve">Tilak kothiya </v>
      </c>
      <c r="C1568" s="72" t="str">
        <f ca="1">IFERROR(__xludf.DUMMYFUNCTION("""COMPUTED_VALUE"""),"19sdscv01003")</f>
        <v>19sdscv01003</v>
      </c>
      <c r="D1568" s="73">
        <f ca="1">IFERROR(__xludf.DUMMYFUNCTION("""COMPUTED_VALUE"""),44076)</f>
        <v>44076</v>
      </c>
      <c r="E1568" s="74">
        <f ca="1">IFERROR(__xludf.DUMMYFUNCTION("""COMPUTED_VALUE"""),8000)</f>
        <v>8000</v>
      </c>
      <c r="F1568" s="72">
        <f ca="1">IFERROR(__xludf.DUMMYFUNCTION("""COMPUTED_VALUE"""),2500)</f>
        <v>2500</v>
      </c>
      <c r="G1568" s="75"/>
      <c r="H1568" s="59" t="str">
        <f ca="1">IFERROR(__xludf.DUMMYFUNCTION("""COMPUTED_VALUE"""),"UPDATE")</f>
        <v>UPDATE</v>
      </c>
      <c r="I1568" s="76" t="str">
        <f ca="1">IFERROR(__xludf.DUMMYFUNCTION("""COMPUTED_VALUE"""),"https://drive.google.com/open?id=1xByK7ijxvXBVcOj_x3hQ8SP2LSs1JbpC")</f>
        <v>https://drive.google.com/open?id=1xByK7ijxvXBVcOj_x3hQ8SP2LSs1JbpC</v>
      </c>
      <c r="J1568" s="59"/>
      <c r="K1568" s="59"/>
      <c r="L1568" s="59"/>
      <c r="M1568" s="59"/>
      <c r="N1568" s="59"/>
      <c r="O1568" s="59"/>
      <c r="P1568" s="59"/>
    </row>
    <row r="1569" spans="1:16">
      <c r="A1569" s="71">
        <f ca="1">IFERROR(__xludf.DUMMYFUNCTION("""COMPUTED_VALUE"""),44466.4239052893)</f>
        <v>44466.423905289303</v>
      </c>
      <c r="B1569" s="59" t="str">
        <f ca="1">IFERROR(__xludf.DUMMYFUNCTION("""COMPUTED_VALUE"""),"Tilak kothiya")</f>
        <v>Tilak kothiya</v>
      </c>
      <c r="C1569" s="72" t="str">
        <f ca="1">IFERROR(__xludf.DUMMYFUNCTION("""COMPUTED_VALUE"""),"19sdscv01003")</f>
        <v>19sdscv01003</v>
      </c>
      <c r="D1569" s="73">
        <f ca="1">IFERROR(__xludf.DUMMYFUNCTION("""COMPUTED_VALUE"""),44301)</f>
        <v>44301</v>
      </c>
      <c r="E1569" s="74">
        <f ca="1">IFERROR(__xludf.DUMMYFUNCTION("""COMPUTED_VALUE"""),25000)</f>
        <v>25000</v>
      </c>
      <c r="F1569" s="72">
        <f ca="1">IFERROR(__xludf.DUMMYFUNCTION("""COMPUTED_VALUE"""),0)</f>
        <v>0</v>
      </c>
      <c r="G1569" s="75"/>
      <c r="H1569" s="59" t="str">
        <f ca="1">IFERROR(__xludf.DUMMYFUNCTION("""COMPUTED_VALUE"""),"UPDATE")</f>
        <v>UPDATE</v>
      </c>
      <c r="I1569" s="76" t="str">
        <f ca="1">IFERROR(__xludf.DUMMYFUNCTION("""COMPUTED_VALUE"""),"https://drive.google.com/open?id=1d0LH9JieH-G_ehqALLk2vt43GDcV2EFU")</f>
        <v>https://drive.google.com/open?id=1d0LH9JieH-G_ehqALLk2vt43GDcV2EFU</v>
      </c>
      <c r="J1569" s="59"/>
      <c r="K1569" s="59"/>
      <c r="L1569" s="59"/>
      <c r="M1569" s="59"/>
      <c r="N1569" s="59"/>
      <c r="O1569" s="59"/>
      <c r="P1569" s="59"/>
    </row>
    <row r="1570" spans="1:16">
      <c r="A1570" s="71">
        <f ca="1">IFERROR(__xludf.DUMMYFUNCTION("""COMPUTED_VALUE"""),44466.4211013773)</f>
        <v>44466.421101377302</v>
      </c>
      <c r="B1570" s="59" t="str">
        <f ca="1">IFERROR(__xludf.DUMMYFUNCTION("""COMPUTED_VALUE"""),"Sahil ramani")</f>
        <v>Sahil ramani</v>
      </c>
      <c r="C1570" s="72" t="str">
        <f ca="1">IFERROR(__xludf.DUMMYFUNCTION("""COMPUTED_VALUE"""),"19sdscv01007")</f>
        <v>19sdscv01007</v>
      </c>
      <c r="D1570" s="73">
        <f ca="1">IFERROR(__xludf.DUMMYFUNCTION("""COMPUTED_VALUE"""),44372)</f>
        <v>44372</v>
      </c>
      <c r="E1570" s="74">
        <f ca="1">IFERROR(__xludf.DUMMYFUNCTION("""COMPUTED_VALUE"""),18750)</f>
        <v>18750</v>
      </c>
      <c r="F1570" s="72">
        <f ca="1">IFERROR(__xludf.DUMMYFUNCTION("""COMPUTED_VALUE"""),0)</f>
        <v>0</v>
      </c>
      <c r="G1570" s="75"/>
      <c r="H1570" s="59" t="str">
        <f ca="1">IFERROR(__xludf.DUMMYFUNCTION("""COMPUTED_VALUE"""),"UPDATE")</f>
        <v>UPDATE</v>
      </c>
      <c r="I1570" s="76" t="str">
        <f ca="1">IFERROR(__xludf.DUMMYFUNCTION("""COMPUTED_VALUE"""),"https://drive.google.com/open?id=1uSgqCsp4HaVOxlPmiQKlabdWMoDz3dtN")</f>
        <v>https://drive.google.com/open?id=1uSgqCsp4HaVOxlPmiQKlabdWMoDz3dtN</v>
      </c>
      <c r="J1570" s="59"/>
      <c r="K1570" s="59"/>
      <c r="L1570" s="59"/>
      <c r="M1570" s="59"/>
      <c r="N1570" s="59"/>
      <c r="O1570" s="59"/>
      <c r="P1570" s="59"/>
    </row>
    <row r="1571" spans="1:16">
      <c r="A1571" s="71">
        <f ca="1">IFERROR(__xludf.DUMMYFUNCTION("""COMPUTED_VALUE"""),44465.8831668402)</f>
        <v>44465.883166840198</v>
      </c>
      <c r="B1571" s="59" t="str">
        <f ca="1">IFERROR(__xludf.DUMMYFUNCTION("""COMPUTED_VALUE"""),"Krushalkumar Vekariya")</f>
        <v>Krushalkumar Vekariya</v>
      </c>
      <c r="C1571" s="72" t="str">
        <f ca="1">IFERROR(__xludf.DUMMYFUNCTION("""COMPUTED_VALUE"""),"19sdsce01062")</f>
        <v>19sdsce01062</v>
      </c>
      <c r="D1571" s="73">
        <f ca="1">IFERROR(__xludf.DUMMYFUNCTION("""COMPUTED_VALUE"""),44409)</f>
        <v>44409</v>
      </c>
      <c r="E1571" s="72"/>
      <c r="F1571" s="72"/>
      <c r="G1571" s="75"/>
      <c r="H1571" s="59" t="str">
        <f ca="1">IFERROR(__xludf.DUMMYFUNCTION("""COMPUTED_VALUE"""),"UPDATE")</f>
        <v>UPDATE</v>
      </c>
      <c r="I1571" s="76" t="str">
        <f ca="1">IFERROR(__xludf.DUMMYFUNCTION("""COMPUTED_VALUE"""),"https://drive.google.com/open?id=1WCuQwUAWI7kCadEHvf22L3pEMZToHIzi")</f>
        <v>https://drive.google.com/open?id=1WCuQwUAWI7kCadEHvf22L3pEMZToHIzi</v>
      </c>
      <c r="J1571" s="59"/>
      <c r="K1571" s="59"/>
      <c r="L1571" s="59"/>
      <c r="M1571" s="59"/>
      <c r="N1571" s="59"/>
      <c r="O1571" s="59"/>
      <c r="P1571" s="59"/>
    </row>
    <row r="1572" spans="1:16">
      <c r="A1572" s="71">
        <f ca="1">IFERROR(__xludf.DUMMYFUNCTION("""COMPUTED_VALUE"""),44465.8823635879)</f>
        <v>44465.882363587902</v>
      </c>
      <c r="B1572" s="59" t="str">
        <f ca="1">IFERROR(__xludf.DUMMYFUNCTION("""COMPUTED_VALUE"""),"Krushalkumar Vekariya")</f>
        <v>Krushalkumar Vekariya</v>
      </c>
      <c r="C1572" s="72" t="str">
        <f ca="1">IFERROR(__xludf.DUMMYFUNCTION("""COMPUTED_VALUE"""),"19sdsce01062")</f>
        <v>19sdsce01062</v>
      </c>
      <c r="D1572" s="73">
        <f ca="1">IFERROR(__xludf.DUMMYFUNCTION("""COMPUTED_VALUE"""),44409)</f>
        <v>44409</v>
      </c>
      <c r="E1572" s="74">
        <f ca="1">IFERROR(__xludf.DUMMYFUNCTION("""COMPUTED_VALUE"""),12500)</f>
        <v>12500</v>
      </c>
      <c r="F1572" s="72">
        <f ca="1">IFERROR(__xludf.DUMMYFUNCTION("""COMPUTED_VALUE"""),2500)</f>
        <v>2500</v>
      </c>
      <c r="G1572" s="75"/>
      <c r="H1572" s="59" t="str">
        <f ca="1">IFERROR(__xludf.DUMMYFUNCTION("""COMPUTED_VALUE"""),"UPDATE")</f>
        <v>UPDATE</v>
      </c>
      <c r="I1572" s="76" t="str">
        <f ca="1">IFERROR(__xludf.DUMMYFUNCTION("""COMPUTED_VALUE"""),"https://drive.google.com/open?id=12fg86hZGJ0WQiOYc9VG1i_FBbifVtB4J")</f>
        <v>https://drive.google.com/open?id=12fg86hZGJ0WQiOYc9VG1i_FBbifVtB4J</v>
      </c>
      <c r="J1572" s="59"/>
      <c r="K1572" s="59"/>
      <c r="L1572" s="59"/>
      <c r="M1572" s="59"/>
      <c r="N1572" s="59"/>
      <c r="O1572" s="59"/>
      <c r="P1572" s="59"/>
    </row>
    <row r="1573" spans="1:16">
      <c r="A1573" s="71">
        <f ca="1">IFERROR(__xludf.DUMMYFUNCTION("""COMPUTED_VALUE"""),44465.5456954166)</f>
        <v>44465.5456954166</v>
      </c>
      <c r="B1573" s="59" t="str">
        <f ca="1">IFERROR(__xludf.DUMMYFUNCTION("""COMPUTED_VALUE"""),"Romil siddhpura")</f>
        <v>Romil siddhpura</v>
      </c>
      <c r="C1573" s="72" t="str">
        <f ca="1">IFERROR(__xludf.DUMMYFUNCTION("""COMPUTED_VALUE"""),"19SDSME01026")</f>
        <v>19SDSME01026</v>
      </c>
      <c r="D1573" s="73">
        <f ca="1">IFERROR(__xludf.DUMMYFUNCTION("""COMPUTED_VALUE"""),44465)</f>
        <v>44465</v>
      </c>
      <c r="E1573" s="72"/>
      <c r="F1573" s="72">
        <f ca="1">IFERROR(__xludf.DUMMYFUNCTION("""COMPUTED_VALUE"""),2500)</f>
        <v>2500</v>
      </c>
      <c r="G1573" s="75"/>
      <c r="H1573" s="59" t="str">
        <f ca="1">IFERROR(__xludf.DUMMYFUNCTION("""COMPUTED_VALUE"""),"UPDATE")</f>
        <v>UPDATE</v>
      </c>
      <c r="I1573" s="76" t="str">
        <f ca="1">IFERROR(__xludf.DUMMYFUNCTION("""COMPUTED_VALUE"""),"https://drive.google.com/open?id=1JVDgYWd-7n6qLnBHCqBRn48Okt-mxXdj")</f>
        <v>https://drive.google.com/open?id=1JVDgYWd-7n6qLnBHCqBRn48Okt-mxXdj</v>
      </c>
      <c r="J1573" s="59"/>
      <c r="K1573" s="59"/>
      <c r="L1573" s="59"/>
      <c r="M1573" s="59"/>
      <c r="N1573" s="59"/>
      <c r="O1573" s="59"/>
      <c r="P1573" s="59"/>
    </row>
    <row r="1574" spans="1:16">
      <c r="A1574" s="71">
        <f ca="1">IFERROR(__xludf.DUMMYFUNCTION("""COMPUTED_VALUE"""),44465.5385616319)</f>
        <v>44465.538561631904</v>
      </c>
      <c r="B1574" s="59" t="str">
        <f ca="1">IFERROR(__xludf.DUMMYFUNCTION("""COMPUTED_VALUE"""),"Jaymin kantilal rangani ")</f>
        <v xml:space="preserve">Jaymin kantilal rangani </v>
      </c>
      <c r="C1574" s="72" t="str">
        <f ca="1">IFERROR(__xludf.DUMMYFUNCTION("""COMPUTED_VALUE"""),"19SDSME01019 ")</f>
        <v xml:space="preserve">19SDSME01019 </v>
      </c>
      <c r="D1574" s="73">
        <f ca="1">IFERROR(__xludf.DUMMYFUNCTION("""COMPUTED_VALUE"""),44464)</f>
        <v>44464</v>
      </c>
      <c r="E1574" s="72"/>
      <c r="F1574" s="72">
        <f ca="1">IFERROR(__xludf.DUMMYFUNCTION("""COMPUTED_VALUE"""),2500)</f>
        <v>2500</v>
      </c>
      <c r="G1574" s="75"/>
      <c r="H1574" s="59" t="str">
        <f ca="1">IFERROR(__xludf.DUMMYFUNCTION("""COMPUTED_VALUE"""),"UPDATE")</f>
        <v>UPDATE</v>
      </c>
      <c r="I1574" s="76" t="str">
        <f ca="1">IFERROR(__xludf.DUMMYFUNCTION("""COMPUTED_VALUE"""),"https://drive.google.com/open?id=1NeDtjgywF769yrg6GyPZ3zg2w9T_f_-1")</f>
        <v>https://drive.google.com/open?id=1NeDtjgywF769yrg6GyPZ3zg2w9T_f_-1</v>
      </c>
      <c r="J1574" s="59"/>
      <c r="K1574" s="59"/>
      <c r="L1574" s="59"/>
      <c r="M1574" s="59"/>
      <c r="N1574" s="59"/>
      <c r="O1574" s="59"/>
      <c r="P1574" s="59"/>
    </row>
    <row r="1575" spans="1:16">
      <c r="A1575" s="71">
        <f ca="1">IFERROR(__xludf.DUMMYFUNCTION("""COMPUTED_VALUE"""),44465.4053950115)</f>
        <v>44465.405395011498</v>
      </c>
      <c r="B1575" s="59" t="str">
        <f ca="1">IFERROR(__xludf.DUMMYFUNCTION("""COMPUTED_VALUE"""),"Nakrani prince")</f>
        <v>Nakrani prince</v>
      </c>
      <c r="C1575" s="72" t="str">
        <f ca="1">IFERROR(__xludf.DUMMYFUNCTION("""COMPUTED_VALUE"""),"19SDSME01037")</f>
        <v>19SDSME01037</v>
      </c>
      <c r="D1575" s="73">
        <f ca="1">IFERROR(__xludf.DUMMYFUNCTION("""COMPUTED_VALUE"""),44465)</f>
        <v>44465</v>
      </c>
      <c r="E1575" s="74">
        <f ca="1">IFERROR(__xludf.DUMMYFUNCTION("""COMPUTED_VALUE"""),15000)</f>
        <v>15000</v>
      </c>
      <c r="F1575" s="72">
        <f ca="1">IFERROR(__xludf.DUMMYFUNCTION("""COMPUTED_VALUE"""),2500)</f>
        <v>2500</v>
      </c>
      <c r="G1575" s="75"/>
      <c r="H1575" s="59" t="str">
        <f ca="1">IFERROR(__xludf.DUMMYFUNCTION("""COMPUTED_VALUE"""),"UPDATE")</f>
        <v>UPDATE</v>
      </c>
      <c r="I1575" s="76" t="str">
        <f ca="1">IFERROR(__xludf.DUMMYFUNCTION("""COMPUTED_VALUE"""),"https://drive.google.com/open?id=1cejRJQGujxVtlnYRxdJ2ZNteBUj3pGLs")</f>
        <v>https://drive.google.com/open?id=1cejRJQGujxVtlnYRxdJ2ZNteBUj3pGLs</v>
      </c>
      <c r="J1575" s="59"/>
      <c r="K1575" s="59"/>
      <c r="L1575" s="59"/>
      <c r="M1575" s="59"/>
      <c r="N1575" s="59"/>
      <c r="O1575" s="59"/>
      <c r="P1575" s="59"/>
    </row>
    <row r="1576" spans="1:16">
      <c r="A1576" s="71">
        <f ca="1">IFERROR(__xludf.DUMMYFUNCTION("""COMPUTED_VALUE"""),44464.8831036805)</f>
        <v>44464.883103680499</v>
      </c>
      <c r="B1576" s="59" t="str">
        <f ca="1">IFERROR(__xludf.DUMMYFUNCTION("""COMPUTED_VALUE"""),"Deep Barasiya")</f>
        <v>Deep Barasiya</v>
      </c>
      <c r="C1576" s="72" t="str">
        <f ca="1">IFERROR(__xludf.DUMMYFUNCTION("""COMPUTED_VALUE"""),"19SDSME01001")</f>
        <v>19SDSME01001</v>
      </c>
      <c r="D1576" s="73">
        <f ca="1">IFERROR(__xludf.DUMMYFUNCTION("""COMPUTED_VALUE"""),44263)</f>
        <v>44263</v>
      </c>
      <c r="E1576" s="72"/>
      <c r="F1576" s="72"/>
      <c r="G1576" s="75"/>
      <c r="H1576" s="59" t="str">
        <f ca="1">IFERROR(__xludf.DUMMYFUNCTION("""COMPUTED_VALUE"""),"UPDATE")</f>
        <v>UPDATE</v>
      </c>
      <c r="I1576" s="76" t="str">
        <f ca="1">IFERROR(__xludf.DUMMYFUNCTION("""COMPUTED_VALUE"""),"https://drive.google.com/open?id=17PlsA136GrQrEmfFGZLDSXZWmo-ioDa1")</f>
        <v>https://drive.google.com/open?id=17PlsA136GrQrEmfFGZLDSXZWmo-ioDa1</v>
      </c>
      <c r="J1576" s="59"/>
      <c r="K1576" s="59"/>
      <c r="L1576" s="59"/>
      <c r="M1576" s="59"/>
      <c r="N1576" s="59"/>
      <c r="O1576" s="59"/>
      <c r="P1576" s="59"/>
    </row>
    <row r="1577" spans="1:16">
      <c r="A1577" s="71">
        <f ca="1">IFERROR(__xludf.DUMMYFUNCTION("""COMPUTED_VALUE"""),44464.8709020023)</f>
        <v>44464.870902002302</v>
      </c>
      <c r="B1577" s="59" t="str">
        <f ca="1">IFERROR(__xludf.DUMMYFUNCTION("""COMPUTED_VALUE"""),"Jignesh rabadiya")</f>
        <v>Jignesh rabadiya</v>
      </c>
      <c r="C1577" s="72" t="str">
        <f ca="1">IFERROR(__xludf.DUMMYFUNCTION("""COMPUTED_VALUE"""),"19sdscv01006")</f>
        <v>19sdscv01006</v>
      </c>
      <c r="D1577" s="73">
        <f ca="1">IFERROR(__xludf.DUMMYFUNCTION("""COMPUTED_VALUE"""),44464)</f>
        <v>44464</v>
      </c>
      <c r="E1577" s="72"/>
      <c r="F1577" s="72">
        <f ca="1">IFERROR(__xludf.DUMMYFUNCTION("""COMPUTED_VALUE"""),16500)</f>
        <v>16500</v>
      </c>
      <c r="G1577" s="75"/>
      <c r="H1577" s="59" t="str">
        <f ca="1">IFERROR(__xludf.DUMMYFUNCTION("""COMPUTED_VALUE"""),"UPDATE")</f>
        <v>UPDATE</v>
      </c>
      <c r="I1577" s="76" t="str">
        <f ca="1">IFERROR(__xludf.DUMMYFUNCTION("""COMPUTED_VALUE"""),"https://drive.google.com/open?id=1x0HCqFsThnriZqsW7FPCR-Mttw-GpNUz")</f>
        <v>https://drive.google.com/open?id=1x0HCqFsThnriZqsW7FPCR-Mttw-GpNUz</v>
      </c>
      <c r="J1577" s="59"/>
      <c r="K1577" s="59"/>
      <c r="L1577" s="59"/>
      <c r="M1577" s="59"/>
      <c r="N1577" s="59"/>
      <c r="O1577" s="59"/>
      <c r="P1577" s="59"/>
    </row>
    <row r="1578" spans="1:16">
      <c r="A1578" s="71">
        <f ca="1">IFERROR(__xludf.DUMMYFUNCTION("""COMPUTED_VALUE"""),44464.759801574)</f>
        <v>44464.759801574</v>
      </c>
      <c r="B1578" s="59" t="str">
        <f ca="1">IFERROR(__xludf.DUMMYFUNCTION("""COMPUTED_VALUE"""),"Jiten")</f>
        <v>Jiten</v>
      </c>
      <c r="C1578" s="72" t="str">
        <f ca="1">IFERROR(__xludf.DUMMYFUNCTION("""COMPUTED_VALUE"""),"19SDSCE01058")</f>
        <v>19SDSCE01058</v>
      </c>
      <c r="D1578" s="73">
        <f ca="1">IFERROR(__xludf.DUMMYFUNCTION("""COMPUTED_VALUE"""),44408)</f>
        <v>44408</v>
      </c>
      <c r="E1578" s="72"/>
      <c r="F1578" s="72">
        <f ca="1">IFERROR(__xludf.DUMMYFUNCTION("""COMPUTED_VALUE"""),2500)</f>
        <v>2500</v>
      </c>
      <c r="G1578" s="75"/>
      <c r="H1578" s="59" t="str">
        <f ca="1">IFERROR(__xludf.DUMMYFUNCTION("""COMPUTED_VALUE"""),"UPDATE")</f>
        <v>UPDATE</v>
      </c>
      <c r="I1578" s="76" t="str">
        <f ca="1">IFERROR(__xludf.DUMMYFUNCTION("""COMPUTED_VALUE"""),"https://drive.google.com/open?id=1EV1z6rvtydFVzl7GNyd6-4Pd0OzMfjPP")</f>
        <v>https://drive.google.com/open?id=1EV1z6rvtydFVzl7GNyd6-4Pd0OzMfjPP</v>
      </c>
      <c r="J1578" s="59"/>
      <c r="K1578" s="59"/>
      <c r="L1578" s="59"/>
      <c r="M1578" s="59"/>
      <c r="N1578" s="59"/>
      <c r="O1578" s="59"/>
      <c r="P1578" s="59"/>
    </row>
    <row r="1579" spans="1:16">
      <c r="A1579" s="71">
        <f ca="1">IFERROR(__xludf.DUMMYFUNCTION("""COMPUTED_VALUE"""),44464.737058449)</f>
        <v>44464.737058448998</v>
      </c>
      <c r="B1579" s="59" t="str">
        <f ca="1">IFERROR(__xludf.DUMMYFUNCTION("""COMPUTED_VALUE"""),"Prince shingala")</f>
        <v>Prince shingala</v>
      </c>
      <c r="C1579" s="72" t="str">
        <f ca="1">IFERROR(__xludf.DUMMYFUNCTION("""COMPUTED_VALUE"""),"19SDSME01025")</f>
        <v>19SDSME01025</v>
      </c>
      <c r="D1579" s="73">
        <f ca="1">IFERROR(__xludf.DUMMYFUNCTION("""COMPUTED_VALUE"""),44463)</f>
        <v>44463</v>
      </c>
      <c r="E1579" s="74">
        <f ca="1">IFERROR(__xludf.DUMMYFUNCTION("""COMPUTED_VALUE"""),0)</f>
        <v>0</v>
      </c>
      <c r="F1579" s="72">
        <f ca="1">IFERROR(__xludf.DUMMYFUNCTION("""COMPUTED_VALUE"""),2500)</f>
        <v>2500</v>
      </c>
      <c r="G1579" s="75"/>
      <c r="H1579" s="59" t="str">
        <f ca="1">IFERROR(__xludf.DUMMYFUNCTION("""COMPUTED_VALUE"""),"UPDATE")</f>
        <v>UPDATE</v>
      </c>
      <c r="I1579" s="76" t="str">
        <f ca="1">IFERROR(__xludf.DUMMYFUNCTION("""COMPUTED_VALUE"""),"https://drive.google.com/open?id=1TtJqT447SqY4MZOnWIGEO1JL-13fRHH-")</f>
        <v>https://drive.google.com/open?id=1TtJqT447SqY4MZOnWIGEO1JL-13fRHH-</v>
      </c>
      <c r="J1579" s="59"/>
      <c r="K1579" s="59"/>
      <c r="L1579" s="59"/>
      <c r="M1579" s="59"/>
      <c r="N1579" s="59"/>
      <c r="O1579" s="59"/>
      <c r="P1579" s="59"/>
    </row>
    <row r="1580" spans="1:16">
      <c r="A1580" s="71">
        <f ca="1">IFERROR(__xludf.DUMMYFUNCTION("""COMPUTED_VALUE"""),44464.7161180092)</f>
        <v>44464.716118009201</v>
      </c>
      <c r="B1580" s="59" t="str">
        <f ca="1">IFERROR(__xludf.DUMMYFUNCTION("""COMPUTED_VALUE"""),"YASH J KERALIYA")</f>
        <v>YASH J KERALIYA</v>
      </c>
      <c r="C1580" s="72" t="str">
        <f ca="1">IFERROR(__xludf.DUMMYFUNCTION("""COMPUTED_VALUE"""),"19SDSME01012")</f>
        <v>19SDSME01012</v>
      </c>
      <c r="D1580" s="73">
        <f ca="1">IFERROR(__xludf.DUMMYFUNCTION("""COMPUTED_VALUE"""),44406)</f>
        <v>44406</v>
      </c>
      <c r="E1580" s="74">
        <f ca="1">IFERROR(__xludf.DUMMYFUNCTION("""COMPUTED_VALUE"""),12500)</f>
        <v>12500</v>
      </c>
      <c r="F1580" s="72">
        <f ca="1">IFERROR(__xludf.DUMMYFUNCTION("""COMPUTED_VALUE"""),2500)</f>
        <v>2500</v>
      </c>
      <c r="G1580" s="75"/>
      <c r="H1580" s="59" t="str">
        <f ca="1">IFERROR(__xludf.DUMMYFUNCTION("""COMPUTED_VALUE"""),"UPDATE")</f>
        <v>UPDATE</v>
      </c>
      <c r="I1580" s="76" t="str">
        <f ca="1">IFERROR(__xludf.DUMMYFUNCTION("""COMPUTED_VALUE"""),"https://drive.google.com/open?id=1ejIPVlkVfOOyWIaZUfluFtPqNRXCE6_v")</f>
        <v>https://drive.google.com/open?id=1ejIPVlkVfOOyWIaZUfluFtPqNRXCE6_v</v>
      </c>
      <c r="J1580" s="59"/>
      <c r="K1580" s="59"/>
      <c r="L1580" s="59"/>
      <c r="M1580" s="59"/>
      <c r="N1580" s="59"/>
      <c r="O1580" s="59"/>
      <c r="P1580" s="59"/>
    </row>
    <row r="1581" spans="1:16">
      <c r="A1581" s="71">
        <f ca="1">IFERROR(__xludf.DUMMYFUNCTION("""COMPUTED_VALUE"""),44464.7108319676)</f>
        <v>44464.710831967597</v>
      </c>
      <c r="B1581" s="59" t="str">
        <f ca="1">IFERROR(__xludf.DUMMYFUNCTION("""COMPUTED_VALUE"""),"Deep moraridash deshani")</f>
        <v>Deep moraridash deshani</v>
      </c>
      <c r="C1581" s="72" t="str">
        <f ca="1">IFERROR(__xludf.DUMMYFUNCTION("""COMPUTED_VALUE"""),"19SDSME01004")</f>
        <v>19SDSME01004</v>
      </c>
      <c r="D1581" s="73">
        <f ca="1">IFERROR(__xludf.DUMMYFUNCTION("""COMPUTED_VALUE"""),44464)</f>
        <v>44464</v>
      </c>
      <c r="E1581" s="72"/>
      <c r="F1581" s="72">
        <f ca="1">IFERROR(__xludf.DUMMYFUNCTION("""COMPUTED_VALUE"""),2500)</f>
        <v>2500</v>
      </c>
      <c r="G1581" s="75"/>
      <c r="H1581" s="59" t="str">
        <f ca="1">IFERROR(__xludf.DUMMYFUNCTION("""COMPUTED_VALUE"""),"UPDATE")</f>
        <v>UPDATE</v>
      </c>
      <c r="I1581" s="76" t="str">
        <f ca="1">IFERROR(__xludf.DUMMYFUNCTION("""COMPUTED_VALUE"""),"https://drive.google.com/open?id=1a-DxICoUNPCjdvBBWWbQL_aQjoqELvwp")</f>
        <v>https://drive.google.com/open?id=1a-DxICoUNPCjdvBBWWbQL_aQjoqELvwp</v>
      </c>
      <c r="J1581" s="59"/>
      <c r="K1581" s="59"/>
      <c r="L1581" s="59"/>
      <c r="M1581" s="59"/>
      <c r="N1581" s="59"/>
      <c r="O1581" s="59"/>
      <c r="P1581" s="59"/>
    </row>
    <row r="1582" spans="1:16">
      <c r="A1582" s="71">
        <f ca="1">IFERROR(__xludf.DUMMYFUNCTION("""COMPUTED_VALUE"""),44464.6998480555)</f>
        <v>44464.699848055498</v>
      </c>
      <c r="B1582" s="59" t="str">
        <f ca="1">IFERROR(__xludf.DUMMYFUNCTION("""COMPUTED_VALUE"""),"Yash Ranpariya")</f>
        <v>Yash Ranpariya</v>
      </c>
      <c r="C1582" s="72" t="str">
        <f ca="1">IFERROR(__xludf.DUMMYFUNCTION("""COMPUTED_VALUE"""),"19SDSME01020")</f>
        <v>19SDSME01020</v>
      </c>
      <c r="D1582" s="73">
        <f ca="1">IFERROR(__xludf.DUMMYFUNCTION("""COMPUTED_VALUE"""),44410)</f>
        <v>44410</v>
      </c>
      <c r="E1582" s="74">
        <f ca="1">IFERROR(__xludf.DUMMYFUNCTION("""COMPUTED_VALUE"""),6250)</f>
        <v>6250</v>
      </c>
      <c r="F1582" s="72">
        <f ca="1">IFERROR(__xludf.DUMMYFUNCTION("""COMPUTED_VALUE"""),2500)</f>
        <v>2500</v>
      </c>
      <c r="G1582" s="75"/>
      <c r="H1582" s="59" t="str">
        <f ca="1">IFERROR(__xludf.DUMMYFUNCTION("""COMPUTED_VALUE"""),"UPDATE")</f>
        <v>UPDATE</v>
      </c>
      <c r="I1582" s="76" t="str">
        <f ca="1">IFERROR(__xludf.DUMMYFUNCTION("""COMPUTED_VALUE"""),"https://drive.google.com/open?id=1sVoIrCZ5mxgq8o7PC3GvoZeSs70jxquo")</f>
        <v>https://drive.google.com/open?id=1sVoIrCZ5mxgq8o7PC3GvoZeSs70jxquo</v>
      </c>
      <c r="J1582" s="59"/>
      <c r="K1582" s="59"/>
      <c r="L1582" s="59"/>
      <c r="M1582" s="59"/>
      <c r="N1582" s="59"/>
      <c r="O1582" s="59"/>
      <c r="P1582" s="59"/>
    </row>
    <row r="1583" spans="1:16">
      <c r="A1583" s="71">
        <f ca="1">IFERROR(__xludf.DUMMYFUNCTION("""COMPUTED_VALUE"""),44464.6954148032)</f>
        <v>44464.695414803202</v>
      </c>
      <c r="B1583" s="59" t="str">
        <f ca="1">IFERROR(__xludf.DUMMYFUNCTION("""COMPUTED_VALUE"""),"Sneh chovatiya")</f>
        <v>Sneh chovatiya</v>
      </c>
      <c r="C1583" s="72" t="str">
        <f ca="1">IFERROR(__xludf.DUMMYFUNCTION("""COMPUTED_VALUE"""),"19SDSME01003")</f>
        <v>19SDSME01003</v>
      </c>
      <c r="D1583" s="73">
        <f ca="1">IFERROR(__xludf.DUMMYFUNCTION("""COMPUTED_VALUE"""),44464)</f>
        <v>44464</v>
      </c>
      <c r="E1583" s="74">
        <f ca="1">IFERROR(__xludf.DUMMYFUNCTION("""COMPUTED_VALUE"""),25000)</f>
        <v>25000</v>
      </c>
      <c r="F1583" s="72">
        <f ca="1">IFERROR(__xludf.DUMMYFUNCTION("""COMPUTED_VALUE"""),2500)</f>
        <v>2500</v>
      </c>
      <c r="G1583" s="75"/>
      <c r="H1583" s="59" t="str">
        <f ca="1">IFERROR(__xludf.DUMMYFUNCTION("""COMPUTED_VALUE"""),"UPDATE")</f>
        <v>UPDATE</v>
      </c>
      <c r="I1583" s="76" t="str">
        <f ca="1">IFERROR(__xludf.DUMMYFUNCTION("""COMPUTED_VALUE"""),"https://drive.google.com/open?id=1eXrPxStIQF21k02B9p5fJZ2EM8aX_qIp")</f>
        <v>https://drive.google.com/open?id=1eXrPxStIQF21k02B9p5fJZ2EM8aX_qIp</v>
      </c>
      <c r="J1583" s="59"/>
      <c r="K1583" s="59"/>
      <c r="L1583" s="59"/>
      <c r="M1583" s="59"/>
      <c r="N1583" s="59"/>
      <c r="O1583" s="59"/>
      <c r="P1583" s="59"/>
    </row>
    <row r="1584" spans="1:16">
      <c r="A1584" s="71">
        <f ca="1">IFERROR(__xludf.DUMMYFUNCTION("""COMPUTED_VALUE"""),44464.4565207754)</f>
        <v>44464.456520775399</v>
      </c>
      <c r="B1584" s="59" t="str">
        <f ca="1">IFERROR(__xludf.DUMMYFUNCTION("""COMPUTED_VALUE"""),"Panchani Pritesh Kishor")</f>
        <v>Panchani Pritesh Kishor</v>
      </c>
      <c r="C1584" s="72" t="str">
        <f ca="1">IFERROR(__xludf.DUMMYFUNCTION("""COMPUTED_VALUE"""),"19SDSCE01035")</f>
        <v>19SDSCE01035</v>
      </c>
      <c r="D1584" s="73">
        <f ca="1">IFERROR(__xludf.DUMMYFUNCTION("""COMPUTED_VALUE"""),44454)</f>
        <v>44454</v>
      </c>
      <c r="E1584" s="74">
        <f ca="1">IFERROR(__xludf.DUMMYFUNCTION("""COMPUTED_VALUE"""),0)</f>
        <v>0</v>
      </c>
      <c r="F1584" s="72">
        <f ca="1">IFERROR(__xludf.DUMMYFUNCTION("""COMPUTED_VALUE"""),2500)</f>
        <v>2500</v>
      </c>
      <c r="G1584" s="75"/>
      <c r="H1584" s="59" t="str">
        <f ca="1">IFERROR(__xludf.DUMMYFUNCTION("""COMPUTED_VALUE"""),"UPDATE")</f>
        <v>UPDATE</v>
      </c>
      <c r="I1584" s="76" t="str">
        <f ca="1">IFERROR(__xludf.DUMMYFUNCTION("""COMPUTED_VALUE"""),"https://drive.google.com/open?id=1YH_eSHnSFX7r8-mZmUPxD2u752gJBzHR")</f>
        <v>https://drive.google.com/open?id=1YH_eSHnSFX7r8-mZmUPxD2u752gJBzHR</v>
      </c>
      <c r="J1584" s="59"/>
      <c r="K1584" s="59"/>
      <c r="L1584" s="59"/>
      <c r="M1584" s="59"/>
      <c r="N1584" s="59"/>
      <c r="O1584" s="59"/>
      <c r="P1584" s="59"/>
    </row>
    <row r="1585" spans="1:16">
      <c r="A1585" s="71">
        <f ca="1">IFERROR(__xludf.DUMMYFUNCTION("""COMPUTED_VALUE"""),44464.4555745717)</f>
        <v>44464.455574571701</v>
      </c>
      <c r="B1585" s="59" t="str">
        <f ca="1">IFERROR(__xludf.DUMMYFUNCTION("""COMPUTED_VALUE"""),"Panchani Pritesh Kishor")</f>
        <v>Panchani Pritesh Kishor</v>
      </c>
      <c r="C1585" s="72" t="str">
        <f ca="1">IFERROR(__xludf.DUMMYFUNCTION("""COMPUTED_VALUE"""),"19SDSCE01035")</f>
        <v>19SDSCE01035</v>
      </c>
      <c r="D1585" s="73">
        <f ca="1">IFERROR(__xludf.DUMMYFUNCTION("""COMPUTED_VALUE"""),44454)</f>
        <v>44454</v>
      </c>
      <c r="E1585" s="74">
        <f ca="1">IFERROR(__xludf.DUMMYFUNCTION("""COMPUTED_VALUE"""),12500)</f>
        <v>12500</v>
      </c>
      <c r="F1585" s="72">
        <f ca="1">IFERROR(__xludf.DUMMYFUNCTION("""COMPUTED_VALUE"""),0)</f>
        <v>0</v>
      </c>
      <c r="G1585" s="75"/>
      <c r="H1585" s="59" t="str">
        <f ca="1">IFERROR(__xludf.DUMMYFUNCTION("""COMPUTED_VALUE"""),"UPDATE")</f>
        <v>UPDATE</v>
      </c>
      <c r="I1585" s="76" t="str">
        <f ca="1">IFERROR(__xludf.DUMMYFUNCTION("""COMPUTED_VALUE"""),"https://drive.google.com/open?id=1XkDlbELMfJY7fCXtaae-hE2BEfVMSJi3")</f>
        <v>https://drive.google.com/open?id=1XkDlbELMfJY7fCXtaae-hE2BEfVMSJi3</v>
      </c>
      <c r="J1585" s="59"/>
      <c r="K1585" s="59"/>
      <c r="L1585" s="59"/>
      <c r="M1585" s="59"/>
      <c r="N1585" s="59"/>
      <c r="O1585" s="59"/>
      <c r="P1585" s="59"/>
    </row>
    <row r="1586" spans="1:16">
      <c r="A1586" s="71">
        <f ca="1">IFERROR(__xludf.DUMMYFUNCTION("""COMPUTED_VALUE"""),44463.5923932407)</f>
        <v>44463.592393240702</v>
      </c>
      <c r="B1586" s="59" t="str">
        <f ca="1">IFERROR(__xludf.DUMMYFUNCTION("""COMPUTED_VALUE"""),"Makwana Natasha mansukhbhai")</f>
        <v>Makwana Natasha mansukhbhai</v>
      </c>
      <c r="C1586" s="72" t="str">
        <f ca="1">IFERROR(__xludf.DUMMYFUNCTION("""COMPUTED_VALUE"""),"19sdsce01030")</f>
        <v>19sdsce01030</v>
      </c>
      <c r="D1586" s="73">
        <f ca="1">IFERROR(__xludf.DUMMYFUNCTION("""COMPUTED_VALUE"""),44462)</f>
        <v>44462</v>
      </c>
      <c r="E1586" s="74">
        <f ca="1">IFERROR(__xludf.DUMMYFUNCTION("""COMPUTED_VALUE"""),0)</f>
        <v>0</v>
      </c>
      <c r="F1586" s="72">
        <f ca="1">IFERROR(__xludf.DUMMYFUNCTION("""COMPUTED_VALUE"""),2500)</f>
        <v>2500</v>
      </c>
      <c r="G1586" s="75"/>
      <c r="H1586" s="59" t="str">
        <f ca="1">IFERROR(__xludf.DUMMYFUNCTION("""COMPUTED_VALUE"""),"UPDATE")</f>
        <v>UPDATE</v>
      </c>
      <c r="I1586" s="76" t="str">
        <f ca="1">IFERROR(__xludf.DUMMYFUNCTION("""COMPUTED_VALUE"""),"https://drive.google.com/open?id=1jMJMeff_oIQw3MCy3kn6Kd5nBvd7bTLz")</f>
        <v>https://drive.google.com/open?id=1jMJMeff_oIQw3MCy3kn6Kd5nBvd7bTLz</v>
      </c>
      <c r="J1586" s="59"/>
      <c r="K1586" s="59"/>
      <c r="L1586" s="59"/>
      <c r="M1586" s="59"/>
      <c r="N1586" s="59"/>
      <c r="O1586" s="59"/>
      <c r="P1586" s="59"/>
    </row>
    <row r="1587" spans="1:16">
      <c r="A1587" s="71">
        <f ca="1">IFERROR(__xludf.DUMMYFUNCTION("""COMPUTED_VALUE"""),44463.5324726967)</f>
        <v>44463.532472696701</v>
      </c>
      <c r="B1587" s="59" t="str">
        <f ca="1">IFERROR(__xludf.DUMMYFUNCTION("""COMPUTED_VALUE"""),"RUPAPARA HARSH PRAMODBHAI")</f>
        <v>RUPAPARA HARSH PRAMODBHAI</v>
      </c>
      <c r="C1587" s="72" t="str">
        <f ca="1">IFERROR(__xludf.DUMMYFUNCTION("""COMPUTED_VALUE"""),"19SDSME01022")</f>
        <v>19SDSME01022</v>
      </c>
      <c r="D1587" s="73">
        <f ca="1">IFERROR(__xludf.DUMMYFUNCTION("""COMPUTED_VALUE"""),44411)</f>
        <v>44411</v>
      </c>
      <c r="E1587" s="74">
        <f ca="1">IFERROR(__xludf.DUMMYFUNCTION("""COMPUTED_VALUE"""),25000)</f>
        <v>25000</v>
      </c>
      <c r="F1587" s="72">
        <f ca="1">IFERROR(__xludf.DUMMYFUNCTION("""COMPUTED_VALUE"""),2500)</f>
        <v>2500</v>
      </c>
      <c r="G1587" s="75"/>
      <c r="H1587" s="59" t="str">
        <f ca="1">IFERROR(__xludf.DUMMYFUNCTION("""COMPUTED_VALUE"""),"UPDATE")</f>
        <v>UPDATE</v>
      </c>
      <c r="I1587" s="76" t="str">
        <f ca="1">IFERROR(__xludf.DUMMYFUNCTION("""COMPUTED_VALUE"""),"https://drive.google.com/open?id=1D4xQ8GEA1HM_L0kEQePoe7Qd_edHyrWY")</f>
        <v>https://drive.google.com/open?id=1D4xQ8GEA1HM_L0kEQePoe7Qd_edHyrWY</v>
      </c>
      <c r="J1587" s="59"/>
      <c r="K1587" s="59"/>
      <c r="L1587" s="59"/>
      <c r="M1587" s="59"/>
      <c r="N1587" s="59"/>
      <c r="O1587" s="59"/>
      <c r="P1587" s="59"/>
    </row>
    <row r="1588" spans="1:16">
      <c r="A1588" s="71">
        <f ca="1">IFERROR(__xludf.DUMMYFUNCTION("""COMPUTED_VALUE"""),44463.5311914236)</f>
        <v>44463.531191423601</v>
      </c>
      <c r="B1588" s="59" t="str">
        <f ca="1">IFERROR(__xludf.DUMMYFUNCTION("""COMPUTED_VALUE"""),"NAKARANI PRINCE BAKULBHAI")</f>
        <v>NAKARANI PRINCE BAKULBHAI</v>
      </c>
      <c r="C1588" s="72" t="str">
        <f ca="1">IFERROR(__xludf.DUMMYFUNCTION("""COMPUTED_VALUE"""),"19SDSME01037")</f>
        <v>19SDSME01037</v>
      </c>
      <c r="D1588" s="73">
        <f ca="1">IFERROR(__xludf.DUMMYFUNCTION("""COMPUTED_VALUE"""),44410)</f>
        <v>44410</v>
      </c>
      <c r="E1588" s="74">
        <f ca="1">IFERROR(__xludf.DUMMYFUNCTION("""COMPUTED_VALUE"""),15000)</f>
        <v>15000</v>
      </c>
      <c r="F1588" s="72"/>
      <c r="G1588" s="75"/>
      <c r="H1588" s="59" t="str">
        <f ca="1">IFERROR(__xludf.DUMMYFUNCTION("""COMPUTED_VALUE"""),"UPDATE")</f>
        <v>UPDATE</v>
      </c>
      <c r="I1588" s="76" t="str">
        <f ca="1">IFERROR(__xludf.DUMMYFUNCTION("""COMPUTED_VALUE"""),"https://drive.google.com/open?id=1JwcGf1CI7GVoW-N9eF3-szY0VehrIBJ1")</f>
        <v>https://drive.google.com/open?id=1JwcGf1CI7GVoW-N9eF3-szY0VehrIBJ1</v>
      </c>
      <c r="J1588" s="59"/>
      <c r="K1588" s="59"/>
      <c r="L1588" s="59"/>
      <c r="M1588" s="59"/>
      <c r="N1588" s="59"/>
      <c r="O1588" s="59"/>
      <c r="P1588" s="59"/>
    </row>
    <row r="1589" spans="1:16">
      <c r="A1589" s="71">
        <f ca="1">IFERROR(__xludf.DUMMYFUNCTION("""COMPUTED_VALUE"""),44463.4856029976)</f>
        <v>44463.4856029976</v>
      </c>
      <c r="B1589" s="59" t="str">
        <f ca="1">IFERROR(__xludf.DUMMYFUNCTION("""COMPUTED_VALUE"""),"Vansh ratanghaida")</f>
        <v>Vansh ratanghaida</v>
      </c>
      <c r="C1589" s="72" t="str">
        <f ca="1">IFERROR(__xludf.DUMMYFUNCTION("""COMPUTED_VALUE"""),"19sdsce02901")</f>
        <v>19sdsce02901</v>
      </c>
      <c r="D1589" s="73">
        <f ca="1">IFERROR(__xludf.DUMMYFUNCTION("""COMPUTED_VALUE"""),44408)</f>
        <v>44408</v>
      </c>
      <c r="E1589" s="72"/>
      <c r="F1589" s="72">
        <f ca="1">IFERROR(__xludf.DUMMYFUNCTION("""COMPUTED_VALUE"""),2500)</f>
        <v>2500</v>
      </c>
      <c r="G1589" s="75"/>
      <c r="H1589" s="59" t="str">
        <f ca="1">IFERROR(__xludf.DUMMYFUNCTION("""COMPUTED_VALUE"""),"UPDATE")</f>
        <v>UPDATE</v>
      </c>
      <c r="I1589" s="76" t="str">
        <f ca="1">IFERROR(__xludf.DUMMYFUNCTION("""COMPUTED_VALUE"""),"https://drive.google.com/open?id=1QY_sGHjAXmAXzCirqA3pes4qDX9qGqqA")</f>
        <v>https://drive.google.com/open?id=1QY_sGHjAXmAXzCirqA3pes4qDX9qGqqA</v>
      </c>
      <c r="J1589" s="59"/>
      <c r="K1589" s="59"/>
      <c r="L1589" s="59"/>
      <c r="M1589" s="59"/>
      <c r="N1589" s="59"/>
      <c r="O1589" s="59"/>
      <c r="P1589" s="59"/>
    </row>
    <row r="1590" spans="1:16">
      <c r="A1590" s="71">
        <f ca="1">IFERROR(__xludf.DUMMYFUNCTION("""COMPUTED_VALUE"""),44463.4848559953)</f>
        <v>44463.484855995302</v>
      </c>
      <c r="B1590" s="59" t="str">
        <f ca="1">IFERROR(__xludf.DUMMYFUNCTION("""COMPUTED_VALUE"""),"vansh ratanghaida")</f>
        <v>vansh ratanghaida</v>
      </c>
      <c r="C1590" s="72" t="str">
        <f ca="1">IFERROR(__xludf.DUMMYFUNCTION("""COMPUTED_VALUE"""),"19sdsce02901")</f>
        <v>19sdsce02901</v>
      </c>
      <c r="D1590" s="73">
        <f ca="1">IFERROR(__xludf.DUMMYFUNCTION("""COMPUTED_VALUE"""),44408)</f>
        <v>44408</v>
      </c>
      <c r="E1590" s="74">
        <f ca="1">IFERROR(__xludf.DUMMYFUNCTION("""COMPUTED_VALUE"""),12500)</f>
        <v>12500</v>
      </c>
      <c r="F1590" s="72">
        <f ca="1">IFERROR(__xludf.DUMMYFUNCTION("""COMPUTED_VALUE"""),0)</f>
        <v>0</v>
      </c>
      <c r="G1590" s="75"/>
      <c r="H1590" s="59" t="str">
        <f ca="1">IFERROR(__xludf.DUMMYFUNCTION("""COMPUTED_VALUE"""),"UPDATE")</f>
        <v>UPDATE</v>
      </c>
      <c r="I1590" s="76" t="str">
        <f ca="1">IFERROR(__xludf.DUMMYFUNCTION("""COMPUTED_VALUE"""),"https://drive.google.com/open?id=1ecc5UTBqax2Q_PrI4Ahzgva4WUqLYEKe")</f>
        <v>https://drive.google.com/open?id=1ecc5UTBqax2Q_PrI4Ahzgva4WUqLYEKe</v>
      </c>
      <c r="J1590" s="59"/>
      <c r="K1590" s="59"/>
      <c r="L1590" s="59"/>
      <c r="M1590" s="59"/>
      <c r="N1590" s="59"/>
      <c r="O1590" s="59"/>
      <c r="P1590" s="59"/>
    </row>
    <row r="1591" spans="1:16">
      <c r="A1591" s="71">
        <f ca="1">IFERROR(__xludf.DUMMYFUNCTION("""COMPUTED_VALUE"""),44462.7761212384)</f>
        <v>44462.776121238399</v>
      </c>
      <c r="B1591" s="59" t="str">
        <f ca="1">IFERROR(__xludf.DUMMYFUNCTION("""COMPUTED_VALUE"""),"Makwana Natasha Mansukhbhai")</f>
        <v>Makwana Natasha Mansukhbhai</v>
      </c>
      <c r="C1591" s="72" t="str">
        <f ca="1">IFERROR(__xludf.DUMMYFUNCTION("""COMPUTED_VALUE"""),"19sdsce01030")</f>
        <v>19sdsce01030</v>
      </c>
      <c r="D1591" s="73">
        <f ca="1">IFERROR(__xludf.DUMMYFUNCTION("""COMPUTED_VALUE"""),44462)</f>
        <v>44462</v>
      </c>
      <c r="E1591" s="74">
        <f ca="1">IFERROR(__xludf.DUMMYFUNCTION("""COMPUTED_VALUE"""),0)</f>
        <v>0</v>
      </c>
      <c r="F1591" s="72">
        <f ca="1">IFERROR(__xludf.DUMMYFUNCTION("""COMPUTED_VALUE"""),2500)</f>
        <v>2500</v>
      </c>
      <c r="G1591" s="75"/>
      <c r="H1591" s="59" t="str">
        <f ca="1">IFERROR(__xludf.DUMMYFUNCTION("""COMPUTED_VALUE"""),"UPDATE")</f>
        <v>UPDATE</v>
      </c>
      <c r="I1591" s="76" t="str">
        <f ca="1">IFERROR(__xludf.DUMMYFUNCTION("""COMPUTED_VALUE"""),"https://drive.google.com/open?id=18e311wTcekMpUQFgYbxOhoSX3iXJR4uL")</f>
        <v>https://drive.google.com/open?id=18e311wTcekMpUQFgYbxOhoSX3iXJR4uL</v>
      </c>
      <c r="J1591" s="59"/>
      <c r="K1591" s="59"/>
      <c r="L1591" s="59"/>
      <c r="M1591" s="59"/>
      <c r="N1591" s="59"/>
      <c r="O1591" s="59"/>
      <c r="P1591" s="59"/>
    </row>
    <row r="1592" spans="1:16">
      <c r="A1592" s="71">
        <f ca="1">IFERROR(__xludf.DUMMYFUNCTION("""COMPUTED_VALUE"""),44462.5013662731)</f>
        <v>44462.5013662731</v>
      </c>
      <c r="B1592" s="59" t="str">
        <f ca="1">IFERROR(__xludf.DUMMYFUNCTION("""COMPUTED_VALUE"""),"Parth Vipulbhai Lodhiya")</f>
        <v>Parth Vipulbhai Lodhiya</v>
      </c>
      <c r="C1592" s="72" t="str">
        <f ca="1">IFERROR(__xludf.DUMMYFUNCTION("""COMPUTED_VALUE"""),"19sdsce01028")</f>
        <v>19sdsce01028</v>
      </c>
      <c r="D1592" s="73">
        <f ca="1">IFERROR(__xludf.DUMMYFUNCTION("""COMPUTED_VALUE"""),44462)</f>
        <v>44462</v>
      </c>
      <c r="E1592" s="74">
        <f ca="1">IFERROR(__xludf.DUMMYFUNCTION("""COMPUTED_VALUE"""),10000)</f>
        <v>10000</v>
      </c>
      <c r="F1592" s="72"/>
      <c r="G1592" s="75"/>
      <c r="H1592" s="59" t="str">
        <f ca="1">IFERROR(__xludf.DUMMYFUNCTION("""COMPUTED_VALUE"""),"UPDATE")</f>
        <v>UPDATE</v>
      </c>
      <c r="I1592" s="76" t="str">
        <f ca="1">IFERROR(__xludf.DUMMYFUNCTION("""COMPUTED_VALUE"""),"https://drive.google.com/open?id=1POh9saIA3Urk5eXrcENY19wOvP8ap8rW")</f>
        <v>https://drive.google.com/open?id=1POh9saIA3Urk5eXrcENY19wOvP8ap8rW</v>
      </c>
      <c r="J1592" s="59"/>
      <c r="K1592" s="59"/>
      <c r="L1592" s="59"/>
      <c r="M1592" s="59"/>
      <c r="N1592" s="59"/>
      <c r="O1592" s="59"/>
      <c r="P1592" s="59"/>
    </row>
    <row r="1593" spans="1:16">
      <c r="A1593" s="71">
        <f ca="1">IFERROR(__xludf.DUMMYFUNCTION("""COMPUTED_VALUE"""),44462.4421466087)</f>
        <v>44462.442146608701</v>
      </c>
      <c r="B1593" s="59" t="str">
        <f ca="1">IFERROR(__xludf.DUMMYFUNCTION("""COMPUTED_VALUE"""),"Chauhan Raj")</f>
        <v>Chauhan Raj</v>
      </c>
      <c r="C1593" s="72" t="str">
        <f ca="1">IFERROR(__xludf.DUMMYFUNCTION("""COMPUTED_VALUE"""),"19sdsce01006")</f>
        <v>19sdsce01006</v>
      </c>
      <c r="D1593" s="73">
        <f ca="1">IFERROR(__xludf.DUMMYFUNCTION("""COMPUTED_VALUE"""),44410)</f>
        <v>44410</v>
      </c>
      <c r="E1593" s="74">
        <f ca="1">IFERROR(__xludf.DUMMYFUNCTION("""COMPUTED_VALUE"""),112500)</f>
        <v>112500</v>
      </c>
      <c r="F1593" s="72">
        <f ca="1">IFERROR(__xludf.DUMMYFUNCTION("""COMPUTED_VALUE"""),2500)</f>
        <v>2500</v>
      </c>
      <c r="G1593" s="75"/>
      <c r="H1593" s="59" t="str">
        <f ca="1">IFERROR(__xludf.DUMMYFUNCTION("""COMPUTED_VALUE"""),"UPDATE")</f>
        <v>UPDATE</v>
      </c>
      <c r="I1593" s="76" t="str">
        <f ca="1">IFERROR(__xludf.DUMMYFUNCTION("""COMPUTED_VALUE"""),"https://drive.google.com/open?id=19ApQslNdi05Rq50KamCpWx7b7LSpubV5")</f>
        <v>https://drive.google.com/open?id=19ApQslNdi05Rq50KamCpWx7b7LSpubV5</v>
      </c>
      <c r="J1593" s="59"/>
      <c r="K1593" s="59"/>
      <c r="L1593" s="59"/>
      <c r="M1593" s="59"/>
      <c r="N1593" s="59"/>
      <c r="O1593" s="59"/>
      <c r="P1593" s="59"/>
    </row>
    <row r="1594" spans="1:16">
      <c r="A1594" s="71">
        <f ca="1">IFERROR(__xludf.DUMMYFUNCTION("""COMPUTED_VALUE"""),44462.4373233217)</f>
        <v>44462.437323321697</v>
      </c>
      <c r="B1594" s="59" t="str">
        <f ca="1">IFERROR(__xludf.DUMMYFUNCTION("""COMPUTED_VALUE"""),"Rupesh Radadiya")</f>
        <v>Rupesh Radadiya</v>
      </c>
      <c r="C1594" s="72" t="str">
        <f ca="1">IFERROR(__xludf.DUMMYFUNCTION("""COMPUTED_VALUE"""),"19sdsce01039")</f>
        <v>19sdsce01039</v>
      </c>
      <c r="D1594" s="73">
        <f ca="1">IFERROR(__xludf.DUMMYFUNCTION("""COMPUTED_VALUE"""),44235)</f>
        <v>44235</v>
      </c>
      <c r="E1594" s="74">
        <f ca="1">IFERROR(__xludf.DUMMYFUNCTION("""COMPUTED_VALUE"""),12500)</f>
        <v>12500</v>
      </c>
      <c r="F1594" s="72">
        <f ca="1">IFERROR(__xludf.DUMMYFUNCTION("""COMPUTED_VALUE"""),2500)</f>
        <v>2500</v>
      </c>
      <c r="G1594" s="75"/>
      <c r="H1594" s="59" t="str">
        <f ca="1">IFERROR(__xludf.DUMMYFUNCTION("""COMPUTED_VALUE"""),"UPDATE")</f>
        <v>UPDATE</v>
      </c>
      <c r="I1594" s="76" t="str">
        <f ca="1">IFERROR(__xludf.DUMMYFUNCTION("""COMPUTED_VALUE"""),"https://drive.google.com/open?id=1fvbmxPc_Z9eonNfqx_ZmFtJtpUm-Ygew")</f>
        <v>https://drive.google.com/open?id=1fvbmxPc_Z9eonNfqx_ZmFtJtpUm-Ygew</v>
      </c>
      <c r="J1594" s="59"/>
      <c r="K1594" s="59"/>
      <c r="L1594" s="59"/>
      <c r="M1594" s="59"/>
      <c r="N1594" s="59"/>
      <c r="O1594" s="59"/>
      <c r="P1594" s="59"/>
    </row>
    <row r="1595" spans="1:16">
      <c r="A1595" s="71">
        <f ca="1">IFERROR(__xludf.DUMMYFUNCTION("""COMPUTED_VALUE"""),44461.8222127662)</f>
        <v>44461.822212766201</v>
      </c>
      <c r="B1595" s="59" t="str">
        <f ca="1">IFERROR(__xludf.DUMMYFUNCTION("""COMPUTED_VALUE"""),"Atul Parmar ")</f>
        <v xml:space="preserve">Atul Parmar </v>
      </c>
      <c r="C1595" s="72" t="str">
        <f ca="1">IFERROR(__xludf.DUMMYFUNCTION("""COMPUTED_VALUE"""),"19sdsce01037")</f>
        <v>19sdsce01037</v>
      </c>
      <c r="D1595" s="73">
        <f ca="1">IFERROR(__xludf.DUMMYFUNCTION("""COMPUTED_VALUE"""),44408)</f>
        <v>44408</v>
      </c>
      <c r="E1595" s="72"/>
      <c r="F1595" s="72">
        <f ca="1">IFERROR(__xludf.DUMMYFUNCTION("""COMPUTED_VALUE"""),2500)</f>
        <v>2500</v>
      </c>
      <c r="G1595" s="75"/>
      <c r="H1595" s="59" t="str">
        <f ca="1">IFERROR(__xludf.DUMMYFUNCTION("""COMPUTED_VALUE"""),"UPDATE")</f>
        <v>UPDATE</v>
      </c>
      <c r="I1595" s="76" t="str">
        <f ca="1">IFERROR(__xludf.DUMMYFUNCTION("""COMPUTED_VALUE"""),"https://drive.google.com/open?id=1wHAd6x6N_Aean1lhJzXR-aoUed5Cs9Sg")</f>
        <v>https://drive.google.com/open?id=1wHAd6x6N_Aean1lhJzXR-aoUed5Cs9Sg</v>
      </c>
      <c r="J1595" s="59"/>
      <c r="K1595" s="59"/>
      <c r="L1595" s="59"/>
      <c r="M1595" s="59"/>
      <c r="N1595" s="59"/>
      <c r="O1595" s="59"/>
      <c r="P1595" s="59"/>
    </row>
    <row r="1596" spans="1:16">
      <c r="A1596" s="71">
        <f ca="1">IFERROR(__xludf.DUMMYFUNCTION("""COMPUTED_VALUE"""),44459.4539778009)</f>
        <v>44459.453977800898</v>
      </c>
      <c r="B1596" s="59" t="str">
        <f ca="1">IFERROR(__xludf.DUMMYFUNCTION("""COMPUTED_VALUE"""),"Gautam Pitroda")</f>
        <v>Gautam Pitroda</v>
      </c>
      <c r="C1596" s="72" t="str">
        <f ca="1">IFERROR(__xludf.DUMMYFUNCTION("""COMPUTED_VALUE"""),"19sdsce01038")</f>
        <v>19sdsce01038</v>
      </c>
      <c r="D1596" s="73">
        <f ca="1">IFERROR(__xludf.DUMMYFUNCTION("""COMPUTED_VALUE"""),44459)</f>
        <v>44459</v>
      </c>
      <c r="E1596" s="74">
        <f ca="1">IFERROR(__xludf.DUMMYFUNCTION("""COMPUTED_VALUE"""),6250)</f>
        <v>6250</v>
      </c>
      <c r="F1596" s="72">
        <f ca="1">IFERROR(__xludf.DUMMYFUNCTION("""COMPUTED_VALUE"""),6250)</f>
        <v>6250</v>
      </c>
      <c r="G1596" s="75"/>
      <c r="H1596" s="59" t="str">
        <f ca="1">IFERROR(__xludf.DUMMYFUNCTION("""COMPUTED_VALUE"""),"UPDATE")</f>
        <v>UPDATE</v>
      </c>
      <c r="I1596" s="76" t="str">
        <f ca="1">IFERROR(__xludf.DUMMYFUNCTION("""COMPUTED_VALUE"""),"https://drive.google.com/open?id=1FSoYfR6xHj7dGev2-qJKer06uiLWXsEy")</f>
        <v>https://drive.google.com/open?id=1FSoYfR6xHj7dGev2-qJKer06uiLWXsEy</v>
      </c>
      <c r="J1596" s="59"/>
      <c r="K1596" s="59"/>
      <c r="L1596" s="59"/>
      <c r="M1596" s="59"/>
      <c r="N1596" s="59"/>
      <c r="O1596" s="59"/>
      <c r="P1596" s="59"/>
    </row>
    <row r="1597" spans="1:16">
      <c r="A1597" s="71">
        <f ca="1">IFERROR(__xludf.DUMMYFUNCTION("""COMPUTED_VALUE"""),44456.5567883564)</f>
        <v>44456.5567883564</v>
      </c>
      <c r="B1597" s="59" t="str">
        <f ca="1">IFERROR(__xludf.DUMMYFUNCTION("""COMPUTED_VALUE"""),"DarshanKumar dayalbhai lakhani")</f>
        <v>DarshanKumar dayalbhai lakhani</v>
      </c>
      <c r="C1597" s="72" t="str">
        <f ca="1">IFERROR(__xludf.DUMMYFUNCTION("""COMPUTED_VALUE"""),"19sdsce01027")</f>
        <v>19sdsce01027</v>
      </c>
      <c r="D1597" s="73">
        <f ca="1">IFERROR(__xludf.DUMMYFUNCTION("""COMPUTED_VALUE"""),44409)</f>
        <v>44409</v>
      </c>
      <c r="E1597" s="72"/>
      <c r="F1597" s="72">
        <f ca="1">IFERROR(__xludf.DUMMYFUNCTION("""COMPUTED_VALUE"""),2500)</f>
        <v>2500</v>
      </c>
      <c r="G1597" s="75"/>
      <c r="H1597" s="59" t="str">
        <f ca="1">IFERROR(__xludf.DUMMYFUNCTION("""COMPUTED_VALUE"""),"UPDATE")</f>
        <v>UPDATE</v>
      </c>
      <c r="I1597" s="76" t="str">
        <f ca="1">IFERROR(__xludf.DUMMYFUNCTION("""COMPUTED_VALUE"""),"https://drive.google.com/open?id=1YZ8RbvZm9FPuuLVOSRmWR-Hgdf3ZFfH4")</f>
        <v>https://drive.google.com/open?id=1YZ8RbvZm9FPuuLVOSRmWR-Hgdf3ZFfH4</v>
      </c>
      <c r="J1597" s="59"/>
      <c r="K1597" s="59"/>
      <c r="L1597" s="59"/>
      <c r="M1597" s="59"/>
      <c r="N1597" s="59"/>
      <c r="O1597" s="59"/>
      <c r="P1597" s="59"/>
    </row>
    <row r="1598" spans="1:16">
      <c r="A1598" s="71">
        <f ca="1">IFERROR(__xludf.DUMMYFUNCTION("""COMPUTED_VALUE"""),44456.555723912)</f>
        <v>44456.555723912003</v>
      </c>
      <c r="B1598" s="59" t="str">
        <f ca="1">IFERROR(__xludf.DUMMYFUNCTION("""COMPUTED_VALUE"""),"DarshanKumar dayalbhai lakhani")</f>
        <v>DarshanKumar dayalbhai lakhani</v>
      </c>
      <c r="C1598" s="72" t="str">
        <f ca="1">IFERROR(__xludf.DUMMYFUNCTION("""COMPUTED_VALUE"""),"19sdsce01027")</f>
        <v>19sdsce01027</v>
      </c>
      <c r="D1598" s="73">
        <f ca="1">IFERROR(__xludf.DUMMYFUNCTION("""COMPUTED_VALUE"""),44409)</f>
        <v>44409</v>
      </c>
      <c r="E1598" s="74">
        <f ca="1">IFERROR(__xludf.DUMMYFUNCTION("""COMPUTED_VALUE"""),3000)</f>
        <v>3000</v>
      </c>
      <c r="F1598" s="72"/>
      <c r="G1598" s="75"/>
      <c r="H1598" s="59" t="str">
        <f ca="1">IFERROR(__xludf.DUMMYFUNCTION("""COMPUTED_VALUE"""),"UPDATE")</f>
        <v>UPDATE</v>
      </c>
      <c r="I1598" s="76" t="str">
        <f ca="1">IFERROR(__xludf.DUMMYFUNCTION("""COMPUTED_VALUE"""),"https://drive.google.com/open?id=1HZsM-ycEsWpqJ_1wpT_caVgdy982ry0d")</f>
        <v>https://drive.google.com/open?id=1HZsM-ycEsWpqJ_1wpT_caVgdy982ry0d</v>
      </c>
      <c r="J1598" s="59"/>
      <c r="K1598" s="59"/>
      <c r="L1598" s="59"/>
      <c r="M1598" s="59"/>
      <c r="N1598" s="59"/>
      <c r="O1598" s="59"/>
      <c r="P1598" s="59"/>
    </row>
    <row r="1599" spans="1:16">
      <c r="A1599" s="71">
        <f ca="1">IFERROR(__xludf.DUMMYFUNCTION("""COMPUTED_VALUE"""),44454.4653625115)</f>
        <v>44454.465362511502</v>
      </c>
      <c r="B1599" s="59" t="str">
        <f ca="1">IFERROR(__xludf.DUMMYFUNCTION("""COMPUTED_VALUE"""),"Vansh ratanghaida")</f>
        <v>Vansh ratanghaida</v>
      </c>
      <c r="C1599" s="72" t="str">
        <f ca="1">IFERROR(__xludf.DUMMYFUNCTION("""COMPUTED_VALUE"""),"19sdsce02901")</f>
        <v>19sdsce02901</v>
      </c>
      <c r="D1599" s="73">
        <f ca="1">IFERROR(__xludf.DUMMYFUNCTION("""COMPUTED_VALUE"""),44454)</f>
        <v>44454</v>
      </c>
      <c r="E1599" s="74">
        <f ca="1">IFERROR(__xludf.DUMMYFUNCTION("""COMPUTED_VALUE"""),12500)</f>
        <v>12500</v>
      </c>
      <c r="F1599" s="72">
        <f ca="1">IFERROR(__xludf.DUMMYFUNCTION("""COMPUTED_VALUE"""),0)</f>
        <v>0</v>
      </c>
      <c r="G1599" s="75"/>
      <c r="H1599" s="59" t="str">
        <f ca="1">IFERROR(__xludf.DUMMYFUNCTION("""COMPUTED_VALUE"""),"UPDATE")</f>
        <v>UPDATE</v>
      </c>
      <c r="I1599" s="76" t="str">
        <f ca="1">IFERROR(__xludf.DUMMYFUNCTION("""COMPUTED_VALUE"""),"https://drive.google.com/open?id=1L8zDn_BCEP3JcYYbKxhYz_w71AZ2md67")</f>
        <v>https://drive.google.com/open?id=1L8zDn_BCEP3JcYYbKxhYz_w71AZ2md67</v>
      </c>
      <c r="J1599" s="59"/>
      <c r="K1599" s="59"/>
      <c r="L1599" s="59"/>
      <c r="M1599" s="59"/>
      <c r="N1599" s="59"/>
      <c r="O1599" s="59"/>
      <c r="P1599" s="59"/>
    </row>
    <row r="1600" spans="1:16">
      <c r="A1600" s="71">
        <f ca="1">IFERROR(__xludf.DUMMYFUNCTION("""COMPUTED_VALUE"""),44454.4317100347)</f>
        <v>44454.431710034703</v>
      </c>
      <c r="B1600" s="59" t="str">
        <f ca="1">IFERROR(__xludf.DUMMYFUNCTION("""COMPUTED_VALUE"""),"Shekhada sweta vinodbhai")</f>
        <v>Shekhada sweta vinodbhai</v>
      </c>
      <c r="C1600" s="72" t="str">
        <f ca="1">IFERROR(__xludf.DUMMYFUNCTION("""COMPUTED_VALUE"""),"19sdsce01048")</f>
        <v>19sdsce01048</v>
      </c>
      <c r="D1600" s="73">
        <f ca="1">IFERROR(__xludf.DUMMYFUNCTION("""COMPUTED_VALUE"""),44441)</f>
        <v>44441</v>
      </c>
      <c r="E1600" s="74">
        <f ca="1">IFERROR(__xludf.DUMMYFUNCTION("""COMPUTED_VALUE"""),12500)</f>
        <v>12500</v>
      </c>
      <c r="F1600" s="72">
        <f ca="1">IFERROR(__xludf.DUMMYFUNCTION("""COMPUTED_VALUE"""),0)</f>
        <v>0</v>
      </c>
      <c r="G1600" s="75"/>
      <c r="H1600" s="59" t="str">
        <f ca="1">IFERROR(__xludf.DUMMYFUNCTION("""COMPUTED_VALUE"""),"UPDATE")</f>
        <v>UPDATE</v>
      </c>
      <c r="I1600" s="76" t="str">
        <f ca="1">IFERROR(__xludf.DUMMYFUNCTION("""COMPUTED_VALUE"""),"https://drive.google.com/open?id=1IY6wRQcZdpGBRAUI3xNHKEcc3arM5DcT")</f>
        <v>https://drive.google.com/open?id=1IY6wRQcZdpGBRAUI3xNHKEcc3arM5DcT</v>
      </c>
      <c r="J1600" s="59"/>
      <c r="K1600" s="59"/>
      <c r="L1600" s="59"/>
      <c r="M1600" s="59"/>
      <c r="N1600" s="59"/>
      <c r="O1600" s="59"/>
      <c r="P1600" s="59"/>
    </row>
    <row r="1601" spans="1:16">
      <c r="A1601" s="71">
        <f ca="1">IFERROR(__xludf.DUMMYFUNCTION("""COMPUTED_VALUE"""),44448.0608367013)</f>
        <v>44448.060836701297</v>
      </c>
      <c r="B1601" s="59" t="str">
        <f ca="1">IFERROR(__xludf.DUMMYFUNCTION("""COMPUTED_VALUE"""),"Vaghasia Bhargish Hareshbhai")</f>
        <v>Vaghasia Bhargish Hareshbhai</v>
      </c>
      <c r="C1601" s="72" t="str">
        <f ca="1">IFERROR(__xludf.DUMMYFUNCTION("""COMPUTED_VALUE"""),"20SDSCV01013")</f>
        <v>20SDSCV01013</v>
      </c>
      <c r="D1601" s="73">
        <f ca="1">IFERROR(__xludf.DUMMYFUNCTION("""COMPUTED_VALUE"""),44448)</f>
        <v>44448</v>
      </c>
      <c r="E1601" s="72"/>
      <c r="F1601" s="72">
        <f ca="1">IFERROR(__xludf.DUMMYFUNCTION("""COMPUTED_VALUE"""),2500)</f>
        <v>2500</v>
      </c>
      <c r="G1601" s="75"/>
      <c r="H1601" s="59" t="str">
        <f ca="1">IFERROR(__xludf.DUMMYFUNCTION("""COMPUTED_VALUE"""),"UPDATE")</f>
        <v>UPDATE</v>
      </c>
      <c r="I1601" s="76" t="str">
        <f ca="1">IFERROR(__xludf.DUMMYFUNCTION("""COMPUTED_VALUE"""),"https://drive.google.com/open?id=1DtHdcLIDyuQsGoKNP9tgqqFMJ6WP_AZk")</f>
        <v>https://drive.google.com/open?id=1DtHdcLIDyuQsGoKNP9tgqqFMJ6WP_AZk</v>
      </c>
      <c r="J1601" s="59"/>
      <c r="K1601" s="59"/>
      <c r="L1601" s="59"/>
      <c r="M1601" s="59"/>
      <c r="N1601" s="59"/>
      <c r="O1601" s="59"/>
      <c r="P1601" s="59"/>
    </row>
    <row r="1602" spans="1:16">
      <c r="A1602" s="71">
        <f ca="1">IFERROR(__xludf.DUMMYFUNCTION("""COMPUTED_VALUE"""),44447.8950032754)</f>
        <v>44447.8950032754</v>
      </c>
      <c r="B1602" s="59" t="str">
        <f ca="1">IFERROR(__xludf.DUMMYFUNCTION("""COMPUTED_VALUE"""),"Khanpara madhavi v")</f>
        <v>Khanpara madhavi v</v>
      </c>
      <c r="C1602" s="72" t="str">
        <f ca="1">IFERROR(__xludf.DUMMYFUNCTION("""COMPUTED_VALUE"""),"19SDSCE01023")</f>
        <v>19SDSCE01023</v>
      </c>
      <c r="D1602" s="73">
        <f ca="1">IFERROR(__xludf.DUMMYFUNCTION("""COMPUTED_VALUE"""),44447)</f>
        <v>44447</v>
      </c>
      <c r="E1602" s="74">
        <f ca="1">IFERROR(__xludf.DUMMYFUNCTION("""COMPUTED_VALUE"""),17000)</f>
        <v>17000</v>
      </c>
      <c r="F1602" s="72">
        <f ca="1">IFERROR(__xludf.DUMMYFUNCTION("""COMPUTED_VALUE"""),0)</f>
        <v>0</v>
      </c>
      <c r="G1602" s="75"/>
      <c r="H1602" s="59" t="str">
        <f ca="1">IFERROR(__xludf.DUMMYFUNCTION("""COMPUTED_VALUE"""),"UPDATE")</f>
        <v>UPDATE</v>
      </c>
      <c r="I1602" s="76" t="str">
        <f ca="1">IFERROR(__xludf.DUMMYFUNCTION("""COMPUTED_VALUE"""),"https://drive.google.com/open?id=1Q3QFf5JAxvbNzscdNlaePFAaHJED-cRS")</f>
        <v>https://drive.google.com/open?id=1Q3QFf5JAxvbNzscdNlaePFAaHJED-cRS</v>
      </c>
      <c r="J1602" s="59"/>
      <c r="K1602" s="59"/>
      <c r="L1602" s="59"/>
      <c r="M1602" s="59"/>
      <c r="N1602" s="59"/>
      <c r="O1602" s="59"/>
      <c r="P1602" s="59"/>
    </row>
    <row r="1603" spans="1:16">
      <c r="A1603" s="71">
        <f ca="1">IFERROR(__xludf.DUMMYFUNCTION("""COMPUTED_VALUE"""),44447.4327037615)</f>
        <v>44447.4327037615</v>
      </c>
      <c r="B1603" s="59" t="str">
        <f ca="1">IFERROR(__xludf.DUMMYFUNCTION("""COMPUTED_VALUE"""),"makadiya vivek vijaybhai")</f>
        <v>makadiya vivek vijaybhai</v>
      </c>
      <c r="C1603" s="72" t="str">
        <f ca="1">IFERROR(__xludf.DUMMYFUNCTION("""COMPUTED_VALUE"""),"20SDSCV01004")</f>
        <v>20SDSCV01004</v>
      </c>
      <c r="D1603" s="73">
        <f ca="1">IFERROR(__xludf.DUMMYFUNCTION("""COMPUTED_VALUE"""),44446)</f>
        <v>44446</v>
      </c>
      <c r="E1603" s="72"/>
      <c r="F1603" s="72">
        <f ca="1">IFERROR(__xludf.DUMMYFUNCTION("""COMPUTED_VALUE"""),2500)</f>
        <v>2500</v>
      </c>
      <c r="G1603" s="75"/>
      <c r="H1603" s="59" t="str">
        <f ca="1">IFERROR(__xludf.DUMMYFUNCTION("""COMPUTED_VALUE"""),"UPDATE")</f>
        <v>UPDATE</v>
      </c>
      <c r="I1603" s="76" t="str">
        <f ca="1">IFERROR(__xludf.DUMMYFUNCTION("""COMPUTED_VALUE"""),"https://drive.google.com/open?id=1RMWUy-169RQh0cbjbsuWC4Keo5B22-7o")</f>
        <v>https://drive.google.com/open?id=1RMWUy-169RQh0cbjbsuWC4Keo5B22-7o</v>
      </c>
      <c r="J1603" s="59"/>
      <c r="K1603" s="59"/>
      <c r="L1603" s="59"/>
      <c r="M1603" s="59"/>
      <c r="N1603" s="59"/>
      <c r="O1603" s="59"/>
      <c r="P1603" s="59"/>
    </row>
    <row r="1604" spans="1:16">
      <c r="A1604" s="71">
        <f ca="1">IFERROR(__xludf.DUMMYFUNCTION("""COMPUTED_VALUE"""),44447.431315243)</f>
        <v>44447.431315242997</v>
      </c>
      <c r="B1604" s="59" t="str">
        <f ca="1">IFERROR(__xludf.DUMMYFUNCTION("""COMPUTED_VALUE"""),"Vaghasia Bhargish Hareshbhai")</f>
        <v>Vaghasia Bhargish Hareshbhai</v>
      </c>
      <c r="C1604" s="72" t="str">
        <f ca="1">IFERROR(__xludf.DUMMYFUNCTION("""COMPUTED_VALUE"""),"20SDSCV01013")</f>
        <v>20SDSCV01013</v>
      </c>
      <c r="D1604" s="73">
        <f ca="1">IFERROR(__xludf.DUMMYFUNCTION("""COMPUTED_VALUE"""),44446)</f>
        <v>44446</v>
      </c>
      <c r="E1604" s="72"/>
      <c r="F1604" s="72">
        <f ca="1">IFERROR(__xludf.DUMMYFUNCTION("""COMPUTED_VALUE"""),2500)</f>
        <v>2500</v>
      </c>
      <c r="G1604" s="75"/>
      <c r="H1604" s="59" t="str">
        <f ca="1">IFERROR(__xludf.DUMMYFUNCTION("""COMPUTED_VALUE"""),"UPDATE")</f>
        <v>UPDATE</v>
      </c>
      <c r="I1604" s="76" t="str">
        <f ca="1">IFERROR(__xludf.DUMMYFUNCTION("""COMPUTED_VALUE"""),"https://drive.google.com/open?id=1KnmgGCBJOJzSYQWBat6-vYuGVAqFuTQr")</f>
        <v>https://drive.google.com/open?id=1KnmgGCBJOJzSYQWBat6-vYuGVAqFuTQr</v>
      </c>
      <c r="J1604" s="59"/>
      <c r="K1604" s="59"/>
      <c r="L1604" s="59"/>
      <c r="M1604" s="59"/>
      <c r="N1604" s="59"/>
      <c r="O1604" s="59"/>
      <c r="P1604" s="59"/>
    </row>
    <row r="1605" spans="1:16">
      <c r="A1605" s="71">
        <f ca="1">IFERROR(__xludf.DUMMYFUNCTION("""COMPUTED_VALUE"""),44445.4442702893)</f>
        <v>44445.444270289299</v>
      </c>
      <c r="B1605" s="59" t="str">
        <f ca="1">IFERROR(__xludf.DUMMYFUNCTION("""COMPUTED_VALUE"""),"Koladiya Nirmal Ramesh Bhai ")</f>
        <v xml:space="preserve">Koladiya Nirmal Ramesh Bhai </v>
      </c>
      <c r="C1605" s="72" t="str">
        <f ca="1">IFERROR(__xludf.DUMMYFUNCTION("""COMPUTED_VALUE"""),"20SDSCE0157")</f>
        <v>20SDSCE0157</v>
      </c>
      <c r="D1605" s="73">
        <f ca="1">IFERROR(__xludf.DUMMYFUNCTION("""COMPUTED_VALUE"""),44443)</f>
        <v>44443</v>
      </c>
      <c r="E1605" s="72"/>
      <c r="F1605" s="72">
        <f ca="1">IFERROR(__xludf.DUMMYFUNCTION("""COMPUTED_VALUE"""),2500)</f>
        <v>2500</v>
      </c>
      <c r="G1605" s="75"/>
      <c r="H1605" s="59" t="str">
        <f ca="1">IFERROR(__xludf.DUMMYFUNCTION("""COMPUTED_VALUE"""),"UPDATE")</f>
        <v>UPDATE</v>
      </c>
      <c r="I1605" s="76" t="str">
        <f ca="1">IFERROR(__xludf.DUMMYFUNCTION("""COMPUTED_VALUE"""),"https://drive.google.com/open?id=1AmImyz-6SQr_uA-V0gB511LnrvQToBmF")</f>
        <v>https://drive.google.com/open?id=1AmImyz-6SQr_uA-V0gB511LnrvQToBmF</v>
      </c>
      <c r="J1605" s="59"/>
      <c r="K1605" s="59"/>
      <c r="L1605" s="59"/>
      <c r="M1605" s="59"/>
      <c r="N1605" s="59"/>
      <c r="O1605" s="59"/>
      <c r="P1605" s="59"/>
    </row>
    <row r="1606" spans="1:16">
      <c r="A1606" s="71">
        <f ca="1">IFERROR(__xludf.DUMMYFUNCTION("""COMPUTED_VALUE"""),44445.4427501388)</f>
        <v>44445.442750138798</v>
      </c>
      <c r="B1606" s="59" t="str">
        <f ca="1">IFERROR(__xludf.DUMMYFUNCTION("""COMPUTED_VALUE"""),"Koladiya Nirmal Ramesh Bhai ")</f>
        <v xml:space="preserve">Koladiya Nirmal Ramesh Bhai </v>
      </c>
      <c r="C1606" s="72" t="str">
        <f ca="1">IFERROR(__xludf.DUMMYFUNCTION("""COMPUTED_VALUE"""),"20SDSCE01057")</f>
        <v>20SDSCE01057</v>
      </c>
      <c r="D1606" s="73">
        <f ca="1">IFERROR(__xludf.DUMMYFUNCTION("""COMPUTED_VALUE"""),44443)</f>
        <v>44443</v>
      </c>
      <c r="E1606" s="74">
        <f ca="1">IFERROR(__xludf.DUMMYFUNCTION("""COMPUTED_VALUE"""),12500)</f>
        <v>12500</v>
      </c>
      <c r="F1606" s="72">
        <f ca="1">IFERROR(__xludf.DUMMYFUNCTION("""COMPUTED_VALUE"""),2500)</f>
        <v>2500</v>
      </c>
      <c r="G1606" s="75"/>
      <c r="H1606" s="59" t="str">
        <f ca="1">IFERROR(__xludf.DUMMYFUNCTION("""COMPUTED_VALUE"""),"UPDATE")</f>
        <v>UPDATE</v>
      </c>
      <c r="I1606" s="76" t="str">
        <f ca="1">IFERROR(__xludf.DUMMYFUNCTION("""COMPUTED_VALUE"""),"https://drive.google.com/open?id=1G2REJKaEDJh4ANmq7t_ytxxx79Lfaad3")</f>
        <v>https://drive.google.com/open?id=1G2REJKaEDJh4ANmq7t_ytxxx79Lfaad3</v>
      </c>
      <c r="J1606" s="59"/>
      <c r="K1606" s="59"/>
      <c r="L1606" s="59"/>
      <c r="M1606" s="59"/>
      <c r="N1606" s="59"/>
      <c r="O1606" s="59"/>
      <c r="P1606" s="59"/>
    </row>
    <row r="1607" spans="1:16">
      <c r="A1607" s="71">
        <f ca="1">IFERROR(__xludf.DUMMYFUNCTION("""COMPUTED_VALUE"""),44444.7571622222)</f>
        <v>44444.757162222202</v>
      </c>
      <c r="B1607" s="59" t="str">
        <f ca="1">IFERROR(__xludf.DUMMYFUNCTION("""COMPUTED_VALUE"""),"Karan Harijan")</f>
        <v>Karan Harijan</v>
      </c>
      <c r="C1607" s="72" t="str">
        <f ca="1">IFERROR(__xludf.DUMMYFUNCTION("""COMPUTED_VALUE"""),"20SDSCE01157")</f>
        <v>20SDSCE01157</v>
      </c>
      <c r="D1607" s="73">
        <f ca="1">IFERROR(__xludf.DUMMYFUNCTION("""COMPUTED_VALUE"""),44444)</f>
        <v>44444</v>
      </c>
      <c r="E1607" s="74">
        <f ca="1">IFERROR(__xludf.DUMMYFUNCTION("""COMPUTED_VALUE"""),2500)</f>
        <v>2500</v>
      </c>
      <c r="F1607" s="72"/>
      <c r="G1607" s="75"/>
      <c r="H1607" s="59" t="str">
        <f ca="1">IFERROR(__xludf.DUMMYFUNCTION("""COMPUTED_VALUE"""),"UPDATE")</f>
        <v>UPDATE</v>
      </c>
      <c r="I1607" s="76" t="str">
        <f ca="1">IFERROR(__xludf.DUMMYFUNCTION("""COMPUTED_VALUE"""),"https://drive.google.com/open?id=1XIvTNwCUQzXBTZeURekSeELjV4PC2OT0")</f>
        <v>https://drive.google.com/open?id=1XIvTNwCUQzXBTZeURekSeELjV4PC2OT0</v>
      </c>
      <c r="J1607" s="59"/>
      <c r="K1607" s="59"/>
      <c r="L1607" s="59"/>
      <c r="M1607" s="59"/>
      <c r="N1607" s="59"/>
      <c r="O1607" s="59"/>
      <c r="P1607" s="59"/>
    </row>
    <row r="1608" spans="1:16">
      <c r="A1608" s="71">
        <f ca="1">IFERROR(__xludf.DUMMYFUNCTION("""COMPUTED_VALUE"""),44444.7416554166)</f>
        <v>44444.741655416597</v>
      </c>
      <c r="B1608" s="59" t="str">
        <f ca="1">IFERROR(__xludf.DUMMYFUNCTION("""COMPUTED_VALUE"""),"JAGANI NAYAN SURESHBHAI")</f>
        <v>JAGANI NAYAN SURESHBHAI</v>
      </c>
      <c r="C1608" s="72" t="str">
        <f ca="1">IFERROR(__xludf.DUMMYFUNCTION("""COMPUTED_VALUE"""),"20SDSEE01011")</f>
        <v>20SDSEE01011</v>
      </c>
      <c r="D1608" s="73">
        <f ca="1">IFERROR(__xludf.DUMMYFUNCTION("""COMPUTED_VALUE"""),44443)</f>
        <v>44443</v>
      </c>
      <c r="E1608" s="72"/>
      <c r="F1608" s="72">
        <f ca="1">IFERROR(__xludf.DUMMYFUNCTION("""COMPUTED_VALUE"""),2500)</f>
        <v>2500</v>
      </c>
      <c r="G1608" s="75"/>
      <c r="H1608" s="59" t="str">
        <f ca="1">IFERROR(__xludf.DUMMYFUNCTION("""COMPUTED_VALUE"""),"UPDATE")</f>
        <v>UPDATE</v>
      </c>
      <c r="I1608" s="76" t="str">
        <f ca="1">IFERROR(__xludf.DUMMYFUNCTION("""COMPUTED_VALUE"""),"https://drive.google.com/open?id=1qMBXTPGStTzhPPoedF8rJ4oIedCDWV9g")</f>
        <v>https://drive.google.com/open?id=1qMBXTPGStTzhPPoedF8rJ4oIedCDWV9g</v>
      </c>
      <c r="J1608" s="59"/>
      <c r="K1608" s="59"/>
      <c r="L1608" s="59"/>
      <c r="M1608" s="59"/>
      <c r="N1608" s="59"/>
      <c r="O1608" s="59"/>
      <c r="P1608" s="59"/>
    </row>
    <row r="1609" spans="1:16">
      <c r="A1609" s="71">
        <f ca="1">IFERROR(__xludf.DUMMYFUNCTION("""COMPUTED_VALUE"""),44444.7406015856)</f>
        <v>44444.740601585603</v>
      </c>
      <c r="B1609" s="59" t="str">
        <f ca="1">IFERROR(__xludf.DUMMYFUNCTION("""COMPUTED_VALUE"""),"THUMMAR MEET MUKESHBHAI")</f>
        <v>THUMMAR MEET MUKESHBHAI</v>
      </c>
      <c r="C1609" s="72" t="str">
        <f ca="1">IFERROR(__xludf.DUMMYFUNCTION("""COMPUTED_VALUE"""),"20SDSEE01026")</f>
        <v>20SDSEE01026</v>
      </c>
      <c r="D1609" s="73">
        <f ca="1">IFERROR(__xludf.DUMMYFUNCTION("""COMPUTED_VALUE"""),44444)</f>
        <v>44444</v>
      </c>
      <c r="E1609" s="74">
        <f ca="1">IFERROR(__xludf.DUMMYFUNCTION("""COMPUTED_VALUE"""),25000)</f>
        <v>25000</v>
      </c>
      <c r="F1609" s="72">
        <f ca="1">IFERROR(__xludf.DUMMYFUNCTION("""COMPUTED_VALUE"""),2500)</f>
        <v>2500</v>
      </c>
      <c r="G1609" s="75"/>
      <c r="H1609" s="59" t="str">
        <f ca="1">IFERROR(__xludf.DUMMYFUNCTION("""COMPUTED_VALUE"""),"UPDATE")</f>
        <v>UPDATE</v>
      </c>
      <c r="I1609" s="76" t="str">
        <f ca="1">IFERROR(__xludf.DUMMYFUNCTION("""COMPUTED_VALUE"""),"https://drive.google.com/open?id=1VQ1WszoHEn3az_KenuzzsOpqaFznAA02")</f>
        <v>https://drive.google.com/open?id=1VQ1WszoHEn3az_KenuzzsOpqaFznAA02</v>
      </c>
      <c r="J1609" s="59"/>
      <c r="K1609" s="59"/>
      <c r="L1609" s="59"/>
      <c r="M1609" s="59"/>
      <c r="N1609" s="59"/>
      <c r="O1609" s="59"/>
      <c r="P1609" s="59"/>
    </row>
    <row r="1610" spans="1:16">
      <c r="A1610" s="71">
        <f ca="1">IFERROR(__xludf.DUMMYFUNCTION("""COMPUTED_VALUE"""),44444.4402540856)</f>
        <v>44444.440254085603</v>
      </c>
      <c r="B1610" s="59" t="str">
        <f ca="1">IFERROR(__xludf.DUMMYFUNCTION("""COMPUTED_VALUE"""),"Kadchhi aesha ")</f>
        <v xml:space="preserve">Kadchhi aesha </v>
      </c>
      <c r="C1610" s="72" t="str">
        <f ca="1">IFERROR(__xludf.DUMMYFUNCTION("""COMPUTED_VALUE"""),"20SDSCE01047")</f>
        <v>20SDSCE01047</v>
      </c>
      <c r="D1610" s="73">
        <f ca="1">IFERROR(__xludf.DUMMYFUNCTION("""COMPUTED_VALUE"""),44443)</f>
        <v>44443</v>
      </c>
      <c r="E1610" s="74">
        <f ca="1">IFERROR(__xludf.DUMMYFUNCTION("""COMPUTED_VALUE"""),6250)</f>
        <v>6250</v>
      </c>
      <c r="F1610" s="72">
        <f ca="1">IFERROR(__xludf.DUMMYFUNCTION("""COMPUTED_VALUE"""),2500)</f>
        <v>2500</v>
      </c>
      <c r="G1610" s="75"/>
      <c r="H1610" s="59" t="str">
        <f ca="1">IFERROR(__xludf.DUMMYFUNCTION("""COMPUTED_VALUE"""),"UPDATE")</f>
        <v>UPDATE</v>
      </c>
      <c r="I1610" s="76" t="str">
        <f ca="1">IFERROR(__xludf.DUMMYFUNCTION("""COMPUTED_VALUE"""),"https://drive.google.com/open?id=1rYMWeoD487dRJOZ-bj7_-gcg9uw7LcLL")</f>
        <v>https://drive.google.com/open?id=1rYMWeoD487dRJOZ-bj7_-gcg9uw7LcLL</v>
      </c>
      <c r="J1610" s="59"/>
      <c r="K1610" s="59"/>
      <c r="L1610" s="59"/>
      <c r="M1610" s="59"/>
      <c r="N1610" s="59"/>
      <c r="O1610" s="59"/>
      <c r="P1610" s="59"/>
    </row>
    <row r="1611" spans="1:16">
      <c r="A1611" s="71">
        <f ca="1">IFERROR(__xludf.DUMMYFUNCTION("""COMPUTED_VALUE"""),44444.4395920486)</f>
        <v>44444.439592048599</v>
      </c>
      <c r="B1611" s="59" t="str">
        <f ca="1">IFERROR(__xludf.DUMMYFUNCTION("""COMPUTED_VALUE"""),"Kadchhi aesha ")</f>
        <v xml:space="preserve">Kadchhi aesha </v>
      </c>
      <c r="C1611" s="72" t="str">
        <f ca="1">IFERROR(__xludf.DUMMYFUNCTION("""COMPUTED_VALUE"""),"20SDSCE01047")</f>
        <v>20SDSCE01047</v>
      </c>
      <c r="D1611" s="73">
        <f ca="1">IFERROR(__xludf.DUMMYFUNCTION("""COMPUTED_VALUE"""),44443)</f>
        <v>44443</v>
      </c>
      <c r="E1611" s="74">
        <f ca="1">IFERROR(__xludf.DUMMYFUNCTION("""COMPUTED_VALUE"""),6250)</f>
        <v>6250</v>
      </c>
      <c r="F1611" s="72">
        <f ca="1">IFERROR(__xludf.DUMMYFUNCTION("""COMPUTED_VALUE"""),2500)</f>
        <v>2500</v>
      </c>
      <c r="G1611" s="75"/>
      <c r="H1611" s="59" t="str">
        <f ca="1">IFERROR(__xludf.DUMMYFUNCTION("""COMPUTED_VALUE"""),"UPDATE")</f>
        <v>UPDATE</v>
      </c>
      <c r="I1611" s="76" t="str">
        <f ca="1">IFERROR(__xludf.DUMMYFUNCTION("""COMPUTED_VALUE"""),"https://drive.google.com/open?id=1KUEMw2ku6cwgFQpVI7wsHuuEq623o_j3")</f>
        <v>https://drive.google.com/open?id=1KUEMw2ku6cwgFQpVI7wsHuuEq623o_j3</v>
      </c>
      <c r="J1611" s="59"/>
      <c r="K1611" s="59"/>
      <c r="L1611" s="59"/>
      <c r="M1611" s="59"/>
      <c r="N1611" s="59"/>
      <c r="O1611" s="59"/>
      <c r="P1611" s="59"/>
    </row>
    <row r="1612" spans="1:16">
      <c r="A1612" s="71">
        <f ca="1">IFERROR(__xludf.DUMMYFUNCTION("""COMPUTED_VALUE"""),44444.4374337037)</f>
        <v>44444.437433703701</v>
      </c>
      <c r="B1612" s="59" t="str">
        <f ca="1">IFERROR(__xludf.DUMMYFUNCTION("""COMPUTED_VALUE"""),"Suvagiya vidhi")</f>
        <v>Suvagiya vidhi</v>
      </c>
      <c r="C1612" s="72" t="str">
        <f ca="1">IFERROR(__xludf.DUMMYFUNCTION("""COMPUTED_VALUE"""),"20SDSCE01116")</f>
        <v>20SDSCE01116</v>
      </c>
      <c r="D1612" s="73">
        <f ca="1">IFERROR(__xludf.DUMMYFUNCTION("""COMPUTED_VALUE"""),44443)</f>
        <v>44443</v>
      </c>
      <c r="E1612" s="74">
        <f ca="1">IFERROR(__xludf.DUMMYFUNCTION("""COMPUTED_VALUE"""),25000)</f>
        <v>25000</v>
      </c>
      <c r="F1612" s="72">
        <f ca="1">IFERROR(__xludf.DUMMYFUNCTION("""COMPUTED_VALUE"""),2500)</f>
        <v>2500</v>
      </c>
      <c r="G1612" s="75"/>
      <c r="H1612" s="59" t="str">
        <f ca="1">IFERROR(__xludf.DUMMYFUNCTION("""COMPUTED_VALUE"""),"UPDATE")</f>
        <v>UPDATE</v>
      </c>
      <c r="I1612" s="76" t="str">
        <f ca="1">IFERROR(__xludf.DUMMYFUNCTION("""COMPUTED_VALUE"""),"https://drive.google.com/open?id=1DX2IplclM1VNzwecjIqfGYo5Ta1wa-HH")</f>
        <v>https://drive.google.com/open?id=1DX2IplclM1VNzwecjIqfGYo5Ta1wa-HH</v>
      </c>
      <c r="J1612" s="59"/>
      <c r="K1612" s="59"/>
      <c r="L1612" s="59"/>
      <c r="M1612" s="59"/>
      <c r="N1612" s="59"/>
      <c r="O1612" s="59"/>
      <c r="P1612" s="59"/>
    </row>
    <row r="1613" spans="1:16">
      <c r="A1613" s="71">
        <f ca="1">IFERROR(__xludf.DUMMYFUNCTION("""COMPUTED_VALUE"""),44444.4358855439)</f>
        <v>44444.435885543899</v>
      </c>
      <c r="B1613" s="59" t="str">
        <f ca="1">IFERROR(__xludf.DUMMYFUNCTION("""COMPUTED_VALUE"""),"Vidhi suvagiya")</f>
        <v>Vidhi suvagiya</v>
      </c>
      <c r="C1613" s="72" t="str">
        <f ca="1">IFERROR(__xludf.DUMMYFUNCTION("""COMPUTED_VALUE"""),"20SDSCE01116")</f>
        <v>20SDSCE01116</v>
      </c>
      <c r="D1613" s="73">
        <f ca="1">IFERROR(__xludf.DUMMYFUNCTION("""COMPUTED_VALUE"""),44443)</f>
        <v>44443</v>
      </c>
      <c r="E1613" s="74">
        <f ca="1">IFERROR(__xludf.DUMMYFUNCTION("""COMPUTED_VALUE"""),25000)</f>
        <v>25000</v>
      </c>
      <c r="F1613" s="72">
        <f ca="1">IFERROR(__xludf.DUMMYFUNCTION("""COMPUTED_VALUE"""),2500)</f>
        <v>2500</v>
      </c>
      <c r="G1613" s="75"/>
      <c r="H1613" s="59" t="str">
        <f ca="1">IFERROR(__xludf.DUMMYFUNCTION("""COMPUTED_VALUE"""),"UPDATE")</f>
        <v>UPDATE</v>
      </c>
      <c r="I1613" s="76" t="str">
        <f ca="1">IFERROR(__xludf.DUMMYFUNCTION("""COMPUTED_VALUE"""),"https://drive.google.com/open?id=1Mle0gl1Qi909DMNXdlIEVVLO-07TIL_M")</f>
        <v>https://drive.google.com/open?id=1Mle0gl1Qi909DMNXdlIEVVLO-07TIL_M</v>
      </c>
      <c r="J1613" s="59"/>
      <c r="K1613" s="59"/>
      <c r="L1613" s="59"/>
      <c r="M1613" s="59"/>
      <c r="N1613" s="59"/>
      <c r="O1613" s="59"/>
      <c r="P1613" s="59"/>
    </row>
    <row r="1614" spans="1:16">
      <c r="A1614" s="71">
        <f ca="1">IFERROR(__xludf.DUMMYFUNCTION("""COMPUTED_VALUE"""),44444.4016071875)</f>
        <v>44444.401607187501</v>
      </c>
      <c r="B1614" s="59" t="str">
        <f ca="1">IFERROR(__xludf.DUMMYFUNCTION("""COMPUTED_VALUE"""),"Daksh kardani")</f>
        <v>Daksh kardani</v>
      </c>
      <c r="C1614" s="72" t="str">
        <f ca="1">IFERROR(__xludf.DUMMYFUNCTION("""COMPUTED_VALUE"""),"20sdsce01051")</f>
        <v>20sdsce01051</v>
      </c>
      <c r="D1614" s="73">
        <f ca="1">IFERROR(__xludf.DUMMYFUNCTION("""COMPUTED_VALUE"""),44443)</f>
        <v>44443</v>
      </c>
      <c r="E1614" s="74">
        <f ca="1">IFERROR(__xludf.DUMMYFUNCTION("""COMPUTED_VALUE"""),25000)</f>
        <v>25000</v>
      </c>
      <c r="F1614" s="72">
        <f ca="1">IFERROR(__xludf.DUMMYFUNCTION("""COMPUTED_VALUE"""),2500)</f>
        <v>2500</v>
      </c>
      <c r="G1614" s="75"/>
      <c r="H1614" s="59" t="str">
        <f ca="1">IFERROR(__xludf.DUMMYFUNCTION("""COMPUTED_VALUE"""),"UPDATE")</f>
        <v>UPDATE</v>
      </c>
      <c r="I1614" s="76" t="str">
        <f ca="1">IFERROR(__xludf.DUMMYFUNCTION("""COMPUTED_VALUE"""),"https://drive.google.com/open?id=1zdqkTgtVRawvUGbk9xaatLFFxrZeNaGG")</f>
        <v>https://drive.google.com/open?id=1zdqkTgtVRawvUGbk9xaatLFFxrZeNaGG</v>
      </c>
      <c r="J1614" s="59"/>
      <c r="K1614" s="59"/>
      <c r="L1614" s="59"/>
      <c r="M1614" s="59"/>
      <c r="N1614" s="59"/>
      <c r="O1614" s="59"/>
      <c r="P1614" s="59"/>
    </row>
    <row r="1615" spans="1:16">
      <c r="A1615" s="71">
        <f ca="1">IFERROR(__xludf.DUMMYFUNCTION("""COMPUTED_VALUE"""),44443.7485657638)</f>
        <v>44443.748565763803</v>
      </c>
      <c r="B1615" s="59" t="str">
        <f ca="1">IFERROR(__xludf.DUMMYFUNCTION("""COMPUTED_VALUE"""),"utsav limbasiya")</f>
        <v>utsav limbasiya</v>
      </c>
      <c r="C1615" s="72" t="str">
        <f ca="1">IFERROR(__xludf.DUMMYFUNCTION("""COMPUTED_VALUE"""),"20sdsce01059")</f>
        <v>20sdsce01059</v>
      </c>
      <c r="D1615" s="73">
        <f ca="1">IFERROR(__xludf.DUMMYFUNCTION("""COMPUTED_VALUE"""),44443)</f>
        <v>44443</v>
      </c>
      <c r="E1615" s="74">
        <f ca="1">IFERROR(__xludf.DUMMYFUNCTION("""COMPUTED_VALUE"""),0)</f>
        <v>0</v>
      </c>
      <c r="F1615" s="72">
        <f ca="1">IFERROR(__xludf.DUMMYFUNCTION("""COMPUTED_VALUE"""),2500)</f>
        <v>2500</v>
      </c>
      <c r="G1615" s="75"/>
      <c r="H1615" s="59" t="str">
        <f ca="1">IFERROR(__xludf.DUMMYFUNCTION("""COMPUTED_VALUE"""),"UPDATE")</f>
        <v>UPDATE</v>
      </c>
      <c r="I1615" s="76" t="str">
        <f ca="1">IFERROR(__xludf.DUMMYFUNCTION("""COMPUTED_VALUE"""),"https://drive.google.com/open?id=1aqDI3RsYf1UQByGVXJ70BzD6juIiLK0u")</f>
        <v>https://drive.google.com/open?id=1aqDI3RsYf1UQByGVXJ70BzD6juIiLK0u</v>
      </c>
      <c r="J1615" s="59"/>
      <c r="K1615" s="59"/>
      <c r="L1615" s="59"/>
      <c r="M1615" s="59"/>
      <c r="N1615" s="59"/>
      <c r="O1615" s="59"/>
      <c r="P1615" s="59"/>
    </row>
    <row r="1616" spans="1:16">
      <c r="A1616" s="71">
        <f ca="1">IFERROR(__xludf.DUMMYFUNCTION("""COMPUTED_VALUE"""),44443.7273383333)</f>
        <v>44443.727338333301</v>
      </c>
      <c r="B1616" s="59" t="str">
        <f ca="1">IFERROR(__xludf.DUMMYFUNCTION("""COMPUTED_VALUE"""),"Gajjar Harshil")</f>
        <v>Gajjar Harshil</v>
      </c>
      <c r="C1616" s="72" t="str">
        <f ca="1">IFERROR(__xludf.DUMMYFUNCTION("""COMPUTED_VALUE"""),"20SDSCE01036")</f>
        <v>20SDSCE01036</v>
      </c>
      <c r="D1616" s="73">
        <f ca="1">IFERROR(__xludf.DUMMYFUNCTION("""COMPUTED_VALUE"""),44443)</f>
        <v>44443</v>
      </c>
      <c r="E1616" s="72"/>
      <c r="F1616" s="72">
        <f ca="1">IFERROR(__xludf.DUMMYFUNCTION("""COMPUTED_VALUE"""),2500)</f>
        <v>2500</v>
      </c>
      <c r="G1616" s="75"/>
      <c r="H1616" s="59" t="str">
        <f ca="1">IFERROR(__xludf.DUMMYFUNCTION("""COMPUTED_VALUE"""),"UPDATE")</f>
        <v>UPDATE</v>
      </c>
      <c r="I1616" s="76" t="str">
        <f ca="1">IFERROR(__xludf.DUMMYFUNCTION("""COMPUTED_VALUE"""),"https://drive.google.com/open?id=1nnXnZQuU0XD2aem0tdwH8wGUjuquhVBx")</f>
        <v>https://drive.google.com/open?id=1nnXnZQuU0XD2aem0tdwH8wGUjuquhVBx</v>
      </c>
      <c r="J1616" s="59"/>
      <c r="K1616" s="59"/>
      <c r="L1616" s="59"/>
      <c r="M1616" s="59"/>
      <c r="N1616" s="59"/>
      <c r="O1616" s="59"/>
      <c r="P1616" s="59"/>
    </row>
    <row r="1617" spans="1:16">
      <c r="A1617" s="71">
        <f ca="1">IFERROR(__xludf.DUMMYFUNCTION("""COMPUTED_VALUE"""),44443.7263801041)</f>
        <v>44443.726380104097</v>
      </c>
      <c r="B1617" s="59" t="str">
        <f ca="1">IFERROR(__xludf.DUMMYFUNCTION("""COMPUTED_VALUE"""),"Gajjar Harshil")</f>
        <v>Gajjar Harshil</v>
      </c>
      <c r="C1617" s="72" t="str">
        <f ca="1">IFERROR(__xludf.DUMMYFUNCTION("""COMPUTED_VALUE"""),"20SDSCE01036")</f>
        <v>20SDSCE01036</v>
      </c>
      <c r="D1617" s="73">
        <f ca="1">IFERROR(__xludf.DUMMYFUNCTION("""COMPUTED_VALUE"""),44443)</f>
        <v>44443</v>
      </c>
      <c r="E1617" s="74">
        <f ca="1">IFERROR(__xludf.DUMMYFUNCTION("""COMPUTED_VALUE"""),18750)</f>
        <v>18750</v>
      </c>
      <c r="F1617" s="72"/>
      <c r="G1617" s="75"/>
      <c r="H1617" s="59" t="str">
        <f ca="1">IFERROR(__xludf.DUMMYFUNCTION("""COMPUTED_VALUE"""),"UPDATE")</f>
        <v>UPDATE</v>
      </c>
      <c r="I1617" s="76" t="str">
        <f ca="1">IFERROR(__xludf.DUMMYFUNCTION("""COMPUTED_VALUE"""),"https://drive.google.com/open?id=1ZVCOqN9M3TbXktoacMMwEsHD4N3tgSj1")</f>
        <v>https://drive.google.com/open?id=1ZVCOqN9M3TbXktoacMMwEsHD4N3tgSj1</v>
      </c>
      <c r="J1617" s="59"/>
      <c r="K1617" s="59"/>
      <c r="L1617" s="59"/>
      <c r="M1617" s="59"/>
      <c r="N1617" s="59"/>
      <c r="O1617" s="59"/>
      <c r="P1617" s="59"/>
    </row>
    <row r="1618" spans="1:16">
      <c r="A1618" s="71">
        <f ca="1">IFERROR(__xludf.DUMMYFUNCTION("""COMPUTED_VALUE"""),44443.6424624305)</f>
        <v>44443.6424624305</v>
      </c>
      <c r="B1618" s="59" t="str">
        <f ca="1">IFERROR(__xludf.DUMMYFUNCTION("""COMPUTED_VALUE"""),"Jagani Nayan Suresh bhai")</f>
        <v>Jagani Nayan Suresh bhai</v>
      </c>
      <c r="C1618" s="72" t="str">
        <f ca="1">IFERROR(__xludf.DUMMYFUNCTION("""COMPUTED_VALUE"""),"20SDSEE01011")</f>
        <v>20SDSEE01011</v>
      </c>
      <c r="D1618" s="73">
        <f ca="1">IFERROR(__xludf.DUMMYFUNCTION("""COMPUTED_VALUE"""),44443)</f>
        <v>44443</v>
      </c>
      <c r="E1618" s="72"/>
      <c r="F1618" s="72">
        <f ca="1">IFERROR(__xludf.DUMMYFUNCTION("""COMPUTED_VALUE"""),2500)</f>
        <v>2500</v>
      </c>
      <c r="G1618" s="75"/>
      <c r="H1618" s="59" t="str">
        <f ca="1">IFERROR(__xludf.DUMMYFUNCTION("""COMPUTED_VALUE"""),"UPDATE")</f>
        <v>UPDATE</v>
      </c>
      <c r="I1618" s="76" t="str">
        <f ca="1">IFERROR(__xludf.DUMMYFUNCTION("""COMPUTED_VALUE"""),"https://drive.google.com/open?id=1bG8x6h5ezHwR74rMZJWkGr-FlAKRhjLc")</f>
        <v>https://drive.google.com/open?id=1bG8x6h5ezHwR74rMZJWkGr-FlAKRhjLc</v>
      </c>
      <c r="J1618" s="59"/>
      <c r="K1618" s="59"/>
      <c r="L1618" s="59"/>
      <c r="M1618" s="59"/>
      <c r="N1618" s="59"/>
      <c r="O1618" s="59"/>
      <c r="P1618" s="59"/>
    </row>
    <row r="1619" spans="1:16">
      <c r="A1619" s="71">
        <f ca="1">IFERROR(__xludf.DUMMYFUNCTION("""COMPUTED_VALUE"""),44443.5844903935)</f>
        <v>44443.584490393499</v>
      </c>
      <c r="B1619" s="59" t="str">
        <f ca="1">IFERROR(__xludf.DUMMYFUNCTION("""COMPUTED_VALUE"""),"Heet kananar rajeshbhai")</f>
        <v>Heet kananar rajeshbhai</v>
      </c>
      <c r="C1619" s="72" t="str">
        <f ca="1">IFERROR(__xludf.DUMMYFUNCTION("""COMPUTED_VALUE"""),"20SDSCE01049")</f>
        <v>20SDSCE01049</v>
      </c>
      <c r="D1619" s="73">
        <f ca="1">IFERROR(__xludf.DUMMYFUNCTION("""COMPUTED_VALUE"""),44442)</f>
        <v>44442</v>
      </c>
      <c r="E1619" s="72"/>
      <c r="F1619" s="72">
        <f ca="1">IFERROR(__xludf.DUMMYFUNCTION("""COMPUTED_VALUE"""),2500)</f>
        <v>2500</v>
      </c>
      <c r="G1619" s="75"/>
      <c r="H1619" s="59" t="str">
        <f ca="1">IFERROR(__xludf.DUMMYFUNCTION("""COMPUTED_VALUE"""),"UPDATE")</f>
        <v>UPDATE</v>
      </c>
      <c r="I1619" s="76" t="str">
        <f ca="1">IFERROR(__xludf.DUMMYFUNCTION("""COMPUTED_VALUE"""),"https://drive.google.com/open?id=18VELDfbu_r6Yts1w8cdlL_SrMxYFJ5x6")</f>
        <v>https://drive.google.com/open?id=18VELDfbu_r6Yts1w8cdlL_SrMxYFJ5x6</v>
      </c>
      <c r="J1619" s="59"/>
      <c r="K1619" s="59"/>
      <c r="L1619" s="59"/>
      <c r="M1619" s="59"/>
      <c r="N1619" s="59"/>
      <c r="O1619" s="59"/>
      <c r="P1619" s="59"/>
    </row>
    <row r="1620" spans="1:16">
      <c r="A1620" s="71">
        <f ca="1">IFERROR(__xludf.DUMMYFUNCTION("""COMPUTED_VALUE"""),44443.5833103125)</f>
        <v>44443.583310312497</v>
      </c>
      <c r="B1620" s="59" t="str">
        <f ca="1">IFERROR(__xludf.DUMMYFUNCTION("""COMPUTED_VALUE"""),"Heet kanabar rajeshbhai")</f>
        <v>Heet kanabar rajeshbhai</v>
      </c>
      <c r="C1620" s="72" t="str">
        <f ca="1">IFERROR(__xludf.DUMMYFUNCTION("""COMPUTED_VALUE"""),"20SDSCE01049")</f>
        <v>20SDSCE01049</v>
      </c>
      <c r="D1620" s="73">
        <f ca="1">IFERROR(__xludf.DUMMYFUNCTION("""COMPUTED_VALUE"""),44442)</f>
        <v>44442</v>
      </c>
      <c r="E1620" s="74">
        <f ca="1">IFERROR(__xludf.DUMMYFUNCTION("""COMPUTED_VALUE"""),6250)</f>
        <v>6250</v>
      </c>
      <c r="F1620" s="72"/>
      <c r="G1620" s="75"/>
      <c r="H1620" s="59" t="str">
        <f ca="1">IFERROR(__xludf.DUMMYFUNCTION("""COMPUTED_VALUE"""),"UPDATE")</f>
        <v>UPDATE</v>
      </c>
      <c r="I1620" s="76" t="str">
        <f ca="1">IFERROR(__xludf.DUMMYFUNCTION("""COMPUTED_VALUE"""),"https://drive.google.com/open?id=1upmKoW14ngvZ1WaqRicvBcOaK4bi-XwT")</f>
        <v>https://drive.google.com/open?id=1upmKoW14ngvZ1WaqRicvBcOaK4bi-XwT</v>
      </c>
      <c r="J1620" s="59"/>
      <c r="K1620" s="59"/>
      <c r="L1620" s="59"/>
      <c r="M1620" s="59"/>
      <c r="N1620" s="59"/>
      <c r="O1620" s="59"/>
      <c r="P1620" s="59"/>
    </row>
    <row r="1621" spans="1:16">
      <c r="A1621" s="71">
        <f ca="1">IFERROR(__xludf.DUMMYFUNCTION("""COMPUTED_VALUE"""),44443.5774385648)</f>
        <v>44443.577438564796</v>
      </c>
      <c r="B1621" s="59" t="str">
        <f ca="1">IFERROR(__xludf.DUMMYFUNCTION("""COMPUTED_VALUE"""),"Vadariya ishva Nileshbhai")</f>
        <v>Vadariya ishva Nileshbhai</v>
      </c>
      <c r="C1621" s="72" t="str">
        <f ca="1">IFERROR(__xludf.DUMMYFUNCTION("""COMPUTED_VALUE"""),"20sdsce01124")</f>
        <v>20sdsce01124</v>
      </c>
      <c r="D1621" s="73">
        <f ca="1">IFERROR(__xludf.DUMMYFUNCTION("""COMPUTED_VALUE"""),44442)</f>
        <v>44442</v>
      </c>
      <c r="E1621" s="74">
        <f ca="1">IFERROR(__xludf.DUMMYFUNCTION("""COMPUTED_VALUE"""),25000)</f>
        <v>25000</v>
      </c>
      <c r="F1621" s="72"/>
      <c r="G1621" s="75"/>
      <c r="H1621" s="59" t="str">
        <f ca="1">IFERROR(__xludf.DUMMYFUNCTION("""COMPUTED_VALUE"""),"UPDATE")</f>
        <v>UPDATE</v>
      </c>
      <c r="I1621" s="76" t="str">
        <f ca="1">IFERROR(__xludf.DUMMYFUNCTION("""COMPUTED_VALUE"""),"https://drive.google.com/open?id=1lVNlTj8kVCB9y3RuebaRrGv_oPasscWY")</f>
        <v>https://drive.google.com/open?id=1lVNlTj8kVCB9y3RuebaRrGv_oPasscWY</v>
      </c>
      <c r="J1621" s="59"/>
      <c r="K1621" s="59"/>
      <c r="L1621" s="59"/>
      <c r="M1621" s="59"/>
      <c r="N1621" s="59"/>
      <c r="O1621" s="59"/>
      <c r="P1621" s="59"/>
    </row>
    <row r="1622" spans="1:16">
      <c r="A1622" s="71">
        <f ca="1">IFERROR(__xludf.DUMMYFUNCTION("""COMPUTED_VALUE"""),44443.5705552199)</f>
        <v>44443.5705552199</v>
      </c>
      <c r="B1622" s="59" t="str">
        <f ca="1">IFERROR(__xludf.DUMMYFUNCTION("""COMPUTED_VALUE"""),"Hapliya sunny chandubhai")</f>
        <v>Hapliya sunny chandubhai</v>
      </c>
      <c r="C1622" s="72" t="str">
        <f ca="1">IFERROR(__xludf.DUMMYFUNCTION("""COMPUTED_VALUE"""),"20sdsce01042")</f>
        <v>20sdsce01042</v>
      </c>
      <c r="D1622" s="73">
        <f ca="1">IFERROR(__xludf.DUMMYFUNCTION("""COMPUTED_VALUE"""),44443)</f>
        <v>44443</v>
      </c>
      <c r="E1622" s="74">
        <f ca="1">IFERROR(__xludf.DUMMYFUNCTION("""COMPUTED_VALUE"""),12500)</f>
        <v>12500</v>
      </c>
      <c r="F1622" s="72">
        <f ca="1">IFERROR(__xludf.DUMMYFUNCTION("""COMPUTED_VALUE"""),2500)</f>
        <v>2500</v>
      </c>
      <c r="G1622" s="75"/>
      <c r="H1622" s="59" t="str">
        <f ca="1">IFERROR(__xludf.DUMMYFUNCTION("""COMPUTED_VALUE"""),"UPDATE")</f>
        <v>UPDATE</v>
      </c>
      <c r="I1622" s="76" t="str">
        <f ca="1">IFERROR(__xludf.DUMMYFUNCTION("""COMPUTED_VALUE"""),"https://drive.google.com/open?id=1kE7LkJ9Xm_YEoopbhecVXGE4Yn-WqJpJ")</f>
        <v>https://drive.google.com/open?id=1kE7LkJ9Xm_YEoopbhecVXGE4Yn-WqJpJ</v>
      </c>
      <c r="J1622" s="59"/>
      <c r="K1622" s="59"/>
      <c r="L1622" s="59"/>
      <c r="M1622" s="59"/>
      <c r="N1622" s="59"/>
      <c r="O1622" s="59"/>
      <c r="P1622" s="59"/>
    </row>
    <row r="1623" spans="1:16">
      <c r="A1623" s="71">
        <f ca="1">IFERROR(__xludf.DUMMYFUNCTION("""COMPUTED_VALUE"""),44443.5594442476)</f>
        <v>44443.559444247599</v>
      </c>
      <c r="B1623" s="59" t="str">
        <f ca="1">IFERROR(__xludf.DUMMYFUNCTION("""COMPUTED_VALUE"""),"Prince bhut")</f>
        <v>Prince bhut</v>
      </c>
      <c r="C1623" s="72" t="str">
        <f ca="1">IFERROR(__xludf.DUMMYFUNCTION("""COMPUTED_VALUE"""),"20SDSCE01014")</f>
        <v>20SDSCE01014</v>
      </c>
      <c r="D1623" s="73">
        <f ca="1">IFERROR(__xludf.DUMMYFUNCTION("""COMPUTED_VALUE"""),37589)</f>
        <v>37589</v>
      </c>
      <c r="E1623" s="74">
        <f ca="1">IFERROR(__xludf.DUMMYFUNCTION("""COMPUTED_VALUE"""),25000)</f>
        <v>25000</v>
      </c>
      <c r="F1623" s="72">
        <f ca="1">IFERROR(__xludf.DUMMYFUNCTION("""COMPUTED_VALUE"""),2500)</f>
        <v>2500</v>
      </c>
      <c r="G1623" s="75"/>
      <c r="H1623" s="59" t="str">
        <f ca="1">IFERROR(__xludf.DUMMYFUNCTION("""COMPUTED_VALUE"""),"UPDATE")</f>
        <v>UPDATE</v>
      </c>
      <c r="I1623" s="76" t="str">
        <f ca="1">IFERROR(__xludf.DUMMYFUNCTION("""COMPUTED_VALUE"""),"https://drive.google.com/open?id=13eP_JNMOWs_nIdei0hOlD4zeLd1Dh6Lw")</f>
        <v>https://drive.google.com/open?id=13eP_JNMOWs_nIdei0hOlD4zeLd1Dh6Lw</v>
      </c>
      <c r="J1623" s="59"/>
      <c r="K1623" s="59"/>
      <c r="L1623" s="59"/>
      <c r="M1623" s="59"/>
      <c r="N1623" s="59"/>
      <c r="O1623" s="59"/>
      <c r="P1623" s="59"/>
    </row>
    <row r="1624" spans="1:16">
      <c r="A1624" s="71">
        <f ca="1">IFERROR(__xludf.DUMMYFUNCTION("""COMPUTED_VALUE"""),44443.5582601388)</f>
        <v>44443.558260138801</v>
      </c>
      <c r="B1624" s="59" t="str">
        <f ca="1">IFERROR(__xludf.DUMMYFUNCTION("""COMPUTED_VALUE"""),"Prince bhut")</f>
        <v>Prince bhut</v>
      </c>
      <c r="C1624" s="72" t="str">
        <f ca="1">IFERROR(__xludf.DUMMYFUNCTION("""COMPUTED_VALUE"""),"20SDSCE01014")</f>
        <v>20SDSCE01014</v>
      </c>
      <c r="D1624" s="73">
        <f ca="1">IFERROR(__xludf.DUMMYFUNCTION("""COMPUTED_VALUE"""),37589)</f>
        <v>37589</v>
      </c>
      <c r="E1624" s="74">
        <f ca="1">IFERROR(__xludf.DUMMYFUNCTION("""COMPUTED_VALUE"""),25000)</f>
        <v>25000</v>
      </c>
      <c r="F1624" s="72">
        <f ca="1">IFERROR(__xludf.DUMMYFUNCTION("""COMPUTED_VALUE"""),2500)</f>
        <v>2500</v>
      </c>
      <c r="G1624" s="75"/>
      <c r="H1624" s="59" t="str">
        <f ca="1">IFERROR(__xludf.DUMMYFUNCTION("""COMPUTED_VALUE"""),"UPDATE")</f>
        <v>UPDATE</v>
      </c>
      <c r="I1624" s="76" t="str">
        <f ca="1">IFERROR(__xludf.DUMMYFUNCTION("""COMPUTED_VALUE"""),"https://drive.google.com/open?id=1BWNFN3pN6OIeHE1LKIBktRzDanA8gnLQ")</f>
        <v>https://drive.google.com/open?id=1BWNFN3pN6OIeHE1LKIBktRzDanA8gnLQ</v>
      </c>
      <c r="J1624" s="59"/>
      <c r="K1624" s="59"/>
      <c r="L1624" s="59"/>
      <c r="M1624" s="59"/>
      <c r="N1624" s="59"/>
      <c r="O1624" s="59"/>
      <c r="P1624" s="59"/>
    </row>
    <row r="1625" spans="1:16">
      <c r="A1625" s="71">
        <f ca="1">IFERROR(__xludf.DUMMYFUNCTION("""COMPUTED_VALUE"""),44443.5325762384)</f>
        <v>44443.532576238402</v>
      </c>
      <c r="B1625" s="59" t="str">
        <f ca="1">IFERROR(__xludf.DUMMYFUNCTION("""COMPUTED_VALUE"""),"DARSHIT YOGESHBHAI GHODASARA ")</f>
        <v xml:space="preserve">DARSHIT YOGESHBHAI GHODASARA </v>
      </c>
      <c r="C1625" s="72" t="str">
        <f ca="1">IFERROR(__xludf.DUMMYFUNCTION("""COMPUTED_VALUE"""),"20SDSCE01038")</f>
        <v>20SDSCE01038</v>
      </c>
      <c r="D1625" s="73">
        <f ca="1">IFERROR(__xludf.DUMMYFUNCTION("""COMPUTED_VALUE"""),44443)</f>
        <v>44443</v>
      </c>
      <c r="E1625" s="74">
        <f ca="1">IFERROR(__xludf.DUMMYFUNCTION("""COMPUTED_VALUE"""),27500)</f>
        <v>27500</v>
      </c>
      <c r="F1625" s="72">
        <f ca="1">IFERROR(__xludf.DUMMYFUNCTION("""COMPUTED_VALUE"""),2500)</f>
        <v>2500</v>
      </c>
      <c r="G1625" s="75"/>
      <c r="H1625" s="59" t="str">
        <f ca="1">IFERROR(__xludf.DUMMYFUNCTION("""COMPUTED_VALUE"""),"UPDATE")</f>
        <v>UPDATE</v>
      </c>
      <c r="I1625" s="76" t="str">
        <f ca="1">IFERROR(__xludf.DUMMYFUNCTION("""COMPUTED_VALUE"""),"https://drive.google.com/open?id=1QduSBXULINLJEDXJZfFSM96pjxopR-WT")</f>
        <v>https://drive.google.com/open?id=1QduSBXULINLJEDXJZfFSM96pjxopR-WT</v>
      </c>
      <c r="J1625" s="59"/>
      <c r="K1625" s="59"/>
      <c r="L1625" s="59"/>
      <c r="M1625" s="59"/>
      <c r="N1625" s="59"/>
      <c r="O1625" s="59"/>
      <c r="P1625" s="59"/>
    </row>
    <row r="1626" spans="1:16">
      <c r="A1626" s="71">
        <f ca="1">IFERROR(__xludf.DUMMYFUNCTION("""COMPUTED_VALUE"""),44443.5308898148)</f>
        <v>44443.5308898148</v>
      </c>
      <c r="B1626" s="59" t="str">
        <f ca="1">IFERROR(__xludf.DUMMYFUNCTION("""COMPUTED_VALUE"""),"Gadhiya Dharmik")</f>
        <v>Gadhiya Dharmik</v>
      </c>
      <c r="C1626" s="72" t="str">
        <f ca="1">IFERROR(__xludf.DUMMYFUNCTION("""COMPUTED_VALUE"""),"20sdsce01033")</f>
        <v>20sdsce01033</v>
      </c>
      <c r="D1626" s="73">
        <f ca="1">IFERROR(__xludf.DUMMYFUNCTION("""COMPUTED_VALUE"""),44443)</f>
        <v>44443</v>
      </c>
      <c r="E1626" s="72"/>
      <c r="F1626" s="72">
        <f ca="1">IFERROR(__xludf.DUMMYFUNCTION("""COMPUTED_VALUE"""),2500)</f>
        <v>2500</v>
      </c>
      <c r="G1626" s="75"/>
      <c r="H1626" s="59" t="str">
        <f ca="1">IFERROR(__xludf.DUMMYFUNCTION("""COMPUTED_VALUE"""),"UPDATE")</f>
        <v>UPDATE</v>
      </c>
      <c r="I1626" s="76" t="str">
        <f ca="1">IFERROR(__xludf.DUMMYFUNCTION("""COMPUTED_VALUE"""),"https://drive.google.com/open?id=1WTTZT6_uAJuh211zMKEck3yJHGNKfId1")</f>
        <v>https://drive.google.com/open?id=1WTTZT6_uAJuh211zMKEck3yJHGNKfId1</v>
      </c>
      <c r="J1626" s="59"/>
      <c r="K1626" s="59"/>
      <c r="L1626" s="59"/>
      <c r="M1626" s="59"/>
      <c r="N1626" s="59"/>
      <c r="O1626" s="59"/>
      <c r="P1626" s="59"/>
    </row>
    <row r="1627" spans="1:16">
      <c r="A1627" s="71">
        <f ca="1">IFERROR(__xludf.DUMMYFUNCTION("""COMPUTED_VALUE"""),44443.5210954745)</f>
        <v>44443.521095474498</v>
      </c>
      <c r="B1627" s="59" t="str">
        <f ca="1">IFERROR(__xludf.DUMMYFUNCTION("""COMPUTED_VALUE"""),"Dhruv girishbhai Koladiya")</f>
        <v>Dhruv girishbhai Koladiya</v>
      </c>
      <c r="C1627" s="72" t="str">
        <f ca="1">IFERROR(__xludf.DUMMYFUNCTION("""COMPUTED_VALUE"""),"20SDSCE01056")</f>
        <v>20SDSCE01056</v>
      </c>
      <c r="D1627" s="73">
        <f ca="1">IFERROR(__xludf.DUMMYFUNCTION("""COMPUTED_VALUE"""),44443)</f>
        <v>44443</v>
      </c>
      <c r="E1627" s="72"/>
      <c r="F1627" s="72"/>
      <c r="G1627" s="75"/>
      <c r="H1627" s="59" t="str">
        <f ca="1">IFERROR(__xludf.DUMMYFUNCTION("""COMPUTED_VALUE"""),"UPDATE")</f>
        <v>UPDATE</v>
      </c>
      <c r="I1627" s="76" t="str">
        <f ca="1">IFERROR(__xludf.DUMMYFUNCTION("""COMPUTED_VALUE"""),"https://drive.google.com/open?id=1VYIKk7nc7D-9Jqm_fDTE-iPMbnc0V4pU")</f>
        <v>https://drive.google.com/open?id=1VYIKk7nc7D-9Jqm_fDTE-iPMbnc0V4pU</v>
      </c>
      <c r="J1627" s="59"/>
      <c r="K1627" s="59"/>
      <c r="L1627" s="59"/>
      <c r="M1627" s="59"/>
      <c r="N1627" s="59"/>
      <c r="O1627" s="59"/>
      <c r="P1627" s="59"/>
    </row>
    <row r="1628" spans="1:16">
      <c r="A1628" s="71">
        <f ca="1">IFERROR(__xludf.DUMMYFUNCTION("""COMPUTED_VALUE"""),44443.5200428125)</f>
        <v>44443.520042812503</v>
      </c>
      <c r="B1628" s="59" t="str">
        <f ca="1">IFERROR(__xludf.DUMMYFUNCTION("""COMPUTED_VALUE"""),"Dhruv Girishbhai Koladiya")</f>
        <v>Dhruv Girishbhai Koladiya</v>
      </c>
      <c r="C1628" s="72" t="str">
        <f ca="1">IFERROR(__xludf.DUMMYFUNCTION("""COMPUTED_VALUE"""),"20SDSCE01056")</f>
        <v>20SDSCE01056</v>
      </c>
      <c r="D1628" s="73">
        <f ca="1">IFERROR(__xludf.DUMMYFUNCTION("""COMPUTED_VALUE"""),44443)</f>
        <v>44443</v>
      </c>
      <c r="E1628" s="72"/>
      <c r="F1628" s="72"/>
      <c r="G1628" s="75"/>
      <c r="H1628" s="59" t="str">
        <f ca="1">IFERROR(__xludf.DUMMYFUNCTION("""COMPUTED_VALUE"""),"UPDATE")</f>
        <v>UPDATE</v>
      </c>
      <c r="I1628" s="76" t="str">
        <f ca="1">IFERROR(__xludf.DUMMYFUNCTION("""COMPUTED_VALUE"""),"https://drive.google.com/open?id=1G6dtA4gJT17KTgbwzUSrRyZyb_HHn211")</f>
        <v>https://drive.google.com/open?id=1G6dtA4gJT17KTgbwzUSrRyZyb_HHn211</v>
      </c>
      <c r="J1628" s="59"/>
      <c r="K1628" s="59"/>
      <c r="L1628" s="59"/>
      <c r="M1628" s="59"/>
      <c r="N1628" s="59"/>
      <c r="O1628" s="59"/>
      <c r="P1628" s="59"/>
    </row>
    <row r="1629" spans="1:16">
      <c r="A1629" s="71">
        <f ca="1">IFERROR(__xludf.DUMMYFUNCTION("""COMPUTED_VALUE"""),44443.4979040509)</f>
        <v>44443.497904050899</v>
      </c>
      <c r="B1629" s="59" t="str">
        <f ca="1">IFERROR(__xludf.DUMMYFUNCTION("""COMPUTED_VALUE"""),"Darshit Ghodasara yogeshbhai")</f>
        <v>Darshit Ghodasara yogeshbhai</v>
      </c>
      <c r="C1629" s="72" t="str">
        <f ca="1">IFERROR(__xludf.DUMMYFUNCTION("""COMPUTED_VALUE"""),"20SDSCE01038")</f>
        <v>20SDSCE01038</v>
      </c>
      <c r="D1629" s="73">
        <f ca="1">IFERROR(__xludf.DUMMYFUNCTION("""COMPUTED_VALUE"""),44443)</f>
        <v>44443</v>
      </c>
      <c r="E1629" s="74">
        <f ca="1">IFERROR(__xludf.DUMMYFUNCTION("""COMPUTED_VALUE"""),0)</f>
        <v>0</v>
      </c>
      <c r="F1629" s="72">
        <f ca="1">IFERROR(__xludf.DUMMYFUNCTION("""COMPUTED_VALUE"""),0)</f>
        <v>0</v>
      </c>
      <c r="G1629" s="75"/>
      <c r="H1629" s="59" t="str">
        <f ca="1">IFERROR(__xludf.DUMMYFUNCTION("""COMPUTED_VALUE"""),"UPDATE")</f>
        <v>UPDATE</v>
      </c>
      <c r="I1629" s="76" t="str">
        <f ca="1">IFERROR(__xludf.DUMMYFUNCTION("""COMPUTED_VALUE"""),"https://drive.google.com/open?id=1wbY3mw4oOg1vu41iXaRqVk_duga42yCq")</f>
        <v>https://drive.google.com/open?id=1wbY3mw4oOg1vu41iXaRqVk_duga42yCq</v>
      </c>
      <c r="J1629" s="59"/>
      <c r="K1629" s="59"/>
      <c r="L1629" s="59"/>
      <c r="M1629" s="59"/>
      <c r="N1629" s="59"/>
      <c r="O1629" s="59"/>
      <c r="P1629" s="59"/>
    </row>
    <row r="1630" spans="1:16">
      <c r="A1630" s="71">
        <f ca="1">IFERROR(__xludf.DUMMYFUNCTION("""COMPUTED_VALUE"""),44443.4967345833)</f>
        <v>44443.496734583299</v>
      </c>
      <c r="B1630" s="59" t="str">
        <f ca="1">IFERROR(__xludf.DUMMYFUNCTION("""COMPUTED_VALUE"""),"Darshit Ghodasara yogeshbhai")</f>
        <v>Darshit Ghodasara yogeshbhai</v>
      </c>
      <c r="C1630" s="72" t="str">
        <f ca="1">IFERROR(__xludf.DUMMYFUNCTION("""COMPUTED_VALUE"""),"20SDSCE01038")</f>
        <v>20SDSCE01038</v>
      </c>
      <c r="D1630" s="73">
        <f ca="1">IFERROR(__xludf.DUMMYFUNCTION("""COMPUTED_VALUE"""),44443)</f>
        <v>44443</v>
      </c>
      <c r="E1630" s="74">
        <f ca="1">IFERROR(__xludf.DUMMYFUNCTION("""COMPUTED_VALUE"""),0)</f>
        <v>0</v>
      </c>
      <c r="F1630" s="72">
        <f ca="1">IFERROR(__xludf.DUMMYFUNCTION("""COMPUTED_VALUE"""),0)</f>
        <v>0</v>
      </c>
      <c r="G1630" s="75"/>
      <c r="H1630" s="59" t="str">
        <f ca="1">IFERROR(__xludf.DUMMYFUNCTION("""COMPUTED_VALUE"""),"UPDATE")</f>
        <v>UPDATE</v>
      </c>
      <c r="I1630" s="76" t="str">
        <f ca="1">IFERROR(__xludf.DUMMYFUNCTION("""COMPUTED_VALUE"""),"https://drive.google.com/open?id=10UjI3QfukXYo-HTNkiW78f21dec9a1dq")</f>
        <v>https://drive.google.com/open?id=10UjI3QfukXYo-HTNkiW78f21dec9a1dq</v>
      </c>
      <c r="J1630" s="59"/>
      <c r="K1630" s="59"/>
      <c r="L1630" s="59"/>
      <c r="M1630" s="59"/>
      <c r="N1630" s="59"/>
      <c r="O1630" s="59"/>
      <c r="P1630" s="59"/>
    </row>
    <row r="1631" spans="1:16">
      <c r="A1631" s="71">
        <f ca="1">IFERROR(__xludf.DUMMYFUNCTION("""COMPUTED_VALUE"""),44443.484976493)</f>
        <v>44443.484976492997</v>
      </c>
      <c r="B1631" s="59" t="str">
        <f ca="1">IFERROR(__xludf.DUMMYFUNCTION("""COMPUTED_VALUE"""),"Gabu daxa rasikbhai")</f>
        <v>Gabu daxa rasikbhai</v>
      </c>
      <c r="C1631" s="72" t="str">
        <f ca="1">IFERROR(__xludf.DUMMYFUNCTION("""COMPUTED_VALUE"""),"20SDSCE01032")</f>
        <v>20SDSCE01032</v>
      </c>
      <c r="D1631" s="73">
        <f ca="1">IFERROR(__xludf.DUMMYFUNCTION("""COMPUTED_VALUE"""),44442)</f>
        <v>44442</v>
      </c>
      <c r="E1631" s="72"/>
      <c r="F1631" s="72">
        <f ca="1">IFERROR(__xludf.DUMMYFUNCTION("""COMPUTED_VALUE"""),2500)</f>
        <v>2500</v>
      </c>
      <c r="G1631" s="75"/>
      <c r="H1631" s="59" t="str">
        <f ca="1">IFERROR(__xludf.DUMMYFUNCTION("""COMPUTED_VALUE"""),"UPDATE")</f>
        <v>UPDATE</v>
      </c>
      <c r="I1631" s="76" t="str">
        <f ca="1">IFERROR(__xludf.DUMMYFUNCTION("""COMPUTED_VALUE"""),"https://drive.google.com/open?id=1U34pjUPZ0M0X4BHvb3bFPP-RJxzLCQIg")</f>
        <v>https://drive.google.com/open?id=1U34pjUPZ0M0X4BHvb3bFPP-RJxzLCQIg</v>
      </c>
      <c r="J1631" s="59"/>
      <c r="K1631" s="59"/>
      <c r="L1631" s="59"/>
      <c r="M1631" s="59"/>
      <c r="N1631" s="59"/>
      <c r="O1631" s="59"/>
      <c r="P1631" s="59"/>
    </row>
    <row r="1632" spans="1:16">
      <c r="A1632" s="71">
        <f ca="1">IFERROR(__xludf.DUMMYFUNCTION("""COMPUTED_VALUE"""),44443.4757966435)</f>
        <v>44443.475796643499</v>
      </c>
      <c r="B1632" s="59" t="str">
        <f ca="1">IFERROR(__xludf.DUMMYFUNCTION("""COMPUTED_VALUE"""),"Sanchala yash")</f>
        <v>Sanchala yash</v>
      </c>
      <c r="C1632" s="72" t="str">
        <f ca="1">IFERROR(__xludf.DUMMYFUNCTION("""COMPUTED_VALUE"""),"20SDSCE01106")</f>
        <v>20SDSCE01106</v>
      </c>
      <c r="D1632" s="73">
        <f ca="1">IFERROR(__xludf.DUMMYFUNCTION("""COMPUTED_VALUE"""),44443)</f>
        <v>44443</v>
      </c>
      <c r="E1632" s="74">
        <f ca="1">IFERROR(__xludf.DUMMYFUNCTION("""COMPUTED_VALUE"""),25000)</f>
        <v>25000</v>
      </c>
      <c r="F1632" s="72">
        <f ca="1">IFERROR(__xludf.DUMMYFUNCTION("""COMPUTED_VALUE"""),2500)</f>
        <v>2500</v>
      </c>
      <c r="G1632" s="75"/>
      <c r="H1632" s="59" t="str">
        <f ca="1">IFERROR(__xludf.DUMMYFUNCTION("""COMPUTED_VALUE"""),"UPDATE")</f>
        <v>UPDATE</v>
      </c>
      <c r="I1632" s="76" t="str">
        <f ca="1">IFERROR(__xludf.DUMMYFUNCTION("""COMPUTED_VALUE"""),"https://drive.google.com/open?id=10V9qNLxa5g7rQd-y5g7npnplcJPorS78")</f>
        <v>https://drive.google.com/open?id=10V9qNLxa5g7rQd-y5g7npnplcJPorS78</v>
      </c>
      <c r="J1632" s="59"/>
      <c r="K1632" s="59"/>
      <c r="L1632" s="59"/>
      <c r="M1632" s="59"/>
      <c r="N1632" s="59"/>
      <c r="O1632" s="59"/>
      <c r="P1632" s="59"/>
    </row>
    <row r="1633" spans="1:16">
      <c r="A1633" s="71">
        <f ca="1">IFERROR(__xludf.DUMMYFUNCTION("""COMPUTED_VALUE"""),44443.4594542129)</f>
        <v>44443.459454212898</v>
      </c>
      <c r="B1633" s="59" t="str">
        <f ca="1">IFERROR(__xludf.DUMMYFUNCTION("""COMPUTED_VALUE"""),"ADODARIYA KEYUR HARESHBHAI")</f>
        <v>ADODARIYA KEYUR HARESHBHAI</v>
      </c>
      <c r="C1633" s="72" t="str">
        <f ca="1">IFERROR(__xludf.DUMMYFUNCTION("""COMPUTED_VALUE"""),"20SDSEE01003")</f>
        <v>20SDSEE01003</v>
      </c>
      <c r="D1633" s="73">
        <f ca="1">IFERROR(__xludf.DUMMYFUNCTION("""COMPUTED_VALUE"""),44442)</f>
        <v>44442</v>
      </c>
      <c r="E1633" s="74">
        <f ca="1">IFERROR(__xludf.DUMMYFUNCTION("""COMPUTED_VALUE"""),12500)</f>
        <v>12500</v>
      </c>
      <c r="F1633" s="72">
        <f ca="1">IFERROR(__xludf.DUMMYFUNCTION("""COMPUTED_VALUE"""),2500)</f>
        <v>2500</v>
      </c>
      <c r="G1633" s="75"/>
      <c r="H1633" s="59" t="str">
        <f ca="1">IFERROR(__xludf.DUMMYFUNCTION("""COMPUTED_VALUE"""),"UPDATE")</f>
        <v>UPDATE</v>
      </c>
      <c r="I1633" s="76" t="str">
        <f ca="1">IFERROR(__xludf.DUMMYFUNCTION("""COMPUTED_VALUE"""),"https://drive.google.com/open?id=17jVMrPBGCtwp9bIFUCBnX6KRHgljh9Nm")</f>
        <v>https://drive.google.com/open?id=17jVMrPBGCtwp9bIFUCBnX6KRHgljh9Nm</v>
      </c>
      <c r="J1633" s="59"/>
      <c r="K1633" s="59"/>
      <c r="L1633" s="59"/>
      <c r="M1633" s="59"/>
      <c r="N1633" s="59"/>
      <c r="O1633" s="59"/>
      <c r="P1633" s="59"/>
    </row>
    <row r="1634" spans="1:16">
      <c r="A1634" s="71">
        <f ca="1">IFERROR(__xludf.DUMMYFUNCTION("""COMPUTED_VALUE"""),44443.4570665162)</f>
        <v>44443.457066516203</v>
      </c>
      <c r="B1634" s="59" t="str">
        <f ca="1">IFERROR(__xludf.DUMMYFUNCTION("""COMPUTED_VALUE"""),"GARSONDIA NISARG BHIMALKIMAR")</f>
        <v>GARSONDIA NISARG BHIMALKIMAR</v>
      </c>
      <c r="C1634" s="72" t="str">
        <f ca="1">IFERROR(__xludf.DUMMYFUNCTION("""COMPUTED_VALUE"""),"20SDSEE01010")</f>
        <v>20SDSEE01010</v>
      </c>
      <c r="D1634" s="73">
        <f ca="1">IFERROR(__xludf.DUMMYFUNCTION("""COMPUTED_VALUE"""),44443)</f>
        <v>44443</v>
      </c>
      <c r="E1634" s="74">
        <f ca="1">IFERROR(__xludf.DUMMYFUNCTION("""COMPUTED_VALUE"""),18750)</f>
        <v>18750</v>
      </c>
      <c r="F1634" s="72">
        <f ca="1">IFERROR(__xludf.DUMMYFUNCTION("""COMPUTED_VALUE"""),2500)</f>
        <v>2500</v>
      </c>
      <c r="G1634" s="75"/>
      <c r="H1634" s="59" t="str">
        <f ca="1">IFERROR(__xludf.DUMMYFUNCTION("""COMPUTED_VALUE"""),"UPDATE")</f>
        <v>UPDATE</v>
      </c>
      <c r="I1634" s="76" t="str">
        <f ca="1">IFERROR(__xludf.DUMMYFUNCTION("""COMPUTED_VALUE"""),"https://drive.google.com/open?id=1WgYBKTrkAsANT1Y_jrN2cNS-nw1lq3xk")</f>
        <v>https://drive.google.com/open?id=1WgYBKTrkAsANT1Y_jrN2cNS-nw1lq3xk</v>
      </c>
      <c r="J1634" s="59"/>
      <c r="K1634" s="59"/>
      <c r="L1634" s="59"/>
      <c r="M1634" s="59"/>
      <c r="N1634" s="59"/>
      <c r="O1634" s="59"/>
      <c r="P1634" s="59"/>
    </row>
    <row r="1635" spans="1:16">
      <c r="A1635" s="71">
        <f ca="1">IFERROR(__xludf.DUMMYFUNCTION("""COMPUTED_VALUE"""),44443.4543241319)</f>
        <v>44443.454324131897</v>
      </c>
      <c r="B1635" s="59" t="str">
        <f ca="1">IFERROR(__xludf.DUMMYFUNCTION("""COMPUTED_VALUE"""),"AJANI KARAN PRESHBHAI")</f>
        <v>AJANI KARAN PRESHBHAI</v>
      </c>
      <c r="C1635" s="72" t="str">
        <f ca="1">IFERROR(__xludf.DUMMYFUNCTION("""COMPUTED_VALUE"""),"2OSDSEE01001")</f>
        <v>2OSDSEE01001</v>
      </c>
      <c r="D1635" s="73">
        <f ca="1">IFERROR(__xludf.DUMMYFUNCTION("""COMPUTED_VALUE"""),44443)</f>
        <v>44443</v>
      </c>
      <c r="E1635" s="74">
        <f ca="1">IFERROR(__xludf.DUMMYFUNCTION("""COMPUTED_VALUE"""),12500)</f>
        <v>12500</v>
      </c>
      <c r="F1635" s="72">
        <f ca="1">IFERROR(__xludf.DUMMYFUNCTION("""COMPUTED_VALUE"""),2500)</f>
        <v>2500</v>
      </c>
      <c r="G1635" s="75"/>
      <c r="H1635" s="59" t="str">
        <f ca="1">IFERROR(__xludf.DUMMYFUNCTION("""COMPUTED_VALUE"""),"UPDATE")</f>
        <v>UPDATE</v>
      </c>
      <c r="I1635" s="76" t="str">
        <f ca="1">IFERROR(__xludf.DUMMYFUNCTION("""COMPUTED_VALUE"""),"https://drive.google.com/open?id=18CjdDs6D0ejQdXRzPeNx6VTClxdt1U6-")</f>
        <v>https://drive.google.com/open?id=18CjdDs6D0ejQdXRzPeNx6VTClxdt1U6-</v>
      </c>
      <c r="J1635" s="59"/>
      <c r="K1635" s="59"/>
      <c r="L1635" s="59"/>
      <c r="M1635" s="59"/>
      <c r="N1635" s="59"/>
      <c r="O1635" s="59"/>
      <c r="P1635" s="59"/>
    </row>
    <row r="1636" spans="1:16">
      <c r="A1636" s="71">
        <f ca="1">IFERROR(__xludf.DUMMYFUNCTION("""COMPUTED_VALUE"""),44443.4214558564)</f>
        <v>44443.421455856398</v>
      </c>
      <c r="B1636" s="59" t="str">
        <f ca="1">IFERROR(__xludf.DUMMYFUNCTION("""COMPUTED_VALUE"""),"Keyur hareshbhai asodariya")</f>
        <v>Keyur hareshbhai asodariya</v>
      </c>
      <c r="C1636" s="72" t="str">
        <f ca="1">IFERROR(__xludf.DUMMYFUNCTION("""COMPUTED_VALUE"""),"20SDSEE01003")</f>
        <v>20SDSEE01003</v>
      </c>
      <c r="D1636" s="73">
        <f ca="1">IFERROR(__xludf.DUMMYFUNCTION("""COMPUTED_VALUE"""),44442)</f>
        <v>44442</v>
      </c>
      <c r="E1636" s="72"/>
      <c r="F1636" s="72">
        <f ca="1">IFERROR(__xludf.DUMMYFUNCTION("""COMPUTED_VALUE"""),2500)</f>
        <v>2500</v>
      </c>
      <c r="G1636" s="75"/>
      <c r="H1636" s="59" t="str">
        <f ca="1">IFERROR(__xludf.DUMMYFUNCTION("""COMPUTED_VALUE"""),"UPDATE")</f>
        <v>UPDATE</v>
      </c>
      <c r="I1636" s="76" t="str">
        <f ca="1">IFERROR(__xludf.DUMMYFUNCTION("""COMPUTED_VALUE"""),"https://drive.google.com/open?id=1nZFLcCpPQGkHRHLua3arQmzXZyyVk6mT")</f>
        <v>https://drive.google.com/open?id=1nZFLcCpPQGkHRHLua3arQmzXZyyVk6mT</v>
      </c>
      <c r="J1636" s="59"/>
      <c r="K1636" s="59"/>
      <c r="L1636" s="59"/>
      <c r="M1636" s="59"/>
      <c r="N1636" s="59"/>
      <c r="O1636" s="59"/>
      <c r="P1636" s="59"/>
    </row>
    <row r="1637" spans="1:16">
      <c r="A1637" s="71">
        <f ca="1">IFERROR(__xludf.DUMMYFUNCTION("""COMPUTED_VALUE"""),44443.4190133796)</f>
        <v>44443.4190133796</v>
      </c>
      <c r="B1637" s="59" t="str">
        <f ca="1">IFERROR(__xludf.DUMMYFUNCTION("""COMPUTED_VALUE"""),"Keyur hareshbhai asodariya")</f>
        <v>Keyur hareshbhai asodariya</v>
      </c>
      <c r="C1637" s="72" t="str">
        <f ca="1">IFERROR(__xludf.DUMMYFUNCTION("""COMPUTED_VALUE"""),"20SDSEE01003")</f>
        <v>20SDSEE01003</v>
      </c>
      <c r="D1637" s="73">
        <f ca="1">IFERROR(__xludf.DUMMYFUNCTION("""COMPUTED_VALUE"""),44442)</f>
        <v>44442</v>
      </c>
      <c r="E1637" s="74">
        <f ca="1">IFERROR(__xludf.DUMMYFUNCTION("""COMPUTED_VALUE"""),12500)</f>
        <v>12500</v>
      </c>
      <c r="F1637" s="72">
        <f ca="1">IFERROR(__xludf.DUMMYFUNCTION("""COMPUTED_VALUE"""),2500)</f>
        <v>2500</v>
      </c>
      <c r="G1637" s="75"/>
      <c r="H1637" s="59" t="str">
        <f ca="1">IFERROR(__xludf.DUMMYFUNCTION("""COMPUTED_VALUE"""),"UPDATE")</f>
        <v>UPDATE</v>
      </c>
      <c r="I1637" s="76" t="str">
        <f ca="1">IFERROR(__xludf.DUMMYFUNCTION("""COMPUTED_VALUE"""),"https://drive.google.com/open?id=1GhMjmS39wRlUS3E2iHZjThAFMP0uIS4q")</f>
        <v>https://drive.google.com/open?id=1GhMjmS39wRlUS3E2iHZjThAFMP0uIS4q</v>
      </c>
      <c r="J1637" s="59"/>
      <c r="K1637" s="59"/>
      <c r="L1637" s="59"/>
      <c r="M1637" s="59"/>
      <c r="N1637" s="59"/>
      <c r="O1637" s="59"/>
      <c r="P1637" s="59"/>
    </row>
    <row r="1638" spans="1:16">
      <c r="A1638" s="71">
        <f ca="1">IFERROR(__xludf.DUMMYFUNCTION("""COMPUTED_VALUE"""),44443.4100737268)</f>
        <v>44443.410073726802</v>
      </c>
      <c r="B1638" s="59" t="str">
        <f ca="1">IFERROR(__xludf.DUMMYFUNCTION("""COMPUTED_VALUE"""),"Dharmik Ashwinbhai Gadhiya")</f>
        <v>Dharmik Ashwinbhai Gadhiya</v>
      </c>
      <c r="C1638" s="72" t="str">
        <f ca="1">IFERROR(__xludf.DUMMYFUNCTION("""COMPUTED_VALUE"""),"20SDSCE01033")</f>
        <v>20SDSCE01033</v>
      </c>
      <c r="D1638" s="73">
        <f ca="1">IFERROR(__xludf.DUMMYFUNCTION("""COMPUTED_VALUE"""),44443)</f>
        <v>44443</v>
      </c>
      <c r="E1638" s="74">
        <f ca="1">IFERROR(__xludf.DUMMYFUNCTION("""COMPUTED_VALUE"""),10000)</f>
        <v>10000</v>
      </c>
      <c r="F1638" s="72"/>
      <c r="G1638" s="75"/>
      <c r="H1638" s="59" t="str">
        <f ca="1">IFERROR(__xludf.DUMMYFUNCTION("""COMPUTED_VALUE"""),"UPDATE")</f>
        <v>UPDATE</v>
      </c>
      <c r="I1638" s="76" t="str">
        <f ca="1">IFERROR(__xludf.DUMMYFUNCTION("""COMPUTED_VALUE"""),"https://drive.google.com/open?id=1kNfoLG58GZ6Jf-XYstLhNyJsFD7xTl3Z")</f>
        <v>https://drive.google.com/open?id=1kNfoLG58GZ6Jf-XYstLhNyJsFD7xTl3Z</v>
      </c>
      <c r="J1638" s="59"/>
      <c r="K1638" s="59"/>
      <c r="L1638" s="59"/>
      <c r="M1638" s="59"/>
      <c r="N1638" s="59"/>
      <c r="O1638" s="59"/>
      <c r="P1638" s="59"/>
    </row>
    <row r="1639" spans="1:16">
      <c r="A1639" s="71">
        <f ca="1">IFERROR(__xludf.DUMMYFUNCTION("""COMPUTED_VALUE"""),44442.876069537)</f>
        <v>44442.876069537</v>
      </c>
      <c r="B1639" s="59" t="str">
        <f ca="1">IFERROR(__xludf.DUMMYFUNCTION("""COMPUTED_VALUE"""),"Riya dedaniya")</f>
        <v>Riya dedaniya</v>
      </c>
      <c r="C1639" s="72" t="str">
        <f ca="1">IFERROR(__xludf.DUMMYFUNCTION("""COMPUTED_VALUE"""),"20SDSCE01025")</f>
        <v>20SDSCE01025</v>
      </c>
      <c r="D1639" s="73">
        <f ca="1">IFERROR(__xludf.DUMMYFUNCTION("""COMPUTED_VALUE"""),44442)</f>
        <v>44442</v>
      </c>
      <c r="E1639" s="72"/>
      <c r="F1639" s="72">
        <f ca="1">IFERROR(__xludf.DUMMYFUNCTION("""COMPUTED_VALUE"""),2500)</f>
        <v>2500</v>
      </c>
      <c r="G1639" s="75"/>
      <c r="H1639" s="59" t="str">
        <f ca="1">IFERROR(__xludf.DUMMYFUNCTION("""COMPUTED_VALUE"""),"UPDATE")</f>
        <v>UPDATE</v>
      </c>
      <c r="I1639" s="76" t="str">
        <f ca="1">IFERROR(__xludf.DUMMYFUNCTION("""COMPUTED_VALUE"""),"https://drive.google.com/open?id=1GCqbL7sfbLd93U2no42YHHm5nTyQrEzj")</f>
        <v>https://drive.google.com/open?id=1GCqbL7sfbLd93U2no42YHHm5nTyQrEzj</v>
      </c>
      <c r="J1639" s="59"/>
      <c r="K1639" s="59"/>
      <c r="L1639" s="59"/>
      <c r="M1639" s="59"/>
      <c r="N1639" s="59"/>
      <c r="O1639" s="59"/>
      <c r="P1639" s="59"/>
    </row>
    <row r="1640" spans="1:16">
      <c r="A1640" s="71">
        <f ca="1">IFERROR(__xludf.DUMMYFUNCTION("""COMPUTED_VALUE"""),44442.748625706)</f>
        <v>44442.748625706001</v>
      </c>
      <c r="B1640" s="59" t="str">
        <f ca="1">IFERROR(__xludf.DUMMYFUNCTION("""COMPUTED_VALUE"""),"Romil Hiteshbhai Dobariya")</f>
        <v>Romil Hiteshbhai Dobariya</v>
      </c>
      <c r="C1640" s="72" t="str">
        <f ca="1">IFERROR(__xludf.DUMMYFUNCTION("""COMPUTED_VALUE"""),"20SDSCE01029")</f>
        <v>20SDSCE01029</v>
      </c>
      <c r="D1640" s="73">
        <f ca="1">IFERROR(__xludf.DUMMYFUNCTION("""COMPUTED_VALUE"""),44442)</f>
        <v>44442</v>
      </c>
      <c r="E1640" s="72"/>
      <c r="F1640" s="72"/>
      <c r="G1640" s="75"/>
      <c r="H1640" s="59" t="str">
        <f ca="1">IFERROR(__xludf.DUMMYFUNCTION("""COMPUTED_VALUE"""),"UPDATE")</f>
        <v>UPDATE</v>
      </c>
      <c r="I1640" s="76" t="str">
        <f ca="1">IFERROR(__xludf.DUMMYFUNCTION("""COMPUTED_VALUE"""),"https://drive.google.com/open?id=1a09FrHfV-yEJhXZQe2-Zw6XqznxvFb4y")</f>
        <v>https://drive.google.com/open?id=1a09FrHfV-yEJhXZQe2-Zw6XqznxvFb4y</v>
      </c>
      <c r="J1640" s="59"/>
      <c r="K1640" s="59"/>
      <c r="L1640" s="59"/>
      <c r="M1640" s="59"/>
      <c r="N1640" s="59"/>
      <c r="O1640" s="59"/>
      <c r="P1640" s="59"/>
    </row>
    <row r="1641" spans="1:16">
      <c r="A1641" s="71">
        <f ca="1">IFERROR(__xludf.DUMMYFUNCTION("""COMPUTED_VALUE"""),44442.7226230439)</f>
        <v>44442.722623043897</v>
      </c>
      <c r="B1641" s="59" t="str">
        <f ca="1">IFERROR(__xludf.DUMMYFUNCTION("""COMPUTED_VALUE"""),"Smit barbhaya")</f>
        <v>Smit barbhaya</v>
      </c>
      <c r="C1641" s="72" t="str">
        <f ca="1">IFERROR(__xludf.DUMMYFUNCTION("""COMPUTED_VALUE"""),"20SDSCE01007")</f>
        <v>20SDSCE01007</v>
      </c>
      <c r="D1641" s="73">
        <f ca="1">IFERROR(__xludf.DUMMYFUNCTION("""COMPUTED_VALUE"""),44442)</f>
        <v>44442</v>
      </c>
      <c r="E1641" s="74">
        <f ca="1">IFERROR(__xludf.DUMMYFUNCTION("""COMPUTED_VALUE"""),6250)</f>
        <v>6250</v>
      </c>
      <c r="F1641" s="72">
        <f ca="1">IFERROR(__xludf.DUMMYFUNCTION("""COMPUTED_VALUE"""),2500)</f>
        <v>2500</v>
      </c>
      <c r="G1641" s="75"/>
      <c r="H1641" s="59" t="str">
        <f ca="1">IFERROR(__xludf.DUMMYFUNCTION("""COMPUTED_VALUE"""),"UPDATE")</f>
        <v>UPDATE</v>
      </c>
      <c r="I1641" s="76" t="str">
        <f ca="1">IFERROR(__xludf.DUMMYFUNCTION("""COMPUTED_VALUE"""),"https://drive.google.com/open?id=1R_jAQ2s_jWApXtbq6R-vnJMwWinZ-Bky")</f>
        <v>https://drive.google.com/open?id=1R_jAQ2s_jWApXtbq6R-vnJMwWinZ-Bky</v>
      </c>
      <c r="J1641" s="59"/>
      <c r="K1641" s="59"/>
      <c r="L1641" s="59"/>
      <c r="M1641" s="59"/>
      <c r="N1641" s="59"/>
      <c r="O1641" s="59"/>
      <c r="P1641" s="59"/>
    </row>
    <row r="1642" spans="1:16">
      <c r="A1642" s="71">
        <f ca="1">IFERROR(__xludf.DUMMYFUNCTION("""COMPUTED_VALUE"""),44442.7218548148)</f>
        <v>44442.721854814801</v>
      </c>
      <c r="B1642" s="59" t="str">
        <f ca="1">IFERROR(__xludf.DUMMYFUNCTION("""COMPUTED_VALUE"""),"Smit barbhaya")</f>
        <v>Smit barbhaya</v>
      </c>
      <c r="C1642" s="72" t="str">
        <f ca="1">IFERROR(__xludf.DUMMYFUNCTION("""COMPUTED_VALUE"""),"20SDSCE01007")</f>
        <v>20SDSCE01007</v>
      </c>
      <c r="D1642" s="73">
        <f ca="1">IFERROR(__xludf.DUMMYFUNCTION("""COMPUTED_VALUE"""),44442)</f>
        <v>44442</v>
      </c>
      <c r="E1642" s="74">
        <f ca="1">IFERROR(__xludf.DUMMYFUNCTION("""COMPUTED_VALUE"""),6250)</f>
        <v>6250</v>
      </c>
      <c r="F1642" s="72">
        <f ca="1">IFERROR(__xludf.DUMMYFUNCTION("""COMPUTED_VALUE"""),2500)</f>
        <v>2500</v>
      </c>
      <c r="G1642" s="75"/>
      <c r="H1642" s="59" t="str">
        <f ca="1">IFERROR(__xludf.DUMMYFUNCTION("""COMPUTED_VALUE"""),"UPDATE")</f>
        <v>UPDATE</v>
      </c>
      <c r="I1642" s="76" t="str">
        <f ca="1">IFERROR(__xludf.DUMMYFUNCTION("""COMPUTED_VALUE"""),"https://drive.google.com/open?id=1j_bHjwV7HkKWubAiCPFGqGn6Yfh0lRjc")</f>
        <v>https://drive.google.com/open?id=1j_bHjwV7HkKWubAiCPFGqGn6Yfh0lRjc</v>
      </c>
      <c r="J1642" s="59"/>
      <c r="K1642" s="59"/>
      <c r="L1642" s="59"/>
      <c r="M1642" s="59"/>
      <c r="N1642" s="59"/>
      <c r="O1642" s="59"/>
      <c r="P1642" s="59"/>
    </row>
    <row r="1643" spans="1:16">
      <c r="A1643" s="71">
        <f ca="1">IFERROR(__xludf.DUMMYFUNCTION("""COMPUTED_VALUE"""),44442.7208560763)</f>
        <v>44442.720856076303</v>
      </c>
      <c r="B1643" s="59" t="str">
        <f ca="1">IFERROR(__xludf.DUMMYFUNCTION("""COMPUTED_VALUE"""),"Smit barbhaya")</f>
        <v>Smit barbhaya</v>
      </c>
      <c r="C1643" s="72" t="str">
        <f ca="1">IFERROR(__xludf.DUMMYFUNCTION("""COMPUTED_VALUE"""),"20SDSCE01007")</f>
        <v>20SDSCE01007</v>
      </c>
      <c r="D1643" s="73">
        <f ca="1">IFERROR(__xludf.DUMMYFUNCTION("""COMPUTED_VALUE"""),44442)</f>
        <v>44442</v>
      </c>
      <c r="E1643" s="74">
        <f ca="1">IFERROR(__xludf.DUMMYFUNCTION("""COMPUTED_VALUE"""),6250)</f>
        <v>6250</v>
      </c>
      <c r="F1643" s="72">
        <f ca="1">IFERROR(__xludf.DUMMYFUNCTION("""COMPUTED_VALUE"""),2500)</f>
        <v>2500</v>
      </c>
      <c r="G1643" s="75"/>
      <c r="H1643" s="59" t="str">
        <f ca="1">IFERROR(__xludf.DUMMYFUNCTION("""COMPUTED_VALUE"""),"UPDATE")</f>
        <v>UPDATE</v>
      </c>
      <c r="I1643" s="76" t="str">
        <f ca="1">IFERROR(__xludf.DUMMYFUNCTION("""COMPUTED_VALUE"""),"https://drive.google.com/open?id=1jWayqwbi4L8ZS6kgVQnBnGjALhuVS3Ny")</f>
        <v>https://drive.google.com/open?id=1jWayqwbi4L8ZS6kgVQnBnGjALhuVS3Ny</v>
      </c>
      <c r="J1643" s="59"/>
      <c r="K1643" s="59"/>
      <c r="L1643" s="59"/>
      <c r="M1643" s="59"/>
      <c r="N1643" s="59"/>
      <c r="O1643" s="59"/>
      <c r="P1643" s="59"/>
    </row>
    <row r="1644" spans="1:16">
      <c r="A1644" s="71">
        <f ca="1">IFERROR(__xludf.DUMMYFUNCTION("""COMPUTED_VALUE"""),44442.7140337268)</f>
        <v>44442.714033726799</v>
      </c>
      <c r="B1644" s="59" t="str">
        <f ca="1">IFERROR(__xludf.DUMMYFUNCTION("""COMPUTED_VALUE"""),"Raj_mukeshbhai_atkotiya")</f>
        <v>Raj_mukeshbhai_atkotiya</v>
      </c>
      <c r="C1644" s="72" t="str">
        <f ca="1">IFERROR(__xludf.DUMMYFUNCTION("""COMPUTED_VALUE"""),"20SDSCE01005")</f>
        <v>20SDSCE01005</v>
      </c>
      <c r="D1644" s="73">
        <f ca="1">IFERROR(__xludf.DUMMYFUNCTION("""COMPUTED_VALUE"""),44442)</f>
        <v>44442</v>
      </c>
      <c r="E1644" s="72"/>
      <c r="F1644" s="72">
        <f ca="1">IFERROR(__xludf.DUMMYFUNCTION("""COMPUTED_VALUE"""),2500)</f>
        <v>2500</v>
      </c>
      <c r="G1644" s="75"/>
      <c r="H1644" s="59" t="str">
        <f ca="1">IFERROR(__xludf.DUMMYFUNCTION("""COMPUTED_VALUE"""),"UPDATE")</f>
        <v>UPDATE</v>
      </c>
      <c r="I1644" s="76" t="str">
        <f ca="1">IFERROR(__xludf.DUMMYFUNCTION("""COMPUTED_VALUE"""),"https://drive.google.com/open?id=1z9Xp6mdjTDChFa_3HLmAtFygAeLzpTRX")</f>
        <v>https://drive.google.com/open?id=1z9Xp6mdjTDChFa_3HLmAtFygAeLzpTRX</v>
      </c>
      <c r="J1644" s="59"/>
      <c r="K1644" s="59"/>
      <c r="L1644" s="59"/>
      <c r="M1644" s="59"/>
      <c r="N1644" s="59"/>
      <c r="O1644" s="59"/>
      <c r="P1644" s="59"/>
    </row>
    <row r="1645" spans="1:16">
      <c r="A1645" s="71">
        <f ca="1">IFERROR(__xludf.DUMMYFUNCTION("""COMPUTED_VALUE"""),44442.7134233333)</f>
        <v>44442.713423333298</v>
      </c>
      <c r="B1645" s="59" t="str">
        <f ca="1">IFERROR(__xludf.DUMMYFUNCTION("""COMPUTED_VALUE"""),"Raj_mukeshbhai_atkotiya")</f>
        <v>Raj_mukeshbhai_atkotiya</v>
      </c>
      <c r="C1645" s="72" t="str">
        <f ca="1">IFERROR(__xludf.DUMMYFUNCTION("""COMPUTED_VALUE"""),"20SDSCE01005")</f>
        <v>20SDSCE01005</v>
      </c>
      <c r="D1645" s="73">
        <f ca="1">IFERROR(__xludf.DUMMYFUNCTION("""COMPUTED_VALUE"""),44442)</f>
        <v>44442</v>
      </c>
      <c r="E1645" s="74">
        <f ca="1">IFERROR(__xludf.DUMMYFUNCTION("""COMPUTED_VALUE"""),12500)</f>
        <v>12500</v>
      </c>
      <c r="F1645" s="72"/>
      <c r="G1645" s="75"/>
      <c r="H1645" s="59" t="str">
        <f ca="1">IFERROR(__xludf.DUMMYFUNCTION("""COMPUTED_VALUE"""),"UPDATE")</f>
        <v>UPDATE</v>
      </c>
      <c r="I1645" s="76" t="str">
        <f ca="1">IFERROR(__xludf.DUMMYFUNCTION("""COMPUTED_VALUE"""),"https://drive.google.com/open?id=1NMUlScuXgGhbTQhQBfJI6EEN6mL6Q2O-")</f>
        <v>https://drive.google.com/open?id=1NMUlScuXgGhbTQhQBfJI6EEN6mL6Q2O-</v>
      </c>
      <c r="J1645" s="59"/>
      <c r="K1645" s="59"/>
      <c r="L1645" s="59"/>
      <c r="M1645" s="59"/>
      <c r="N1645" s="59"/>
      <c r="O1645" s="59"/>
      <c r="P1645" s="59"/>
    </row>
    <row r="1646" spans="1:16">
      <c r="A1646" s="71">
        <f ca="1">IFERROR(__xludf.DUMMYFUNCTION("""COMPUTED_VALUE"""),44442.6763525462)</f>
        <v>44442.676352546201</v>
      </c>
      <c r="B1646" s="59" t="str">
        <f ca="1">IFERROR(__xludf.DUMMYFUNCTION("""COMPUTED_VALUE"""),"Nakrani mansi Ashok bhai")</f>
        <v>Nakrani mansi Ashok bhai</v>
      </c>
      <c r="C1646" s="72" t="str">
        <f ca="1">IFERROR(__xludf.DUMMYFUNCTION("""COMPUTED_VALUE"""),"20sdsce01067")</f>
        <v>20sdsce01067</v>
      </c>
      <c r="D1646" s="73">
        <f ca="1">IFERROR(__xludf.DUMMYFUNCTION("""COMPUTED_VALUE"""),44442)</f>
        <v>44442</v>
      </c>
      <c r="E1646" s="72"/>
      <c r="F1646" s="72">
        <f ca="1">IFERROR(__xludf.DUMMYFUNCTION("""COMPUTED_VALUE"""),2500)</f>
        <v>2500</v>
      </c>
      <c r="G1646" s="75"/>
      <c r="H1646" s="59" t="str">
        <f ca="1">IFERROR(__xludf.DUMMYFUNCTION("""COMPUTED_VALUE"""),"UPDATE")</f>
        <v>UPDATE</v>
      </c>
      <c r="I1646" s="76" t="str">
        <f ca="1">IFERROR(__xludf.DUMMYFUNCTION("""COMPUTED_VALUE"""),"https://drive.google.com/open?id=1upFSuXGdxEtm9GW6plc2hGxpfhkpBuVu")</f>
        <v>https://drive.google.com/open?id=1upFSuXGdxEtm9GW6plc2hGxpfhkpBuVu</v>
      </c>
      <c r="J1646" s="59"/>
      <c r="K1646" s="59"/>
      <c r="L1646" s="59"/>
      <c r="M1646" s="59"/>
      <c r="N1646" s="59"/>
      <c r="O1646" s="59"/>
      <c r="P1646" s="59"/>
    </row>
    <row r="1647" spans="1:16">
      <c r="A1647" s="71">
        <f ca="1">IFERROR(__xludf.DUMMYFUNCTION("""COMPUTED_VALUE"""),44442.6753976041)</f>
        <v>44442.6753976041</v>
      </c>
      <c r="B1647" s="59" t="str">
        <f ca="1">IFERROR(__xludf.DUMMYFUNCTION("""COMPUTED_VALUE"""),"Nakrani mansi Ashok bhai")</f>
        <v>Nakrani mansi Ashok bhai</v>
      </c>
      <c r="C1647" s="72" t="str">
        <f ca="1">IFERROR(__xludf.DUMMYFUNCTION("""COMPUTED_VALUE"""),"20sdsce01067")</f>
        <v>20sdsce01067</v>
      </c>
      <c r="D1647" s="73">
        <f ca="1">IFERROR(__xludf.DUMMYFUNCTION("""COMPUTED_VALUE"""),44442)</f>
        <v>44442</v>
      </c>
      <c r="E1647" s="74">
        <f ca="1">IFERROR(__xludf.DUMMYFUNCTION("""COMPUTED_VALUE"""),12500)</f>
        <v>12500</v>
      </c>
      <c r="F1647" s="72"/>
      <c r="G1647" s="75"/>
      <c r="H1647" s="59" t="str">
        <f ca="1">IFERROR(__xludf.DUMMYFUNCTION("""COMPUTED_VALUE"""),"UPDATE")</f>
        <v>UPDATE</v>
      </c>
      <c r="I1647" s="76" t="str">
        <f ca="1">IFERROR(__xludf.DUMMYFUNCTION("""COMPUTED_VALUE"""),"https://drive.google.com/open?id=1E-viIgnYrhKJXsftuPX5_6IBWNAiuTUE")</f>
        <v>https://drive.google.com/open?id=1E-viIgnYrhKJXsftuPX5_6IBWNAiuTUE</v>
      </c>
      <c r="J1647" s="59"/>
      <c r="K1647" s="59"/>
      <c r="L1647" s="59"/>
      <c r="M1647" s="59"/>
      <c r="N1647" s="59"/>
      <c r="O1647" s="59"/>
      <c r="P1647" s="59"/>
    </row>
    <row r="1648" spans="1:16">
      <c r="A1648" s="71">
        <f ca="1">IFERROR(__xludf.DUMMYFUNCTION("""COMPUTED_VALUE"""),44442.6723699189)</f>
        <v>44442.672369918902</v>
      </c>
      <c r="B1648" s="59" t="str">
        <f ca="1">IFERROR(__xludf.DUMMYFUNCTION("""COMPUTED_VALUE"""),"Kansagara Aashvi Atulbhai")</f>
        <v>Kansagara Aashvi Atulbhai</v>
      </c>
      <c r="C1648" s="72" t="str">
        <f ca="1">IFERROR(__xludf.DUMMYFUNCTION("""COMPUTED_VALUE"""),"20SDSCE01050")</f>
        <v>20SDSCE01050</v>
      </c>
      <c r="D1648" s="73">
        <f ca="1">IFERROR(__xludf.DUMMYFUNCTION("""COMPUTED_VALUE"""),44442)</f>
        <v>44442</v>
      </c>
      <c r="E1648" s="72"/>
      <c r="F1648" s="72">
        <f ca="1">IFERROR(__xludf.DUMMYFUNCTION("""COMPUTED_VALUE"""),2500)</f>
        <v>2500</v>
      </c>
      <c r="G1648" s="75"/>
      <c r="H1648" s="59" t="str">
        <f ca="1">IFERROR(__xludf.DUMMYFUNCTION("""COMPUTED_VALUE"""),"UPDATE")</f>
        <v>UPDATE</v>
      </c>
      <c r="I1648" s="76" t="str">
        <f ca="1">IFERROR(__xludf.DUMMYFUNCTION("""COMPUTED_VALUE"""),"https://drive.google.com/open?id=1jPAHtWeL6aV24ky7uH8dCgYNKRVkJgHF")</f>
        <v>https://drive.google.com/open?id=1jPAHtWeL6aV24ky7uH8dCgYNKRVkJgHF</v>
      </c>
      <c r="J1648" s="59"/>
      <c r="K1648" s="59"/>
      <c r="L1648" s="59"/>
      <c r="M1648" s="59"/>
      <c r="N1648" s="59"/>
      <c r="O1648" s="59"/>
      <c r="P1648" s="59"/>
    </row>
    <row r="1649" spans="1:16">
      <c r="A1649" s="71">
        <f ca="1">IFERROR(__xludf.DUMMYFUNCTION("""COMPUTED_VALUE"""),44442.6710817129)</f>
        <v>44442.671081712899</v>
      </c>
      <c r="B1649" s="59" t="str">
        <f ca="1">IFERROR(__xludf.DUMMYFUNCTION("""COMPUTED_VALUE"""),"Kansagara  Aashvi  Atulbhai")</f>
        <v>Kansagara  Aashvi  Atulbhai</v>
      </c>
      <c r="C1649" s="72" t="str">
        <f ca="1">IFERROR(__xludf.DUMMYFUNCTION("""COMPUTED_VALUE"""),"20SDSCE01050")</f>
        <v>20SDSCE01050</v>
      </c>
      <c r="D1649" s="73">
        <f ca="1">IFERROR(__xludf.DUMMYFUNCTION("""COMPUTED_VALUE"""),44442)</f>
        <v>44442</v>
      </c>
      <c r="E1649" s="74">
        <f ca="1">IFERROR(__xludf.DUMMYFUNCTION("""COMPUTED_VALUE"""),6250)</f>
        <v>6250</v>
      </c>
      <c r="F1649" s="72"/>
      <c r="G1649" s="75"/>
      <c r="H1649" s="59" t="str">
        <f ca="1">IFERROR(__xludf.DUMMYFUNCTION("""COMPUTED_VALUE"""),"UPDATE")</f>
        <v>UPDATE</v>
      </c>
      <c r="I1649" s="76" t="str">
        <f ca="1">IFERROR(__xludf.DUMMYFUNCTION("""COMPUTED_VALUE"""),"https://drive.google.com/open?id=1cy3O5J0q0qEUPh-IYWpK93EfTb3MTvav")</f>
        <v>https://drive.google.com/open?id=1cy3O5J0q0qEUPh-IYWpK93EfTb3MTvav</v>
      </c>
      <c r="J1649" s="59"/>
      <c r="K1649" s="59"/>
      <c r="L1649" s="59"/>
      <c r="M1649" s="59"/>
      <c r="N1649" s="59"/>
      <c r="O1649" s="59"/>
      <c r="P1649" s="59"/>
    </row>
    <row r="1650" spans="1:16">
      <c r="A1650" s="71">
        <f ca="1">IFERROR(__xludf.DUMMYFUNCTION("""COMPUTED_VALUE"""),44442.6610153472)</f>
        <v>44442.661015347199</v>
      </c>
      <c r="B1650" s="59" t="str">
        <f ca="1">IFERROR(__xludf.DUMMYFUNCTION("""COMPUTED_VALUE"""),"Pokiya vensi jiteshbhai ")</f>
        <v xml:space="preserve">Pokiya vensi jiteshbhai </v>
      </c>
      <c r="C1650" s="72" t="str">
        <f ca="1">IFERROR(__xludf.DUMMYFUNCTION("""COMPUTED_VALUE"""),"20SDSCE01090")</f>
        <v>20SDSCE01090</v>
      </c>
      <c r="D1650" s="73">
        <f ca="1">IFERROR(__xludf.DUMMYFUNCTION("""COMPUTED_VALUE"""),44442)</f>
        <v>44442</v>
      </c>
      <c r="E1650" s="74">
        <f ca="1">IFERROR(__xludf.DUMMYFUNCTION("""COMPUTED_VALUE"""),12500)</f>
        <v>12500</v>
      </c>
      <c r="F1650" s="72"/>
      <c r="G1650" s="75"/>
      <c r="H1650" s="59" t="str">
        <f ca="1">IFERROR(__xludf.DUMMYFUNCTION("""COMPUTED_VALUE"""),"UPDATE")</f>
        <v>UPDATE</v>
      </c>
      <c r="I1650" s="76" t="str">
        <f ca="1">IFERROR(__xludf.DUMMYFUNCTION("""COMPUTED_VALUE"""),"https://drive.google.com/open?id=12tb3DevkVfP-0G45D2AOXyFG7gy4n__a")</f>
        <v>https://drive.google.com/open?id=12tb3DevkVfP-0G45D2AOXyFG7gy4n__a</v>
      </c>
      <c r="J1650" s="59"/>
      <c r="K1650" s="59"/>
      <c r="L1650" s="59"/>
      <c r="M1650" s="59"/>
      <c r="N1650" s="59"/>
      <c r="O1650" s="59"/>
      <c r="P1650" s="59"/>
    </row>
    <row r="1651" spans="1:16">
      <c r="A1651" s="71">
        <f ca="1">IFERROR(__xludf.DUMMYFUNCTION("""COMPUTED_VALUE"""),44442.6600568981)</f>
        <v>44442.660056898101</v>
      </c>
      <c r="B1651" s="59" t="str">
        <f ca="1">IFERROR(__xludf.DUMMYFUNCTION("""COMPUTED_VALUE"""),"Pokiya vensi jiteshbhai ")</f>
        <v xml:space="preserve">Pokiya vensi jiteshbhai </v>
      </c>
      <c r="C1651" s="72" t="str">
        <f ca="1">IFERROR(__xludf.DUMMYFUNCTION("""COMPUTED_VALUE"""),"20SDSCE01090")</f>
        <v>20SDSCE01090</v>
      </c>
      <c r="D1651" s="73">
        <f ca="1">IFERROR(__xludf.DUMMYFUNCTION("""COMPUTED_VALUE"""),44442)</f>
        <v>44442</v>
      </c>
      <c r="E1651" s="72"/>
      <c r="F1651" s="72">
        <f ca="1">IFERROR(__xludf.DUMMYFUNCTION("""COMPUTED_VALUE"""),2500)</f>
        <v>2500</v>
      </c>
      <c r="G1651" s="75"/>
      <c r="H1651" s="59" t="str">
        <f ca="1">IFERROR(__xludf.DUMMYFUNCTION("""COMPUTED_VALUE"""),"UPDATE")</f>
        <v>UPDATE</v>
      </c>
      <c r="I1651" s="76" t="str">
        <f ca="1">IFERROR(__xludf.DUMMYFUNCTION("""COMPUTED_VALUE"""),"https://drive.google.com/open?id=1pqJVWXCni5bMlNOIK3RhJbPnyKMe0-YP")</f>
        <v>https://drive.google.com/open?id=1pqJVWXCni5bMlNOIK3RhJbPnyKMe0-YP</v>
      </c>
      <c r="J1651" s="59"/>
      <c r="K1651" s="59"/>
      <c r="L1651" s="59"/>
      <c r="M1651" s="59"/>
      <c r="N1651" s="59"/>
      <c r="O1651" s="59"/>
      <c r="P1651" s="59"/>
    </row>
    <row r="1652" spans="1:16">
      <c r="A1652" s="71">
        <f ca="1">IFERROR(__xludf.DUMMYFUNCTION("""COMPUTED_VALUE"""),44442.6113674768)</f>
        <v>44442.611367476798</v>
      </c>
      <c r="B1652" s="59" t="str">
        <f ca="1">IFERROR(__xludf.DUMMYFUNCTION("""COMPUTED_VALUE"""),"Urvisha Baldha")</f>
        <v>Urvisha Baldha</v>
      </c>
      <c r="C1652" s="72" t="str">
        <f ca="1">IFERROR(__xludf.DUMMYFUNCTION("""COMPUTED_VALUE"""),"20SDSCE01006")</f>
        <v>20SDSCE01006</v>
      </c>
      <c r="D1652" s="73">
        <f ca="1">IFERROR(__xludf.DUMMYFUNCTION("""COMPUTED_VALUE"""),44440)</f>
        <v>44440</v>
      </c>
      <c r="E1652" s="72"/>
      <c r="F1652" s="72">
        <f ca="1">IFERROR(__xludf.DUMMYFUNCTION("""COMPUTED_VALUE"""),2500)</f>
        <v>2500</v>
      </c>
      <c r="G1652" s="75"/>
      <c r="H1652" s="59" t="str">
        <f ca="1">IFERROR(__xludf.DUMMYFUNCTION("""COMPUTED_VALUE"""),"UPDATE")</f>
        <v>UPDATE</v>
      </c>
      <c r="I1652" s="76" t="str">
        <f ca="1">IFERROR(__xludf.DUMMYFUNCTION("""COMPUTED_VALUE"""),"https://drive.google.com/open?id=1EbR9x1PmUMJJYG4g429R5KvpQdN7Ceaw")</f>
        <v>https://drive.google.com/open?id=1EbR9x1PmUMJJYG4g429R5KvpQdN7Ceaw</v>
      </c>
      <c r="J1652" s="59"/>
      <c r="K1652" s="59"/>
      <c r="L1652" s="59"/>
      <c r="M1652" s="59"/>
      <c r="N1652" s="59"/>
      <c r="O1652" s="59"/>
      <c r="P1652" s="59"/>
    </row>
    <row r="1653" spans="1:16">
      <c r="A1653" s="71">
        <f ca="1">IFERROR(__xludf.DUMMYFUNCTION("""COMPUTED_VALUE"""),44442.6054400578)</f>
        <v>44442.6054400578</v>
      </c>
      <c r="B1653" s="59" t="str">
        <f ca="1">IFERROR(__xludf.DUMMYFUNCTION("""COMPUTED_VALUE"""),"Muliya Devraj Ratilal")</f>
        <v>Muliya Devraj Ratilal</v>
      </c>
      <c r="C1653" s="72" t="str">
        <f ca="1">IFERROR(__xludf.DUMMYFUNCTION("""COMPUTED_VALUE"""),"20sdsce01065")</f>
        <v>20sdsce01065</v>
      </c>
      <c r="D1653" s="73">
        <f ca="1">IFERROR(__xludf.DUMMYFUNCTION("""COMPUTED_VALUE"""),44442)</f>
        <v>44442</v>
      </c>
      <c r="E1653" s="74">
        <f ca="1">IFERROR(__xludf.DUMMYFUNCTION("""COMPUTED_VALUE"""),0)</f>
        <v>0</v>
      </c>
      <c r="F1653" s="72">
        <f ca="1">IFERROR(__xludf.DUMMYFUNCTION("""COMPUTED_VALUE"""),2500)</f>
        <v>2500</v>
      </c>
      <c r="G1653" s="75"/>
      <c r="H1653" s="59" t="str">
        <f ca="1">IFERROR(__xludf.DUMMYFUNCTION("""COMPUTED_VALUE"""),"UPDATE")</f>
        <v>UPDATE</v>
      </c>
      <c r="I1653" s="76" t="str">
        <f ca="1">IFERROR(__xludf.DUMMYFUNCTION("""COMPUTED_VALUE"""),"https://drive.google.com/open?id=1NhUGl2WS97TEq0kVGrMhQQ8IlQW0p_V7")</f>
        <v>https://drive.google.com/open?id=1NhUGl2WS97TEq0kVGrMhQQ8IlQW0p_V7</v>
      </c>
      <c r="J1653" s="59"/>
      <c r="K1653" s="59"/>
      <c r="L1653" s="59"/>
      <c r="M1653" s="59"/>
      <c r="N1653" s="59"/>
      <c r="O1653" s="59"/>
      <c r="P1653" s="59"/>
    </row>
    <row r="1654" spans="1:16">
      <c r="A1654" s="71">
        <f ca="1">IFERROR(__xludf.DUMMYFUNCTION("""COMPUTED_VALUE"""),44442.59945625)</f>
        <v>44442.599456249998</v>
      </c>
      <c r="B1654" s="59" t="str">
        <f ca="1">IFERROR(__xludf.DUMMYFUNCTION("""COMPUTED_VALUE"""),"hariyani arjun")</f>
        <v>hariyani arjun</v>
      </c>
      <c r="C1654" s="72" t="str">
        <f ca="1">IFERROR(__xludf.DUMMYFUNCTION("""COMPUTED_VALUE"""),"20sdsce01043")</f>
        <v>20sdsce01043</v>
      </c>
      <c r="D1654" s="73">
        <f ca="1">IFERROR(__xludf.DUMMYFUNCTION("""COMPUTED_VALUE"""),44442)</f>
        <v>44442</v>
      </c>
      <c r="E1654" s="72"/>
      <c r="F1654" s="72">
        <f ca="1">IFERROR(__xludf.DUMMYFUNCTION("""COMPUTED_VALUE"""),2500)</f>
        <v>2500</v>
      </c>
      <c r="G1654" s="75"/>
      <c r="H1654" s="59" t="str">
        <f ca="1">IFERROR(__xludf.DUMMYFUNCTION("""COMPUTED_VALUE"""),"UPDATE")</f>
        <v>UPDATE</v>
      </c>
      <c r="I1654" s="76" t="str">
        <f ca="1">IFERROR(__xludf.DUMMYFUNCTION("""COMPUTED_VALUE"""),"https://drive.google.com/open?id=1WKDdgwxqdLOI8Kxpl6Zw-MgZRFEdaQGz")</f>
        <v>https://drive.google.com/open?id=1WKDdgwxqdLOI8Kxpl6Zw-MgZRFEdaQGz</v>
      </c>
      <c r="J1654" s="59"/>
      <c r="K1654" s="59"/>
      <c r="L1654" s="59"/>
      <c r="M1654" s="59"/>
      <c r="N1654" s="59"/>
      <c r="O1654" s="59"/>
      <c r="P1654" s="59"/>
    </row>
    <row r="1655" spans="1:16">
      <c r="A1655" s="71">
        <f ca="1">IFERROR(__xludf.DUMMYFUNCTION("""COMPUTED_VALUE"""),44442.5985100925)</f>
        <v>44442.598510092503</v>
      </c>
      <c r="B1655" s="59" t="str">
        <f ca="1">IFERROR(__xludf.DUMMYFUNCTION("""COMPUTED_VALUE"""),"hariyani arjun")</f>
        <v>hariyani arjun</v>
      </c>
      <c r="C1655" s="72" t="str">
        <f ca="1">IFERROR(__xludf.DUMMYFUNCTION("""COMPUTED_VALUE"""),"20sdsce01043")</f>
        <v>20sdsce01043</v>
      </c>
      <c r="D1655" s="73">
        <f ca="1">IFERROR(__xludf.DUMMYFUNCTION("""COMPUTED_VALUE"""),44441)</f>
        <v>44441</v>
      </c>
      <c r="E1655" s="74">
        <f ca="1">IFERROR(__xludf.DUMMYFUNCTION("""COMPUTED_VALUE"""),12500)</f>
        <v>12500</v>
      </c>
      <c r="F1655" s="72"/>
      <c r="G1655" s="75"/>
      <c r="H1655" s="59" t="str">
        <f ca="1">IFERROR(__xludf.DUMMYFUNCTION("""COMPUTED_VALUE"""),"UPDATE")</f>
        <v>UPDATE</v>
      </c>
      <c r="I1655" s="76" t="str">
        <f ca="1">IFERROR(__xludf.DUMMYFUNCTION("""COMPUTED_VALUE"""),"https://drive.google.com/open?id=1NwP5EZWUp-_CJoBPBn3NyIFe8lNapHkn")</f>
        <v>https://drive.google.com/open?id=1NwP5EZWUp-_CJoBPBn3NyIFe8lNapHkn</v>
      </c>
      <c r="J1655" s="59"/>
      <c r="K1655" s="59"/>
      <c r="L1655" s="59"/>
      <c r="M1655" s="59"/>
      <c r="N1655" s="59"/>
      <c r="O1655" s="59"/>
      <c r="P1655" s="59"/>
    </row>
    <row r="1656" spans="1:16">
      <c r="A1656" s="71">
        <f ca="1">IFERROR(__xludf.DUMMYFUNCTION("""COMPUTED_VALUE"""),44442.4852572685)</f>
        <v>44442.485257268498</v>
      </c>
      <c r="B1656" s="59" t="str">
        <f ca="1">IFERROR(__xludf.DUMMYFUNCTION("""COMPUTED_VALUE"""),"ZALA RAVIBHAI VALLABHBHAI")</f>
        <v>ZALA RAVIBHAI VALLABHBHAI</v>
      </c>
      <c r="C1656" s="72" t="str">
        <f ca="1">IFERROR(__xludf.DUMMYFUNCTION("""COMPUTED_VALUE"""),"20SDSME01047")</f>
        <v>20SDSME01047</v>
      </c>
      <c r="D1656" s="73">
        <f ca="1">IFERROR(__xludf.DUMMYFUNCTION("""COMPUTED_VALUE"""),44441)</f>
        <v>44441</v>
      </c>
      <c r="E1656" s="74">
        <f ca="1">IFERROR(__xludf.DUMMYFUNCTION("""COMPUTED_VALUE"""),12000)</f>
        <v>12000</v>
      </c>
      <c r="F1656" s="72">
        <f ca="1">IFERROR(__xludf.DUMMYFUNCTION("""COMPUTED_VALUE"""),0)</f>
        <v>0</v>
      </c>
      <c r="G1656" s="75"/>
      <c r="H1656" s="59" t="str">
        <f ca="1">IFERROR(__xludf.DUMMYFUNCTION("""COMPUTED_VALUE"""),"UPDATE")</f>
        <v>UPDATE</v>
      </c>
      <c r="I1656" s="76" t="str">
        <f ca="1">IFERROR(__xludf.DUMMYFUNCTION("""COMPUTED_VALUE"""),"https://drive.google.com/open?id=1jfS5_7gzf0DpOLP9UcLGJOOccrq88SKZ")</f>
        <v>https://drive.google.com/open?id=1jfS5_7gzf0DpOLP9UcLGJOOccrq88SKZ</v>
      </c>
      <c r="J1656" s="59"/>
      <c r="K1656" s="59"/>
      <c r="L1656" s="59"/>
      <c r="M1656" s="59"/>
      <c r="N1656" s="59"/>
      <c r="O1656" s="59"/>
      <c r="P1656" s="59"/>
    </row>
    <row r="1657" spans="1:16">
      <c r="A1657" s="71">
        <f ca="1">IFERROR(__xludf.DUMMYFUNCTION("""COMPUTED_VALUE"""),44442.4832078009)</f>
        <v>44442.483207800899</v>
      </c>
      <c r="B1657" s="59" t="str">
        <f ca="1">IFERROR(__xludf.DUMMYFUNCTION("""COMPUTED_VALUE"""),"DAHIYA HENIL RAMESHJI")</f>
        <v>DAHIYA HENIL RAMESHJI</v>
      </c>
      <c r="C1657" s="72" t="str">
        <f ca="1">IFERROR(__xludf.DUMMYFUNCTION("""COMPUTED_VALUE"""),"20SDSME01009")</f>
        <v>20SDSME01009</v>
      </c>
      <c r="D1657" s="73">
        <f ca="1">IFERROR(__xludf.DUMMYFUNCTION("""COMPUTED_VALUE"""),44442)</f>
        <v>44442</v>
      </c>
      <c r="E1657" s="74">
        <f ca="1">IFERROR(__xludf.DUMMYFUNCTION("""COMPUTED_VALUE"""),6500)</f>
        <v>6500</v>
      </c>
      <c r="F1657" s="72">
        <f ca="1">IFERROR(__xludf.DUMMYFUNCTION("""COMPUTED_VALUE"""),0)</f>
        <v>0</v>
      </c>
      <c r="G1657" s="75"/>
      <c r="H1657" s="59" t="str">
        <f ca="1">IFERROR(__xludf.DUMMYFUNCTION("""COMPUTED_VALUE"""),"UPDATE")</f>
        <v>UPDATE</v>
      </c>
      <c r="I1657" s="76" t="str">
        <f ca="1">IFERROR(__xludf.DUMMYFUNCTION("""COMPUTED_VALUE"""),"https://drive.google.com/open?id=1nQ41_NzuVYrysshHfJNVjoczTU-P7tmG")</f>
        <v>https://drive.google.com/open?id=1nQ41_NzuVYrysshHfJNVjoczTU-P7tmG</v>
      </c>
      <c r="J1657" s="59"/>
      <c r="K1657" s="59"/>
      <c r="L1657" s="59"/>
      <c r="M1657" s="59"/>
      <c r="N1657" s="59"/>
      <c r="O1657" s="59"/>
      <c r="P1657" s="59"/>
    </row>
    <row r="1658" spans="1:16">
      <c r="A1658" s="71">
        <f ca="1">IFERROR(__xludf.DUMMYFUNCTION("""COMPUTED_VALUE"""),44442.4822159953)</f>
        <v>44442.482215995296</v>
      </c>
      <c r="B1658" s="59" t="str">
        <f ca="1">IFERROR(__xludf.DUMMYFUNCTION("""COMPUTED_VALUE"""),"PALIVAL SHIVAM RAJESHBHAI")</f>
        <v>PALIVAL SHIVAM RAJESHBHAI</v>
      </c>
      <c r="C1658" s="72" t="str">
        <f ca="1">IFERROR(__xludf.DUMMYFUNCTION("""COMPUTED_VALUE"""),"20SDSME01029")</f>
        <v>20SDSME01029</v>
      </c>
      <c r="D1658" s="73">
        <f ca="1">IFERROR(__xludf.DUMMYFUNCTION("""COMPUTED_VALUE"""),44438)</f>
        <v>44438</v>
      </c>
      <c r="E1658" s="74">
        <f ca="1">IFERROR(__xludf.DUMMYFUNCTION("""COMPUTED_VALUE"""),0)</f>
        <v>0</v>
      </c>
      <c r="F1658" s="72">
        <f ca="1">IFERROR(__xludf.DUMMYFUNCTION("""COMPUTED_VALUE"""),2500)</f>
        <v>2500</v>
      </c>
      <c r="G1658" s="75"/>
      <c r="H1658" s="59" t="str">
        <f ca="1">IFERROR(__xludf.DUMMYFUNCTION("""COMPUTED_VALUE"""),"UPDATE")</f>
        <v>UPDATE</v>
      </c>
      <c r="I1658" s="76" t="str">
        <f ca="1">IFERROR(__xludf.DUMMYFUNCTION("""COMPUTED_VALUE"""),"https://drive.google.com/open?id=1BBLPNTwxORBffvM4WXU-7hfPlA4euaou")</f>
        <v>https://drive.google.com/open?id=1BBLPNTwxORBffvM4WXU-7hfPlA4euaou</v>
      </c>
      <c r="J1658" s="59"/>
      <c r="K1658" s="59"/>
      <c r="L1658" s="59"/>
      <c r="M1658" s="59"/>
      <c r="N1658" s="59"/>
      <c r="O1658" s="59"/>
      <c r="P1658" s="59"/>
    </row>
    <row r="1659" spans="1:16">
      <c r="A1659" s="71">
        <f ca="1">IFERROR(__xludf.DUMMYFUNCTION("""COMPUTED_VALUE"""),44442.4817469328)</f>
        <v>44442.481746932797</v>
      </c>
      <c r="B1659" s="59" t="str">
        <f ca="1">IFERROR(__xludf.DUMMYFUNCTION("""COMPUTED_VALUE"""),"PALIVAL SHIVAM RAJESHBHAI")</f>
        <v>PALIVAL SHIVAM RAJESHBHAI</v>
      </c>
      <c r="C1659" s="72" t="str">
        <f ca="1">IFERROR(__xludf.DUMMYFUNCTION("""COMPUTED_VALUE"""),"20SDSME01029")</f>
        <v>20SDSME01029</v>
      </c>
      <c r="D1659" s="73">
        <f ca="1">IFERROR(__xludf.DUMMYFUNCTION("""COMPUTED_VALUE"""),44438)</f>
        <v>44438</v>
      </c>
      <c r="E1659" s="74">
        <f ca="1">IFERROR(__xludf.DUMMYFUNCTION("""COMPUTED_VALUE"""),12500)</f>
        <v>12500</v>
      </c>
      <c r="F1659" s="72">
        <f ca="1">IFERROR(__xludf.DUMMYFUNCTION("""COMPUTED_VALUE"""),0)</f>
        <v>0</v>
      </c>
      <c r="G1659" s="75"/>
      <c r="H1659" s="59" t="str">
        <f ca="1">IFERROR(__xludf.DUMMYFUNCTION("""COMPUTED_VALUE"""),"UPDATE")</f>
        <v>UPDATE</v>
      </c>
      <c r="I1659" s="76" t="str">
        <f ca="1">IFERROR(__xludf.DUMMYFUNCTION("""COMPUTED_VALUE"""),"https://drive.google.com/open?id=1SVCCAqxL9jk0lvAb4Slzjxm-JlFYEXqs")</f>
        <v>https://drive.google.com/open?id=1SVCCAqxL9jk0lvAb4Slzjxm-JlFYEXqs</v>
      </c>
      <c r="J1659" s="59"/>
      <c r="K1659" s="59"/>
      <c r="L1659" s="59"/>
      <c r="M1659" s="59"/>
      <c r="N1659" s="59"/>
      <c r="O1659" s="59"/>
      <c r="P1659" s="59"/>
    </row>
    <row r="1660" spans="1:16">
      <c r="A1660" s="71">
        <f ca="1">IFERROR(__xludf.DUMMYFUNCTION("""COMPUTED_VALUE"""),44442.3949304861)</f>
        <v>44442.394930486102</v>
      </c>
      <c r="B1660" s="59" t="str">
        <f ca="1">IFERROR(__xludf.DUMMYFUNCTION("""COMPUTED_VALUE"""),"Dhaduk Sarthak Sanjaybhai")</f>
        <v>Dhaduk Sarthak Sanjaybhai</v>
      </c>
      <c r="C1660" s="72" t="str">
        <f ca="1">IFERROR(__xludf.DUMMYFUNCTION("""COMPUTED_VALUE"""),"20SDSCE01027")</f>
        <v>20SDSCE01027</v>
      </c>
      <c r="D1660" s="73">
        <f ca="1">IFERROR(__xludf.DUMMYFUNCTION("""COMPUTED_VALUE"""),44442)</f>
        <v>44442</v>
      </c>
      <c r="E1660" s="74">
        <f ca="1">IFERROR(__xludf.DUMMYFUNCTION("""COMPUTED_VALUE"""),0)</f>
        <v>0</v>
      </c>
      <c r="F1660" s="72">
        <f ca="1">IFERROR(__xludf.DUMMYFUNCTION("""COMPUTED_VALUE"""),2500)</f>
        <v>2500</v>
      </c>
      <c r="G1660" s="75"/>
      <c r="H1660" s="59" t="str">
        <f ca="1">IFERROR(__xludf.DUMMYFUNCTION("""COMPUTED_VALUE"""),"UPDATE")</f>
        <v>UPDATE</v>
      </c>
      <c r="I1660" s="76" t="str">
        <f ca="1">IFERROR(__xludf.DUMMYFUNCTION("""COMPUTED_VALUE"""),"https://drive.google.com/open?id=16GO5C_NtFJcofGrxS5kYNT9QSXw1IFA1")</f>
        <v>https://drive.google.com/open?id=16GO5C_NtFJcofGrxS5kYNT9QSXw1IFA1</v>
      </c>
      <c r="J1660" s="59"/>
      <c r="K1660" s="59"/>
      <c r="L1660" s="59"/>
      <c r="M1660" s="59"/>
      <c r="N1660" s="59"/>
      <c r="O1660" s="59"/>
      <c r="P1660" s="59"/>
    </row>
    <row r="1661" spans="1:16">
      <c r="A1661" s="71">
        <f ca="1">IFERROR(__xludf.DUMMYFUNCTION("""COMPUTED_VALUE"""),44442.3938141782)</f>
        <v>44442.393814178198</v>
      </c>
      <c r="B1661" s="59" t="str">
        <f ca="1">IFERROR(__xludf.DUMMYFUNCTION("""COMPUTED_VALUE"""),"Dhaduk Sarthak Sanjaybhai")</f>
        <v>Dhaduk Sarthak Sanjaybhai</v>
      </c>
      <c r="C1661" s="72" t="str">
        <f ca="1">IFERROR(__xludf.DUMMYFUNCTION("""COMPUTED_VALUE"""),"20SDSCE01027")</f>
        <v>20SDSCE01027</v>
      </c>
      <c r="D1661" s="73">
        <f ca="1">IFERROR(__xludf.DUMMYFUNCTION("""COMPUTED_VALUE"""),44442)</f>
        <v>44442</v>
      </c>
      <c r="E1661" s="74">
        <f ca="1">IFERROR(__xludf.DUMMYFUNCTION("""COMPUTED_VALUE"""),12500)</f>
        <v>12500</v>
      </c>
      <c r="F1661" s="72">
        <f ca="1">IFERROR(__xludf.DUMMYFUNCTION("""COMPUTED_VALUE"""),0)</f>
        <v>0</v>
      </c>
      <c r="G1661" s="75"/>
      <c r="H1661" s="59" t="str">
        <f ca="1">IFERROR(__xludf.DUMMYFUNCTION("""COMPUTED_VALUE"""),"UPDATE")</f>
        <v>UPDATE</v>
      </c>
      <c r="I1661" s="76" t="str">
        <f ca="1">IFERROR(__xludf.DUMMYFUNCTION("""COMPUTED_VALUE"""),"https://drive.google.com/open?id=1NsXD0EqwN5q68Ip5J-SUZIW1P3qREZIW")</f>
        <v>https://drive.google.com/open?id=1NsXD0EqwN5q68Ip5J-SUZIW1P3qREZIW</v>
      </c>
      <c r="J1661" s="59"/>
      <c r="K1661" s="59"/>
      <c r="L1661" s="59"/>
      <c r="M1661" s="59"/>
      <c r="N1661" s="59"/>
      <c r="O1661" s="59"/>
      <c r="P1661" s="59"/>
    </row>
    <row r="1662" spans="1:16">
      <c r="A1662" s="71">
        <f ca="1">IFERROR(__xludf.DUMMYFUNCTION("""COMPUTED_VALUE"""),44442.3538361689)</f>
        <v>44442.353836168899</v>
      </c>
      <c r="B1662" s="59" t="str">
        <f ca="1">IFERROR(__xludf.DUMMYFUNCTION("""COMPUTED_VALUE"""),"Prem Naimishbhai Dave")</f>
        <v>Prem Naimishbhai Dave</v>
      </c>
      <c r="C1662" s="72" t="str">
        <f ca="1">IFERROR(__xludf.DUMMYFUNCTION("""COMPUTED_VALUE"""),"20SDSCE01024")</f>
        <v>20SDSCE01024</v>
      </c>
      <c r="D1662" s="73">
        <f ca="1">IFERROR(__xludf.DUMMYFUNCTION("""COMPUTED_VALUE"""),44440)</f>
        <v>44440</v>
      </c>
      <c r="E1662" s="72"/>
      <c r="F1662" s="72">
        <f ca="1">IFERROR(__xludf.DUMMYFUNCTION("""COMPUTED_VALUE"""),2500)</f>
        <v>2500</v>
      </c>
      <c r="G1662" s="75"/>
      <c r="H1662" s="59" t="str">
        <f ca="1">IFERROR(__xludf.DUMMYFUNCTION("""COMPUTED_VALUE"""),"UPDATE")</f>
        <v>UPDATE</v>
      </c>
      <c r="I1662" s="76" t="str">
        <f ca="1">IFERROR(__xludf.DUMMYFUNCTION("""COMPUTED_VALUE"""),"https://drive.google.com/open?id=11p80kqq4f1zLz_2vYCJB0b3NTMHFdqnk")</f>
        <v>https://drive.google.com/open?id=11p80kqq4f1zLz_2vYCJB0b3NTMHFdqnk</v>
      </c>
      <c r="J1662" s="59"/>
      <c r="K1662" s="59"/>
      <c r="L1662" s="59"/>
      <c r="M1662" s="59"/>
      <c r="N1662" s="59"/>
      <c r="O1662" s="59"/>
      <c r="P1662" s="59"/>
    </row>
    <row r="1663" spans="1:16">
      <c r="A1663" s="71">
        <f ca="1">IFERROR(__xludf.DUMMYFUNCTION("""COMPUTED_VALUE"""),44440.9134948263)</f>
        <v>44440.913494826302</v>
      </c>
      <c r="B1663" s="59" t="str">
        <f ca="1">IFERROR(__xludf.DUMMYFUNCTION("""COMPUTED_VALUE"""),"Rignesh Kalpeshbhai Raiyani")</f>
        <v>Rignesh Kalpeshbhai Raiyani</v>
      </c>
      <c r="C1663" s="72" t="str">
        <f ca="1">IFERROR(__xludf.DUMMYFUNCTION("""COMPUTED_VALUE"""),"20SDSCE01091")</f>
        <v>20SDSCE01091</v>
      </c>
      <c r="D1663" s="73">
        <f ca="1">IFERROR(__xludf.DUMMYFUNCTION("""COMPUTED_VALUE"""),44440)</f>
        <v>44440</v>
      </c>
      <c r="E1663" s="74">
        <f ca="1">IFERROR(__xludf.DUMMYFUNCTION("""COMPUTED_VALUE"""),0)</f>
        <v>0</v>
      </c>
      <c r="F1663" s="72">
        <f ca="1">IFERROR(__xludf.DUMMYFUNCTION("""COMPUTED_VALUE"""),2500)</f>
        <v>2500</v>
      </c>
      <c r="G1663" s="75"/>
      <c r="H1663" s="59" t="str">
        <f ca="1">IFERROR(__xludf.DUMMYFUNCTION("""COMPUTED_VALUE"""),"UPDATE")</f>
        <v>UPDATE</v>
      </c>
      <c r="I1663" s="76" t="str">
        <f ca="1">IFERROR(__xludf.DUMMYFUNCTION("""COMPUTED_VALUE"""),"https://drive.google.com/open?id=1yXPJZFdhHdJmNWHwCD1Y7od6P6xTlhrd")</f>
        <v>https://drive.google.com/open?id=1yXPJZFdhHdJmNWHwCD1Y7od6P6xTlhrd</v>
      </c>
      <c r="J1663" s="59"/>
      <c r="K1663" s="59"/>
      <c r="L1663" s="59"/>
      <c r="M1663" s="59"/>
      <c r="N1663" s="59"/>
      <c r="O1663" s="59"/>
      <c r="P1663" s="59"/>
    </row>
    <row r="1664" spans="1:16">
      <c r="A1664" s="71">
        <f ca="1">IFERROR(__xludf.DUMMYFUNCTION("""COMPUTED_VALUE"""),44440.8486958217)</f>
        <v>44440.848695821704</v>
      </c>
      <c r="B1664" s="59" t="str">
        <f ca="1">IFERROR(__xludf.DUMMYFUNCTION("""COMPUTED_VALUE"""),"Dave Prem Naimishbhai")</f>
        <v>Dave Prem Naimishbhai</v>
      </c>
      <c r="C1664" s="72" t="str">
        <f ca="1">IFERROR(__xludf.DUMMYFUNCTION("""COMPUTED_VALUE"""),"20sdsce01024")</f>
        <v>20sdsce01024</v>
      </c>
      <c r="D1664" s="73">
        <f ca="1">IFERROR(__xludf.DUMMYFUNCTION("""COMPUTED_VALUE"""),44440)</f>
        <v>44440</v>
      </c>
      <c r="E1664" s="72"/>
      <c r="F1664" s="72">
        <f ca="1">IFERROR(__xludf.DUMMYFUNCTION("""COMPUTED_VALUE"""),2500)</f>
        <v>2500</v>
      </c>
      <c r="G1664" s="75"/>
      <c r="H1664" s="59" t="str">
        <f ca="1">IFERROR(__xludf.DUMMYFUNCTION("""COMPUTED_VALUE"""),"UPDATE")</f>
        <v>UPDATE</v>
      </c>
      <c r="I1664" s="76" t="str">
        <f ca="1">IFERROR(__xludf.DUMMYFUNCTION("""COMPUTED_VALUE"""),"https://drive.google.com/open?id=1UIjDJsYqNo-zsDaNLLEUft9WbLh2AB2x")</f>
        <v>https://drive.google.com/open?id=1UIjDJsYqNo-zsDaNLLEUft9WbLh2AB2x</v>
      </c>
      <c r="J1664" s="59"/>
      <c r="K1664" s="59"/>
      <c r="L1664" s="59"/>
      <c r="M1664" s="59"/>
      <c r="N1664" s="59"/>
      <c r="O1664" s="59"/>
      <c r="P1664" s="59"/>
    </row>
    <row r="1665" spans="1:16">
      <c r="A1665" s="71">
        <f ca="1">IFERROR(__xludf.DUMMYFUNCTION("""COMPUTED_VALUE"""),44440.691948912)</f>
        <v>44440.691948911997</v>
      </c>
      <c r="B1665" s="59" t="str">
        <f ca="1">IFERROR(__xludf.DUMMYFUNCTION("""COMPUTED_VALUE"""),"Dhaduk Sarthak Sanjaybhai")</f>
        <v>Dhaduk Sarthak Sanjaybhai</v>
      </c>
      <c r="C1665" s="72" t="str">
        <f ca="1">IFERROR(__xludf.DUMMYFUNCTION("""COMPUTED_VALUE"""),"20SDSCE01027")</f>
        <v>20SDSCE01027</v>
      </c>
      <c r="D1665" s="73">
        <f ca="1">IFERROR(__xludf.DUMMYFUNCTION("""COMPUTED_VALUE"""),44417)</f>
        <v>44417</v>
      </c>
      <c r="E1665" s="74">
        <f ca="1">IFERROR(__xludf.DUMMYFUNCTION("""COMPUTED_VALUE"""),0)</f>
        <v>0</v>
      </c>
      <c r="F1665" s="72">
        <f ca="1">IFERROR(__xludf.DUMMYFUNCTION("""COMPUTED_VALUE"""),0)</f>
        <v>0</v>
      </c>
      <c r="G1665" s="75"/>
      <c r="H1665" s="59" t="str">
        <f ca="1">IFERROR(__xludf.DUMMYFUNCTION("""COMPUTED_VALUE"""),"UPDATE")</f>
        <v>UPDATE</v>
      </c>
      <c r="I1665" s="76" t="str">
        <f ca="1">IFERROR(__xludf.DUMMYFUNCTION("""COMPUTED_VALUE"""),"https://drive.google.com/open?id=1nNDZORk2qG016r6O9qHdG1fiVrxI8_vv")</f>
        <v>https://drive.google.com/open?id=1nNDZORk2qG016r6O9qHdG1fiVrxI8_vv</v>
      </c>
      <c r="J1665" s="59"/>
      <c r="K1665" s="59"/>
      <c r="L1665" s="59"/>
      <c r="M1665" s="59"/>
      <c r="N1665" s="59"/>
      <c r="O1665" s="59"/>
      <c r="P1665" s="59"/>
    </row>
    <row r="1666" spans="1:16">
      <c r="A1666" s="71">
        <f ca="1">IFERROR(__xludf.DUMMYFUNCTION("""COMPUTED_VALUE"""),44440.4691181365)</f>
        <v>44440.469118136498</v>
      </c>
      <c r="B1666" s="59" t="str">
        <f ca="1">IFERROR(__xludf.DUMMYFUNCTION("""COMPUTED_VALUE"""),"Hadiyal harshil maheshbhai")</f>
        <v>Hadiyal harshil maheshbhai</v>
      </c>
      <c r="C1666" s="72" t="str">
        <f ca="1">IFERROR(__xludf.DUMMYFUNCTION("""COMPUTED_VALUE"""),"20SDSCE01041")</f>
        <v>20SDSCE01041</v>
      </c>
      <c r="D1666" s="73">
        <f ca="1">IFERROR(__xludf.DUMMYFUNCTION("""COMPUTED_VALUE"""),44440)</f>
        <v>44440</v>
      </c>
      <c r="E1666" s="72"/>
      <c r="F1666" s="72">
        <f ca="1">IFERROR(__xludf.DUMMYFUNCTION("""COMPUTED_VALUE"""),2500)</f>
        <v>2500</v>
      </c>
      <c r="G1666" s="75"/>
      <c r="H1666" s="59" t="str">
        <f ca="1">IFERROR(__xludf.DUMMYFUNCTION("""COMPUTED_VALUE"""),"UPDATE")</f>
        <v>UPDATE</v>
      </c>
      <c r="I1666" s="76" t="str">
        <f ca="1">IFERROR(__xludf.DUMMYFUNCTION("""COMPUTED_VALUE"""),"https://drive.google.com/open?id=1mdSHKqTsKSqrRkdrogBm5Nnq1SJ96AQb")</f>
        <v>https://drive.google.com/open?id=1mdSHKqTsKSqrRkdrogBm5Nnq1SJ96AQb</v>
      </c>
      <c r="J1666" s="59"/>
      <c r="K1666" s="59"/>
      <c r="L1666" s="59"/>
      <c r="M1666" s="59"/>
      <c r="N1666" s="59"/>
      <c r="O1666" s="59"/>
      <c r="P1666" s="59"/>
    </row>
    <row r="1667" spans="1:16">
      <c r="A1667" s="71">
        <f ca="1">IFERROR(__xludf.DUMMYFUNCTION("""COMPUTED_VALUE"""),44440.4682890046)</f>
        <v>44440.468289004602</v>
      </c>
      <c r="B1667" s="59" t="str">
        <f ca="1">IFERROR(__xludf.DUMMYFUNCTION("""COMPUTED_VALUE"""),"Hadiyal harshil maheshbhai")</f>
        <v>Hadiyal harshil maheshbhai</v>
      </c>
      <c r="C1667" s="72" t="str">
        <f ca="1">IFERROR(__xludf.DUMMYFUNCTION("""COMPUTED_VALUE"""),"20SDSCE01041")</f>
        <v>20SDSCE01041</v>
      </c>
      <c r="D1667" s="73">
        <f ca="1">IFERROR(__xludf.DUMMYFUNCTION("""COMPUTED_VALUE"""),44440)</f>
        <v>44440</v>
      </c>
      <c r="E1667" s="74">
        <f ca="1">IFERROR(__xludf.DUMMYFUNCTION("""COMPUTED_VALUE"""),12500)</f>
        <v>12500</v>
      </c>
      <c r="F1667" s="72"/>
      <c r="G1667" s="75"/>
      <c r="H1667" s="59" t="str">
        <f ca="1">IFERROR(__xludf.DUMMYFUNCTION("""COMPUTED_VALUE"""),"UPDATE")</f>
        <v>UPDATE</v>
      </c>
      <c r="I1667" s="76" t="str">
        <f ca="1">IFERROR(__xludf.DUMMYFUNCTION("""COMPUTED_VALUE"""),"https://drive.google.com/open?id=1w8bplYF1JbFVpivG6CEWxvlUursXU9Ew")</f>
        <v>https://drive.google.com/open?id=1w8bplYF1JbFVpivG6CEWxvlUursXU9Ew</v>
      </c>
      <c r="J1667" s="59"/>
      <c r="K1667" s="59"/>
      <c r="L1667" s="59"/>
      <c r="M1667" s="59"/>
      <c r="N1667" s="59"/>
      <c r="O1667" s="59"/>
      <c r="P1667" s="59"/>
    </row>
    <row r="1668" spans="1:16">
      <c r="A1668" s="71">
        <f ca="1">IFERROR(__xludf.DUMMYFUNCTION("""COMPUTED_VALUE"""),44440.4673196412)</f>
        <v>44440.467319641197</v>
      </c>
      <c r="B1668" s="59" t="str">
        <f ca="1">IFERROR(__xludf.DUMMYFUNCTION("""COMPUTED_VALUE"""),"Hadiyal harshil maheshbhai")</f>
        <v>Hadiyal harshil maheshbhai</v>
      </c>
      <c r="C1668" s="72" t="str">
        <f ca="1">IFERROR(__xludf.DUMMYFUNCTION("""COMPUTED_VALUE"""),"20SDSCE01041")</f>
        <v>20SDSCE01041</v>
      </c>
      <c r="D1668" s="73">
        <f ca="1">IFERROR(__xludf.DUMMYFUNCTION("""COMPUTED_VALUE"""),44440)</f>
        <v>44440</v>
      </c>
      <c r="E1668" s="74">
        <f ca="1">IFERROR(__xludf.DUMMYFUNCTION("""COMPUTED_VALUE"""),12500)</f>
        <v>12500</v>
      </c>
      <c r="F1668" s="72"/>
      <c r="G1668" s="75"/>
      <c r="H1668" s="59" t="str">
        <f ca="1">IFERROR(__xludf.DUMMYFUNCTION("""COMPUTED_VALUE"""),"UPDATE")</f>
        <v>UPDATE</v>
      </c>
      <c r="I1668" s="76" t="str">
        <f ca="1">IFERROR(__xludf.DUMMYFUNCTION("""COMPUTED_VALUE"""),"https://drive.google.com/open?id=1XQ_HTGSkLU63-Hnlbhft3rlAWoljjxaH")</f>
        <v>https://drive.google.com/open?id=1XQ_HTGSkLU63-Hnlbhft3rlAWoljjxaH</v>
      </c>
      <c r="J1668" s="59"/>
      <c r="K1668" s="59"/>
      <c r="L1668" s="59"/>
      <c r="M1668" s="59"/>
      <c r="N1668" s="59"/>
      <c r="O1668" s="59"/>
      <c r="P1668" s="59"/>
    </row>
    <row r="1669" spans="1:16">
      <c r="A1669" s="71">
        <f ca="1">IFERROR(__xludf.DUMMYFUNCTION("""COMPUTED_VALUE"""),44439.7741504861)</f>
        <v>44439.774150486097</v>
      </c>
      <c r="B1669" s="59" t="str">
        <f ca="1">IFERROR(__xludf.DUMMYFUNCTION("""COMPUTED_VALUE"""),"Deep kateshiya")</f>
        <v>Deep kateshiya</v>
      </c>
      <c r="C1669" s="72" t="str">
        <f ca="1">IFERROR(__xludf.DUMMYFUNCTION("""COMPUTED_VALUE"""),"20SDSME01018")</f>
        <v>20SDSME01018</v>
      </c>
      <c r="D1669" s="73">
        <f ca="1">IFERROR(__xludf.DUMMYFUNCTION("""COMPUTED_VALUE"""),44439)</f>
        <v>44439</v>
      </c>
      <c r="E1669" s="74">
        <f ca="1">IFERROR(__xludf.DUMMYFUNCTION("""COMPUTED_VALUE"""),0)</f>
        <v>0</v>
      </c>
      <c r="F1669" s="72">
        <f ca="1">IFERROR(__xludf.DUMMYFUNCTION("""COMPUTED_VALUE"""),2500)</f>
        <v>2500</v>
      </c>
      <c r="G1669" s="75"/>
      <c r="H1669" s="59" t="str">
        <f ca="1">IFERROR(__xludf.DUMMYFUNCTION("""COMPUTED_VALUE"""),"UPDATE")</f>
        <v>UPDATE</v>
      </c>
      <c r="I1669" s="76" t="str">
        <f ca="1">IFERROR(__xludf.DUMMYFUNCTION("""COMPUTED_VALUE"""),"https://drive.google.com/open?id=1CuuR0iGlp-yK6E1q8q97MF3qF7P_fPA8")</f>
        <v>https://drive.google.com/open?id=1CuuR0iGlp-yK6E1q8q97MF3qF7P_fPA8</v>
      </c>
      <c r="J1669" s="59"/>
      <c r="K1669" s="59"/>
      <c r="L1669" s="59"/>
      <c r="M1669" s="59"/>
      <c r="N1669" s="59"/>
      <c r="O1669" s="59"/>
      <c r="P1669" s="59"/>
    </row>
    <row r="1670" spans="1:16">
      <c r="A1670" s="71">
        <f ca="1">IFERROR(__xludf.DUMMYFUNCTION("""COMPUTED_VALUE"""),44439.6583423379)</f>
        <v>44439.658342337898</v>
      </c>
      <c r="B1670" s="59" t="str">
        <f ca="1">IFERROR(__xludf.DUMMYFUNCTION("""COMPUTED_VALUE"""),"Urvisha mukeshbhai Gajera ")</f>
        <v xml:space="preserve">Urvisha mukeshbhai Gajera </v>
      </c>
      <c r="C1670" s="72" t="str">
        <f ca="1">IFERROR(__xludf.DUMMYFUNCTION("""COMPUTED_VALUE"""),"20SDSCE01034 ")</f>
        <v xml:space="preserve">20SDSCE01034 </v>
      </c>
      <c r="D1670" s="73">
        <f ca="1">IFERROR(__xludf.DUMMYFUNCTION("""COMPUTED_VALUE"""),44439)</f>
        <v>44439</v>
      </c>
      <c r="E1670" s="74">
        <f ca="1">IFERROR(__xludf.DUMMYFUNCTION("""COMPUTED_VALUE"""),25000)</f>
        <v>25000</v>
      </c>
      <c r="F1670" s="72"/>
      <c r="G1670" s="75"/>
      <c r="H1670" s="59" t="str">
        <f ca="1">IFERROR(__xludf.DUMMYFUNCTION("""COMPUTED_VALUE"""),"UPDATE")</f>
        <v>UPDATE</v>
      </c>
      <c r="I1670" s="76" t="str">
        <f ca="1">IFERROR(__xludf.DUMMYFUNCTION("""COMPUTED_VALUE"""),"https://drive.google.com/open?id=1g4aH0shZD7aECmV1AUNVA32bHSJ3aQQ-")</f>
        <v>https://drive.google.com/open?id=1g4aH0shZD7aECmV1AUNVA32bHSJ3aQQ-</v>
      </c>
      <c r="J1670" s="59"/>
      <c r="K1670" s="59"/>
      <c r="L1670" s="59"/>
      <c r="M1670" s="59"/>
      <c r="N1670" s="59"/>
      <c r="O1670" s="59"/>
      <c r="P1670" s="59"/>
    </row>
    <row r="1671" spans="1:16">
      <c r="A1671" s="71">
        <f ca="1">IFERROR(__xludf.DUMMYFUNCTION("""COMPUTED_VALUE"""),44436.4165619791)</f>
        <v>44436.416561979102</v>
      </c>
      <c r="B1671" s="59" t="str">
        <f ca="1">IFERROR(__xludf.DUMMYFUNCTION("""COMPUTED_VALUE"""),"Deep Kateshiya ")</f>
        <v xml:space="preserve">Deep Kateshiya </v>
      </c>
      <c r="C1671" s="72" t="str">
        <f ca="1">IFERROR(__xludf.DUMMYFUNCTION("""COMPUTED_VALUE"""),"20SDSME01018")</f>
        <v>20SDSME01018</v>
      </c>
      <c r="D1671" s="73">
        <f ca="1">IFERROR(__xludf.DUMMYFUNCTION("""COMPUTED_VALUE"""),44434)</f>
        <v>44434</v>
      </c>
      <c r="E1671" s="74">
        <f ca="1">IFERROR(__xludf.DUMMYFUNCTION("""COMPUTED_VALUE"""),6500)</f>
        <v>6500</v>
      </c>
      <c r="F1671" s="72">
        <f ca="1">IFERROR(__xludf.DUMMYFUNCTION("""COMPUTED_VALUE"""),0)</f>
        <v>0</v>
      </c>
      <c r="G1671" s="75"/>
      <c r="H1671" s="59" t="str">
        <f ca="1">IFERROR(__xludf.DUMMYFUNCTION("""COMPUTED_VALUE"""),"UPDATE")</f>
        <v>UPDATE</v>
      </c>
      <c r="I1671" s="76" t="str">
        <f ca="1">IFERROR(__xludf.DUMMYFUNCTION("""COMPUTED_VALUE"""),"https://drive.google.com/open?id=1U46rJm_4_BzgEPflDAkn_IFWRpXLN6g7")</f>
        <v>https://drive.google.com/open?id=1U46rJm_4_BzgEPflDAkn_IFWRpXLN6g7</v>
      </c>
      <c r="J1671" s="59"/>
      <c r="K1671" s="59"/>
      <c r="L1671" s="59"/>
      <c r="M1671" s="59"/>
      <c r="N1671" s="59"/>
      <c r="O1671" s="59"/>
      <c r="P1671" s="59"/>
    </row>
    <row r="1672" spans="1:16">
      <c r="A1672" s="71">
        <f ca="1">IFERROR(__xludf.DUMMYFUNCTION("""COMPUTED_VALUE"""),44434.6408022338)</f>
        <v>44434.6408022338</v>
      </c>
      <c r="B1672" s="59" t="str">
        <f ca="1">IFERROR(__xludf.DUMMYFUNCTION("""COMPUTED_VALUE"""),"Parmar Kelvin Balubhai")</f>
        <v>Parmar Kelvin Balubhai</v>
      </c>
      <c r="C1672" s="72" t="str">
        <f ca="1">IFERROR(__xludf.DUMMYFUNCTION("""COMPUTED_VALUE"""),"20SDSCE01152")</f>
        <v>20SDSCE01152</v>
      </c>
      <c r="D1672" s="73">
        <f ca="1">IFERROR(__xludf.DUMMYFUNCTION("""COMPUTED_VALUE"""),44434)</f>
        <v>44434</v>
      </c>
      <c r="E1672" s="72"/>
      <c r="F1672" s="72">
        <f ca="1">IFERROR(__xludf.DUMMYFUNCTION("""COMPUTED_VALUE"""),2500)</f>
        <v>2500</v>
      </c>
      <c r="G1672" s="75"/>
      <c r="H1672" s="59" t="str">
        <f ca="1">IFERROR(__xludf.DUMMYFUNCTION("""COMPUTED_VALUE"""),"UPDATE")</f>
        <v>UPDATE</v>
      </c>
      <c r="I1672" s="76" t="str">
        <f ca="1">IFERROR(__xludf.DUMMYFUNCTION("""COMPUTED_VALUE"""),"https://drive.google.com/open?id=1TCD7JJhbDEtxpffAnuLgXAv9pPxbyKcJ")</f>
        <v>https://drive.google.com/open?id=1TCD7JJhbDEtxpffAnuLgXAv9pPxbyKcJ</v>
      </c>
      <c r="J1672" s="59"/>
      <c r="K1672" s="59"/>
      <c r="L1672" s="59"/>
      <c r="M1672" s="59"/>
      <c r="N1672" s="59"/>
      <c r="O1672" s="59"/>
      <c r="P1672" s="59"/>
    </row>
    <row r="1673" spans="1:16">
      <c r="A1673" s="71">
        <f ca="1">IFERROR(__xludf.DUMMYFUNCTION("""COMPUTED_VALUE"""),44430.9182029282)</f>
        <v>44430.918202928202</v>
      </c>
      <c r="B1673" s="59" t="str">
        <f ca="1">IFERROR(__xludf.DUMMYFUNCTION("""COMPUTED_VALUE"""),"Tanna kishan Dilipbhai ")</f>
        <v xml:space="preserve">Tanna kishan Dilipbhai </v>
      </c>
      <c r="C1673" s="72" t="str">
        <f ca="1">IFERROR(__xludf.DUMMYFUNCTION("""COMPUTED_VALUE"""),"20SDSME01037")</f>
        <v>20SDSME01037</v>
      </c>
      <c r="D1673" s="73">
        <f ca="1">IFERROR(__xludf.DUMMYFUNCTION("""COMPUTED_VALUE"""),44430)</f>
        <v>44430</v>
      </c>
      <c r="E1673" s="72"/>
      <c r="F1673" s="72"/>
      <c r="G1673" s="75"/>
      <c r="H1673" s="59" t="str">
        <f ca="1">IFERROR(__xludf.DUMMYFUNCTION("""COMPUTED_VALUE"""),"UPDATE")</f>
        <v>UPDATE</v>
      </c>
      <c r="I1673" s="76" t="str">
        <f ca="1">IFERROR(__xludf.DUMMYFUNCTION("""COMPUTED_VALUE"""),"https://drive.google.com/open?id=1RG1pTERIJmjwUPdgxgiTC2Z4cc6T559k")</f>
        <v>https://drive.google.com/open?id=1RG1pTERIJmjwUPdgxgiTC2Z4cc6T559k</v>
      </c>
      <c r="J1673" s="59"/>
      <c r="K1673" s="59"/>
      <c r="L1673" s="59"/>
      <c r="M1673" s="59"/>
      <c r="N1673" s="59"/>
      <c r="O1673" s="59"/>
      <c r="P1673" s="59"/>
    </row>
    <row r="1674" spans="1:16">
      <c r="A1674" s="71">
        <f ca="1">IFERROR(__xludf.DUMMYFUNCTION("""COMPUTED_VALUE"""),44429.5234754629)</f>
        <v>44429.523475462898</v>
      </c>
      <c r="B1674" s="59" t="str">
        <f ca="1">IFERROR(__xludf.DUMMYFUNCTION("""COMPUTED_VALUE"""),"Dangar dharmik bharatbhai ")</f>
        <v xml:space="preserve">Dangar dharmik bharatbhai </v>
      </c>
      <c r="C1674" s="72" t="str">
        <f ca="1">IFERROR(__xludf.DUMMYFUNCTION("""COMPUTED_VALUE"""),"19sdscv01001")</f>
        <v>19sdscv01001</v>
      </c>
      <c r="D1674" s="73">
        <f ca="1">IFERROR(__xludf.DUMMYFUNCTION("""COMPUTED_VALUE"""),44412)</f>
        <v>44412</v>
      </c>
      <c r="E1674" s="74">
        <f ca="1">IFERROR(__xludf.DUMMYFUNCTION("""COMPUTED_VALUE"""),0)</f>
        <v>0</v>
      </c>
      <c r="F1674" s="72">
        <f ca="1">IFERROR(__xludf.DUMMYFUNCTION("""COMPUTED_VALUE"""),2500)</f>
        <v>2500</v>
      </c>
      <c r="G1674" s="75"/>
      <c r="H1674" s="59" t="str">
        <f ca="1">IFERROR(__xludf.DUMMYFUNCTION("""COMPUTED_VALUE"""),"UPDATE")</f>
        <v>UPDATE</v>
      </c>
      <c r="I1674" s="76" t="str">
        <f ca="1">IFERROR(__xludf.DUMMYFUNCTION("""COMPUTED_VALUE"""),"https://drive.google.com/open?id=1X2IC_BCeAbWa9vCamJzvSWdO7QDDWpJF")</f>
        <v>https://drive.google.com/open?id=1X2IC_BCeAbWa9vCamJzvSWdO7QDDWpJF</v>
      </c>
      <c r="J1674" s="59"/>
      <c r="K1674" s="59"/>
      <c r="L1674" s="59"/>
      <c r="M1674" s="59"/>
      <c r="N1674" s="59"/>
      <c r="O1674" s="59"/>
      <c r="P1674" s="59"/>
    </row>
    <row r="1675" spans="1:16">
      <c r="A1675" s="71">
        <f ca="1">IFERROR(__xludf.DUMMYFUNCTION("""COMPUTED_VALUE"""),44429.52068353)</f>
        <v>44429.520683529998</v>
      </c>
      <c r="B1675" s="59" t="str">
        <f ca="1">IFERROR(__xludf.DUMMYFUNCTION("""COMPUTED_VALUE"""),"dangar dharmik bharatbhai ")</f>
        <v xml:space="preserve">dangar dharmik bharatbhai </v>
      </c>
      <c r="C1675" s="72" t="str">
        <f ca="1">IFERROR(__xludf.DUMMYFUNCTION("""COMPUTED_VALUE"""),"19sdscv01001")</f>
        <v>19sdscv01001</v>
      </c>
      <c r="D1675" s="73">
        <f ca="1">IFERROR(__xludf.DUMMYFUNCTION("""COMPUTED_VALUE"""),44412)</f>
        <v>44412</v>
      </c>
      <c r="E1675" s="74">
        <f ca="1">IFERROR(__xludf.DUMMYFUNCTION("""COMPUTED_VALUE"""),25000)</f>
        <v>25000</v>
      </c>
      <c r="F1675" s="72">
        <f ca="1">IFERROR(__xludf.DUMMYFUNCTION("""COMPUTED_VALUE"""),0)</f>
        <v>0</v>
      </c>
      <c r="G1675" s="75"/>
      <c r="H1675" s="59" t="str">
        <f ca="1">IFERROR(__xludf.DUMMYFUNCTION("""COMPUTED_VALUE"""),"UPDATE")</f>
        <v>UPDATE</v>
      </c>
      <c r="I1675" s="76" t="str">
        <f ca="1">IFERROR(__xludf.DUMMYFUNCTION("""COMPUTED_VALUE"""),"https://drive.google.com/open?id=1row-LQ1ehQ7Vz8L6CgDYyl5ZkOE0Bhcj")</f>
        <v>https://drive.google.com/open?id=1row-LQ1ehQ7Vz8L6CgDYyl5ZkOE0Bhcj</v>
      </c>
      <c r="J1675" s="59"/>
      <c r="K1675" s="59"/>
      <c r="L1675" s="59"/>
      <c r="M1675" s="59"/>
      <c r="N1675" s="59"/>
      <c r="O1675" s="59"/>
      <c r="P1675" s="59"/>
    </row>
    <row r="1676" spans="1:16">
      <c r="A1676" s="71">
        <f ca="1">IFERROR(__xludf.DUMMYFUNCTION("""COMPUTED_VALUE"""),44426.7130227199)</f>
        <v>44426.713022719901</v>
      </c>
      <c r="B1676" s="59" t="str">
        <f ca="1">IFERROR(__xludf.DUMMYFUNCTION("""COMPUTED_VALUE"""),"MEHUL VAGH KARSHANBHAI")</f>
        <v>MEHUL VAGH KARSHANBHAI</v>
      </c>
      <c r="C1676" s="72" t="str">
        <f ca="1">IFERROR(__xludf.DUMMYFUNCTION("""COMPUTED_VALUE"""),"20SDSCE01126")</f>
        <v>20SDSCE01126</v>
      </c>
      <c r="D1676" s="73">
        <f ca="1">IFERROR(__xludf.DUMMYFUNCTION("""COMPUTED_VALUE"""),44426)</f>
        <v>44426</v>
      </c>
      <c r="E1676" s="72"/>
      <c r="F1676" s="72"/>
      <c r="G1676" s="75"/>
      <c r="H1676" s="59" t="str">
        <f ca="1">IFERROR(__xludf.DUMMYFUNCTION("""COMPUTED_VALUE"""),"UPDATE")</f>
        <v>UPDATE</v>
      </c>
      <c r="I1676" s="76" t="str">
        <f ca="1">IFERROR(__xludf.DUMMYFUNCTION("""COMPUTED_VALUE"""),"https://drive.google.com/open?id=1NX3Y2hCPHNvVEEnlWUrv4EXnZ-HSzWRi")</f>
        <v>https://drive.google.com/open?id=1NX3Y2hCPHNvVEEnlWUrv4EXnZ-HSzWRi</v>
      </c>
      <c r="J1676" s="59"/>
      <c r="K1676" s="59"/>
      <c r="L1676" s="59"/>
      <c r="M1676" s="59"/>
      <c r="N1676" s="59"/>
      <c r="O1676" s="59"/>
      <c r="P1676" s="59"/>
    </row>
    <row r="1677" spans="1:16">
      <c r="A1677" s="71">
        <f ca="1">IFERROR(__xludf.DUMMYFUNCTION("""COMPUTED_VALUE"""),44425.6118647106)</f>
        <v>44425.611864710598</v>
      </c>
      <c r="B1677" s="59" t="str">
        <f ca="1">IFERROR(__xludf.DUMMYFUNCTION("""COMPUTED_VALUE"""),"Hariom Joshi ")</f>
        <v xml:space="preserve">Hariom Joshi </v>
      </c>
      <c r="C1677" s="72" t="str">
        <f ca="1">IFERROR(__xludf.DUMMYFUNCTION("""COMPUTED_VALUE"""),"19SDSCE01017")</f>
        <v>19SDSCE01017</v>
      </c>
      <c r="D1677" s="73">
        <f ca="1">IFERROR(__xludf.DUMMYFUNCTION("""COMPUTED_VALUE"""),44425)</f>
        <v>44425</v>
      </c>
      <c r="E1677" s="72"/>
      <c r="F1677" s="72"/>
      <c r="G1677" s="75"/>
      <c r="H1677" s="59" t="str">
        <f ca="1">IFERROR(__xludf.DUMMYFUNCTION("""COMPUTED_VALUE"""),"UPDATE")</f>
        <v>UPDATE</v>
      </c>
      <c r="I1677" s="76" t="str">
        <f ca="1">IFERROR(__xludf.DUMMYFUNCTION("""COMPUTED_VALUE"""),"https://drive.google.com/open?id=189Vi0DIbxBkqqIqLxHfzAOAdWFdtAhMT")</f>
        <v>https://drive.google.com/open?id=189Vi0DIbxBkqqIqLxHfzAOAdWFdtAhMT</v>
      </c>
      <c r="J1677" s="59"/>
      <c r="K1677" s="59"/>
      <c r="L1677" s="59"/>
      <c r="M1677" s="59"/>
      <c r="N1677" s="59"/>
      <c r="O1677" s="59"/>
      <c r="P1677" s="59"/>
    </row>
    <row r="1678" spans="1:16">
      <c r="A1678" s="71">
        <f ca="1">IFERROR(__xludf.DUMMYFUNCTION("""COMPUTED_VALUE"""),44425.6105630671)</f>
        <v>44425.610563067101</v>
      </c>
      <c r="B1678" s="59" t="str">
        <f ca="1">IFERROR(__xludf.DUMMYFUNCTION("""COMPUTED_VALUE"""),"Hariom Joshi ")</f>
        <v xml:space="preserve">Hariom Joshi </v>
      </c>
      <c r="C1678" s="72" t="str">
        <f ca="1">IFERROR(__xludf.DUMMYFUNCTION("""COMPUTED_VALUE"""),"19sdsce01017")</f>
        <v>19sdsce01017</v>
      </c>
      <c r="D1678" s="73">
        <f ca="1">IFERROR(__xludf.DUMMYFUNCTION("""COMPUTED_VALUE"""),44425)</f>
        <v>44425</v>
      </c>
      <c r="E1678" s="72"/>
      <c r="F1678" s="72"/>
      <c r="G1678" s="75"/>
      <c r="H1678" s="59" t="str">
        <f ca="1">IFERROR(__xludf.DUMMYFUNCTION("""COMPUTED_VALUE"""),"UPDATE")</f>
        <v>UPDATE</v>
      </c>
      <c r="I1678" s="76" t="str">
        <f ca="1">IFERROR(__xludf.DUMMYFUNCTION("""COMPUTED_VALUE"""),"https://drive.google.com/open?id=1lbPlNXL9ZvINPrymsmeUeEsSM4Oy9kl5")</f>
        <v>https://drive.google.com/open?id=1lbPlNXL9ZvINPrymsmeUeEsSM4Oy9kl5</v>
      </c>
      <c r="J1678" s="59"/>
      <c r="K1678" s="59"/>
      <c r="L1678" s="59"/>
      <c r="M1678" s="59"/>
      <c r="N1678" s="59"/>
      <c r="O1678" s="59"/>
      <c r="P1678" s="59"/>
    </row>
    <row r="1679" spans="1:16">
      <c r="A1679" s="71">
        <f ca="1">IFERROR(__xludf.DUMMYFUNCTION("""COMPUTED_VALUE"""),44425.6091189236)</f>
        <v>44425.609118923603</v>
      </c>
      <c r="B1679" s="59" t="str">
        <f ca="1">IFERROR(__xludf.DUMMYFUNCTION("""COMPUTED_VALUE"""),"Hariom joshi")</f>
        <v>Hariom joshi</v>
      </c>
      <c r="C1679" s="72" t="str">
        <f ca="1">IFERROR(__xludf.DUMMYFUNCTION("""COMPUTED_VALUE"""),"19Sdsce01017")</f>
        <v>19Sdsce01017</v>
      </c>
      <c r="D1679" s="73">
        <f ca="1">IFERROR(__xludf.DUMMYFUNCTION("""COMPUTED_VALUE"""),44425)</f>
        <v>44425</v>
      </c>
      <c r="E1679" s="72"/>
      <c r="F1679" s="72"/>
      <c r="G1679" s="75"/>
      <c r="H1679" s="59" t="str">
        <f ca="1">IFERROR(__xludf.DUMMYFUNCTION("""COMPUTED_VALUE"""),"UPDATE")</f>
        <v>UPDATE</v>
      </c>
      <c r="I1679" s="76" t="str">
        <f ca="1">IFERROR(__xludf.DUMMYFUNCTION("""COMPUTED_VALUE"""),"https://drive.google.com/open?id=1r5D5AUVvjXMkNCvwVbIrit0-kcSqJh-k")</f>
        <v>https://drive.google.com/open?id=1r5D5AUVvjXMkNCvwVbIrit0-kcSqJh-k</v>
      </c>
      <c r="J1679" s="59"/>
      <c r="K1679" s="59"/>
      <c r="L1679" s="59"/>
      <c r="M1679" s="59"/>
      <c r="N1679" s="59"/>
      <c r="O1679" s="59"/>
      <c r="P1679" s="59"/>
    </row>
    <row r="1680" spans="1:16">
      <c r="A1680" s="71">
        <f ca="1">IFERROR(__xludf.DUMMYFUNCTION("""COMPUTED_VALUE"""),44425.6056134375)</f>
        <v>44425.605613437503</v>
      </c>
      <c r="B1680" s="59" t="str">
        <f ca="1">IFERROR(__xludf.DUMMYFUNCTION("""COMPUTED_VALUE"""),"Hariom Joshi ")</f>
        <v xml:space="preserve">Hariom Joshi </v>
      </c>
      <c r="C1680" s="72" t="str">
        <f ca="1">IFERROR(__xludf.DUMMYFUNCTION("""COMPUTED_VALUE"""),"19SDSCE01017")</f>
        <v>19SDSCE01017</v>
      </c>
      <c r="D1680" s="73">
        <f ca="1">IFERROR(__xludf.DUMMYFUNCTION("""COMPUTED_VALUE"""),44425)</f>
        <v>44425</v>
      </c>
      <c r="E1680" s="72"/>
      <c r="F1680" s="72"/>
      <c r="G1680" s="75"/>
      <c r="H1680" s="59" t="str">
        <f ca="1">IFERROR(__xludf.DUMMYFUNCTION("""COMPUTED_VALUE"""),"UPDATE")</f>
        <v>UPDATE</v>
      </c>
      <c r="I1680" s="76" t="str">
        <f ca="1">IFERROR(__xludf.DUMMYFUNCTION("""COMPUTED_VALUE"""),"https://drive.google.com/open?id=1Xb_kXFeyxSjYr49O3x0jZqFZfN1HgNnB")</f>
        <v>https://drive.google.com/open?id=1Xb_kXFeyxSjYr49O3x0jZqFZfN1HgNnB</v>
      </c>
      <c r="J1680" s="59"/>
      <c r="K1680" s="59"/>
      <c r="L1680" s="59"/>
      <c r="M1680" s="59"/>
      <c r="N1680" s="59"/>
      <c r="O1680" s="59"/>
      <c r="P1680" s="59"/>
    </row>
    <row r="1681" spans="1:16">
      <c r="A1681" s="71">
        <f ca="1">IFERROR(__xludf.DUMMYFUNCTION("""COMPUTED_VALUE"""),44425.5754287268)</f>
        <v>44425.575428726799</v>
      </c>
      <c r="B1681" s="59" t="str">
        <f ca="1">IFERROR(__xludf.DUMMYFUNCTION("""COMPUTED_VALUE"""),"Hariom Joshi ")</f>
        <v xml:space="preserve">Hariom Joshi </v>
      </c>
      <c r="C1681" s="72" t="str">
        <f ca="1">IFERROR(__xludf.DUMMYFUNCTION("""COMPUTED_VALUE"""),"19Sdsce01017")</f>
        <v>19Sdsce01017</v>
      </c>
      <c r="D1681" s="73">
        <f ca="1">IFERROR(__xludf.DUMMYFUNCTION("""COMPUTED_VALUE"""),44425)</f>
        <v>44425</v>
      </c>
      <c r="E1681" s="72"/>
      <c r="F1681" s="72"/>
      <c r="G1681" s="75"/>
      <c r="H1681" s="59" t="str">
        <f ca="1">IFERROR(__xludf.DUMMYFUNCTION("""COMPUTED_VALUE"""),"UPDATE")</f>
        <v>UPDATE</v>
      </c>
      <c r="I1681" s="76" t="str">
        <f ca="1">IFERROR(__xludf.DUMMYFUNCTION("""COMPUTED_VALUE"""),"https://drive.google.com/open?id=16AeBROy73ogkyuJiNdJQuri3O57JuFv_")</f>
        <v>https://drive.google.com/open?id=16AeBROy73ogkyuJiNdJQuri3O57JuFv_</v>
      </c>
      <c r="J1681" s="59"/>
      <c r="K1681" s="59"/>
      <c r="L1681" s="59"/>
      <c r="M1681" s="59"/>
      <c r="N1681" s="59"/>
      <c r="O1681" s="59"/>
      <c r="P1681" s="59"/>
    </row>
    <row r="1682" spans="1:16">
      <c r="A1682" s="71">
        <f ca="1">IFERROR(__xludf.DUMMYFUNCTION("""COMPUTED_VALUE"""),44425.5297440972)</f>
        <v>44425.529744097199</v>
      </c>
      <c r="B1682" s="59" t="str">
        <f ca="1">IFERROR(__xludf.DUMMYFUNCTION("""COMPUTED_VALUE"""),"Meet kathrotiya")</f>
        <v>Meet kathrotiya</v>
      </c>
      <c r="C1682" s="72" t="str">
        <f ca="1">IFERROR(__xludf.DUMMYFUNCTION("""COMPUTED_VALUE"""),"19sdsce01022")</f>
        <v>19sdsce01022</v>
      </c>
      <c r="D1682" s="73">
        <f ca="1">IFERROR(__xludf.DUMMYFUNCTION("""COMPUTED_VALUE"""),44424)</f>
        <v>44424</v>
      </c>
      <c r="E1682" s="74">
        <f ca="1">IFERROR(__xludf.DUMMYFUNCTION("""COMPUTED_VALUE"""),25000)</f>
        <v>25000</v>
      </c>
      <c r="F1682" s="72">
        <f ca="1">IFERROR(__xludf.DUMMYFUNCTION("""COMPUTED_VALUE"""),2500)</f>
        <v>2500</v>
      </c>
      <c r="G1682" s="75"/>
      <c r="H1682" s="59" t="str">
        <f ca="1">IFERROR(__xludf.DUMMYFUNCTION("""COMPUTED_VALUE"""),"UPDATE")</f>
        <v>UPDATE</v>
      </c>
      <c r="I1682" s="76" t="str">
        <f ca="1">IFERROR(__xludf.DUMMYFUNCTION("""COMPUTED_VALUE"""),"https://drive.google.com/open?id=197KqU4CLxOeyh5XjrvZOeeixC2LWnqQ_")</f>
        <v>https://drive.google.com/open?id=197KqU4CLxOeyh5XjrvZOeeixC2LWnqQ_</v>
      </c>
      <c r="J1682" s="59"/>
      <c r="K1682" s="59"/>
      <c r="L1682" s="59"/>
      <c r="M1682" s="59"/>
      <c r="N1682" s="59"/>
      <c r="O1682" s="59"/>
      <c r="P1682" s="59"/>
    </row>
    <row r="1683" spans="1:16">
      <c r="A1683" s="71">
        <f ca="1">IFERROR(__xludf.DUMMYFUNCTION("""COMPUTED_VALUE"""),44424.6689831597)</f>
        <v>44424.668983159703</v>
      </c>
      <c r="B1683" s="59" t="str">
        <f ca="1">IFERROR(__xludf.DUMMYFUNCTION("""COMPUTED_VALUE"""),"Khimani faizan yusufbhai")</f>
        <v>Khimani faizan yusufbhai</v>
      </c>
      <c r="C1683" s="72" t="str">
        <f ca="1">IFERROR(__xludf.DUMMYFUNCTION("""COMPUTED_VALUE"""),"19SDSCE01025")</f>
        <v>19SDSCE01025</v>
      </c>
      <c r="D1683" s="73">
        <f ca="1">IFERROR(__xludf.DUMMYFUNCTION("""COMPUTED_VALUE"""),44408)</f>
        <v>44408</v>
      </c>
      <c r="E1683" s="72"/>
      <c r="F1683" s="72">
        <f ca="1">IFERROR(__xludf.DUMMYFUNCTION("""COMPUTED_VALUE"""),2500)</f>
        <v>2500</v>
      </c>
      <c r="G1683" s="75"/>
      <c r="H1683" s="59" t="str">
        <f ca="1">IFERROR(__xludf.DUMMYFUNCTION("""COMPUTED_VALUE"""),"UPDATE")</f>
        <v>UPDATE</v>
      </c>
      <c r="I1683" s="76" t="str">
        <f ca="1">IFERROR(__xludf.DUMMYFUNCTION("""COMPUTED_VALUE"""),"https://drive.google.com/open?id=1ytfLIG36SlrdI7jTtYxsRU6jPlg7Ch2-")</f>
        <v>https://drive.google.com/open?id=1ytfLIG36SlrdI7jTtYxsRU6jPlg7Ch2-</v>
      </c>
      <c r="J1683" s="59"/>
      <c r="K1683" s="59"/>
      <c r="L1683" s="59"/>
      <c r="M1683" s="59"/>
      <c r="N1683" s="59"/>
      <c r="O1683" s="59"/>
      <c r="P1683" s="59"/>
    </row>
    <row r="1684" spans="1:16">
      <c r="A1684" s="71">
        <f ca="1">IFERROR(__xludf.DUMMYFUNCTION("""COMPUTED_VALUE"""),44424.6677604513)</f>
        <v>44424.667760451302</v>
      </c>
      <c r="B1684" s="59" t="str">
        <f ca="1">IFERROR(__xludf.DUMMYFUNCTION("""COMPUTED_VALUE"""),"Khimani faizan yusufbhai")</f>
        <v>Khimani faizan yusufbhai</v>
      </c>
      <c r="C1684" s="72" t="str">
        <f ca="1">IFERROR(__xludf.DUMMYFUNCTION("""COMPUTED_VALUE"""),"19SDSCE01025")</f>
        <v>19SDSCE01025</v>
      </c>
      <c r="D1684" s="73">
        <f ca="1">IFERROR(__xludf.DUMMYFUNCTION("""COMPUTED_VALUE"""),44408)</f>
        <v>44408</v>
      </c>
      <c r="E1684" s="74">
        <f ca="1">IFERROR(__xludf.DUMMYFUNCTION("""COMPUTED_VALUE"""),12500)</f>
        <v>12500</v>
      </c>
      <c r="F1684" s="72"/>
      <c r="G1684" s="75"/>
      <c r="H1684" s="59" t="str">
        <f ca="1">IFERROR(__xludf.DUMMYFUNCTION("""COMPUTED_VALUE"""),"UPDATE")</f>
        <v>UPDATE</v>
      </c>
      <c r="I1684" s="76" t="str">
        <f ca="1">IFERROR(__xludf.DUMMYFUNCTION("""COMPUTED_VALUE"""),"https://drive.google.com/open?id=1bTE68ms56UiU0paFE6F-zZz6ZywkOXqI")</f>
        <v>https://drive.google.com/open?id=1bTE68ms56UiU0paFE6F-zZz6ZywkOXqI</v>
      </c>
      <c r="J1684" s="59"/>
      <c r="K1684" s="59"/>
      <c r="L1684" s="59"/>
      <c r="M1684" s="59"/>
      <c r="N1684" s="59"/>
      <c r="O1684" s="59"/>
      <c r="P1684" s="59"/>
    </row>
    <row r="1685" spans="1:16">
      <c r="A1685" s="71">
        <f ca="1">IFERROR(__xludf.DUMMYFUNCTION("""COMPUTED_VALUE"""),44424.6388881712)</f>
        <v>44424.638888171197</v>
      </c>
      <c r="B1685" s="59" t="str">
        <f ca="1">IFERROR(__xludf.DUMMYFUNCTION("""COMPUTED_VALUE"""),"Dharmik bharatbhai dangar")</f>
        <v>Dharmik bharatbhai dangar</v>
      </c>
      <c r="C1685" s="72" t="str">
        <f ca="1">IFERROR(__xludf.DUMMYFUNCTION("""COMPUTED_VALUE"""),"19sdscv01001")</f>
        <v>19sdscv01001</v>
      </c>
      <c r="D1685" s="73">
        <f ca="1">IFERROR(__xludf.DUMMYFUNCTION("""COMPUTED_VALUE"""),44424)</f>
        <v>44424</v>
      </c>
      <c r="E1685" s="72"/>
      <c r="F1685" s="72"/>
      <c r="G1685" s="75"/>
      <c r="H1685" s="59" t="str">
        <f ca="1">IFERROR(__xludf.DUMMYFUNCTION("""COMPUTED_VALUE"""),"UPDATE")</f>
        <v>UPDATE</v>
      </c>
      <c r="I1685" s="76" t="str">
        <f ca="1">IFERROR(__xludf.DUMMYFUNCTION("""COMPUTED_VALUE"""),"https://drive.google.com/open?id=1JSCcBQkQaQhgrAUkZmzfW3jz7jvdHGJE")</f>
        <v>https://drive.google.com/open?id=1JSCcBQkQaQhgrAUkZmzfW3jz7jvdHGJE</v>
      </c>
      <c r="J1685" s="59"/>
      <c r="K1685" s="59"/>
      <c r="L1685" s="59"/>
      <c r="M1685" s="59"/>
      <c r="N1685" s="59"/>
      <c r="O1685" s="59"/>
      <c r="P1685" s="59"/>
    </row>
    <row r="1686" spans="1:16">
      <c r="A1686" s="71">
        <f ca="1">IFERROR(__xludf.DUMMYFUNCTION("""COMPUTED_VALUE"""),44422.5482405208)</f>
        <v>44422.548240520802</v>
      </c>
      <c r="B1686" s="59" t="str">
        <f ca="1">IFERROR(__xludf.DUMMYFUNCTION("""COMPUTED_VALUE"""),"Asodariya Archit Sureshbhai")</f>
        <v>Asodariya Archit Sureshbhai</v>
      </c>
      <c r="C1686" s="72" t="str">
        <f ca="1">IFERROR(__xludf.DUMMYFUNCTION("""COMPUTED_VALUE"""),"20SDSME01002")</f>
        <v>20SDSME01002</v>
      </c>
      <c r="D1686" s="73">
        <f ca="1">IFERROR(__xludf.DUMMYFUNCTION("""COMPUTED_VALUE"""),44422)</f>
        <v>44422</v>
      </c>
      <c r="E1686" s="72"/>
      <c r="F1686" s="72"/>
      <c r="G1686" s="75"/>
      <c r="H1686" s="59" t="str">
        <f ca="1">IFERROR(__xludf.DUMMYFUNCTION("""COMPUTED_VALUE"""),"UPDATE")</f>
        <v>UPDATE</v>
      </c>
      <c r="I1686" s="76" t="str">
        <f ca="1">IFERROR(__xludf.DUMMYFUNCTION("""COMPUTED_VALUE"""),"https://drive.google.com/open?id=1RKrCSxh7Fm-6DouiFZdQ5gd1CNIwfiVR")</f>
        <v>https://drive.google.com/open?id=1RKrCSxh7Fm-6DouiFZdQ5gd1CNIwfiVR</v>
      </c>
      <c r="J1686" s="59"/>
      <c r="K1686" s="59"/>
      <c r="L1686" s="59"/>
      <c r="M1686" s="59"/>
      <c r="N1686" s="59"/>
      <c r="O1686" s="59"/>
      <c r="P1686" s="59"/>
    </row>
    <row r="1687" spans="1:16">
      <c r="A1687" s="71">
        <f ca="1">IFERROR(__xludf.DUMMYFUNCTION("""COMPUTED_VALUE"""),44420.8048998263)</f>
        <v>44420.804899826297</v>
      </c>
      <c r="B1687" s="59" t="str">
        <f ca="1">IFERROR(__xludf.DUMMYFUNCTION("""COMPUTED_VALUE"""),"VIRANI JAYDEEP SURESHBHAI")</f>
        <v>VIRANI JAYDEEP SURESHBHAI</v>
      </c>
      <c r="C1687" s="72" t="str">
        <f ca="1">IFERROR(__xludf.DUMMYFUNCTION("""COMPUTED_VALUE"""),"20SDSCE01140")</f>
        <v>20SDSCE01140</v>
      </c>
      <c r="D1687" s="73">
        <f ca="1">IFERROR(__xludf.DUMMYFUNCTION("""COMPUTED_VALUE"""),44420)</f>
        <v>44420</v>
      </c>
      <c r="E1687" s="72"/>
      <c r="F1687" s="72"/>
      <c r="G1687" s="75"/>
      <c r="H1687" s="59" t="str">
        <f ca="1">IFERROR(__xludf.DUMMYFUNCTION("""COMPUTED_VALUE"""),"UPDATE")</f>
        <v>UPDATE</v>
      </c>
      <c r="I1687" s="76" t="str">
        <f ca="1">IFERROR(__xludf.DUMMYFUNCTION("""COMPUTED_VALUE"""),"https://drive.google.com/open?id=1YiZoGZy_epG0DWKgcTEyYupSEXqrTZMH")</f>
        <v>https://drive.google.com/open?id=1YiZoGZy_epG0DWKgcTEyYupSEXqrTZMH</v>
      </c>
      <c r="J1687" s="59"/>
      <c r="K1687" s="59"/>
      <c r="L1687" s="59"/>
      <c r="M1687" s="59"/>
      <c r="N1687" s="59"/>
      <c r="O1687" s="59"/>
      <c r="P1687" s="59"/>
    </row>
    <row r="1688" spans="1:16">
      <c r="A1688" s="71">
        <f ca="1">IFERROR(__xludf.DUMMYFUNCTION("""COMPUTED_VALUE"""),44420.6102410648)</f>
        <v>44420.610241064802</v>
      </c>
      <c r="B1688" s="59" t="str">
        <f ca="1">IFERROR(__xludf.DUMMYFUNCTION("""COMPUTED_VALUE"""),"Kariya jay mahesh bahi")</f>
        <v>Kariya jay mahesh bahi</v>
      </c>
      <c r="C1688" s="72" t="str">
        <f ca="1">IFERROR(__xludf.DUMMYFUNCTION("""COMPUTED_VALUE"""),"20SDSCE01052")</f>
        <v>20SDSCE01052</v>
      </c>
      <c r="D1688" s="73">
        <f ca="1">IFERROR(__xludf.DUMMYFUNCTION("""COMPUTED_VALUE"""),44420)</f>
        <v>44420</v>
      </c>
      <c r="E1688" s="72"/>
      <c r="F1688" s="72">
        <f ca="1">IFERROR(__xludf.DUMMYFUNCTION("""COMPUTED_VALUE"""),2500)</f>
        <v>2500</v>
      </c>
      <c r="G1688" s="75"/>
      <c r="H1688" s="59" t="str">
        <f ca="1">IFERROR(__xludf.DUMMYFUNCTION("""COMPUTED_VALUE"""),"UPDATE")</f>
        <v>UPDATE</v>
      </c>
      <c r="I1688" s="76" t="str">
        <f ca="1">IFERROR(__xludf.DUMMYFUNCTION("""COMPUTED_VALUE"""),"https://drive.google.com/open?id=1pOSz8dFnmi0ee8-JMjSfX-HHMr_-oMZq")</f>
        <v>https://drive.google.com/open?id=1pOSz8dFnmi0ee8-JMjSfX-HHMr_-oMZq</v>
      </c>
      <c r="J1688" s="59"/>
      <c r="K1688" s="59"/>
      <c r="L1688" s="59"/>
      <c r="M1688" s="59"/>
      <c r="N1688" s="59"/>
      <c r="O1688" s="59"/>
      <c r="P1688" s="59"/>
    </row>
    <row r="1689" spans="1:16">
      <c r="A1689" s="71">
        <f ca="1">IFERROR(__xludf.DUMMYFUNCTION("""COMPUTED_VALUE"""),44420.6082327662)</f>
        <v>44420.608232766201</v>
      </c>
      <c r="B1689" s="59" t="str">
        <f ca="1">IFERROR(__xludf.DUMMYFUNCTION("""COMPUTED_VALUE"""),"Kariya jay mahesh bhai")</f>
        <v>Kariya jay mahesh bhai</v>
      </c>
      <c r="C1689" s="72" t="str">
        <f ca="1">IFERROR(__xludf.DUMMYFUNCTION("""COMPUTED_VALUE"""),"20SDSCE01052")</f>
        <v>20SDSCE01052</v>
      </c>
      <c r="D1689" s="73">
        <f ca="1">IFERROR(__xludf.DUMMYFUNCTION("""COMPUTED_VALUE"""),44420)</f>
        <v>44420</v>
      </c>
      <c r="E1689" s="74">
        <f ca="1">IFERROR(__xludf.DUMMYFUNCTION("""COMPUTED_VALUE"""),12500)</f>
        <v>12500</v>
      </c>
      <c r="F1689" s="72"/>
      <c r="G1689" s="75"/>
      <c r="H1689" s="59" t="str">
        <f ca="1">IFERROR(__xludf.DUMMYFUNCTION("""COMPUTED_VALUE"""),"UPDATE")</f>
        <v>UPDATE</v>
      </c>
      <c r="I1689" s="76" t="str">
        <f ca="1">IFERROR(__xludf.DUMMYFUNCTION("""COMPUTED_VALUE"""),"https://drive.google.com/open?id=1uMMZqT_5hJYzxPojtnRynONTzntsJb7G")</f>
        <v>https://drive.google.com/open?id=1uMMZqT_5hJYzxPojtnRynONTzntsJb7G</v>
      </c>
      <c r="J1689" s="59"/>
      <c r="K1689" s="59"/>
      <c r="L1689" s="59"/>
      <c r="M1689" s="59"/>
      <c r="N1689" s="59"/>
      <c r="O1689" s="59"/>
      <c r="P1689" s="59"/>
    </row>
    <row r="1690" spans="1:16">
      <c r="A1690" s="71">
        <f ca="1">IFERROR(__xludf.DUMMYFUNCTION("""COMPUTED_VALUE"""),44417.670057581)</f>
        <v>44417.670057581003</v>
      </c>
      <c r="B1690" s="59" t="str">
        <f ca="1">IFERROR(__xludf.DUMMYFUNCTION("""COMPUTED_VALUE"""),"Hiren vaghela")</f>
        <v>Hiren vaghela</v>
      </c>
      <c r="C1690" s="72" t="str">
        <f ca="1">IFERROR(__xludf.DUMMYFUNCTION("""COMPUTED_VALUE"""),"20SDSCE01130")</f>
        <v>20SDSCE01130</v>
      </c>
      <c r="D1690" s="73">
        <f ca="1">IFERROR(__xludf.DUMMYFUNCTION("""COMPUTED_VALUE"""),44417)</f>
        <v>44417</v>
      </c>
      <c r="E1690" s="72"/>
      <c r="F1690" s="72"/>
      <c r="G1690" s="75"/>
      <c r="H1690" s="59" t="str">
        <f ca="1">IFERROR(__xludf.DUMMYFUNCTION("""COMPUTED_VALUE"""),"UPDATE")</f>
        <v>UPDATE</v>
      </c>
      <c r="I1690" s="76" t="str">
        <f ca="1">IFERROR(__xludf.DUMMYFUNCTION("""COMPUTED_VALUE"""),"https://drive.google.com/open?id=11dWrtxYyLj83KAhYqglakCCZ2apnU0Nk")</f>
        <v>https://drive.google.com/open?id=11dWrtxYyLj83KAhYqglakCCZ2apnU0Nk</v>
      </c>
      <c r="J1690" s="59"/>
      <c r="K1690" s="59"/>
      <c r="L1690" s="59"/>
      <c r="M1690" s="59"/>
      <c r="N1690" s="59"/>
      <c r="O1690" s="59"/>
      <c r="P1690" s="59"/>
    </row>
    <row r="1691" spans="1:16">
      <c r="A1691" s="71">
        <f ca="1">IFERROR(__xludf.DUMMYFUNCTION("""COMPUTED_VALUE"""),44417.4719452546)</f>
        <v>44417.471945254598</v>
      </c>
      <c r="B1691" s="59" t="str">
        <f ca="1">IFERROR(__xludf.DUMMYFUNCTION("""COMPUTED_VALUE"""),"Jignesh rabadiya pravinbhai")</f>
        <v>Jignesh rabadiya pravinbhai</v>
      </c>
      <c r="C1691" s="72" t="str">
        <f ca="1">IFERROR(__xludf.DUMMYFUNCTION("""COMPUTED_VALUE"""),"19sdscv01006")</f>
        <v>19sdscv01006</v>
      </c>
      <c r="D1691" s="73">
        <f ca="1">IFERROR(__xludf.DUMMYFUNCTION("""COMPUTED_VALUE"""),44410)</f>
        <v>44410</v>
      </c>
      <c r="E1691" s="74">
        <f ca="1">IFERROR(__xludf.DUMMYFUNCTION("""COMPUTED_VALUE"""),8500)</f>
        <v>8500</v>
      </c>
      <c r="F1691" s="72">
        <f ca="1">IFERROR(__xludf.DUMMYFUNCTION("""COMPUTED_VALUE"""),2500)</f>
        <v>2500</v>
      </c>
      <c r="G1691" s="75"/>
      <c r="H1691" s="59" t="str">
        <f ca="1">IFERROR(__xludf.DUMMYFUNCTION("""COMPUTED_VALUE"""),"UPDATE")</f>
        <v>UPDATE</v>
      </c>
      <c r="I1691" s="76" t="str">
        <f ca="1">IFERROR(__xludf.DUMMYFUNCTION("""COMPUTED_VALUE"""),"https://drive.google.com/open?id=1aHPO4GJRYtXsKmiD6Rj6a9JaU4gqtZVC")</f>
        <v>https://drive.google.com/open?id=1aHPO4GJRYtXsKmiD6Rj6a9JaU4gqtZVC</v>
      </c>
      <c r="J1691" s="59"/>
      <c r="K1691" s="59"/>
      <c r="L1691" s="59"/>
      <c r="M1691" s="59"/>
      <c r="N1691" s="59"/>
      <c r="O1691" s="59"/>
      <c r="P1691" s="59"/>
    </row>
    <row r="1692" spans="1:16">
      <c r="A1692" s="71">
        <f ca="1">IFERROR(__xludf.DUMMYFUNCTION("""COMPUTED_VALUE"""),44416.4130693981)</f>
        <v>44416.413069398099</v>
      </c>
      <c r="B1692" s="59" t="str">
        <f ca="1">IFERROR(__xludf.DUMMYFUNCTION("""COMPUTED_VALUE"""),"Kalariya jigar kiranbhai")</f>
        <v>Kalariya jigar kiranbhai</v>
      </c>
      <c r="C1692" s="72" t="str">
        <f ca="1">IFERROR(__xludf.DUMMYFUNCTION("""COMPUTED_VALUE"""),"20SDSCE01048")</f>
        <v>20SDSCE01048</v>
      </c>
      <c r="D1692" s="73">
        <f ca="1">IFERROR(__xludf.DUMMYFUNCTION("""COMPUTED_VALUE"""),37562)</f>
        <v>37562</v>
      </c>
      <c r="E1692" s="74">
        <f ca="1">IFERROR(__xludf.DUMMYFUNCTION("""COMPUTED_VALUE"""),6250)</f>
        <v>6250</v>
      </c>
      <c r="F1692" s="72"/>
      <c r="G1692" s="75"/>
      <c r="H1692" s="59" t="str">
        <f ca="1">IFERROR(__xludf.DUMMYFUNCTION("""COMPUTED_VALUE"""),"UPDATE")</f>
        <v>UPDATE</v>
      </c>
      <c r="I1692" s="76" t="str">
        <f ca="1">IFERROR(__xludf.DUMMYFUNCTION("""COMPUTED_VALUE"""),"https://drive.google.com/open?id=1Zpe67xbIrDcPlDy0taOG6PLHQ3ZrXkza")</f>
        <v>https://drive.google.com/open?id=1Zpe67xbIrDcPlDy0taOG6PLHQ3ZrXkza</v>
      </c>
      <c r="J1692" s="59"/>
      <c r="K1692" s="59"/>
      <c r="L1692" s="59"/>
      <c r="M1692" s="59"/>
      <c r="N1692" s="59"/>
      <c r="O1692" s="59"/>
      <c r="P1692" s="59"/>
    </row>
    <row r="1693" spans="1:16">
      <c r="A1693" s="71">
        <f ca="1">IFERROR(__xludf.DUMMYFUNCTION("""COMPUTED_VALUE"""),44411.818628831)</f>
        <v>44411.818628831003</v>
      </c>
      <c r="B1693" s="59" t="str">
        <f ca="1">IFERROR(__xludf.DUMMYFUNCTION("""COMPUTED_VALUE"""),"Meet Rajeshbhai Dave")</f>
        <v>Meet Rajeshbhai Dave</v>
      </c>
      <c r="C1693" s="72" t="str">
        <f ca="1">IFERROR(__xludf.DUMMYFUNCTION("""COMPUTED_VALUE"""),"19SDSCE01010")</f>
        <v>19SDSCE01010</v>
      </c>
      <c r="D1693" s="73">
        <f ca="1">IFERROR(__xludf.DUMMYFUNCTION("""COMPUTED_VALUE"""),44409)</f>
        <v>44409</v>
      </c>
      <c r="E1693" s="72"/>
      <c r="F1693" s="72">
        <f ca="1">IFERROR(__xludf.DUMMYFUNCTION("""COMPUTED_VALUE"""),2500)</f>
        <v>2500</v>
      </c>
      <c r="G1693" s="75"/>
      <c r="H1693" s="59" t="str">
        <f ca="1">IFERROR(__xludf.DUMMYFUNCTION("""COMPUTED_VALUE"""),"UPDATE")</f>
        <v>UPDATE</v>
      </c>
      <c r="I1693" s="76" t="str">
        <f ca="1">IFERROR(__xludf.DUMMYFUNCTION("""COMPUTED_VALUE"""),"https://drive.google.com/open?id=15Ua0kGEjf8VgDzbOa3EUclUHZV1QhgAE")</f>
        <v>https://drive.google.com/open?id=15Ua0kGEjf8VgDzbOa3EUclUHZV1QhgAE</v>
      </c>
      <c r="J1693" s="59"/>
      <c r="K1693" s="59"/>
      <c r="L1693" s="59"/>
      <c r="M1693" s="59"/>
      <c r="N1693" s="59"/>
      <c r="O1693" s="59"/>
      <c r="P1693" s="59"/>
    </row>
    <row r="1694" spans="1:16">
      <c r="A1694" s="71">
        <f ca="1">IFERROR(__xludf.DUMMYFUNCTION("""COMPUTED_VALUE"""),44411.6167586458)</f>
        <v>44411.616758645803</v>
      </c>
      <c r="B1694" s="59" t="str">
        <f ca="1">IFERROR(__xludf.DUMMYFUNCTION("""COMPUTED_VALUE"""),"Ramani sahil Rajeshbhai")</f>
        <v>Ramani sahil Rajeshbhai</v>
      </c>
      <c r="C1694" s="72" t="str">
        <f ca="1">IFERROR(__xludf.DUMMYFUNCTION("""COMPUTED_VALUE"""),"19sdscv01007")</f>
        <v>19sdscv01007</v>
      </c>
      <c r="D1694" s="73">
        <f ca="1">IFERROR(__xludf.DUMMYFUNCTION("""COMPUTED_VALUE"""),44372)</f>
        <v>44372</v>
      </c>
      <c r="E1694" s="74">
        <f ca="1">IFERROR(__xludf.DUMMYFUNCTION("""COMPUTED_VALUE"""),18750)</f>
        <v>18750</v>
      </c>
      <c r="F1694" s="72">
        <f ca="1">IFERROR(__xludf.DUMMYFUNCTION("""COMPUTED_VALUE"""),2500)</f>
        <v>2500</v>
      </c>
      <c r="G1694" s="75"/>
      <c r="H1694" s="59" t="str">
        <f ca="1">IFERROR(__xludf.DUMMYFUNCTION("""COMPUTED_VALUE"""),"UPDATE")</f>
        <v>UPDATE</v>
      </c>
      <c r="I1694" s="76" t="str">
        <f ca="1">IFERROR(__xludf.DUMMYFUNCTION("""COMPUTED_VALUE"""),"https://drive.google.com/open?id=1rDXJ_bF7haAH8R9m6hHVgnfCUGtEjSWx")</f>
        <v>https://drive.google.com/open?id=1rDXJ_bF7haAH8R9m6hHVgnfCUGtEjSWx</v>
      </c>
      <c r="J1694" s="59"/>
      <c r="K1694" s="59"/>
      <c r="L1694" s="59"/>
      <c r="M1694" s="59"/>
      <c r="N1694" s="59"/>
      <c r="O1694" s="59"/>
      <c r="P1694" s="59"/>
    </row>
    <row r="1695" spans="1:16">
      <c r="A1695" s="71">
        <f ca="1">IFERROR(__xludf.DUMMYFUNCTION("""COMPUTED_VALUE"""),44410.6066085763)</f>
        <v>44410.606608576301</v>
      </c>
      <c r="B1695" s="59" t="str">
        <f ca="1">IFERROR(__xludf.DUMMYFUNCTION("""COMPUTED_VALUE"""),"SUKHADIYA JASMINBHAI GOPALBHAI ")</f>
        <v xml:space="preserve">SUKHADIYA JASMINBHAI GOPALBHAI </v>
      </c>
      <c r="C1695" s="72" t="str">
        <f ca="1">IFERROR(__xludf.DUMMYFUNCTION("""COMPUTED_VALUE"""),"19SDSME01028")</f>
        <v>19SDSME01028</v>
      </c>
      <c r="D1695" s="73">
        <f ca="1">IFERROR(__xludf.DUMMYFUNCTION("""COMPUTED_VALUE"""),44410)</f>
        <v>44410</v>
      </c>
      <c r="E1695" s="74">
        <f ca="1">IFERROR(__xludf.DUMMYFUNCTION("""COMPUTED_VALUE"""),15000)</f>
        <v>15000</v>
      </c>
      <c r="F1695" s="72"/>
      <c r="G1695" s="75"/>
      <c r="H1695" s="59" t="str">
        <f ca="1">IFERROR(__xludf.DUMMYFUNCTION("""COMPUTED_VALUE"""),"UPDATE")</f>
        <v>UPDATE</v>
      </c>
      <c r="I1695" s="76" t="str">
        <f ca="1">IFERROR(__xludf.DUMMYFUNCTION("""COMPUTED_VALUE"""),"https://drive.google.com/open?id=1ruk_25q-7j4LMoV2bnpwK6AnBlH9Ihw2")</f>
        <v>https://drive.google.com/open?id=1ruk_25q-7j4LMoV2bnpwK6AnBlH9Ihw2</v>
      </c>
      <c r="J1695" s="59"/>
      <c r="K1695" s="59"/>
      <c r="L1695" s="59"/>
      <c r="M1695" s="59"/>
      <c r="N1695" s="59"/>
      <c r="O1695" s="59"/>
      <c r="P1695" s="59"/>
    </row>
    <row r="1696" spans="1:16">
      <c r="A1696" s="71">
        <f ca="1">IFERROR(__xludf.DUMMYFUNCTION("""COMPUTED_VALUE"""),44410.605823831)</f>
        <v>44410.605823831</v>
      </c>
      <c r="B1696" s="59" t="str">
        <f ca="1">IFERROR(__xludf.DUMMYFUNCTION("""COMPUTED_VALUE"""),"SUKHADIYA DURGESH DAMABHAI")</f>
        <v>SUKHADIYA DURGESH DAMABHAI</v>
      </c>
      <c r="C1696" s="72" t="str">
        <f ca="1">IFERROR(__xludf.DUMMYFUNCTION("""COMPUTED_VALUE"""),"19SDSME01027")</f>
        <v>19SDSME01027</v>
      </c>
      <c r="D1696" s="73">
        <f ca="1">IFERROR(__xludf.DUMMYFUNCTION("""COMPUTED_VALUE"""),44410)</f>
        <v>44410</v>
      </c>
      <c r="E1696" s="74">
        <f ca="1">IFERROR(__xludf.DUMMYFUNCTION("""COMPUTED_VALUE"""),15000)</f>
        <v>15000</v>
      </c>
      <c r="F1696" s="72"/>
      <c r="G1696" s="75"/>
      <c r="H1696" s="59" t="str">
        <f ca="1">IFERROR(__xludf.DUMMYFUNCTION("""COMPUTED_VALUE"""),"UPDATE")</f>
        <v>UPDATE</v>
      </c>
      <c r="I1696" s="76" t="str">
        <f ca="1">IFERROR(__xludf.DUMMYFUNCTION("""COMPUTED_VALUE"""),"https://drive.google.com/open?id=1fXRV9uUyFlIOE-VoJFJy3WDtnwaK3FKz")</f>
        <v>https://drive.google.com/open?id=1fXRV9uUyFlIOE-VoJFJy3WDtnwaK3FKz</v>
      </c>
      <c r="J1696" s="59"/>
      <c r="K1696" s="59"/>
      <c r="L1696" s="59"/>
      <c r="M1696" s="59"/>
      <c r="N1696" s="59"/>
      <c r="O1696" s="59"/>
      <c r="P1696" s="59"/>
    </row>
    <row r="1697" spans="1:16">
      <c r="A1697" s="71">
        <f ca="1">IFERROR(__xludf.DUMMYFUNCTION("""COMPUTED_VALUE"""),44410.4042356828)</f>
        <v>44410.404235682799</v>
      </c>
      <c r="B1697" s="59" t="str">
        <f ca="1">IFERROR(__xludf.DUMMYFUNCTION("""COMPUTED_VALUE"""),"JADAV ASHISH MANAHRBHAI")</f>
        <v>JADAV ASHISH MANAHRBHAI</v>
      </c>
      <c r="C1697" s="72" t="str">
        <f ca="1">IFERROR(__xludf.DUMMYFUNCTION("""COMPUTED_VALUE"""),"19SDSME01007")</f>
        <v>19SDSME01007</v>
      </c>
      <c r="D1697" s="73">
        <f ca="1">IFERROR(__xludf.DUMMYFUNCTION("""COMPUTED_VALUE"""),44408)</f>
        <v>44408</v>
      </c>
      <c r="E1697" s="74">
        <f ca="1">IFERROR(__xludf.DUMMYFUNCTION("""COMPUTED_VALUE"""),25000)</f>
        <v>25000</v>
      </c>
      <c r="F1697" s="72"/>
      <c r="G1697" s="75"/>
      <c r="H1697" s="59" t="str">
        <f ca="1">IFERROR(__xludf.DUMMYFUNCTION("""COMPUTED_VALUE"""),"UPDATE")</f>
        <v>UPDATE</v>
      </c>
      <c r="I1697" s="76" t="str">
        <f ca="1">IFERROR(__xludf.DUMMYFUNCTION("""COMPUTED_VALUE"""),"https://drive.google.com/open?id=17T3v6nlg3_yL2ggFcv12_VY8jxK1_Ocp")</f>
        <v>https://drive.google.com/open?id=17T3v6nlg3_yL2ggFcv12_VY8jxK1_Ocp</v>
      </c>
      <c r="J1697" s="59"/>
      <c r="K1697" s="59"/>
      <c r="L1697" s="59"/>
      <c r="M1697" s="59"/>
      <c r="N1697" s="59"/>
      <c r="O1697" s="59"/>
      <c r="P1697" s="59"/>
    </row>
    <row r="1698" spans="1:16">
      <c r="A1698" s="71">
        <f ca="1">IFERROR(__xludf.DUMMYFUNCTION("""COMPUTED_VALUE"""),44410.4027449305)</f>
        <v>44410.402744930499</v>
      </c>
      <c r="B1698" s="59" t="str">
        <f ca="1">IFERROR(__xludf.DUMMYFUNCTION("""COMPUTED_VALUE"""),"RANPARIYA YASH HASMUKHBHAI")</f>
        <v>RANPARIYA YASH HASMUKHBHAI</v>
      </c>
      <c r="C1698" s="72" t="str">
        <f ca="1">IFERROR(__xludf.DUMMYFUNCTION("""COMPUTED_VALUE"""),"19SDSME01020")</f>
        <v>19SDSME01020</v>
      </c>
      <c r="D1698" s="73">
        <f ca="1">IFERROR(__xludf.DUMMYFUNCTION("""COMPUTED_VALUE"""),44410)</f>
        <v>44410</v>
      </c>
      <c r="E1698" s="74">
        <f ca="1">IFERROR(__xludf.DUMMYFUNCTION("""COMPUTED_VALUE"""),8750)</f>
        <v>8750</v>
      </c>
      <c r="F1698" s="72"/>
      <c r="G1698" s="75"/>
      <c r="H1698" s="59" t="str">
        <f ca="1">IFERROR(__xludf.DUMMYFUNCTION("""COMPUTED_VALUE"""),"UPDATE")</f>
        <v>UPDATE</v>
      </c>
      <c r="I1698" s="76" t="str">
        <f ca="1">IFERROR(__xludf.DUMMYFUNCTION("""COMPUTED_VALUE"""),"https://drive.google.com/open?id=1t6EuHI1iV-SIy7PUrTHctL_1RSnMNiJD")</f>
        <v>https://drive.google.com/open?id=1t6EuHI1iV-SIy7PUrTHctL_1RSnMNiJD</v>
      </c>
      <c r="J1698" s="59"/>
      <c r="K1698" s="59"/>
      <c r="L1698" s="59"/>
      <c r="M1698" s="59"/>
      <c r="N1698" s="59"/>
      <c r="O1698" s="59"/>
      <c r="P1698" s="59"/>
    </row>
    <row r="1699" spans="1:16">
      <c r="A1699" s="71">
        <f ca="1">IFERROR(__xludf.DUMMYFUNCTION("""COMPUTED_VALUE"""),44410.3829585763)</f>
        <v>44410.382958576301</v>
      </c>
      <c r="B1699" s="59" t="str">
        <f ca="1">IFERROR(__xludf.DUMMYFUNCTION("""COMPUTED_VALUE"""),"Mit Kumar Nitesh bhai kathrotiya")</f>
        <v>Mit Kumar Nitesh bhai kathrotiya</v>
      </c>
      <c r="C1699" s="72" t="str">
        <f ca="1">IFERROR(__xludf.DUMMYFUNCTION("""COMPUTED_VALUE"""),"19SDSCE01022")</f>
        <v>19SDSCE01022</v>
      </c>
      <c r="D1699" s="73">
        <f ca="1">IFERROR(__xludf.DUMMYFUNCTION("""COMPUTED_VALUE"""),44408)</f>
        <v>44408</v>
      </c>
      <c r="E1699" s="74">
        <f ca="1">IFERROR(__xludf.DUMMYFUNCTION("""COMPUTED_VALUE"""),25000)</f>
        <v>25000</v>
      </c>
      <c r="F1699" s="72">
        <f ca="1">IFERROR(__xludf.DUMMYFUNCTION("""COMPUTED_VALUE"""),2500)</f>
        <v>2500</v>
      </c>
      <c r="G1699" s="75"/>
      <c r="H1699" s="59" t="str">
        <f ca="1">IFERROR(__xludf.DUMMYFUNCTION("""COMPUTED_VALUE"""),"UPDATE")</f>
        <v>UPDATE</v>
      </c>
      <c r="I1699" s="76" t="str">
        <f ca="1">IFERROR(__xludf.DUMMYFUNCTION("""COMPUTED_VALUE"""),"https://drive.google.com/open?id=1roplqQn5t3Rh53q4CBT5Odzq_rBtdSIe")</f>
        <v>https://drive.google.com/open?id=1roplqQn5t3Rh53q4CBT5Odzq_rBtdSIe</v>
      </c>
      <c r="J1699" s="59"/>
      <c r="K1699" s="59"/>
      <c r="L1699" s="59"/>
      <c r="M1699" s="59"/>
      <c r="N1699" s="59"/>
      <c r="O1699" s="59"/>
      <c r="P1699" s="59"/>
    </row>
    <row r="1700" spans="1:16">
      <c r="A1700" s="71">
        <f ca="1">IFERROR(__xludf.DUMMYFUNCTION("""COMPUTED_VALUE"""),44409.9498862268)</f>
        <v>44409.949886226801</v>
      </c>
      <c r="B1700" s="59" t="str">
        <f ca="1">IFERROR(__xludf.DUMMYFUNCTION("""COMPUTED_VALUE"""),"Shekhada sweta vinodbhai")</f>
        <v>Shekhada sweta vinodbhai</v>
      </c>
      <c r="C1700" s="72" t="str">
        <f ca="1">IFERROR(__xludf.DUMMYFUNCTION("""COMPUTED_VALUE"""),"19sdsce01048")</f>
        <v>19sdsce01048</v>
      </c>
      <c r="D1700" s="73">
        <f ca="1">IFERROR(__xludf.DUMMYFUNCTION("""COMPUTED_VALUE"""),44408)</f>
        <v>44408</v>
      </c>
      <c r="E1700" s="72"/>
      <c r="F1700" s="72">
        <f ca="1">IFERROR(__xludf.DUMMYFUNCTION("""COMPUTED_VALUE"""),2500)</f>
        <v>2500</v>
      </c>
      <c r="G1700" s="75"/>
      <c r="H1700" s="59" t="str">
        <f ca="1">IFERROR(__xludf.DUMMYFUNCTION("""COMPUTED_VALUE"""),"UPDATE")</f>
        <v>UPDATE</v>
      </c>
      <c r="I1700" s="76" t="str">
        <f ca="1">IFERROR(__xludf.DUMMYFUNCTION("""COMPUTED_VALUE"""),"https://drive.google.com/open?id=1MSIejLzWEp8sRh0q518W0IDWBNF4qyNk")</f>
        <v>https://drive.google.com/open?id=1MSIejLzWEp8sRh0q518W0IDWBNF4qyNk</v>
      </c>
      <c r="J1700" s="59"/>
      <c r="K1700" s="59"/>
      <c r="L1700" s="59"/>
      <c r="M1700" s="59"/>
      <c r="N1700" s="59"/>
      <c r="O1700" s="59"/>
      <c r="P1700" s="59"/>
    </row>
    <row r="1701" spans="1:16">
      <c r="A1701" s="71">
        <f ca="1">IFERROR(__xludf.DUMMYFUNCTION("""COMPUTED_VALUE"""),44409.9483918634)</f>
        <v>44409.9483918634</v>
      </c>
      <c r="B1701" s="59" t="str">
        <f ca="1">IFERROR(__xludf.DUMMYFUNCTION("""COMPUTED_VALUE"""),"Shekhada sweta vinodbhai")</f>
        <v>Shekhada sweta vinodbhai</v>
      </c>
      <c r="C1701" s="72" t="str">
        <f ca="1">IFERROR(__xludf.DUMMYFUNCTION("""COMPUTED_VALUE"""),"19sdsce01048")</f>
        <v>19sdsce01048</v>
      </c>
      <c r="D1701" s="73">
        <f ca="1">IFERROR(__xludf.DUMMYFUNCTION("""COMPUTED_VALUE"""),44408)</f>
        <v>44408</v>
      </c>
      <c r="E1701" s="74">
        <f ca="1">IFERROR(__xludf.DUMMYFUNCTION("""COMPUTED_VALUE"""),12500)</f>
        <v>12500</v>
      </c>
      <c r="F1701" s="72"/>
      <c r="G1701" s="75"/>
      <c r="H1701" s="59" t="str">
        <f ca="1">IFERROR(__xludf.DUMMYFUNCTION("""COMPUTED_VALUE"""),"UPDATE")</f>
        <v>UPDATE</v>
      </c>
      <c r="I1701" s="76" t="str">
        <f ca="1">IFERROR(__xludf.DUMMYFUNCTION("""COMPUTED_VALUE"""),"https://drive.google.com/open?id=1Nh7Hol1vV_oCRSlBkih2U3FIWzKTXWTT")</f>
        <v>https://drive.google.com/open?id=1Nh7Hol1vV_oCRSlBkih2U3FIWzKTXWTT</v>
      </c>
      <c r="J1701" s="59"/>
      <c r="K1701" s="59"/>
      <c r="L1701" s="59"/>
      <c r="M1701" s="59"/>
      <c r="N1701" s="59"/>
      <c r="O1701" s="59"/>
      <c r="P1701" s="59"/>
    </row>
    <row r="1702" spans="1:16">
      <c r="A1702" s="71">
        <f ca="1">IFERROR(__xludf.DUMMYFUNCTION("""COMPUTED_VALUE"""),44409.7372717245)</f>
        <v>44409.737271724502</v>
      </c>
      <c r="B1702" s="59" t="str">
        <f ca="1">IFERROR(__xludf.DUMMYFUNCTION("""COMPUTED_VALUE"""),"Gautam pitroda")</f>
        <v>Gautam pitroda</v>
      </c>
      <c r="C1702" s="72" t="str">
        <f ca="1">IFERROR(__xludf.DUMMYFUNCTION("""COMPUTED_VALUE"""),"19sdsce01038")</f>
        <v>19sdsce01038</v>
      </c>
      <c r="D1702" s="73">
        <f ca="1">IFERROR(__xludf.DUMMYFUNCTION("""COMPUTED_VALUE"""),44409)</f>
        <v>44409</v>
      </c>
      <c r="E1702" s="74">
        <f ca="1">IFERROR(__xludf.DUMMYFUNCTION("""COMPUTED_VALUE"""),6250)</f>
        <v>6250</v>
      </c>
      <c r="F1702" s="72">
        <f ca="1">IFERROR(__xludf.DUMMYFUNCTION("""COMPUTED_VALUE"""),2500)</f>
        <v>2500</v>
      </c>
      <c r="G1702" s="75"/>
      <c r="H1702" s="59" t="str">
        <f ca="1">IFERROR(__xludf.DUMMYFUNCTION("""COMPUTED_VALUE"""),"UPDATE")</f>
        <v>UPDATE</v>
      </c>
      <c r="I1702" s="76" t="str">
        <f ca="1">IFERROR(__xludf.DUMMYFUNCTION("""COMPUTED_VALUE"""),"https://drive.google.com/open?id=1hPhysJkugj2uZHySoW4xVss8UpdiBb5y")</f>
        <v>https://drive.google.com/open?id=1hPhysJkugj2uZHySoW4xVss8UpdiBb5y</v>
      </c>
      <c r="J1702" s="59"/>
      <c r="K1702" s="59"/>
      <c r="L1702" s="59"/>
      <c r="M1702" s="59"/>
      <c r="N1702" s="59"/>
      <c r="O1702" s="59"/>
      <c r="P1702" s="59"/>
    </row>
    <row r="1703" spans="1:16">
      <c r="A1703" s="71">
        <f ca="1">IFERROR(__xludf.DUMMYFUNCTION("""COMPUTED_VALUE"""),44408.8622273842)</f>
        <v>44408.862227384197</v>
      </c>
      <c r="B1703" s="59" t="str">
        <f ca="1">IFERROR(__xludf.DUMMYFUNCTION("""COMPUTED_VALUE"""),"Parth lodhiya")</f>
        <v>Parth lodhiya</v>
      </c>
      <c r="C1703" s="72" t="str">
        <f ca="1">IFERROR(__xludf.DUMMYFUNCTION("""COMPUTED_VALUE"""),"19sdsce01028")</f>
        <v>19sdsce01028</v>
      </c>
      <c r="D1703" s="73">
        <f ca="1">IFERROR(__xludf.DUMMYFUNCTION("""COMPUTED_VALUE"""),44408)</f>
        <v>44408</v>
      </c>
      <c r="E1703" s="74">
        <f ca="1">IFERROR(__xludf.DUMMYFUNCTION("""COMPUTED_VALUE"""),8500)</f>
        <v>8500</v>
      </c>
      <c r="F1703" s="72">
        <f ca="1">IFERROR(__xludf.DUMMYFUNCTION("""COMPUTED_VALUE"""),2500)</f>
        <v>2500</v>
      </c>
      <c r="G1703" s="75"/>
      <c r="H1703" s="59" t="str">
        <f ca="1">IFERROR(__xludf.DUMMYFUNCTION("""COMPUTED_VALUE"""),"UPDATE")</f>
        <v>UPDATE</v>
      </c>
      <c r="I1703" s="76" t="str">
        <f ca="1">IFERROR(__xludf.DUMMYFUNCTION("""COMPUTED_VALUE"""),"https://drive.google.com/open?id=1L9RVUaq9tr6bkY8WQqnfSObx-6GmN0uK")</f>
        <v>https://drive.google.com/open?id=1L9RVUaq9tr6bkY8WQqnfSObx-6GmN0uK</v>
      </c>
      <c r="J1703" s="59"/>
      <c r="K1703" s="59"/>
      <c r="L1703" s="59"/>
      <c r="M1703" s="59"/>
      <c r="N1703" s="59"/>
      <c r="O1703" s="59"/>
      <c r="P1703" s="59"/>
    </row>
    <row r="1704" spans="1:16">
      <c r="A1704" s="71">
        <f ca="1">IFERROR(__xludf.DUMMYFUNCTION("""COMPUTED_VALUE"""),44408.6402815046)</f>
        <v>44408.640281504602</v>
      </c>
      <c r="B1704" s="59" t="str">
        <f ca="1">IFERROR(__xludf.DUMMYFUNCTION("""COMPUTED_VALUE"""),"Ghetia Bhaktiben yogendra kumar")</f>
        <v>Ghetia Bhaktiben yogendra kumar</v>
      </c>
      <c r="C1704" s="72" t="str">
        <f ca="1">IFERROR(__xludf.DUMMYFUNCTION("""COMPUTED_VALUE"""),"19sdsce01013")</f>
        <v>19sdsce01013</v>
      </c>
      <c r="D1704" s="73">
        <f ca="1">IFERROR(__xludf.DUMMYFUNCTION("""COMPUTED_VALUE"""),44071)</f>
        <v>44071</v>
      </c>
      <c r="E1704" s="74">
        <f ca="1">IFERROR(__xludf.DUMMYFUNCTION("""COMPUTED_VALUE"""),12500)</f>
        <v>12500</v>
      </c>
      <c r="F1704" s="72"/>
      <c r="G1704" s="75"/>
      <c r="H1704" s="59" t="str">
        <f ca="1">IFERROR(__xludf.DUMMYFUNCTION("""COMPUTED_VALUE"""),"UPDATE")</f>
        <v>UPDATE</v>
      </c>
      <c r="I1704" s="76" t="str">
        <f ca="1">IFERROR(__xludf.DUMMYFUNCTION("""COMPUTED_VALUE"""),"https://drive.google.com/open?id=1R3ABRKfQvr7SBDf0SPmGSe73A19FePfr")</f>
        <v>https://drive.google.com/open?id=1R3ABRKfQvr7SBDf0SPmGSe73A19FePfr</v>
      </c>
      <c r="J1704" s="59"/>
      <c r="K1704" s="59"/>
      <c r="L1704" s="59"/>
      <c r="M1704" s="59"/>
      <c r="N1704" s="59"/>
      <c r="O1704" s="59"/>
      <c r="P1704" s="59"/>
    </row>
    <row r="1705" spans="1:16">
      <c r="A1705" s="71">
        <f ca="1">IFERROR(__xludf.DUMMYFUNCTION("""COMPUTED_VALUE"""),44408.6277636689)</f>
        <v>44408.627763668897</v>
      </c>
      <c r="B1705" s="59" t="str">
        <f ca="1">IFERROR(__xludf.DUMMYFUNCTION("""COMPUTED_VALUE"""),"Ghetia Bhaktiben yogendra kumar")</f>
        <v>Ghetia Bhaktiben yogendra kumar</v>
      </c>
      <c r="C1705" s="72" t="str">
        <f ca="1">IFERROR(__xludf.DUMMYFUNCTION("""COMPUTED_VALUE"""),"19sdsce01013")</f>
        <v>19sdsce01013</v>
      </c>
      <c r="D1705" s="73">
        <f ca="1">IFERROR(__xludf.DUMMYFUNCTION("""COMPUTED_VALUE"""),44127)</f>
        <v>44127</v>
      </c>
      <c r="E1705" s="74">
        <f ca="1">IFERROR(__xludf.DUMMYFUNCTION("""COMPUTED_VALUE"""),25000)</f>
        <v>25000</v>
      </c>
      <c r="F1705" s="72">
        <f ca="1">IFERROR(__xludf.DUMMYFUNCTION("""COMPUTED_VALUE"""),25000)</f>
        <v>25000</v>
      </c>
      <c r="G1705" s="75"/>
      <c r="H1705" s="59" t="str">
        <f ca="1">IFERROR(__xludf.DUMMYFUNCTION("""COMPUTED_VALUE"""),"UPDATE")</f>
        <v>UPDATE</v>
      </c>
      <c r="I1705" s="76" t="str">
        <f ca="1">IFERROR(__xludf.DUMMYFUNCTION("""COMPUTED_VALUE"""),"https://drive.google.com/open?id=1IC0URQfG2VAl-sfFIrJLQT2X_GLAY8Ex")</f>
        <v>https://drive.google.com/open?id=1IC0URQfG2VAl-sfFIrJLQT2X_GLAY8Ex</v>
      </c>
      <c r="J1705" s="59"/>
      <c r="K1705" s="59"/>
      <c r="L1705" s="59"/>
      <c r="M1705" s="59"/>
      <c r="N1705" s="59"/>
      <c r="O1705" s="59"/>
      <c r="P1705" s="59"/>
    </row>
    <row r="1706" spans="1:16">
      <c r="A1706" s="71">
        <f ca="1">IFERROR(__xludf.DUMMYFUNCTION("""COMPUTED_VALUE"""),44408.6216648842)</f>
        <v>44408.621664884202</v>
      </c>
      <c r="B1706" s="59" t="str">
        <f ca="1">IFERROR(__xludf.DUMMYFUNCTION("""COMPUTED_VALUE"""),"Hariom Joshi ")</f>
        <v xml:space="preserve">Hariom Joshi </v>
      </c>
      <c r="C1706" s="72" t="str">
        <f ca="1">IFERROR(__xludf.DUMMYFUNCTION("""COMPUTED_VALUE"""),"19Sdsce01017")</f>
        <v>19Sdsce01017</v>
      </c>
      <c r="D1706" s="73">
        <f ca="1">IFERROR(__xludf.DUMMYFUNCTION("""COMPUTED_VALUE"""),44408)</f>
        <v>44408</v>
      </c>
      <c r="E1706" s="72"/>
      <c r="F1706" s="72">
        <f ca="1">IFERROR(__xludf.DUMMYFUNCTION("""COMPUTED_VALUE"""),2500)</f>
        <v>2500</v>
      </c>
      <c r="G1706" s="75"/>
      <c r="H1706" s="59" t="str">
        <f ca="1">IFERROR(__xludf.DUMMYFUNCTION("""COMPUTED_VALUE"""),"UPDATE")</f>
        <v>UPDATE</v>
      </c>
      <c r="I1706" s="76" t="str">
        <f ca="1">IFERROR(__xludf.DUMMYFUNCTION("""COMPUTED_VALUE"""),"https://drive.google.com/open?id=1whMSmn5MAz39w4h7TQxbJuAEWkOy14Ti")</f>
        <v>https://drive.google.com/open?id=1whMSmn5MAz39w4h7TQxbJuAEWkOy14Ti</v>
      </c>
      <c r="J1706" s="59"/>
      <c r="K1706" s="59"/>
      <c r="L1706" s="59"/>
      <c r="M1706" s="59"/>
      <c r="N1706" s="59"/>
      <c r="O1706" s="59"/>
      <c r="P1706" s="59"/>
    </row>
    <row r="1707" spans="1:16">
      <c r="A1707" s="71">
        <f ca="1">IFERROR(__xludf.DUMMYFUNCTION("""COMPUTED_VALUE"""),44408.589180949)</f>
        <v>44408.589180948999</v>
      </c>
      <c r="B1707" s="59" t="str">
        <f ca="1">IFERROR(__xludf.DUMMYFUNCTION("""COMPUTED_VALUE"""),"Dudhatra Rushi Dipakbhai")</f>
        <v>Dudhatra Rushi Dipakbhai</v>
      </c>
      <c r="C1707" s="72" t="str">
        <f ca="1">IFERROR(__xludf.DUMMYFUNCTION("""COMPUTED_VALUE"""),"19SDSCE01012")</f>
        <v>19SDSCE01012</v>
      </c>
      <c r="D1707" s="73">
        <f ca="1">IFERROR(__xludf.DUMMYFUNCTION("""COMPUTED_VALUE"""),44407)</f>
        <v>44407</v>
      </c>
      <c r="E1707" s="74">
        <f ca="1">IFERROR(__xludf.DUMMYFUNCTION("""COMPUTED_VALUE"""),0)</f>
        <v>0</v>
      </c>
      <c r="F1707" s="72">
        <f ca="1">IFERROR(__xludf.DUMMYFUNCTION("""COMPUTED_VALUE"""),2500)</f>
        <v>2500</v>
      </c>
      <c r="G1707" s="75"/>
      <c r="H1707" s="59" t="str">
        <f ca="1">IFERROR(__xludf.DUMMYFUNCTION("""COMPUTED_VALUE"""),"UPDATE")</f>
        <v>UPDATE</v>
      </c>
      <c r="I1707" s="76" t="str">
        <f ca="1">IFERROR(__xludf.DUMMYFUNCTION("""COMPUTED_VALUE"""),"https://drive.google.com/open?id=1AhUKZ4hF4Rs8Bt5m4XEHge0LmchdP2H_")</f>
        <v>https://drive.google.com/open?id=1AhUKZ4hF4Rs8Bt5m4XEHge0LmchdP2H_</v>
      </c>
      <c r="J1707" s="59"/>
      <c r="K1707" s="59"/>
      <c r="L1707" s="59"/>
      <c r="M1707" s="59"/>
      <c r="N1707" s="59"/>
      <c r="O1707" s="59"/>
      <c r="P1707" s="59"/>
    </row>
    <row r="1708" spans="1:16">
      <c r="A1708" s="71">
        <f ca="1">IFERROR(__xludf.DUMMYFUNCTION("""COMPUTED_VALUE"""),44408.571952743)</f>
        <v>44408.571952742997</v>
      </c>
      <c r="B1708" s="59" t="str">
        <f ca="1">IFERROR(__xludf.DUMMYFUNCTION("""COMPUTED_VALUE"""),"Harsh Chandarana")</f>
        <v>Harsh Chandarana</v>
      </c>
      <c r="C1708" s="72" t="str">
        <f ca="1">IFERROR(__xludf.DUMMYFUNCTION("""COMPUTED_VALUE"""),"19SDSCE01005")</f>
        <v>19SDSCE01005</v>
      </c>
      <c r="D1708" s="73">
        <f ca="1">IFERROR(__xludf.DUMMYFUNCTION("""COMPUTED_VALUE"""),44408)</f>
        <v>44408</v>
      </c>
      <c r="E1708" s="72"/>
      <c r="F1708" s="72">
        <f ca="1">IFERROR(__xludf.DUMMYFUNCTION("""COMPUTED_VALUE"""),2500)</f>
        <v>2500</v>
      </c>
      <c r="G1708" s="75"/>
      <c r="H1708" s="59" t="str">
        <f ca="1">IFERROR(__xludf.DUMMYFUNCTION("""COMPUTED_VALUE"""),"UPDATE")</f>
        <v>UPDATE</v>
      </c>
      <c r="I1708" s="76" t="str">
        <f ca="1">IFERROR(__xludf.DUMMYFUNCTION("""COMPUTED_VALUE"""),"https://drive.google.com/open?id=1Kw8054_-vngKiMbLe_RLoFcHO7yPNarX")</f>
        <v>https://drive.google.com/open?id=1Kw8054_-vngKiMbLe_RLoFcHO7yPNarX</v>
      </c>
      <c r="J1708" s="59"/>
      <c r="K1708" s="59"/>
      <c r="L1708" s="59"/>
      <c r="M1708" s="59"/>
      <c r="N1708" s="59"/>
      <c r="O1708" s="59"/>
      <c r="P1708" s="59"/>
    </row>
    <row r="1709" spans="1:16">
      <c r="A1709" s="71">
        <f ca="1">IFERROR(__xludf.DUMMYFUNCTION("""COMPUTED_VALUE"""),44408.3499781018)</f>
        <v>44408.349978101804</v>
      </c>
      <c r="B1709" s="59" t="str">
        <f ca="1">IFERROR(__xludf.DUMMYFUNCTION("""COMPUTED_VALUE"""),"GHETIA BHAKTIBEN YOGENDRA KUMAR")</f>
        <v>GHETIA BHAKTIBEN YOGENDRA KUMAR</v>
      </c>
      <c r="C1709" s="72" t="str">
        <f ca="1">IFERROR(__xludf.DUMMYFUNCTION("""COMPUTED_VALUE"""),"19SDSCE01013")</f>
        <v>19SDSCE01013</v>
      </c>
      <c r="D1709" s="73">
        <f ca="1">IFERROR(__xludf.DUMMYFUNCTION("""COMPUTED_VALUE"""),44407)</f>
        <v>44407</v>
      </c>
      <c r="E1709" s="74">
        <f ca="1">IFERROR(__xludf.DUMMYFUNCTION("""COMPUTED_VALUE"""),25000)</f>
        <v>25000</v>
      </c>
      <c r="F1709" s="72">
        <f ca="1">IFERROR(__xludf.DUMMYFUNCTION("""COMPUTED_VALUE"""),2500)</f>
        <v>2500</v>
      </c>
      <c r="G1709" s="75"/>
      <c r="H1709" s="59" t="str">
        <f ca="1">IFERROR(__xludf.DUMMYFUNCTION("""COMPUTED_VALUE"""),"UPDATE")</f>
        <v>UPDATE</v>
      </c>
      <c r="I1709" s="76" t="str">
        <f ca="1">IFERROR(__xludf.DUMMYFUNCTION("""COMPUTED_VALUE"""),"https://drive.google.com/open?id=1js_eFV7g8yrdlT3bjDGAj8vnED-6GN15")</f>
        <v>https://drive.google.com/open?id=1js_eFV7g8yrdlT3bjDGAj8vnED-6GN15</v>
      </c>
      <c r="J1709" s="59"/>
      <c r="K1709" s="59"/>
      <c r="L1709" s="59"/>
      <c r="M1709" s="59"/>
      <c r="N1709" s="59"/>
      <c r="O1709" s="59"/>
      <c r="P1709" s="59"/>
    </row>
    <row r="1710" spans="1:16">
      <c r="A1710" s="71">
        <f ca="1">IFERROR(__xludf.DUMMYFUNCTION("""COMPUTED_VALUE"""),44407.9350770717)</f>
        <v>44407.935077071699</v>
      </c>
      <c r="B1710" s="59" t="str">
        <f ca="1">IFERROR(__xludf.DUMMYFUNCTION("""COMPUTED_VALUE"""),"Dhruvil Dave")</f>
        <v>Dhruvil Dave</v>
      </c>
      <c r="C1710" s="72" t="str">
        <f ca="1">IFERROR(__xludf.DUMMYFUNCTION("""COMPUTED_VALUE"""),"19SDSCE01009")</f>
        <v>19SDSCE01009</v>
      </c>
      <c r="D1710" s="73">
        <f ca="1">IFERROR(__xludf.DUMMYFUNCTION("""COMPUTED_VALUE"""),44394)</f>
        <v>44394</v>
      </c>
      <c r="E1710" s="72"/>
      <c r="F1710" s="72">
        <f ca="1">IFERROR(__xludf.DUMMYFUNCTION("""COMPUTED_VALUE"""),2500)</f>
        <v>2500</v>
      </c>
      <c r="G1710" s="75"/>
      <c r="H1710" s="59" t="str">
        <f ca="1">IFERROR(__xludf.DUMMYFUNCTION("""COMPUTED_VALUE"""),"UPDATE")</f>
        <v>UPDATE</v>
      </c>
      <c r="I1710" s="76" t="str">
        <f ca="1">IFERROR(__xludf.DUMMYFUNCTION("""COMPUTED_VALUE"""),"https://drive.google.com/open?id=182xtZ8M_TxQWCucqW6lYEHdjYzo1Z3dK")</f>
        <v>https://drive.google.com/open?id=182xtZ8M_TxQWCucqW6lYEHdjYzo1Z3dK</v>
      </c>
      <c r="J1710" s="59"/>
      <c r="K1710" s="59"/>
      <c r="L1710" s="59"/>
      <c r="M1710" s="59"/>
      <c r="N1710" s="59"/>
      <c r="O1710" s="59"/>
      <c r="P1710" s="59"/>
    </row>
    <row r="1711" spans="1:16">
      <c r="A1711" s="71">
        <f ca="1">IFERROR(__xludf.DUMMYFUNCTION("""COMPUTED_VALUE"""),44407.8798775115)</f>
        <v>44407.879877511499</v>
      </c>
      <c r="B1711" s="59" t="str">
        <f ca="1">IFERROR(__xludf.DUMMYFUNCTION("""COMPUTED_VALUE"""),"Varshil Raycha")</f>
        <v>Varshil Raycha</v>
      </c>
      <c r="C1711" s="72" t="str">
        <f ca="1">IFERROR(__xludf.DUMMYFUNCTION("""COMPUTED_VALUE"""),"19SDSCE01041")</f>
        <v>19SDSCE01041</v>
      </c>
      <c r="D1711" s="73">
        <f ca="1">IFERROR(__xludf.DUMMYFUNCTION("""COMPUTED_VALUE"""),44394)</f>
        <v>44394</v>
      </c>
      <c r="E1711" s="72"/>
      <c r="F1711" s="72">
        <f ca="1">IFERROR(__xludf.DUMMYFUNCTION("""COMPUTED_VALUE"""),2500)</f>
        <v>2500</v>
      </c>
      <c r="G1711" s="75"/>
      <c r="H1711" s="59" t="str">
        <f ca="1">IFERROR(__xludf.DUMMYFUNCTION("""COMPUTED_VALUE"""),"UPDATE")</f>
        <v>UPDATE</v>
      </c>
      <c r="I1711" s="76" t="str">
        <f ca="1">IFERROR(__xludf.DUMMYFUNCTION("""COMPUTED_VALUE"""),"https://drive.google.com/open?id=1zTV1N2F2DIzHaiNUHzEdhK951-boXMOI")</f>
        <v>https://drive.google.com/open?id=1zTV1N2F2DIzHaiNUHzEdhK951-boXMOI</v>
      </c>
      <c r="J1711" s="59"/>
      <c r="K1711" s="59"/>
      <c r="L1711" s="59"/>
      <c r="M1711" s="59"/>
      <c r="N1711" s="59"/>
      <c r="O1711" s="59"/>
      <c r="P1711" s="59"/>
    </row>
    <row r="1712" spans="1:16">
      <c r="A1712" s="71">
        <f ca="1">IFERROR(__xludf.DUMMYFUNCTION("""COMPUTED_VALUE"""),44407.8747557754)</f>
        <v>44407.874755775403</v>
      </c>
      <c r="B1712" s="59" t="str">
        <f ca="1">IFERROR(__xludf.DUMMYFUNCTION("""COMPUTED_VALUE"""),"Sahil Rupareliya")</f>
        <v>Sahil Rupareliya</v>
      </c>
      <c r="C1712" s="72" t="str">
        <f ca="1">IFERROR(__xludf.DUMMYFUNCTION("""COMPUTED_VALUE"""),"19SDSCE01042")</f>
        <v>19SDSCE01042</v>
      </c>
      <c r="D1712" s="73">
        <f ca="1">IFERROR(__xludf.DUMMYFUNCTION("""COMPUTED_VALUE"""),44407)</f>
        <v>44407</v>
      </c>
      <c r="E1712" s="72"/>
      <c r="F1712" s="72">
        <f ca="1">IFERROR(__xludf.DUMMYFUNCTION("""COMPUTED_VALUE"""),2500)</f>
        <v>2500</v>
      </c>
      <c r="G1712" s="75"/>
      <c r="H1712" s="59" t="str">
        <f ca="1">IFERROR(__xludf.DUMMYFUNCTION("""COMPUTED_VALUE"""),"UPDATE")</f>
        <v>UPDATE</v>
      </c>
      <c r="I1712" s="76" t="str">
        <f ca="1">IFERROR(__xludf.DUMMYFUNCTION("""COMPUTED_VALUE"""),"https://drive.google.com/open?id=1YsS9XqiVsvpzlCxeU2xBSb4TzGGHw5Bv")</f>
        <v>https://drive.google.com/open?id=1YsS9XqiVsvpzlCxeU2xBSb4TzGGHw5Bv</v>
      </c>
      <c r="J1712" s="59"/>
      <c r="K1712" s="59"/>
      <c r="L1712" s="59"/>
      <c r="M1712" s="59"/>
      <c r="N1712" s="59"/>
      <c r="O1712" s="59"/>
      <c r="P1712" s="59"/>
    </row>
    <row r="1713" spans="1:16">
      <c r="A1713" s="71">
        <f ca="1">IFERROR(__xludf.DUMMYFUNCTION("""COMPUTED_VALUE"""),44407.8306084606)</f>
        <v>44407.830608460601</v>
      </c>
      <c r="B1713" s="59" t="str">
        <f ca="1">IFERROR(__xludf.DUMMYFUNCTION("""COMPUTED_VALUE"""),"SAKARIYA HARDIK BHARATBHAI")</f>
        <v>SAKARIYA HARDIK BHARATBHAI</v>
      </c>
      <c r="C1713" s="72" t="str">
        <f ca="1">IFERROR(__xludf.DUMMYFUNCTION("""COMPUTED_VALUE"""),"19SDSCE01043")</f>
        <v>19SDSCE01043</v>
      </c>
      <c r="D1713" s="73">
        <f ca="1">IFERROR(__xludf.DUMMYFUNCTION("""COMPUTED_VALUE"""),44407)</f>
        <v>44407</v>
      </c>
      <c r="E1713" s="72"/>
      <c r="F1713" s="72">
        <f ca="1">IFERROR(__xludf.DUMMYFUNCTION("""COMPUTED_VALUE"""),2500)</f>
        <v>2500</v>
      </c>
      <c r="G1713" s="75"/>
      <c r="H1713" s="59" t="str">
        <f ca="1">IFERROR(__xludf.DUMMYFUNCTION("""COMPUTED_VALUE"""),"UPDATE")</f>
        <v>UPDATE</v>
      </c>
      <c r="I1713" s="76" t="str">
        <f ca="1">IFERROR(__xludf.DUMMYFUNCTION("""COMPUTED_VALUE"""),"https://drive.google.com/open?id=1cC-edrT8nXW2IkRayVmWC6zasB8IiNh5")</f>
        <v>https://drive.google.com/open?id=1cC-edrT8nXW2IkRayVmWC6zasB8IiNh5</v>
      </c>
      <c r="J1713" s="59"/>
      <c r="K1713" s="59"/>
      <c r="L1713" s="59"/>
      <c r="M1713" s="59"/>
      <c r="N1713" s="59"/>
      <c r="O1713" s="59"/>
      <c r="P1713" s="59"/>
    </row>
    <row r="1714" spans="1:16">
      <c r="A1714" s="71">
        <f ca="1">IFERROR(__xludf.DUMMYFUNCTION("""COMPUTED_VALUE"""),44407.8257192939)</f>
        <v>44407.825719293898</v>
      </c>
      <c r="B1714" s="59" t="str">
        <f ca="1">IFERROR(__xludf.DUMMYFUNCTION("""COMPUTED_VALUE"""),"SUREJA KEVIN HARIBHAI")</f>
        <v>SUREJA KEVIN HARIBHAI</v>
      </c>
      <c r="C1714" s="72" t="str">
        <f ca="1">IFERROR(__xludf.DUMMYFUNCTION("""COMPUTED_VALUE"""),"19SDSCE010054")</f>
        <v>19SDSCE010054</v>
      </c>
      <c r="D1714" s="73">
        <f ca="1">IFERROR(__xludf.DUMMYFUNCTION("""COMPUTED_VALUE"""),44394)</f>
        <v>44394</v>
      </c>
      <c r="E1714" s="72"/>
      <c r="F1714" s="72">
        <f ca="1">IFERROR(__xludf.DUMMYFUNCTION("""COMPUTED_VALUE"""),2500)</f>
        <v>2500</v>
      </c>
      <c r="G1714" s="75"/>
      <c r="H1714" s="59" t="str">
        <f ca="1">IFERROR(__xludf.DUMMYFUNCTION("""COMPUTED_VALUE"""),"UPDATE")</f>
        <v>UPDATE</v>
      </c>
      <c r="I1714" s="76" t="str">
        <f ca="1">IFERROR(__xludf.DUMMYFUNCTION("""COMPUTED_VALUE"""),"https://drive.google.com/open?id=1MbqVbM6AQE50ZDiaiMtIbokzQySwuKlB")</f>
        <v>https://drive.google.com/open?id=1MbqVbM6AQE50ZDiaiMtIbokzQySwuKlB</v>
      </c>
      <c r="J1714" s="59"/>
      <c r="K1714" s="59"/>
      <c r="L1714" s="59"/>
      <c r="M1714" s="59"/>
      <c r="N1714" s="59"/>
      <c r="O1714" s="59"/>
      <c r="P1714" s="59"/>
    </row>
    <row r="1715" spans="1:16">
      <c r="A1715" s="71">
        <f ca="1">IFERROR(__xludf.DUMMYFUNCTION("""COMPUTED_VALUE"""),44407.6197236342)</f>
        <v>44407.619723634198</v>
      </c>
      <c r="B1715" s="59" t="str">
        <f ca="1">IFERROR(__xludf.DUMMYFUNCTION("""COMPUTED_VALUE"""),"Panara SmitKumar Sureshbhai")</f>
        <v>Panara SmitKumar Sureshbhai</v>
      </c>
      <c r="C1715" s="72" t="str">
        <f ca="1">IFERROR(__xludf.DUMMYFUNCTION("""COMPUTED_VALUE"""),"20sdsce01075")</f>
        <v>20sdsce01075</v>
      </c>
      <c r="D1715" s="73">
        <f ca="1">IFERROR(__xludf.DUMMYFUNCTION("""COMPUTED_VALUE"""),44379)</f>
        <v>44379</v>
      </c>
      <c r="E1715" s="72"/>
      <c r="F1715" s="72">
        <f ca="1">IFERROR(__xludf.DUMMYFUNCTION("""COMPUTED_VALUE"""),2500)</f>
        <v>2500</v>
      </c>
      <c r="G1715" s="75"/>
      <c r="H1715" s="59" t="str">
        <f ca="1">IFERROR(__xludf.DUMMYFUNCTION("""COMPUTED_VALUE"""),"UPDATE")</f>
        <v>UPDATE</v>
      </c>
      <c r="I1715" s="76" t="str">
        <f ca="1">IFERROR(__xludf.DUMMYFUNCTION("""COMPUTED_VALUE"""),"https://drive.google.com/open?id=1diE5Uphir8_Vgt9mAg7no2eOMQYPsmMH")</f>
        <v>https://drive.google.com/open?id=1diE5Uphir8_Vgt9mAg7no2eOMQYPsmMH</v>
      </c>
      <c r="J1715" s="59"/>
      <c r="K1715" s="59"/>
      <c r="L1715" s="59"/>
      <c r="M1715" s="59"/>
      <c r="N1715" s="59"/>
      <c r="O1715" s="59"/>
      <c r="P1715" s="59"/>
    </row>
    <row r="1716" spans="1:16">
      <c r="A1716" s="71">
        <f ca="1">IFERROR(__xludf.DUMMYFUNCTION("""COMPUTED_VALUE"""),44407.6189178819)</f>
        <v>44407.618917881897</v>
      </c>
      <c r="B1716" s="59" t="str">
        <f ca="1">IFERROR(__xludf.DUMMYFUNCTION("""COMPUTED_VALUE"""),"Panara SmitKumar Sureshbhai")</f>
        <v>Panara SmitKumar Sureshbhai</v>
      </c>
      <c r="C1716" s="72" t="str">
        <f ca="1">IFERROR(__xludf.DUMMYFUNCTION("""COMPUTED_VALUE"""),"20sdsce01074")</f>
        <v>20sdsce01074</v>
      </c>
      <c r="D1716" s="73">
        <f ca="1">IFERROR(__xludf.DUMMYFUNCTION("""COMPUTED_VALUE"""),44379)</f>
        <v>44379</v>
      </c>
      <c r="E1716" s="72"/>
      <c r="F1716" s="72">
        <f ca="1">IFERROR(__xludf.DUMMYFUNCTION("""COMPUTED_VALUE"""),6250)</f>
        <v>6250</v>
      </c>
      <c r="G1716" s="75"/>
      <c r="H1716" s="59" t="str">
        <f ca="1">IFERROR(__xludf.DUMMYFUNCTION("""COMPUTED_VALUE"""),"UPDATE")</f>
        <v>UPDATE</v>
      </c>
      <c r="I1716" s="76" t="str">
        <f ca="1">IFERROR(__xludf.DUMMYFUNCTION("""COMPUTED_VALUE"""),"https://drive.google.com/open?id=1Ccoxb1go3LhlJ6dRNtnUpanboGNZqdGr")</f>
        <v>https://drive.google.com/open?id=1Ccoxb1go3LhlJ6dRNtnUpanboGNZqdGr</v>
      </c>
      <c r="J1716" s="59"/>
      <c r="K1716" s="59"/>
      <c r="L1716" s="59"/>
      <c r="M1716" s="59"/>
      <c r="N1716" s="59"/>
      <c r="O1716" s="59"/>
      <c r="P1716" s="59"/>
    </row>
    <row r="1717" spans="1:16">
      <c r="A1717" s="71">
        <f ca="1">IFERROR(__xludf.DUMMYFUNCTION("""COMPUTED_VALUE"""),44407.4018500462)</f>
        <v>44407.401850046197</v>
      </c>
      <c r="B1717" s="59" t="str">
        <f ca="1">IFERROR(__xludf.DUMMYFUNCTION("""COMPUTED_VALUE"""),"Atara Rushi Vimalbhai")</f>
        <v>Atara Rushi Vimalbhai</v>
      </c>
      <c r="C1717" s="72" t="str">
        <f ca="1">IFERROR(__xludf.DUMMYFUNCTION("""COMPUTED_VALUE"""),"19SDSCE01001")</f>
        <v>19SDSCE01001</v>
      </c>
      <c r="D1717" s="73">
        <f ca="1">IFERROR(__xludf.DUMMYFUNCTION("""COMPUTED_VALUE"""),44407)</f>
        <v>44407</v>
      </c>
      <c r="E1717" s="72"/>
      <c r="F1717" s="72">
        <f ca="1">IFERROR(__xludf.DUMMYFUNCTION("""COMPUTED_VALUE"""),2500)</f>
        <v>2500</v>
      </c>
      <c r="G1717" s="75"/>
      <c r="H1717" s="59" t="str">
        <f ca="1">IFERROR(__xludf.DUMMYFUNCTION("""COMPUTED_VALUE"""),"UPDATE")</f>
        <v>UPDATE</v>
      </c>
      <c r="I1717" s="76" t="str">
        <f ca="1">IFERROR(__xludf.DUMMYFUNCTION("""COMPUTED_VALUE"""),"https://drive.google.com/open?id=1Wo5e0FieveglXS4vksxFQmGM-wO1By8c")</f>
        <v>https://drive.google.com/open?id=1Wo5e0FieveglXS4vksxFQmGM-wO1By8c</v>
      </c>
      <c r="J1717" s="59"/>
      <c r="K1717" s="59"/>
      <c r="L1717" s="59"/>
      <c r="M1717" s="59"/>
      <c r="N1717" s="59"/>
      <c r="O1717" s="59"/>
      <c r="P1717" s="59"/>
    </row>
    <row r="1718" spans="1:16">
      <c r="A1718" s="71">
        <f ca="1">IFERROR(__xludf.DUMMYFUNCTION("""COMPUTED_VALUE"""),44406.4519449768)</f>
        <v>44406.451944976798</v>
      </c>
      <c r="B1718" s="59" t="str">
        <f ca="1">IFERROR(__xludf.DUMMYFUNCTION("""COMPUTED_VALUE"""),"KERALIYA YASH JENTILAL")</f>
        <v>KERALIYA YASH JENTILAL</v>
      </c>
      <c r="C1718" s="72" t="str">
        <f ca="1">IFERROR(__xludf.DUMMYFUNCTION("""COMPUTED_VALUE"""),"19SDSME01012")</f>
        <v>19SDSME01012</v>
      </c>
      <c r="D1718" s="73">
        <f ca="1">IFERROR(__xludf.DUMMYFUNCTION("""COMPUTED_VALUE"""),44406)</f>
        <v>44406</v>
      </c>
      <c r="E1718" s="74">
        <f ca="1">IFERROR(__xludf.DUMMYFUNCTION("""COMPUTED_VALUE"""),15000)</f>
        <v>15000</v>
      </c>
      <c r="F1718" s="72"/>
      <c r="G1718" s="75"/>
      <c r="H1718" s="59" t="str">
        <f ca="1">IFERROR(__xludf.DUMMYFUNCTION("""COMPUTED_VALUE"""),"UPDATE")</f>
        <v>UPDATE</v>
      </c>
      <c r="I1718" s="76" t="str">
        <f ca="1">IFERROR(__xludf.DUMMYFUNCTION("""COMPUTED_VALUE"""),"https://drive.google.com/open?id=1rkhf-HgA3YY-cG004GQnRT1T2R42oMTk")</f>
        <v>https://drive.google.com/open?id=1rkhf-HgA3YY-cG004GQnRT1T2R42oMTk</v>
      </c>
      <c r="J1718" s="59"/>
      <c r="K1718" s="59"/>
      <c r="L1718" s="59"/>
      <c r="M1718" s="59"/>
      <c r="N1718" s="59"/>
      <c r="O1718" s="59"/>
      <c r="P1718" s="59"/>
    </row>
    <row r="1719" spans="1:16">
      <c r="A1719" s="71">
        <f ca="1">IFERROR(__xludf.DUMMYFUNCTION("""COMPUTED_VALUE"""),44406.4502466435)</f>
        <v>44406.450246643501</v>
      </c>
      <c r="B1719" s="59" t="str">
        <f ca="1">IFERROR(__xludf.DUMMYFUNCTION("""COMPUTED_VALUE"""),"MUNGALPARA MEET RAJESHBHAI")</f>
        <v>MUNGALPARA MEET RAJESHBHAI</v>
      </c>
      <c r="C1719" s="72" t="str">
        <f ca="1">IFERROR(__xludf.DUMMYFUNCTION("""COMPUTED_VALUE"""),"19SDSME01015")</f>
        <v>19SDSME01015</v>
      </c>
      <c r="D1719" s="73">
        <f ca="1">IFERROR(__xludf.DUMMYFUNCTION("""COMPUTED_VALUE"""),44369)</f>
        <v>44369</v>
      </c>
      <c r="E1719" s="72"/>
      <c r="F1719" s="72">
        <f ca="1">IFERROR(__xludf.DUMMYFUNCTION("""COMPUTED_VALUE"""),2500)</f>
        <v>2500</v>
      </c>
      <c r="G1719" s="75"/>
      <c r="H1719" s="59" t="str">
        <f ca="1">IFERROR(__xludf.DUMMYFUNCTION("""COMPUTED_VALUE"""),"UPDATE")</f>
        <v>UPDATE</v>
      </c>
      <c r="I1719" s="76" t="str">
        <f ca="1">IFERROR(__xludf.DUMMYFUNCTION("""COMPUTED_VALUE"""),"https://drive.google.com/open?id=17NnNBhdbNuUWwZt227OTP03S779ruQBx")</f>
        <v>https://drive.google.com/open?id=17NnNBhdbNuUWwZt227OTP03S779ruQBx</v>
      </c>
      <c r="J1719" s="59"/>
      <c r="K1719" s="59"/>
      <c r="L1719" s="59"/>
      <c r="M1719" s="59"/>
      <c r="N1719" s="59"/>
      <c r="O1719" s="59"/>
      <c r="P1719" s="59"/>
    </row>
    <row r="1720" spans="1:16">
      <c r="A1720" s="71">
        <f ca="1">IFERROR(__xludf.DUMMYFUNCTION("""COMPUTED_VALUE"""),44406.4495340161)</f>
        <v>44406.449534016101</v>
      </c>
      <c r="B1720" s="59" t="str">
        <f ca="1">IFERROR(__xludf.DUMMYFUNCTION("""COMPUTED_VALUE"""),"MUNGALPARA MEET RAJESHBHAI")</f>
        <v>MUNGALPARA MEET RAJESHBHAI</v>
      </c>
      <c r="C1720" s="72" t="str">
        <f ca="1">IFERROR(__xludf.DUMMYFUNCTION("""COMPUTED_VALUE"""),"19SDSME01015")</f>
        <v>19SDSME01015</v>
      </c>
      <c r="D1720" s="73">
        <f ca="1">IFERROR(__xludf.DUMMYFUNCTION("""COMPUTED_VALUE"""),44369)</f>
        <v>44369</v>
      </c>
      <c r="E1720" s="74">
        <f ca="1">IFERROR(__xludf.DUMMYFUNCTION("""COMPUTED_VALUE"""),25000)</f>
        <v>25000</v>
      </c>
      <c r="F1720" s="72">
        <f ca="1">IFERROR(__xludf.DUMMYFUNCTION("""COMPUTED_VALUE"""),0)</f>
        <v>0</v>
      </c>
      <c r="G1720" s="75"/>
      <c r="H1720" s="59" t="str">
        <f ca="1">IFERROR(__xludf.DUMMYFUNCTION("""COMPUTED_VALUE"""),"UPDATE")</f>
        <v>UPDATE</v>
      </c>
      <c r="I1720" s="76" t="str">
        <f ca="1">IFERROR(__xludf.DUMMYFUNCTION("""COMPUTED_VALUE"""),"https://drive.google.com/open?id=1NCV8Kig1bSsj_yQAfjymoXL9QNcVeGFq")</f>
        <v>https://drive.google.com/open?id=1NCV8Kig1bSsj_yQAfjymoXL9QNcVeGFq</v>
      </c>
      <c r="J1720" s="59"/>
      <c r="K1720" s="59"/>
      <c r="L1720" s="59"/>
      <c r="M1720" s="59"/>
      <c r="N1720" s="59"/>
      <c r="O1720" s="59"/>
      <c r="P1720" s="59"/>
    </row>
    <row r="1721" spans="1:16">
      <c r="A1721" s="71">
        <f ca="1">IFERROR(__xludf.DUMMYFUNCTION("""COMPUTED_VALUE"""),44403.4929312962)</f>
        <v>44403.492931296198</v>
      </c>
      <c r="B1721" s="59" t="str">
        <f ca="1">IFERROR(__xludf.DUMMYFUNCTION("""COMPUTED_VALUE"""),"Mehul vagh karshanbhai")</f>
        <v>Mehul vagh karshanbhai</v>
      </c>
      <c r="C1721" s="72" t="str">
        <f ca="1">IFERROR(__xludf.DUMMYFUNCTION("""COMPUTED_VALUE"""),"20SDSCE01126")</f>
        <v>20SDSCE01126</v>
      </c>
      <c r="D1721" s="73">
        <f ca="1">IFERROR(__xludf.DUMMYFUNCTION("""COMPUTED_VALUE"""),44403)</f>
        <v>44403</v>
      </c>
      <c r="E1721" s="72"/>
      <c r="F1721" s="72"/>
      <c r="G1721" s="75"/>
      <c r="H1721" s="59" t="str">
        <f ca="1">IFERROR(__xludf.DUMMYFUNCTION("""COMPUTED_VALUE"""),"UPDATE")</f>
        <v>UPDATE</v>
      </c>
      <c r="I1721" s="76" t="str">
        <f ca="1">IFERROR(__xludf.DUMMYFUNCTION("""COMPUTED_VALUE"""),"https://drive.google.com/open?id=1OSox4rWIn-gqL2_WEji2vr7o5h3Uonxv")</f>
        <v>https://drive.google.com/open?id=1OSox4rWIn-gqL2_WEji2vr7o5h3Uonxv</v>
      </c>
      <c r="J1721" s="59"/>
      <c r="K1721" s="59"/>
      <c r="L1721" s="59"/>
      <c r="M1721" s="59"/>
      <c r="N1721" s="59"/>
      <c r="O1721" s="59"/>
      <c r="P1721" s="59"/>
    </row>
    <row r="1722" spans="1:16">
      <c r="A1722" s="71">
        <f ca="1">IFERROR(__xludf.DUMMYFUNCTION("""COMPUTED_VALUE"""),44399.7019308912)</f>
        <v>44399.701930891199</v>
      </c>
      <c r="B1722" s="59" t="str">
        <f ca="1">IFERROR(__xludf.DUMMYFUNCTION("""COMPUTED_VALUE"""),"Dip vadher")</f>
        <v>Dip vadher</v>
      </c>
      <c r="C1722" s="72" t="str">
        <f ca="1">IFERROR(__xludf.DUMMYFUNCTION("""COMPUTED_VALUE"""),"20SDSCE01125")</f>
        <v>20SDSCE01125</v>
      </c>
      <c r="D1722" s="73">
        <f ca="1">IFERROR(__xludf.DUMMYFUNCTION("""COMPUTED_VALUE"""),44399)</f>
        <v>44399</v>
      </c>
      <c r="E1722" s="72"/>
      <c r="F1722" s="72"/>
      <c r="G1722" s="75"/>
      <c r="H1722" s="59" t="str">
        <f ca="1">IFERROR(__xludf.DUMMYFUNCTION("""COMPUTED_VALUE"""),"UPDATE")</f>
        <v>UPDATE</v>
      </c>
      <c r="I1722" s="76" t="str">
        <f ca="1">IFERROR(__xludf.DUMMYFUNCTION("""COMPUTED_VALUE"""),"https://drive.google.com/open?id=1xvC2pTwpqeJfGfN3LN5a-w0tWjtJpmR5")</f>
        <v>https://drive.google.com/open?id=1xvC2pTwpqeJfGfN3LN5a-w0tWjtJpmR5</v>
      </c>
      <c r="J1722" s="59"/>
      <c r="K1722" s="59"/>
      <c r="L1722" s="59"/>
      <c r="M1722" s="59"/>
      <c r="N1722" s="59"/>
      <c r="O1722" s="59"/>
      <c r="P1722" s="59"/>
    </row>
    <row r="1723" spans="1:16">
      <c r="A1723" s="71">
        <f ca="1">IFERROR(__xludf.DUMMYFUNCTION("""COMPUTED_VALUE"""),44398.6324461689)</f>
        <v>44398.6324461689</v>
      </c>
      <c r="B1723" s="59" t="str">
        <f ca="1">IFERROR(__xludf.DUMMYFUNCTION("""COMPUTED_VALUE"""),"Savaliya bhavya virendrabhai")</f>
        <v>Savaliya bhavya virendrabhai</v>
      </c>
      <c r="C1723" s="72" t="str">
        <f ca="1">IFERROR(__xludf.DUMMYFUNCTION("""COMPUTED_VALUE"""),"20SDSCE01109")</f>
        <v>20SDSCE01109</v>
      </c>
      <c r="D1723" s="73">
        <f ca="1">IFERROR(__xludf.DUMMYFUNCTION("""COMPUTED_VALUE"""),44397)</f>
        <v>44397</v>
      </c>
      <c r="E1723" s="72"/>
      <c r="F1723" s="72"/>
      <c r="G1723" s="75"/>
      <c r="H1723" s="59" t="str">
        <f ca="1">IFERROR(__xludf.DUMMYFUNCTION("""COMPUTED_VALUE"""),"UPDATE")</f>
        <v>UPDATE</v>
      </c>
      <c r="I1723" s="76" t="str">
        <f ca="1">IFERROR(__xludf.DUMMYFUNCTION("""COMPUTED_VALUE"""),"https://drive.google.com/open?id=1NqMA_puUIfk21m0dhj65T5DFlSIa2I7_")</f>
        <v>https://drive.google.com/open?id=1NqMA_puUIfk21m0dhj65T5DFlSIa2I7_</v>
      </c>
      <c r="J1723" s="59"/>
      <c r="K1723" s="59"/>
      <c r="L1723" s="59"/>
      <c r="M1723" s="59"/>
      <c r="N1723" s="59"/>
      <c r="O1723" s="59"/>
      <c r="P1723" s="59"/>
    </row>
    <row r="1724" spans="1:16">
      <c r="A1724" s="71">
        <f ca="1">IFERROR(__xludf.DUMMYFUNCTION("""COMPUTED_VALUE"""),44398.6261048726)</f>
        <v>44398.626104872601</v>
      </c>
      <c r="B1724" s="59" t="str">
        <f ca="1">IFERROR(__xludf.DUMMYFUNCTION("""COMPUTED_VALUE"""),"Patoliya shruti shyambhai")</f>
        <v>Patoliya shruti shyambhai</v>
      </c>
      <c r="C1724" s="72" t="str">
        <f ca="1">IFERROR(__xludf.DUMMYFUNCTION("""COMPUTED_VALUE"""),"20SDSCE01089")</f>
        <v>20SDSCE01089</v>
      </c>
      <c r="D1724" s="73">
        <f ca="1">IFERROR(__xludf.DUMMYFUNCTION("""COMPUTED_VALUE"""),44397)</f>
        <v>44397</v>
      </c>
      <c r="E1724" s="72"/>
      <c r="F1724" s="72"/>
      <c r="G1724" s="75"/>
      <c r="H1724" s="59" t="str">
        <f ca="1">IFERROR(__xludf.DUMMYFUNCTION("""COMPUTED_VALUE"""),"UPDATE")</f>
        <v>UPDATE</v>
      </c>
      <c r="I1724" s="76" t="str">
        <f ca="1">IFERROR(__xludf.DUMMYFUNCTION("""COMPUTED_VALUE"""),"https://drive.google.com/open?id=1PuMcMkyeIVS_TbhmJoti9srPR6fLKQvA")</f>
        <v>https://drive.google.com/open?id=1PuMcMkyeIVS_TbhmJoti9srPR6fLKQvA</v>
      </c>
      <c r="J1724" s="59"/>
      <c r="K1724" s="59"/>
      <c r="L1724" s="59"/>
      <c r="M1724" s="59"/>
      <c r="N1724" s="59"/>
      <c r="O1724" s="59"/>
      <c r="P1724" s="59"/>
    </row>
    <row r="1725" spans="1:16">
      <c r="A1725" s="71">
        <f ca="1">IFERROR(__xludf.DUMMYFUNCTION("""COMPUTED_VALUE"""),44398.4972067708)</f>
        <v>44398.4972067708</v>
      </c>
      <c r="B1725" s="59" t="str">
        <f ca="1">IFERROR(__xludf.DUMMYFUNCTION("""COMPUTED_VALUE"""),"VASANT MEETKUMAR HITESHBHAI")</f>
        <v>VASANT MEETKUMAR HITESHBHAI</v>
      </c>
      <c r="C1725" s="72" t="str">
        <f ca="1">IFERROR(__xludf.DUMMYFUNCTION("""COMPUTED_VALUE"""),"20SDSCE01138")</f>
        <v>20SDSCE01138</v>
      </c>
      <c r="D1725" s="73">
        <f ca="1">IFERROR(__xludf.DUMMYFUNCTION("""COMPUTED_VALUE"""),37751)</f>
        <v>37751</v>
      </c>
      <c r="E1725" s="74">
        <f ca="1">IFERROR(__xludf.DUMMYFUNCTION("""COMPUTED_VALUE"""),25000)</f>
        <v>25000</v>
      </c>
      <c r="F1725" s="72">
        <f ca="1">IFERROR(__xludf.DUMMYFUNCTION("""COMPUTED_VALUE"""),2500)</f>
        <v>2500</v>
      </c>
      <c r="G1725" s="75"/>
      <c r="H1725" s="59" t="str">
        <f ca="1">IFERROR(__xludf.DUMMYFUNCTION("""COMPUTED_VALUE"""),"UPDATE")</f>
        <v>UPDATE</v>
      </c>
      <c r="I1725" s="76" t="str">
        <f ca="1">IFERROR(__xludf.DUMMYFUNCTION("""COMPUTED_VALUE"""),"https://drive.google.com/open?id=1qjmZQ871mNLcwAL_ksK9De7WEK-wnofC")</f>
        <v>https://drive.google.com/open?id=1qjmZQ871mNLcwAL_ksK9De7WEK-wnofC</v>
      </c>
      <c r="J1725" s="59"/>
      <c r="K1725" s="59"/>
      <c r="L1725" s="59"/>
      <c r="M1725" s="59"/>
      <c r="N1725" s="59"/>
      <c r="O1725" s="59"/>
      <c r="P1725" s="59"/>
    </row>
    <row r="1726" spans="1:16">
      <c r="A1726" s="71">
        <f ca="1">IFERROR(__xludf.DUMMYFUNCTION("""COMPUTED_VALUE"""),44395.8900343287)</f>
        <v>44395.890034328702</v>
      </c>
      <c r="B1726" s="59" t="str">
        <f ca="1">IFERROR(__xludf.DUMMYFUNCTION("""COMPUTED_VALUE"""),"Kansagra Aashvi Atlubhai")</f>
        <v>Kansagra Aashvi Atlubhai</v>
      </c>
      <c r="C1726" s="72" t="str">
        <f ca="1">IFERROR(__xludf.DUMMYFUNCTION("""COMPUTED_VALUE"""),"20SDSCE01050")</f>
        <v>20SDSCE01050</v>
      </c>
      <c r="D1726" s="73">
        <f ca="1">IFERROR(__xludf.DUMMYFUNCTION("""COMPUTED_VALUE"""),44394)</f>
        <v>44394</v>
      </c>
      <c r="E1726" s="72"/>
      <c r="F1726" s="72"/>
      <c r="G1726" s="75"/>
      <c r="H1726" s="59" t="str">
        <f ca="1">IFERROR(__xludf.DUMMYFUNCTION("""COMPUTED_VALUE"""),"UPDATE")</f>
        <v>UPDATE</v>
      </c>
      <c r="I1726" s="76" t="str">
        <f ca="1">IFERROR(__xludf.DUMMYFUNCTION("""COMPUTED_VALUE"""),"https://drive.google.com/open?id=1RCUPHDPfidjSNOYKPUFCzn_SSVxiVvdf")</f>
        <v>https://drive.google.com/open?id=1RCUPHDPfidjSNOYKPUFCzn_SSVxiVvdf</v>
      </c>
      <c r="J1726" s="59"/>
      <c r="K1726" s="59"/>
      <c r="L1726" s="59"/>
      <c r="M1726" s="59"/>
      <c r="N1726" s="59"/>
      <c r="O1726" s="59"/>
      <c r="P1726" s="59"/>
    </row>
    <row r="1727" spans="1:16">
      <c r="A1727" s="71">
        <f ca="1">IFERROR(__xludf.DUMMYFUNCTION("""COMPUTED_VALUE"""),44394.6518757638)</f>
        <v>44394.651875763797</v>
      </c>
      <c r="B1727" s="59" t="str">
        <f ca="1">IFERROR(__xludf.DUMMYFUNCTION("""COMPUTED_VALUE"""),"Vyas Dev")</f>
        <v>Vyas Dev</v>
      </c>
      <c r="C1727" s="72" t="str">
        <f ca="1">IFERROR(__xludf.DUMMYFUNCTION("""COMPUTED_VALUE"""),"20sdsce01142")</f>
        <v>20sdsce01142</v>
      </c>
      <c r="D1727" s="73">
        <f ca="1">IFERROR(__xludf.DUMMYFUNCTION("""COMPUTED_VALUE"""),44394)</f>
        <v>44394</v>
      </c>
      <c r="E1727" s="74">
        <f ca="1">IFERROR(__xludf.DUMMYFUNCTION("""COMPUTED_VALUE"""),25000)</f>
        <v>25000</v>
      </c>
      <c r="F1727" s="72">
        <f ca="1">IFERROR(__xludf.DUMMYFUNCTION("""COMPUTED_VALUE"""),2500)</f>
        <v>2500</v>
      </c>
      <c r="G1727" s="75"/>
      <c r="H1727" s="59" t="str">
        <f ca="1">IFERROR(__xludf.DUMMYFUNCTION("""COMPUTED_VALUE"""),"UPDATE")</f>
        <v>UPDATE</v>
      </c>
      <c r="I1727" s="76" t="str">
        <f ca="1">IFERROR(__xludf.DUMMYFUNCTION("""COMPUTED_VALUE"""),"https://drive.google.com/open?id=1JVCbDSQpBnE5O_29lrNaALsSyFXWISoC")</f>
        <v>https://drive.google.com/open?id=1JVCbDSQpBnE5O_29lrNaALsSyFXWISoC</v>
      </c>
      <c r="J1727" s="59"/>
      <c r="K1727" s="59"/>
      <c r="L1727" s="59"/>
      <c r="M1727" s="59"/>
      <c r="N1727" s="59"/>
      <c r="O1727" s="59"/>
      <c r="P1727" s="59"/>
    </row>
    <row r="1728" spans="1:16">
      <c r="A1728" s="71">
        <f ca="1">IFERROR(__xludf.DUMMYFUNCTION("""COMPUTED_VALUE"""),44394.6511426273)</f>
        <v>44394.651142627299</v>
      </c>
      <c r="B1728" s="59" t="str">
        <f ca="1">IFERROR(__xludf.DUMMYFUNCTION("""COMPUTED_VALUE"""),"Vyas Dev")</f>
        <v>Vyas Dev</v>
      </c>
      <c r="C1728" s="72" t="str">
        <f ca="1">IFERROR(__xludf.DUMMYFUNCTION("""COMPUTED_VALUE"""),"20sdsce01142")</f>
        <v>20sdsce01142</v>
      </c>
      <c r="D1728" s="73">
        <f ca="1">IFERROR(__xludf.DUMMYFUNCTION("""COMPUTED_VALUE"""),44394)</f>
        <v>44394</v>
      </c>
      <c r="E1728" s="74">
        <f ca="1">IFERROR(__xludf.DUMMYFUNCTION("""COMPUTED_VALUE"""),25000)</f>
        <v>25000</v>
      </c>
      <c r="F1728" s="72">
        <f ca="1">IFERROR(__xludf.DUMMYFUNCTION("""COMPUTED_VALUE"""),2500)</f>
        <v>2500</v>
      </c>
      <c r="G1728" s="75"/>
      <c r="H1728" s="59" t="str">
        <f ca="1">IFERROR(__xludf.DUMMYFUNCTION("""COMPUTED_VALUE"""),"UPDATE")</f>
        <v>UPDATE</v>
      </c>
      <c r="I1728" s="76" t="str">
        <f ca="1">IFERROR(__xludf.DUMMYFUNCTION("""COMPUTED_VALUE"""),"https://drive.google.com/open?id=1o34iUiasZFuWo5IMQYkXvJFRvJ3Wuytl")</f>
        <v>https://drive.google.com/open?id=1o34iUiasZFuWo5IMQYkXvJFRvJ3Wuytl</v>
      </c>
      <c r="J1728" s="59"/>
      <c r="K1728" s="59"/>
      <c r="L1728" s="59"/>
      <c r="M1728" s="59"/>
      <c r="N1728" s="59"/>
      <c r="O1728" s="59"/>
      <c r="P1728" s="59"/>
    </row>
    <row r="1729" spans="1:16">
      <c r="A1729" s="71">
        <f ca="1">IFERROR(__xludf.DUMMYFUNCTION("""COMPUTED_VALUE"""),44393.9430224305)</f>
        <v>44393.943022430503</v>
      </c>
      <c r="B1729" s="59" t="str">
        <f ca="1">IFERROR(__xludf.DUMMYFUNCTION("""COMPUTED_VALUE"""),"CHAVDA SHRUTI RAJESHBHAI")</f>
        <v>CHAVDA SHRUTI RAJESHBHAI</v>
      </c>
      <c r="C1729" s="72" t="str">
        <f ca="1">IFERROR(__xludf.DUMMYFUNCTION("""COMPUTED_VALUE"""),"20SDSCE01019")</f>
        <v>20SDSCE01019</v>
      </c>
      <c r="D1729" s="73">
        <f ca="1">IFERROR(__xludf.DUMMYFUNCTION("""COMPUTED_VALUE"""),44382)</f>
        <v>44382</v>
      </c>
      <c r="E1729" s="74">
        <f ca="1">IFERROR(__xludf.DUMMYFUNCTION("""COMPUTED_VALUE"""),25000)</f>
        <v>25000</v>
      </c>
      <c r="F1729" s="72">
        <f ca="1">IFERROR(__xludf.DUMMYFUNCTION("""COMPUTED_VALUE"""),2500)</f>
        <v>2500</v>
      </c>
      <c r="G1729" s="75"/>
      <c r="H1729" s="59" t="str">
        <f ca="1">IFERROR(__xludf.DUMMYFUNCTION("""COMPUTED_VALUE"""),"UPDATE")</f>
        <v>UPDATE</v>
      </c>
      <c r="I1729" s="76" t="str">
        <f ca="1">IFERROR(__xludf.DUMMYFUNCTION("""COMPUTED_VALUE"""),"https://drive.google.com/open?id=1DbPzYZFpMF61iXlmH_gFD561WeGy89CR")</f>
        <v>https://drive.google.com/open?id=1DbPzYZFpMF61iXlmH_gFD561WeGy89CR</v>
      </c>
      <c r="J1729" s="59"/>
      <c r="K1729" s="59"/>
      <c r="L1729" s="59"/>
      <c r="M1729" s="59"/>
      <c r="N1729" s="59"/>
      <c r="O1729" s="59"/>
      <c r="P1729" s="59"/>
    </row>
    <row r="1730" spans="1:16">
      <c r="A1730" s="71">
        <f ca="1">IFERROR(__xludf.DUMMYFUNCTION("""COMPUTED_VALUE"""),44392.8799054051)</f>
        <v>44392.879905405098</v>
      </c>
      <c r="B1730" s="59" t="str">
        <f ca="1">IFERROR(__xludf.DUMMYFUNCTION("""COMPUTED_VALUE"""),"Sarthak Sanjaybhai Dhaduk")</f>
        <v>Sarthak Sanjaybhai Dhaduk</v>
      </c>
      <c r="C1730" s="72" t="str">
        <f ca="1">IFERROR(__xludf.DUMMYFUNCTION("""COMPUTED_VALUE"""),"20SDSCE01027")</f>
        <v>20SDSCE01027</v>
      </c>
      <c r="D1730" s="73">
        <f ca="1">IFERROR(__xludf.DUMMYFUNCTION("""COMPUTED_VALUE"""),44366)</f>
        <v>44366</v>
      </c>
      <c r="E1730" s="74">
        <f ca="1">IFERROR(__xludf.DUMMYFUNCTION("""COMPUTED_VALUE"""),25000)</f>
        <v>25000</v>
      </c>
      <c r="F1730" s="72">
        <f ca="1">IFERROR(__xludf.DUMMYFUNCTION("""COMPUTED_VALUE"""),0)</f>
        <v>0</v>
      </c>
      <c r="G1730" s="75"/>
      <c r="H1730" s="59" t="str">
        <f ca="1">IFERROR(__xludf.DUMMYFUNCTION("""COMPUTED_VALUE"""),"UPDATE")</f>
        <v>UPDATE</v>
      </c>
      <c r="I1730" s="76" t="str">
        <f ca="1">IFERROR(__xludf.DUMMYFUNCTION("""COMPUTED_VALUE"""),"https://drive.google.com/open?id=1rMf_RzGnPJ9YDokOAczc-14paDlPjJai")</f>
        <v>https://drive.google.com/open?id=1rMf_RzGnPJ9YDokOAczc-14paDlPjJai</v>
      </c>
      <c r="J1730" s="59"/>
      <c r="K1730" s="59"/>
      <c r="L1730" s="59"/>
      <c r="M1730" s="59"/>
      <c r="N1730" s="59"/>
      <c r="O1730" s="59"/>
      <c r="P1730" s="59"/>
    </row>
    <row r="1731" spans="1:16">
      <c r="A1731" s="71">
        <f ca="1">IFERROR(__xludf.DUMMYFUNCTION("""COMPUTED_VALUE"""),44392.7534451157)</f>
        <v>44392.753445115697</v>
      </c>
      <c r="B1731" s="59" t="str">
        <f ca="1">IFERROR(__xludf.DUMMYFUNCTION("""COMPUTED_VALUE"""),"Meet Jamanbhai Thumar")</f>
        <v>Meet Jamanbhai Thumar</v>
      </c>
      <c r="C1731" s="72" t="str">
        <f ca="1">IFERROR(__xludf.DUMMYFUNCTION("""COMPUTED_VALUE"""),"20SDSCE01120")</f>
        <v>20SDSCE01120</v>
      </c>
      <c r="D1731" s="73">
        <f ca="1">IFERROR(__xludf.DUMMYFUNCTION("""COMPUTED_VALUE"""),44389)</f>
        <v>44389</v>
      </c>
      <c r="E1731" s="74">
        <f ca="1">IFERROR(__xludf.DUMMYFUNCTION("""COMPUTED_VALUE"""),12500)</f>
        <v>12500</v>
      </c>
      <c r="F1731" s="72">
        <f ca="1">IFERROR(__xludf.DUMMYFUNCTION("""COMPUTED_VALUE"""),2500)</f>
        <v>2500</v>
      </c>
      <c r="G1731" s="75"/>
      <c r="H1731" s="59" t="str">
        <f ca="1">IFERROR(__xludf.DUMMYFUNCTION("""COMPUTED_VALUE"""),"UPDATE")</f>
        <v>UPDATE</v>
      </c>
      <c r="I1731" s="76" t="str">
        <f ca="1">IFERROR(__xludf.DUMMYFUNCTION("""COMPUTED_VALUE"""),"https://drive.google.com/open?id=1Q8faztb_lbvb3KdyokpnXEAFa19ZRf_l")</f>
        <v>https://drive.google.com/open?id=1Q8faztb_lbvb3KdyokpnXEAFa19ZRf_l</v>
      </c>
      <c r="J1731" s="59"/>
      <c r="K1731" s="59"/>
      <c r="L1731" s="59"/>
      <c r="M1731" s="59"/>
      <c r="N1731" s="59"/>
      <c r="O1731" s="59"/>
      <c r="P1731" s="59"/>
    </row>
    <row r="1732" spans="1:16">
      <c r="A1732" s="71">
        <f ca="1">IFERROR(__xludf.DUMMYFUNCTION("""COMPUTED_VALUE"""),44392.616723287)</f>
        <v>44392.616723286999</v>
      </c>
      <c r="B1732" s="59" t="str">
        <f ca="1">IFERROR(__xludf.DUMMYFUNCTION("""COMPUTED_VALUE"""),"Vidhi suvagiya")</f>
        <v>Vidhi suvagiya</v>
      </c>
      <c r="C1732" s="72" t="str">
        <f ca="1">IFERROR(__xludf.DUMMYFUNCTION("""COMPUTED_VALUE"""),"20SDSCE01116")</f>
        <v>20SDSCE01116</v>
      </c>
      <c r="D1732" s="73">
        <f ca="1">IFERROR(__xludf.DUMMYFUNCTION("""COMPUTED_VALUE"""),44392)</f>
        <v>44392</v>
      </c>
      <c r="E1732" s="72"/>
      <c r="F1732" s="72"/>
      <c r="G1732" s="75"/>
      <c r="H1732" s="59" t="str">
        <f ca="1">IFERROR(__xludf.DUMMYFUNCTION("""COMPUTED_VALUE"""),"UPDATE")</f>
        <v>UPDATE</v>
      </c>
      <c r="I1732" s="76" t="str">
        <f ca="1">IFERROR(__xludf.DUMMYFUNCTION("""COMPUTED_VALUE"""),"https://drive.google.com/open?id=1f0J6H16YYKrxfNL1UHuq_7SCbnDkRlxm")</f>
        <v>https://drive.google.com/open?id=1f0J6H16YYKrxfNL1UHuq_7SCbnDkRlxm</v>
      </c>
      <c r="J1732" s="59"/>
      <c r="K1732" s="59"/>
      <c r="L1732" s="59"/>
      <c r="M1732" s="59"/>
      <c r="N1732" s="59"/>
      <c r="O1732" s="59"/>
      <c r="P1732" s="59"/>
    </row>
    <row r="1733" spans="1:16">
      <c r="A1733" s="71">
        <f ca="1">IFERROR(__xludf.DUMMYFUNCTION("""COMPUTED_VALUE"""),44392.6154034259)</f>
        <v>44392.615403425902</v>
      </c>
      <c r="B1733" s="59" t="str">
        <f ca="1">IFERROR(__xludf.DUMMYFUNCTION("""COMPUTED_VALUE"""),"Vidhi suvagiya")</f>
        <v>Vidhi suvagiya</v>
      </c>
      <c r="C1733" s="72" t="str">
        <f ca="1">IFERROR(__xludf.DUMMYFUNCTION("""COMPUTED_VALUE"""),"20SDSCE01116")</f>
        <v>20SDSCE01116</v>
      </c>
      <c r="D1733" s="73">
        <f ca="1">IFERROR(__xludf.DUMMYFUNCTION("""COMPUTED_VALUE"""),44392)</f>
        <v>44392</v>
      </c>
      <c r="E1733" s="72"/>
      <c r="F1733" s="72"/>
      <c r="G1733" s="75"/>
      <c r="H1733" s="59" t="str">
        <f ca="1">IFERROR(__xludf.DUMMYFUNCTION("""COMPUTED_VALUE"""),"UPDATE")</f>
        <v>UPDATE</v>
      </c>
      <c r="I1733" s="76" t="str">
        <f ca="1">IFERROR(__xludf.DUMMYFUNCTION("""COMPUTED_VALUE"""),"https://drive.google.com/open?id=1ZG-Gg78eIup9XWXsJ-Q-EsiMQbgvNj2Y")</f>
        <v>https://drive.google.com/open?id=1ZG-Gg78eIup9XWXsJ-Q-EsiMQbgvNj2Y</v>
      </c>
      <c r="J1733" s="59"/>
      <c r="K1733" s="59"/>
      <c r="L1733" s="59"/>
      <c r="M1733" s="59"/>
      <c r="N1733" s="59"/>
      <c r="O1733" s="59"/>
      <c r="P1733" s="59"/>
    </row>
    <row r="1734" spans="1:16">
      <c r="A1734" s="71">
        <f ca="1">IFERROR(__xludf.DUMMYFUNCTION("""COMPUTED_VALUE"""),44392.5285833101)</f>
        <v>44392.528583310101</v>
      </c>
      <c r="B1734" s="59" t="str">
        <f ca="1">IFERROR(__xludf.DUMMYFUNCTION("""COMPUTED_VALUE"""),"Vaghela Hiren ")</f>
        <v xml:space="preserve">Vaghela Hiren </v>
      </c>
      <c r="C1734" s="72" t="str">
        <f ca="1">IFERROR(__xludf.DUMMYFUNCTION("""COMPUTED_VALUE"""),"20SDSCE01130")</f>
        <v>20SDSCE01130</v>
      </c>
      <c r="D1734" s="73">
        <f ca="1">IFERROR(__xludf.DUMMYFUNCTION("""COMPUTED_VALUE"""),44392)</f>
        <v>44392</v>
      </c>
      <c r="E1734" s="74">
        <f ca="1">IFERROR(__xludf.DUMMYFUNCTION("""COMPUTED_VALUE"""),10000)</f>
        <v>10000</v>
      </c>
      <c r="F1734" s="72"/>
      <c r="G1734" s="75"/>
      <c r="H1734" s="59" t="str">
        <f ca="1">IFERROR(__xludf.DUMMYFUNCTION("""COMPUTED_VALUE"""),"UPDATE")</f>
        <v>UPDATE</v>
      </c>
      <c r="I1734" s="76" t="str">
        <f ca="1">IFERROR(__xludf.DUMMYFUNCTION("""COMPUTED_VALUE"""),"https://drive.google.com/open?id=1dLuAIr6mFHTSgBrgiJrA9EUp4FZAyMgo")</f>
        <v>https://drive.google.com/open?id=1dLuAIr6mFHTSgBrgiJrA9EUp4FZAyMgo</v>
      </c>
      <c r="J1734" s="59"/>
      <c r="K1734" s="59"/>
      <c r="L1734" s="59"/>
      <c r="M1734" s="59"/>
      <c r="N1734" s="59"/>
      <c r="O1734" s="59"/>
      <c r="P1734" s="59"/>
    </row>
    <row r="1735" spans="1:16">
      <c r="A1735" s="71">
        <f ca="1">IFERROR(__xludf.DUMMYFUNCTION("""COMPUTED_VALUE"""),44392.5249616666)</f>
        <v>44392.524961666597</v>
      </c>
      <c r="B1735" s="59" t="str">
        <f ca="1">IFERROR(__xludf.DUMMYFUNCTION("""COMPUTED_VALUE"""),"Nakum Ravi  Pravinbhai")</f>
        <v>Nakum Ravi  Pravinbhai</v>
      </c>
      <c r="C1735" s="72" t="str">
        <f ca="1">IFERROR(__xludf.DUMMYFUNCTION("""COMPUTED_VALUE"""),"20SDSCE01068")</f>
        <v>20SDSCE01068</v>
      </c>
      <c r="D1735" s="73">
        <f ca="1">IFERROR(__xludf.DUMMYFUNCTION("""COMPUTED_VALUE"""),44382)</f>
        <v>44382</v>
      </c>
      <c r="E1735" s="72"/>
      <c r="F1735" s="72">
        <f ca="1">IFERROR(__xludf.DUMMYFUNCTION("""COMPUTED_VALUE"""),2500)</f>
        <v>2500</v>
      </c>
      <c r="G1735" s="75"/>
      <c r="H1735" s="59" t="str">
        <f ca="1">IFERROR(__xludf.DUMMYFUNCTION("""COMPUTED_VALUE"""),"UPDATE")</f>
        <v>UPDATE</v>
      </c>
      <c r="I1735" s="76" t="str">
        <f ca="1">IFERROR(__xludf.DUMMYFUNCTION("""COMPUTED_VALUE"""),"https://drive.google.com/open?id=1m9gg5CT9XKNuXoOJydN5Z9FPuBmFdooO")</f>
        <v>https://drive.google.com/open?id=1m9gg5CT9XKNuXoOJydN5Z9FPuBmFdooO</v>
      </c>
      <c r="J1735" s="59"/>
      <c r="K1735" s="59"/>
      <c r="L1735" s="59"/>
      <c r="M1735" s="59"/>
      <c r="N1735" s="59"/>
      <c r="O1735" s="59"/>
      <c r="P1735" s="59"/>
    </row>
    <row r="1736" spans="1:16">
      <c r="A1736" s="71">
        <f ca="1">IFERROR(__xludf.DUMMYFUNCTION("""COMPUTED_VALUE"""),44392.5235804976)</f>
        <v>44392.523580497596</v>
      </c>
      <c r="B1736" s="59" t="str">
        <f ca="1">IFERROR(__xludf.DUMMYFUNCTION("""COMPUTED_VALUE"""),"Nakum Ravi Pravinbhai")</f>
        <v>Nakum Ravi Pravinbhai</v>
      </c>
      <c r="C1736" s="72" t="str">
        <f ca="1">IFERROR(__xludf.DUMMYFUNCTION("""COMPUTED_VALUE"""),"20SDSCE01068")</f>
        <v>20SDSCE01068</v>
      </c>
      <c r="D1736" s="73">
        <f ca="1">IFERROR(__xludf.DUMMYFUNCTION("""COMPUTED_VALUE"""),44382)</f>
        <v>44382</v>
      </c>
      <c r="E1736" s="74">
        <f ca="1">IFERROR(__xludf.DUMMYFUNCTION("""COMPUTED_VALUE"""),18750)</f>
        <v>18750</v>
      </c>
      <c r="F1736" s="72">
        <f ca="1">IFERROR(__xludf.DUMMYFUNCTION("""COMPUTED_VALUE"""),2500)</f>
        <v>2500</v>
      </c>
      <c r="G1736" s="75"/>
      <c r="H1736" s="59" t="str">
        <f ca="1">IFERROR(__xludf.DUMMYFUNCTION("""COMPUTED_VALUE"""),"UPDATE")</f>
        <v>UPDATE</v>
      </c>
      <c r="I1736" s="76" t="str">
        <f ca="1">IFERROR(__xludf.DUMMYFUNCTION("""COMPUTED_VALUE"""),"https://drive.google.com/open?id=13fsbVBiB8tvcZiITZN_3XX2WTX8HNNg8")</f>
        <v>https://drive.google.com/open?id=13fsbVBiB8tvcZiITZN_3XX2WTX8HNNg8</v>
      </c>
      <c r="J1736" s="59"/>
      <c r="K1736" s="59"/>
      <c r="L1736" s="59"/>
      <c r="M1736" s="59"/>
      <c r="N1736" s="59"/>
      <c r="O1736" s="59"/>
      <c r="P1736" s="59"/>
    </row>
    <row r="1737" spans="1:16">
      <c r="A1737" s="71">
        <f ca="1">IFERROR(__xludf.DUMMYFUNCTION("""COMPUTED_VALUE"""),44392.4540869212)</f>
        <v>44392.4540869212</v>
      </c>
      <c r="B1737" s="59" t="str">
        <f ca="1">IFERROR(__xludf.DUMMYFUNCTION("""COMPUTED_VALUE"""),"Patadiya Bhargav")</f>
        <v>Patadiya Bhargav</v>
      </c>
      <c r="C1737" s="72" t="str">
        <f ca="1">IFERROR(__xludf.DUMMYFUNCTION("""COMPUTED_VALUE"""),"20SDSCE01084")</f>
        <v>20SDSCE01084</v>
      </c>
      <c r="D1737" s="73">
        <f ca="1">IFERROR(__xludf.DUMMYFUNCTION("""COMPUTED_VALUE"""),44391)</f>
        <v>44391</v>
      </c>
      <c r="E1737" s="74">
        <f ca="1">IFERROR(__xludf.DUMMYFUNCTION("""COMPUTED_VALUE"""),12500)</f>
        <v>12500</v>
      </c>
      <c r="F1737" s="72">
        <f ca="1">IFERROR(__xludf.DUMMYFUNCTION("""COMPUTED_VALUE"""),2500)</f>
        <v>2500</v>
      </c>
      <c r="G1737" s="75"/>
      <c r="H1737" s="59" t="str">
        <f ca="1">IFERROR(__xludf.DUMMYFUNCTION("""COMPUTED_VALUE"""),"UPDATE")</f>
        <v>UPDATE</v>
      </c>
      <c r="I1737" s="76" t="str">
        <f ca="1">IFERROR(__xludf.DUMMYFUNCTION("""COMPUTED_VALUE"""),"https://drive.google.com/open?id=1MXaBXBCWwoax4KURZj7VBYjxYpAAE0Ja")</f>
        <v>https://drive.google.com/open?id=1MXaBXBCWwoax4KURZj7VBYjxYpAAE0Ja</v>
      </c>
      <c r="J1737" s="59"/>
      <c r="K1737" s="59"/>
      <c r="L1737" s="59"/>
      <c r="M1737" s="59"/>
      <c r="N1737" s="59"/>
      <c r="O1737" s="59"/>
      <c r="P1737" s="59"/>
    </row>
    <row r="1738" spans="1:16">
      <c r="A1738" s="71">
        <f ca="1">IFERROR(__xludf.DUMMYFUNCTION("""COMPUTED_VALUE"""),44392.4504604282)</f>
        <v>44392.450460428197</v>
      </c>
      <c r="B1738" s="59" t="str">
        <f ca="1">IFERROR(__xludf.DUMMYFUNCTION("""COMPUTED_VALUE"""),"Chavda Karansinh  Hemrajsinh")</f>
        <v>Chavda Karansinh  Hemrajsinh</v>
      </c>
      <c r="C1738" s="72" t="str">
        <f ca="1">IFERROR(__xludf.DUMMYFUNCTION("""COMPUTED_VALUE"""),"20SDSCE01016")</f>
        <v>20SDSCE01016</v>
      </c>
      <c r="D1738" s="73">
        <f ca="1">IFERROR(__xludf.DUMMYFUNCTION("""COMPUTED_VALUE"""),44381)</f>
        <v>44381</v>
      </c>
      <c r="E1738" s="74">
        <f ca="1">IFERROR(__xludf.DUMMYFUNCTION("""COMPUTED_VALUE"""),25000)</f>
        <v>25000</v>
      </c>
      <c r="F1738" s="72">
        <f ca="1">IFERROR(__xludf.DUMMYFUNCTION("""COMPUTED_VALUE"""),2500)</f>
        <v>2500</v>
      </c>
      <c r="G1738" s="75"/>
      <c r="H1738" s="59" t="str">
        <f ca="1">IFERROR(__xludf.DUMMYFUNCTION("""COMPUTED_VALUE"""),"UPDATE")</f>
        <v>UPDATE</v>
      </c>
      <c r="I1738" s="76" t="str">
        <f ca="1">IFERROR(__xludf.DUMMYFUNCTION("""COMPUTED_VALUE"""),"https://drive.google.com/open?id=1sGAZNVz27qjmit86hDW_FbcwuusFmMtB")</f>
        <v>https://drive.google.com/open?id=1sGAZNVz27qjmit86hDW_FbcwuusFmMtB</v>
      </c>
      <c r="J1738" s="59"/>
      <c r="K1738" s="59"/>
      <c r="L1738" s="59"/>
      <c r="M1738" s="59"/>
      <c r="N1738" s="59"/>
      <c r="O1738" s="59"/>
      <c r="P1738" s="59"/>
    </row>
    <row r="1739" spans="1:16">
      <c r="A1739" s="71">
        <f ca="1">IFERROR(__xludf.DUMMYFUNCTION("""COMPUTED_VALUE"""),44392.4496586805)</f>
        <v>44392.449658680503</v>
      </c>
      <c r="B1739" s="59" t="str">
        <f ca="1">IFERROR(__xludf.DUMMYFUNCTION("""COMPUTED_VALUE"""),"Urvisha mukeshbhai Gajera ")</f>
        <v xml:space="preserve">Urvisha mukeshbhai Gajera </v>
      </c>
      <c r="C1739" s="72" t="str">
        <f ca="1">IFERROR(__xludf.DUMMYFUNCTION("""COMPUTED_VALUE"""),"20SDSCE01034")</f>
        <v>20SDSCE01034</v>
      </c>
      <c r="D1739" s="73">
        <f ca="1">IFERROR(__xludf.DUMMYFUNCTION("""COMPUTED_VALUE"""),44382)</f>
        <v>44382</v>
      </c>
      <c r="E1739" s="74">
        <f ca="1">IFERROR(__xludf.DUMMYFUNCTION("""COMPUTED_VALUE"""),0)</f>
        <v>0</v>
      </c>
      <c r="F1739" s="72">
        <f ca="1">IFERROR(__xludf.DUMMYFUNCTION("""COMPUTED_VALUE"""),2500)</f>
        <v>2500</v>
      </c>
      <c r="G1739" s="75"/>
      <c r="H1739" s="59" t="str">
        <f ca="1">IFERROR(__xludf.DUMMYFUNCTION("""COMPUTED_VALUE"""),"UPDATE")</f>
        <v>UPDATE</v>
      </c>
      <c r="I1739" s="76" t="str">
        <f ca="1">IFERROR(__xludf.DUMMYFUNCTION("""COMPUTED_VALUE"""),"https://drive.google.com/open?id=1197xCR-O4SuaPBI-W5SZaTJFjd7il-qx")</f>
        <v>https://drive.google.com/open?id=1197xCR-O4SuaPBI-W5SZaTJFjd7il-qx</v>
      </c>
      <c r="J1739" s="59"/>
      <c r="K1739" s="59"/>
      <c r="L1739" s="59"/>
      <c r="M1739" s="59"/>
      <c r="N1739" s="59"/>
      <c r="O1739" s="59"/>
      <c r="P1739" s="59"/>
    </row>
    <row r="1740" spans="1:16">
      <c r="A1740" s="71">
        <f ca="1">IFERROR(__xludf.DUMMYFUNCTION("""COMPUTED_VALUE"""),44389.7614294328)</f>
        <v>44389.761429432801</v>
      </c>
      <c r="B1740" s="59" t="str">
        <f ca="1">IFERROR(__xludf.DUMMYFUNCTION("""COMPUTED_VALUE"""),"RANPARIA NAMAN PARESHBHAI")</f>
        <v>RANPARIA NAMAN PARESHBHAI</v>
      </c>
      <c r="C1740" s="72" t="str">
        <f ca="1">IFERROR(__xludf.DUMMYFUNCTION("""COMPUTED_VALUE"""),"18SDSEE01017")</f>
        <v>18SDSEE01017</v>
      </c>
      <c r="D1740" s="73">
        <f ca="1">IFERROR(__xludf.DUMMYFUNCTION("""COMPUTED_VALUE"""),44389)</f>
        <v>44389</v>
      </c>
      <c r="E1740" s="74">
        <f ca="1">IFERROR(__xludf.DUMMYFUNCTION("""COMPUTED_VALUE"""),6475)</f>
        <v>6475</v>
      </c>
      <c r="F1740" s="72"/>
      <c r="G1740" s="75"/>
      <c r="H1740" s="59" t="str">
        <f ca="1">IFERROR(__xludf.DUMMYFUNCTION("""COMPUTED_VALUE"""),"UPDATE")</f>
        <v>UPDATE</v>
      </c>
      <c r="I1740" s="76" t="str">
        <f ca="1">IFERROR(__xludf.DUMMYFUNCTION("""COMPUTED_VALUE"""),"https://drive.google.com/open?id=1n8oEEWwwBacEHxWOllpmiVbdPI1dXWgA")</f>
        <v>https://drive.google.com/open?id=1n8oEEWwwBacEHxWOllpmiVbdPI1dXWgA</v>
      </c>
      <c r="J1740" s="59"/>
      <c r="K1740" s="59"/>
      <c r="L1740" s="59"/>
      <c r="M1740" s="59"/>
      <c r="N1740" s="59"/>
      <c r="O1740" s="59"/>
      <c r="P1740" s="59"/>
    </row>
    <row r="1741" spans="1:16">
      <c r="A1741" s="71">
        <f ca="1">IFERROR(__xludf.DUMMYFUNCTION("""COMPUTED_VALUE"""),44389.6382496527)</f>
        <v>44389.6382496527</v>
      </c>
      <c r="B1741" s="59" t="str">
        <f ca="1">IFERROR(__xludf.DUMMYFUNCTION("""COMPUTED_VALUE"""),"kothiya kevalkumar vinodbhai")</f>
        <v>kothiya kevalkumar vinodbhai</v>
      </c>
      <c r="C1741" s="72" t="str">
        <f ca="1">IFERROR(__xludf.DUMMYFUNCTION("""COMPUTED_VALUE"""),"21SDSCE01031")</f>
        <v>21SDSCE01031</v>
      </c>
      <c r="D1741" s="73">
        <f ca="1">IFERROR(__xludf.DUMMYFUNCTION("""COMPUTED_VALUE"""),44389)</f>
        <v>44389</v>
      </c>
      <c r="E1741" s="72"/>
      <c r="F1741" s="72"/>
      <c r="G1741" s="75"/>
      <c r="H1741" s="59" t="str">
        <f ca="1">IFERROR(__xludf.DUMMYFUNCTION("""COMPUTED_VALUE"""),"UPDATE")</f>
        <v>UPDATE</v>
      </c>
      <c r="I1741" s="76" t="str">
        <f ca="1">IFERROR(__xludf.DUMMYFUNCTION("""COMPUTED_VALUE"""),"https://drive.google.com/open?id=1P9H4ARDepVbdvJXNSDcXNDSl7lyTEyOM")</f>
        <v>https://drive.google.com/open?id=1P9H4ARDepVbdvJXNSDcXNDSl7lyTEyOM</v>
      </c>
      <c r="J1741" s="59"/>
      <c r="K1741" s="59"/>
      <c r="L1741" s="59"/>
      <c r="M1741" s="59"/>
      <c r="N1741" s="59"/>
      <c r="O1741" s="59"/>
      <c r="P1741" s="59"/>
    </row>
    <row r="1742" spans="1:16">
      <c r="A1742" s="71">
        <f ca="1">IFERROR(__xludf.DUMMYFUNCTION("""COMPUTED_VALUE"""),44384.8942125462)</f>
        <v>44384.894212546198</v>
      </c>
      <c r="B1742" s="59" t="str">
        <f ca="1">IFERROR(__xludf.DUMMYFUNCTION("""COMPUTED_VALUE"""),"SHUBH RUPAPARA")</f>
        <v>SHUBH RUPAPARA</v>
      </c>
      <c r="C1742" s="72" t="str">
        <f ca="1">IFERROR(__xludf.DUMMYFUNCTION("""COMPUTED_VALUE"""),"20SDSCE01103")</f>
        <v>20SDSCE01103</v>
      </c>
      <c r="D1742" s="73">
        <f ca="1">IFERROR(__xludf.DUMMYFUNCTION("""COMPUTED_VALUE"""),44384)</f>
        <v>44384</v>
      </c>
      <c r="E1742" s="74">
        <f ca="1">IFERROR(__xludf.DUMMYFUNCTION("""COMPUTED_VALUE"""),0)</f>
        <v>0</v>
      </c>
      <c r="F1742" s="72">
        <f ca="1">IFERROR(__xludf.DUMMYFUNCTION("""COMPUTED_VALUE"""),12500)</f>
        <v>12500</v>
      </c>
      <c r="G1742" s="75"/>
      <c r="H1742" s="59" t="str">
        <f ca="1">IFERROR(__xludf.DUMMYFUNCTION("""COMPUTED_VALUE"""),"UPDATE")</f>
        <v>UPDATE</v>
      </c>
      <c r="I1742" s="76" t="str">
        <f ca="1">IFERROR(__xludf.DUMMYFUNCTION("""COMPUTED_VALUE"""),"https://drive.google.com/open?id=1OL032Zmux9Sy9e24c-gx4nmTH2ze6PcX")</f>
        <v>https://drive.google.com/open?id=1OL032Zmux9Sy9e24c-gx4nmTH2ze6PcX</v>
      </c>
      <c r="J1742" s="59"/>
      <c r="K1742" s="59"/>
      <c r="L1742" s="59"/>
      <c r="M1742" s="59"/>
      <c r="N1742" s="59"/>
      <c r="O1742" s="59"/>
      <c r="P1742" s="59"/>
    </row>
    <row r="1743" spans="1:16">
      <c r="A1743" s="71">
        <f ca="1">IFERROR(__xludf.DUMMYFUNCTION("""COMPUTED_VALUE"""),44384.881237743)</f>
        <v>44384.881237743</v>
      </c>
      <c r="B1743" s="59" t="str">
        <f ca="1">IFERROR(__xludf.DUMMYFUNCTION("""COMPUTED_VALUE"""),"RUPAPARA SHUBH MUKESHBHAI")</f>
        <v>RUPAPARA SHUBH MUKESHBHAI</v>
      </c>
      <c r="C1743" s="72" t="str">
        <f ca="1">IFERROR(__xludf.DUMMYFUNCTION("""COMPUTED_VALUE"""),"20SDSCE01103")</f>
        <v>20SDSCE01103</v>
      </c>
      <c r="D1743" s="73">
        <f ca="1">IFERROR(__xludf.DUMMYFUNCTION("""COMPUTED_VALUE"""),44378)</f>
        <v>44378</v>
      </c>
      <c r="E1743" s="74">
        <f ca="1">IFERROR(__xludf.DUMMYFUNCTION("""COMPUTED_VALUE"""),0)</f>
        <v>0</v>
      </c>
      <c r="F1743" s="72">
        <f ca="1">IFERROR(__xludf.DUMMYFUNCTION("""COMPUTED_VALUE"""),2500)</f>
        <v>2500</v>
      </c>
      <c r="G1743" s="75"/>
      <c r="H1743" s="59" t="str">
        <f ca="1">IFERROR(__xludf.DUMMYFUNCTION("""COMPUTED_VALUE"""),"UPDATE")</f>
        <v>UPDATE</v>
      </c>
      <c r="I1743" s="76" t="str">
        <f ca="1">IFERROR(__xludf.DUMMYFUNCTION("""COMPUTED_VALUE"""),"https://drive.google.com/open?id=14xv-A-hJrfzOLdGNSG7AQ2LhbWjQGOR6")</f>
        <v>https://drive.google.com/open?id=14xv-A-hJrfzOLdGNSG7AQ2LhbWjQGOR6</v>
      </c>
      <c r="J1743" s="59"/>
      <c r="K1743" s="59"/>
      <c r="L1743" s="59"/>
      <c r="M1743" s="59"/>
      <c r="N1743" s="59"/>
      <c r="O1743" s="59"/>
      <c r="P1743" s="59"/>
    </row>
    <row r="1744" spans="1:16">
      <c r="A1744" s="71">
        <f ca="1">IFERROR(__xludf.DUMMYFUNCTION("""COMPUTED_VALUE"""),44382.6250436574)</f>
        <v>44382.625043657397</v>
      </c>
      <c r="B1744" s="59" t="str">
        <f ca="1">IFERROR(__xludf.DUMMYFUNCTION("""COMPUTED_VALUE"""),"Karansinh Chavada ")</f>
        <v xml:space="preserve">Karansinh Chavada </v>
      </c>
      <c r="C1744" s="72" t="str">
        <f ca="1">IFERROR(__xludf.DUMMYFUNCTION("""COMPUTED_VALUE"""),"20SDSCE01016 ")</f>
        <v xml:space="preserve">20SDSCE01016 </v>
      </c>
      <c r="D1744" s="73">
        <f ca="1">IFERROR(__xludf.DUMMYFUNCTION("""COMPUTED_VALUE"""),44293)</f>
        <v>44293</v>
      </c>
      <c r="E1744" s="74">
        <f ca="1">IFERROR(__xludf.DUMMYFUNCTION("""COMPUTED_VALUE"""),25000)</f>
        <v>25000</v>
      </c>
      <c r="F1744" s="72"/>
      <c r="G1744" s="75"/>
      <c r="H1744" s="59" t="str">
        <f ca="1">IFERROR(__xludf.DUMMYFUNCTION("""COMPUTED_VALUE"""),"UPDATE")</f>
        <v>UPDATE</v>
      </c>
      <c r="I1744" s="76" t="str">
        <f ca="1">IFERROR(__xludf.DUMMYFUNCTION("""COMPUTED_VALUE"""),"https://drive.google.com/open?id=1yg5vWTSQRO-tJRJ_CO-qoI2jpHcDbNFo")</f>
        <v>https://drive.google.com/open?id=1yg5vWTSQRO-tJRJ_CO-qoI2jpHcDbNFo</v>
      </c>
      <c r="J1744" s="59"/>
      <c r="K1744" s="59"/>
      <c r="L1744" s="59"/>
      <c r="M1744" s="59"/>
      <c r="N1744" s="59"/>
      <c r="O1744" s="59"/>
      <c r="P1744" s="59"/>
    </row>
    <row r="1745" spans="1:16">
      <c r="A1745" s="71">
        <f ca="1">IFERROR(__xludf.DUMMYFUNCTION("""COMPUTED_VALUE"""),44382.6242328356)</f>
        <v>44382.624232835602</v>
      </c>
      <c r="B1745" s="59" t="str">
        <f ca="1">IFERROR(__xludf.DUMMYFUNCTION("""COMPUTED_VALUE"""),"Karansinh Chavada")</f>
        <v>Karansinh Chavada</v>
      </c>
      <c r="C1745" s="72" t="str">
        <f ca="1">IFERROR(__xludf.DUMMYFUNCTION("""COMPUTED_VALUE"""),"20SDSCE01016 ")</f>
        <v xml:space="preserve">20SDSCE01016 </v>
      </c>
      <c r="D1745" s="73">
        <f ca="1">IFERROR(__xludf.DUMMYFUNCTION("""COMPUTED_VALUE"""),44293)</f>
        <v>44293</v>
      </c>
      <c r="E1745" s="72"/>
      <c r="F1745" s="72">
        <f ca="1">IFERROR(__xludf.DUMMYFUNCTION("""COMPUTED_VALUE"""),2500)</f>
        <v>2500</v>
      </c>
      <c r="G1745" s="75"/>
      <c r="H1745" s="59" t="str">
        <f ca="1">IFERROR(__xludf.DUMMYFUNCTION("""COMPUTED_VALUE"""),"UPDATE")</f>
        <v>UPDATE</v>
      </c>
      <c r="I1745" s="76" t="str">
        <f ca="1">IFERROR(__xludf.DUMMYFUNCTION("""COMPUTED_VALUE"""),"https://drive.google.com/open?id=1X67W8IR3PEkBBjup_QN1vWWeA8HC-mb9")</f>
        <v>https://drive.google.com/open?id=1X67W8IR3PEkBBjup_QN1vWWeA8HC-mb9</v>
      </c>
      <c r="J1745" s="59"/>
      <c r="K1745" s="59"/>
      <c r="L1745" s="59"/>
      <c r="M1745" s="59"/>
      <c r="N1745" s="59"/>
      <c r="O1745" s="59"/>
      <c r="P1745" s="59"/>
    </row>
    <row r="1746" spans="1:16">
      <c r="A1746" s="71">
        <f ca="1">IFERROR(__xludf.DUMMYFUNCTION("""COMPUTED_VALUE"""),44381.7067766088)</f>
        <v>44381.7067766088</v>
      </c>
      <c r="B1746" s="59" t="str">
        <f ca="1">IFERROR(__xludf.DUMMYFUNCTION("""COMPUTED_VALUE"""),"Chavada Karansinh Chavada")</f>
        <v>Chavada Karansinh Chavada</v>
      </c>
      <c r="C1746" s="72" t="str">
        <f ca="1">IFERROR(__xludf.DUMMYFUNCTION("""COMPUTED_VALUE"""),"20SDSCE01016")</f>
        <v>20SDSCE01016</v>
      </c>
      <c r="D1746" s="73">
        <f ca="1">IFERROR(__xludf.DUMMYFUNCTION("""COMPUTED_VALUE"""),44381)</f>
        <v>44381</v>
      </c>
      <c r="E1746" s="74">
        <f ca="1">IFERROR(__xludf.DUMMYFUNCTION("""COMPUTED_VALUE"""),25000)</f>
        <v>25000</v>
      </c>
      <c r="F1746" s="72">
        <f ca="1">IFERROR(__xludf.DUMMYFUNCTION("""COMPUTED_VALUE"""),2500)</f>
        <v>2500</v>
      </c>
      <c r="G1746" s="75"/>
      <c r="H1746" s="59" t="str">
        <f ca="1">IFERROR(__xludf.DUMMYFUNCTION("""COMPUTED_VALUE"""),"UPDATE")</f>
        <v>UPDATE</v>
      </c>
      <c r="I1746" s="76" t="str">
        <f ca="1">IFERROR(__xludf.DUMMYFUNCTION("""COMPUTED_VALUE"""),"https://drive.google.com/open?id=1fuGmgMdrOb2aWOXz-jAyrMwB5oZj48VR")</f>
        <v>https://drive.google.com/open?id=1fuGmgMdrOb2aWOXz-jAyrMwB5oZj48VR</v>
      </c>
      <c r="J1746" s="59"/>
      <c r="K1746" s="59"/>
      <c r="L1746" s="59"/>
      <c r="M1746" s="59"/>
      <c r="N1746" s="59"/>
      <c r="O1746" s="59"/>
      <c r="P1746" s="59"/>
    </row>
    <row r="1747" spans="1:16">
      <c r="A1747" s="71">
        <f ca="1">IFERROR(__xludf.DUMMYFUNCTION("""COMPUTED_VALUE"""),44381.5001178819)</f>
        <v>44381.5001178819</v>
      </c>
      <c r="B1747" s="59" t="str">
        <f ca="1">IFERROR(__xludf.DUMMYFUNCTION("""COMPUTED_VALUE"""),"Smit Jaysukhlal Bhimani ")</f>
        <v xml:space="preserve">Smit Jaysukhlal Bhimani </v>
      </c>
      <c r="C1747" s="72" t="str">
        <f ca="1">IFERROR(__xludf.DUMMYFUNCTION("""COMPUTED_VALUE"""),"19sdsce01004 ")</f>
        <v xml:space="preserve">19sdsce01004 </v>
      </c>
      <c r="D1747" s="73">
        <f ca="1">IFERROR(__xludf.DUMMYFUNCTION("""COMPUTED_VALUE"""),44381)</f>
        <v>44381</v>
      </c>
      <c r="E1747" s="72"/>
      <c r="F1747" s="72">
        <f ca="1">IFERROR(__xludf.DUMMYFUNCTION("""COMPUTED_VALUE"""),2500)</f>
        <v>2500</v>
      </c>
      <c r="G1747" s="75"/>
      <c r="H1747" s="59" t="str">
        <f ca="1">IFERROR(__xludf.DUMMYFUNCTION("""COMPUTED_VALUE"""),"UPDATE")</f>
        <v>UPDATE</v>
      </c>
      <c r="I1747" s="76" t="str">
        <f ca="1">IFERROR(__xludf.DUMMYFUNCTION("""COMPUTED_VALUE"""),"https://drive.google.com/open?id=1rzp-sSq6op8p2XNJkDW0n7GsqhoPcLmG")</f>
        <v>https://drive.google.com/open?id=1rzp-sSq6op8p2XNJkDW0n7GsqhoPcLmG</v>
      </c>
      <c r="J1747" s="59"/>
      <c r="K1747" s="59"/>
      <c r="L1747" s="59"/>
      <c r="M1747" s="59"/>
      <c r="N1747" s="59"/>
      <c r="O1747" s="59"/>
      <c r="P1747" s="59"/>
    </row>
    <row r="1748" spans="1:16">
      <c r="A1748" s="71">
        <f ca="1">IFERROR(__xludf.DUMMYFUNCTION("""COMPUTED_VALUE"""),44381.4996646643)</f>
        <v>44381.499664664298</v>
      </c>
      <c r="B1748" s="59" t="str">
        <f ca="1">IFERROR(__xludf.DUMMYFUNCTION("""COMPUTED_VALUE"""),"Smit Jaysukhlal Bhimani ")</f>
        <v xml:space="preserve">Smit Jaysukhlal Bhimani </v>
      </c>
      <c r="C1748" s="72" t="str">
        <f ca="1">IFERROR(__xludf.DUMMYFUNCTION("""COMPUTED_VALUE"""),"19sdsce01004 ")</f>
        <v xml:space="preserve">19sdsce01004 </v>
      </c>
      <c r="D1748" s="73">
        <f ca="1">IFERROR(__xludf.DUMMYFUNCTION("""COMPUTED_VALUE"""),44381)</f>
        <v>44381</v>
      </c>
      <c r="E1748" s="74">
        <f ca="1">IFERROR(__xludf.DUMMYFUNCTION("""COMPUTED_VALUE"""),25000)</f>
        <v>25000</v>
      </c>
      <c r="F1748" s="72"/>
      <c r="G1748" s="75"/>
      <c r="H1748" s="59" t="str">
        <f ca="1">IFERROR(__xludf.DUMMYFUNCTION("""COMPUTED_VALUE"""),"UPDATE")</f>
        <v>UPDATE</v>
      </c>
      <c r="I1748" s="76" t="str">
        <f ca="1">IFERROR(__xludf.DUMMYFUNCTION("""COMPUTED_VALUE"""),"https://drive.google.com/open?id=1XkwNzc6U_jjBMSrkcp2IhiD09bKkoRZm")</f>
        <v>https://drive.google.com/open?id=1XkwNzc6U_jjBMSrkcp2IhiD09bKkoRZm</v>
      </c>
      <c r="J1748" s="59"/>
      <c r="K1748" s="59"/>
      <c r="L1748" s="59"/>
      <c r="M1748" s="59"/>
      <c r="N1748" s="59"/>
      <c r="O1748" s="59"/>
      <c r="P1748" s="59"/>
    </row>
    <row r="1749" spans="1:16">
      <c r="A1749" s="71">
        <f ca="1">IFERROR(__xludf.DUMMYFUNCTION("""COMPUTED_VALUE"""),44375.4440024305)</f>
        <v>44375.4440024305</v>
      </c>
      <c r="B1749" s="59" t="str">
        <f ca="1">IFERROR(__xludf.DUMMYFUNCTION("""COMPUTED_VALUE"""),"Kalariya jigar kiranbhai")</f>
        <v>Kalariya jigar kiranbhai</v>
      </c>
      <c r="C1749" s="72" t="str">
        <f ca="1">IFERROR(__xludf.DUMMYFUNCTION("""COMPUTED_VALUE"""),"20SDSCE01048")</f>
        <v>20SDSCE01048</v>
      </c>
      <c r="D1749" s="73">
        <f ca="1">IFERROR(__xludf.DUMMYFUNCTION("""COMPUTED_VALUE"""),44375)</f>
        <v>44375</v>
      </c>
      <c r="E1749" s="74">
        <f ca="1">IFERROR(__xludf.DUMMYFUNCTION("""COMPUTED_VALUE"""),25000)</f>
        <v>25000</v>
      </c>
      <c r="F1749" s="72">
        <f ca="1">IFERROR(__xludf.DUMMYFUNCTION("""COMPUTED_VALUE"""),2500)</f>
        <v>2500</v>
      </c>
      <c r="G1749" s="75"/>
      <c r="H1749" s="59" t="str">
        <f ca="1">IFERROR(__xludf.DUMMYFUNCTION("""COMPUTED_VALUE"""),"UPDATE")</f>
        <v>UPDATE</v>
      </c>
      <c r="I1749" s="76" t="str">
        <f ca="1">IFERROR(__xludf.DUMMYFUNCTION("""COMPUTED_VALUE"""),"https://drive.google.com/open?id=1gn4s7LzkpfE9izdKi5eWIYSNcO_YIh-i")</f>
        <v>https://drive.google.com/open?id=1gn4s7LzkpfE9izdKi5eWIYSNcO_YIh-i</v>
      </c>
      <c r="J1749" s="59"/>
      <c r="K1749" s="59"/>
      <c r="L1749" s="59"/>
      <c r="M1749" s="59"/>
      <c r="N1749" s="59"/>
      <c r="O1749" s="59"/>
      <c r="P1749" s="59"/>
    </row>
    <row r="1750" spans="1:16">
      <c r="A1750" s="71">
        <f ca="1">IFERROR(__xludf.DUMMYFUNCTION("""COMPUTED_VALUE"""),44375.443032037)</f>
        <v>44375.443032037001</v>
      </c>
      <c r="B1750" s="59" t="str">
        <f ca="1">IFERROR(__xludf.DUMMYFUNCTION("""COMPUTED_VALUE"""),"Kalariya jigar kiranbhai")</f>
        <v>Kalariya jigar kiranbhai</v>
      </c>
      <c r="C1750" s="72" t="str">
        <f ca="1">IFERROR(__xludf.DUMMYFUNCTION("""COMPUTED_VALUE"""),"20SDSCE01048")</f>
        <v>20SDSCE01048</v>
      </c>
      <c r="D1750" s="73">
        <f ca="1">IFERROR(__xludf.DUMMYFUNCTION("""COMPUTED_VALUE"""),44375)</f>
        <v>44375</v>
      </c>
      <c r="E1750" s="74">
        <f ca="1">IFERROR(__xludf.DUMMYFUNCTION("""COMPUTED_VALUE"""),25000)</f>
        <v>25000</v>
      </c>
      <c r="F1750" s="72">
        <f ca="1">IFERROR(__xludf.DUMMYFUNCTION("""COMPUTED_VALUE"""),2500)</f>
        <v>2500</v>
      </c>
      <c r="G1750" s="75"/>
      <c r="H1750" s="59" t="str">
        <f ca="1">IFERROR(__xludf.DUMMYFUNCTION("""COMPUTED_VALUE"""),"UPDATE")</f>
        <v>UPDATE</v>
      </c>
      <c r="I1750" s="76" t="str">
        <f ca="1">IFERROR(__xludf.DUMMYFUNCTION("""COMPUTED_VALUE"""),"https://drive.google.com/open?id=1Q0SIyI70K-4UkR22P3g-RF131mRpkMr_")</f>
        <v>https://drive.google.com/open?id=1Q0SIyI70K-4UkR22P3g-RF131mRpkMr_</v>
      </c>
      <c r="J1750" s="59"/>
      <c r="K1750" s="59"/>
      <c r="L1750" s="59"/>
      <c r="M1750" s="59"/>
      <c r="N1750" s="59"/>
      <c r="O1750" s="59"/>
      <c r="P1750" s="59"/>
    </row>
    <row r="1751" spans="1:16">
      <c r="A1751" s="71">
        <f ca="1">IFERROR(__xludf.DUMMYFUNCTION("""COMPUTED_VALUE"""),44373.5519895833)</f>
        <v>44373.551989583299</v>
      </c>
      <c r="B1751" s="59" t="str">
        <f ca="1">IFERROR(__xludf.DUMMYFUNCTION("""COMPUTED_VALUE"""),"Prince shingala")</f>
        <v>Prince shingala</v>
      </c>
      <c r="C1751" s="72" t="str">
        <f ca="1">IFERROR(__xludf.DUMMYFUNCTION("""COMPUTED_VALUE"""),"19SDSME01025")</f>
        <v>19SDSME01025</v>
      </c>
      <c r="D1751" s="73">
        <f ca="1">IFERROR(__xludf.DUMMYFUNCTION("""COMPUTED_VALUE"""),44373)</f>
        <v>44373</v>
      </c>
      <c r="E1751" s="74">
        <f ca="1">IFERROR(__xludf.DUMMYFUNCTION("""COMPUTED_VALUE"""),25000)</f>
        <v>25000</v>
      </c>
      <c r="F1751" s="72">
        <f ca="1">IFERROR(__xludf.DUMMYFUNCTION("""COMPUTED_VALUE"""),0)</f>
        <v>0</v>
      </c>
      <c r="G1751" s="75"/>
      <c r="H1751" s="59" t="str">
        <f ca="1">IFERROR(__xludf.DUMMYFUNCTION("""COMPUTED_VALUE"""),"UPDATE")</f>
        <v>UPDATE</v>
      </c>
      <c r="I1751" s="76" t="str">
        <f ca="1">IFERROR(__xludf.DUMMYFUNCTION("""COMPUTED_VALUE"""),"https://drive.google.com/open?id=1UgsAB5PXAZZeNUyEJe5OsDLj3KHk98tl")</f>
        <v>https://drive.google.com/open?id=1UgsAB5PXAZZeNUyEJe5OsDLj3KHk98tl</v>
      </c>
      <c r="J1751" s="59"/>
      <c r="K1751" s="59"/>
      <c r="L1751" s="59"/>
      <c r="M1751" s="59"/>
      <c r="N1751" s="59"/>
      <c r="O1751" s="59"/>
      <c r="P1751" s="59"/>
    </row>
    <row r="1752" spans="1:16">
      <c r="A1752" s="71">
        <f ca="1">IFERROR(__xludf.DUMMYFUNCTION("""COMPUTED_VALUE"""),44372.5088776273)</f>
        <v>44372.508877627297</v>
      </c>
      <c r="B1752" s="59" t="str">
        <f ca="1">IFERROR(__xludf.DUMMYFUNCTION("""COMPUTED_VALUE"""),"Kava Dhruv Kirtibhai")</f>
        <v>Kava Dhruv Kirtibhai</v>
      </c>
      <c r="C1752" s="72" t="str">
        <f ca="1">IFERROR(__xludf.DUMMYFUNCTION("""COMPUTED_VALUE"""),"19SDSME01011")</f>
        <v>19SDSME01011</v>
      </c>
      <c r="D1752" s="73">
        <f ca="1">IFERROR(__xludf.DUMMYFUNCTION("""COMPUTED_VALUE"""),44372)</f>
        <v>44372</v>
      </c>
      <c r="E1752" s="74">
        <f ca="1">IFERROR(__xludf.DUMMYFUNCTION("""COMPUTED_VALUE"""),25000)</f>
        <v>25000</v>
      </c>
      <c r="F1752" s="72">
        <f ca="1">IFERROR(__xludf.DUMMYFUNCTION("""COMPUTED_VALUE"""),2500)</f>
        <v>2500</v>
      </c>
      <c r="G1752" s="75"/>
      <c r="H1752" s="59" t="str">
        <f ca="1">IFERROR(__xludf.DUMMYFUNCTION("""COMPUTED_VALUE"""),"UPDATE")</f>
        <v>UPDATE</v>
      </c>
      <c r="I1752" s="76" t="str">
        <f ca="1">IFERROR(__xludf.DUMMYFUNCTION("""COMPUTED_VALUE"""),"https://drive.google.com/open?id=1dK85OXSA1SpzmsajoUVYLoVPLSJoH12P")</f>
        <v>https://drive.google.com/open?id=1dK85OXSA1SpzmsajoUVYLoVPLSJoH12P</v>
      </c>
      <c r="J1752" s="59"/>
      <c r="K1752" s="59"/>
      <c r="L1752" s="59"/>
      <c r="M1752" s="59"/>
      <c r="N1752" s="59"/>
      <c r="O1752" s="59"/>
      <c r="P1752" s="59"/>
    </row>
    <row r="1753" spans="1:16">
      <c r="A1753" s="71">
        <f ca="1">IFERROR(__xludf.DUMMYFUNCTION("""COMPUTED_VALUE"""),44371.9100952777)</f>
        <v>44371.910095277701</v>
      </c>
      <c r="B1753" s="59" t="str">
        <f ca="1">IFERROR(__xludf.DUMMYFUNCTION("""COMPUTED_VALUE"""),"Harin radadiya ")</f>
        <v xml:space="preserve">Harin radadiya </v>
      </c>
      <c r="C1753" s="72" t="str">
        <f ca="1">IFERROR(__xludf.DUMMYFUNCTION("""COMPUTED_VALUE"""),"19SDSME01017")</f>
        <v>19SDSME01017</v>
      </c>
      <c r="D1753" s="73">
        <f ca="1">IFERROR(__xludf.DUMMYFUNCTION("""COMPUTED_VALUE"""),44370)</f>
        <v>44370</v>
      </c>
      <c r="E1753" s="74">
        <f ca="1">IFERROR(__xludf.DUMMYFUNCTION("""COMPUTED_VALUE"""),18750)</f>
        <v>18750</v>
      </c>
      <c r="F1753" s="72">
        <f ca="1">IFERROR(__xludf.DUMMYFUNCTION("""COMPUTED_VALUE"""),2500)</f>
        <v>2500</v>
      </c>
      <c r="G1753" s="75"/>
      <c r="H1753" s="59" t="str">
        <f ca="1">IFERROR(__xludf.DUMMYFUNCTION("""COMPUTED_VALUE"""),"UPDATE")</f>
        <v>UPDATE</v>
      </c>
      <c r="I1753" s="76" t="str">
        <f ca="1">IFERROR(__xludf.DUMMYFUNCTION("""COMPUTED_VALUE"""),"https://drive.google.com/open?id=1TsaT7nF68OmsQIcwJbFOinxn6CxLWuPE")</f>
        <v>https://drive.google.com/open?id=1TsaT7nF68OmsQIcwJbFOinxn6CxLWuPE</v>
      </c>
      <c r="J1753" s="59"/>
      <c r="K1753" s="59"/>
      <c r="L1753" s="59"/>
      <c r="M1753" s="59"/>
      <c r="N1753" s="59"/>
      <c r="O1753" s="59"/>
      <c r="P1753" s="59"/>
    </row>
    <row r="1754" spans="1:16">
      <c r="A1754" s="71">
        <f ca="1">IFERROR(__xludf.DUMMYFUNCTION("""COMPUTED_VALUE"""),44370.7572110763)</f>
        <v>44370.757211076299</v>
      </c>
      <c r="B1754" s="59" t="str">
        <f ca="1">IFERROR(__xludf.DUMMYFUNCTION("""COMPUTED_VALUE"""),"JOSHI HARSH SAMIRBHAI")</f>
        <v>JOSHI HARSH SAMIRBHAI</v>
      </c>
      <c r="C1754" s="72" t="str">
        <f ca="1">IFERROR(__xludf.DUMMYFUNCTION("""COMPUTED_VALUE"""),"19SDSME01009")</f>
        <v>19SDSME01009</v>
      </c>
      <c r="D1754" s="73">
        <f ca="1">IFERROR(__xludf.DUMMYFUNCTION("""COMPUTED_VALUE"""),44370)</f>
        <v>44370</v>
      </c>
      <c r="E1754" s="74">
        <f ca="1">IFERROR(__xludf.DUMMYFUNCTION("""COMPUTED_VALUE"""),25000)</f>
        <v>25000</v>
      </c>
      <c r="F1754" s="72">
        <f ca="1">IFERROR(__xludf.DUMMYFUNCTION("""COMPUTED_VALUE"""),2500)</f>
        <v>2500</v>
      </c>
      <c r="G1754" s="75"/>
      <c r="H1754" s="59" t="str">
        <f ca="1">IFERROR(__xludf.DUMMYFUNCTION("""COMPUTED_VALUE"""),"UPDATE")</f>
        <v>UPDATE</v>
      </c>
      <c r="I1754" s="76" t="str">
        <f ca="1">IFERROR(__xludf.DUMMYFUNCTION("""COMPUTED_VALUE"""),"https://drive.google.com/open?id=1xqdelicC6VV8UaOczuhGGA5TfnxP6UjF")</f>
        <v>https://drive.google.com/open?id=1xqdelicC6VV8UaOczuhGGA5TfnxP6UjF</v>
      </c>
      <c r="J1754" s="59"/>
      <c r="K1754" s="59"/>
      <c r="L1754" s="59"/>
      <c r="M1754" s="59"/>
      <c r="N1754" s="59"/>
      <c r="O1754" s="59"/>
      <c r="P1754" s="59"/>
    </row>
    <row r="1755" spans="1:16">
      <c r="A1755" s="71">
        <f ca="1">IFERROR(__xludf.DUMMYFUNCTION("""COMPUTED_VALUE"""),44370.6717019444)</f>
        <v>44370.671701944397</v>
      </c>
      <c r="B1755" s="59" t="str">
        <f ca="1">IFERROR(__xludf.DUMMYFUNCTION("""COMPUTED_VALUE"""),"Dhaduk Sarthak Sanjaybhai")</f>
        <v>Dhaduk Sarthak Sanjaybhai</v>
      </c>
      <c r="C1755" s="72" t="str">
        <f ca="1">IFERROR(__xludf.DUMMYFUNCTION("""COMPUTED_VALUE"""),"20SDSCE01027")</f>
        <v>20SDSCE01027</v>
      </c>
      <c r="D1755" s="73">
        <f ca="1">IFERROR(__xludf.DUMMYFUNCTION("""COMPUTED_VALUE"""),44366)</f>
        <v>44366</v>
      </c>
      <c r="E1755" s="74">
        <f ca="1">IFERROR(__xludf.DUMMYFUNCTION("""COMPUTED_VALUE"""),25000)</f>
        <v>25000</v>
      </c>
      <c r="F1755" s="72">
        <f ca="1">IFERROR(__xludf.DUMMYFUNCTION("""COMPUTED_VALUE"""),0)</f>
        <v>0</v>
      </c>
      <c r="G1755" s="75"/>
      <c r="H1755" s="59" t="str">
        <f ca="1">IFERROR(__xludf.DUMMYFUNCTION("""COMPUTED_VALUE"""),"UPDATE")</f>
        <v>UPDATE</v>
      </c>
      <c r="I1755" s="76" t="str">
        <f ca="1">IFERROR(__xludf.DUMMYFUNCTION("""COMPUTED_VALUE"""),"https://drive.google.com/open?id=1s_PvYG1fdYokXaEusem9gajF3vCWG1cO")</f>
        <v>https://drive.google.com/open?id=1s_PvYG1fdYokXaEusem9gajF3vCWG1cO</v>
      </c>
      <c r="J1755" s="59"/>
      <c r="K1755" s="59"/>
      <c r="L1755" s="59"/>
      <c r="M1755" s="59"/>
      <c r="N1755" s="59"/>
      <c r="O1755" s="59"/>
      <c r="P1755" s="59"/>
    </row>
    <row r="1756" spans="1:16">
      <c r="A1756" s="71">
        <f ca="1">IFERROR(__xludf.DUMMYFUNCTION("""COMPUTED_VALUE"""),44370.6701113657)</f>
        <v>44370.670111365704</v>
      </c>
      <c r="B1756" s="59" t="str">
        <f ca="1">IFERROR(__xludf.DUMMYFUNCTION("""COMPUTED_VALUE"""),"Pathak Ajit Umashankarbhai ")</f>
        <v xml:space="preserve">Pathak Ajit Umashankarbhai </v>
      </c>
      <c r="C1756" s="72" t="str">
        <f ca="1">IFERROR(__xludf.DUMMYFUNCTION("""COMPUTED_VALUE"""),"17sdsce01036")</f>
        <v>17sdsce01036</v>
      </c>
      <c r="D1756" s="73">
        <f ca="1">IFERROR(__xludf.DUMMYFUNCTION("""COMPUTED_VALUE"""),44370)</f>
        <v>44370</v>
      </c>
      <c r="E1756" s="72"/>
      <c r="F1756" s="72">
        <f ca="1">IFERROR(__xludf.DUMMYFUNCTION("""COMPUTED_VALUE"""),2500)</f>
        <v>2500</v>
      </c>
      <c r="G1756" s="75"/>
      <c r="H1756" s="59" t="str">
        <f ca="1">IFERROR(__xludf.DUMMYFUNCTION("""COMPUTED_VALUE"""),"UPDATE")</f>
        <v>UPDATE</v>
      </c>
      <c r="I1756" s="76" t="str">
        <f ca="1">IFERROR(__xludf.DUMMYFUNCTION("""COMPUTED_VALUE"""),"https://drive.google.com/open?id=1c1Nnq53Y1BurUIDpuTlr9TmQTlJuuRsS")</f>
        <v>https://drive.google.com/open?id=1c1Nnq53Y1BurUIDpuTlr9TmQTlJuuRsS</v>
      </c>
      <c r="J1756" s="59"/>
      <c r="K1756" s="59"/>
      <c r="L1756" s="59"/>
      <c r="M1756" s="59"/>
      <c r="N1756" s="59"/>
      <c r="O1756" s="59"/>
      <c r="P1756" s="59"/>
    </row>
    <row r="1757" spans="1:16">
      <c r="A1757" s="71">
        <f ca="1">IFERROR(__xludf.DUMMYFUNCTION("""COMPUTED_VALUE"""),44370.6689633796)</f>
        <v>44370.668963379598</v>
      </c>
      <c r="B1757" s="59" t="str">
        <f ca="1">IFERROR(__xludf.DUMMYFUNCTION("""COMPUTED_VALUE"""),"Pathak Ajit Umashankarbhai ")</f>
        <v xml:space="preserve">Pathak Ajit Umashankarbhai </v>
      </c>
      <c r="C1757" s="72" t="str">
        <f ca="1">IFERROR(__xludf.DUMMYFUNCTION("""COMPUTED_VALUE"""),"17sdsce01036")</f>
        <v>17sdsce01036</v>
      </c>
      <c r="D1757" s="73">
        <f ca="1">IFERROR(__xludf.DUMMYFUNCTION("""COMPUTED_VALUE"""),44370)</f>
        <v>44370</v>
      </c>
      <c r="E1757" s="74">
        <f ca="1">IFERROR(__xludf.DUMMYFUNCTION("""COMPUTED_VALUE"""),25000)</f>
        <v>25000</v>
      </c>
      <c r="F1757" s="72">
        <f ca="1">IFERROR(__xludf.DUMMYFUNCTION("""COMPUTED_VALUE"""),2500)</f>
        <v>2500</v>
      </c>
      <c r="G1757" s="75"/>
      <c r="H1757" s="59" t="str">
        <f ca="1">IFERROR(__xludf.DUMMYFUNCTION("""COMPUTED_VALUE"""),"UPDATE")</f>
        <v>UPDATE</v>
      </c>
      <c r="I1757" s="76" t="str">
        <f ca="1">IFERROR(__xludf.DUMMYFUNCTION("""COMPUTED_VALUE"""),"https://drive.google.com/open?id=1ldD566GgizCPE8QLUe98oMSLD2QoXwxA")</f>
        <v>https://drive.google.com/open?id=1ldD566GgizCPE8QLUe98oMSLD2QoXwxA</v>
      </c>
      <c r="J1757" s="59"/>
      <c r="K1757" s="59"/>
      <c r="L1757" s="59"/>
      <c r="M1757" s="59"/>
      <c r="N1757" s="59"/>
      <c r="O1757" s="59"/>
      <c r="P1757" s="59"/>
    </row>
    <row r="1758" spans="1:16">
      <c r="A1758" s="71">
        <f ca="1">IFERROR(__xludf.DUMMYFUNCTION("""COMPUTED_VALUE"""),44369.8028892476)</f>
        <v>44369.8028892476</v>
      </c>
      <c r="B1758" s="59" t="str">
        <f ca="1">IFERROR(__xludf.DUMMYFUNCTION("""COMPUTED_VALUE"""),"Aniruddh M Sharma")</f>
        <v>Aniruddh M Sharma</v>
      </c>
      <c r="C1758" s="72" t="str">
        <f ca="1">IFERROR(__xludf.DUMMYFUNCTION("""COMPUTED_VALUE"""),"20SDSEE01025")</f>
        <v>20SDSEE01025</v>
      </c>
      <c r="D1758" s="73">
        <f ca="1">IFERROR(__xludf.DUMMYFUNCTION("""COMPUTED_VALUE"""),44369)</f>
        <v>44369</v>
      </c>
      <c r="E1758" s="72"/>
      <c r="F1758" s="72">
        <f ca="1">IFERROR(__xludf.DUMMYFUNCTION("""COMPUTED_VALUE"""),2500)</f>
        <v>2500</v>
      </c>
      <c r="G1758" s="75"/>
      <c r="H1758" s="59" t="str">
        <f ca="1">IFERROR(__xludf.DUMMYFUNCTION("""COMPUTED_VALUE"""),"UPDATE")</f>
        <v>UPDATE</v>
      </c>
      <c r="I1758" s="76" t="str">
        <f ca="1">IFERROR(__xludf.DUMMYFUNCTION("""COMPUTED_VALUE"""),"https://drive.google.com/open?id=1EF4kmxtrobVg6uMow8XnKX2T_rfd0HN4")</f>
        <v>https://drive.google.com/open?id=1EF4kmxtrobVg6uMow8XnKX2T_rfd0HN4</v>
      </c>
      <c r="J1758" s="59"/>
      <c r="K1758" s="59"/>
      <c r="L1758" s="59"/>
      <c r="M1758" s="59"/>
      <c r="N1758" s="59"/>
      <c r="O1758" s="59"/>
      <c r="P1758" s="59"/>
    </row>
    <row r="1759" spans="1:16">
      <c r="A1759" s="71">
        <f ca="1">IFERROR(__xludf.DUMMYFUNCTION("""COMPUTED_VALUE"""),44369.8014268055)</f>
        <v>44369.801426805498</v>
      </c>
      <c r="B1759" s="59" t="str">
        <f ca="1">IFERROR(__xludf.DUMMYFUNCTION("""COMPUTED_VALUE"""),"Aniruddh M Sharma")</f>
        <v>Aniruddh M Sharma</v>
      </c>
      <c r="C1759" s="72" t="str">
        <f ca="1">IFERROR(__xludf.DUMMYFUNCTION("""COMPUTED_VALUE"""),"20SDSEE01025")</f>
        <v>20SDSEE01025</v>
      </c>
      <c r="D1759" s="73">
        <f ca="1">IFERROR(__xludf.DUMMYFUNCTION("""COMPUTED_VALUE"""),44369)</f>
        <v>44369</v>
      </c>
      <c r="E1759" s="74">
        <f ca="1">IFERROR(__xludf.DUMMYFUNCTION("""COMPUTED_VALUE"""),25000)</f>
        <v>25000</v>
      </c>
      <c r="F1759" s="72"/>
      <c r="G1759" s="75"/>
      <c r="H1759" s="59" t="str">
        <f ca="1">IFERROR(__xludf.DUMMYFUNCTION("""COMPUTED_VALUE"""),"UPDATE")</f>
        <v>UPDATE</v>
      </c>
      <c r="I1759" s="76" t="str">
        <f ca="1">IFERROR(__xludf.DUMMYFUNCTION("""COMPUTED_VALUE"""),"https://drive.google.com/open?id=1q5ds82nhhqIvPiD06mRlI84MuIV6eONQ")</f>
        <v>https://drive.google.com/open?id=1q5ds82nhhqIvPiD06mRlI84MuIV6eONQ</v>
      </c>
      <c r="J1759" s="59"/>
      <c r="K1759" s="59"/>
      <c r="L1759" s="59"/>
      <c r="M1759" s="59"/>
      <c r="N1759" s="59"/>
      <c r="O1759" s="59"/>
      <c r="P1759" s="59"/>
    </row>
    <row r="1760" spans="1:16">
      <c r="A1760" s="71">
        <f ca="1">IFERROR(__xludf.DUMMYFUNCTION("""COMPUTED_VALUE"""),44369.7257145949)</f>
        <v>44369.725714594897</v>
      </c>
      <c r="B1760" s="59" t="str">
        <f ca="1">IFERROR(__xludf.DUMMYFUNCTION("""COMPUTED_VALUE"""),"Arpitbhimani")</f>
        <v>Arpitbhimani</v>
      </c>
      <c r="C1760" s="72" t="str">
        <f ca="1">IFERROR(__xludf.DUMMYFUNCTION("""COMPUTED_VALUE"""),"19sdsce01003")</f>
        <v>19sdsce01003</v>
      </c>
      <c r="D1760" s="73">
        <f ca="1">IFERROR(__xludf.DUMMYFUNCTION("""COMPUTED_VALUE"""),44369)</f>
        <v>44369</v>
      </c>
      <c r="E1760" s="74">
        <f ca="1">IFERROR(__xludf.DUMMYFUNCTION("""COMPUTED_VALUE"""),2500)</f>
        <v>2500</v>
      </c>
      <c r="F1760" s="72">
        <f ca="1">IFERROR(__xludf.DUMMYFUNCTION("""COMPUTED_VALUE"""),25000)</f>
        <v>25000</v>
      </c>
      <c r="G1760" s="75"/>
      <c r="H1760" s="59" t="str">
        <f ca="1">IFERROR(__xludf.DUMMYFUNCTION("""COMPUTED_VALUE"""),"UPDATE")</f>
        <v>UPDATE</v>
      </c>
      <c r="I1760" s="76" t="str">
        <f ca="1">IFERROR(__xludf.DUMMYFUNCTION("""COMPUTED_VALUE"""),"https://drive.google.com/open?id=1wxxXNqACryVkTVfGfs_pxYRAeBWe7L90")</f>
        <v>https://drive.google.com/open?id=1wxxXNqACryVkTVfGfs_pxYRAeBWe7L90</v>
      </c>
      <c r="J1760" s="59"/>
      <c r="K1760" s="59"/>
      <c r="L1760" s="59"/>
      <c r="M1760" s="59"/>
      <c r="N1760" s="59"/>
      <c r="O1760" s="59"/>
      <c r="P1760" s="59"/>
    </row>
    <row r="1761" spans="1:16">
      <c r="A1761" s="71">
        <f ca="1">IFERROR(__xludf.DUMMYFUNCTION("""COMPUTED_VALUE"""),44367.8401248032)</f>
        <v>44367.840124803202</v>
      </c>
      <c r="B1761" s="59" t="str">
        <f ca="1">IFERROR(__xludf.DUMMYFUNCTION("""COMPUTED_VALUE"""),"Jatin MangalSingh Kanyal")</f>
        <v>Jatin MangalSingh Kanyal</v>
      </c>
      <c r="C1761" s="72" t="str">
        <f ca="1">IFERROR(__xludf.DUMMYFUNCTION("""COMPUTED_VALUE"""),"19SDSCE01020")</f>
        <v>19SDSCE01020</v>
      </c>
      <c r="D1761" s="73">
        <f ca="1">IFERROR(__xludf.DUMMYFUNCTION("""COMPUTED_VALUE"""),44366)</f>
        <v>44366</v>
      </c>
      <c r="E1761" s="74">
        <f ca="1">IFERROR(__xludf.DUMMYFUNCTION("""COMPUTED_VALUE"""),25000)</f>
        <v>25000</v>
      </c>
      <c r="F1761" s="72">
        <f ca="1">IFERROR(__xludf.DUMMYFUNCTION("""COMPUTED_VALUE"""),2500)</f>
        <v>2500</v>
      </c>
      <c r="G1761" s="75"/>
      <c r="H1761" s="59" t="str">
        <f ca="1">IFERROR(__xludf.DUMMYFUNCTION("""COMPUTED_VALUE"""),"UPDATE")</f>
        <v>UPDATE</v>
      </c>
      <c r="I1761" s="76" t="str">
        <f ca="1">IFERROR(__xludf.DUMMYFUNCTION("""COMPUTED_VALUE"""),"https://drive.google.com/open?id=1bp6f4fzGfgJTmBKc_qe5JsRr0vzd6exb")</f>
        <v>https://drive.google.com/open?id=1bp6f4fzGfgJTmBKc_qe5JsRr0vzd6exb</v>
      </c>
      <c r="J1761" s="59"/>
      <c r="K1761" s="59"/>
      <c r="L1761" s="59"/>
      <c r="M1761" s="59"/>
      <c r="N1761" s="59"/>
      <c r="O1761" s="59"/>
      <c r="P1761" s="59"/>
    </row>
    <row r="1762" spans="1:16">
      <c r="A1762" s="71">
        <f ca="1">IFERROR(__xludf.DUMMYFUNCTION("""COMPUTED_VALUE"""),44366.6061430902)</f>
        <v>44366.606143090197</v>
      </c>
      <c r="B1762" s="59" t="str">
        <f ca="1">IFERROR(__xludf.DUMMYFUNCTION("""COMPUTED_VALUE"""),"Dhoriya Chandrika Somabhai ")</f>
        <v xml:space="preserve">Dhoriya Chandrika Somabhai </v>
      </c>
      <c r="C1762" s="72" t="str">
        <f ca="1">IFERROR(__xludf.DUMMYFUNCTION("""COMPUTED_VALUE"""),"19SDSCE01011")</f>
        <v>19SDSCE01011</v>
      </c>
      <c r="D1762" s="73">
        <f ca="1">IFERROR(__xludf.DUMMYFUNCTION("""COMPUTED_VALUE"""),44360)</f>
        <v>44360</v>
      </c>
      <c r="E1762" s="74">
        <f ca="1">IFERROR(__xludf.DUMMYFUNCTION("""COMPUTED_VALUE"""),2500)</f>
        <v>2500</v>
      </c>
      <c r="F1762" s="72">
        <f ca="1">IFERROR(__xludf.DUMMYFUNCTION("""COMPUTED_VALUE"""),12500)</f>
        <v>12500</v>
      </c>
      <c r="G1762" s="75"/>
      <c r="H1762" s="59" t="str">
        <f ca="1">IFERROR(__xludf.DUMMYFUNCTION("""COMPUTED_VALUE"""),"UPDATE")</f>
        <v>UPDATE</v>
      </c>
      <c r="I1762" s="76" t="str">
        <f ca="1">IFERROR(__xludf.DUMMYFUNCTION("""COMPUTED_VALUE"""),"https://drive.google.com/open?id=1WM2vhBevCzV9qfb_n_Zi67669g6Ls2BC")</f>
        <v>https://drive.google.com/open?id=1WM2vhBevCzV9qfb_n_Zi67669g6Ls2BC</v>
      </c>
      <c r="J1762" s="59"/>
      <c r="K1762" s="59"/>
      <c r="L1762" s="59"/>
      <c r="M1762" s="59"/>
      <c r="N1762" s="59"/>
      <c r="O1762" s="59"/>
      <c r="P1762" s="59"/>
    </row>
    <row r="1763" spans="1:16">
      <c r="A1763" s="71">
        <f ca="1">IFERROR(__xludf.DUMMYFUNCTION("""COMPUTED_VALUE"""),44364.5853276967)</f>
        <v>44364.585327696703</v>
      </c>
      <c r="B1763" s="59" t="str">
        <f ca="1">IFERROR(__xludf.DUMMYFUNCTION("""COMPUTED_VALUE"""),"Dhwaj Shah")</f>
        <v>Dhwaj Shah</v>
      </c>
      <c r="C1763" s="72" t="str">
        <f ca="1">IFERROR(__xludf.DUMMYFUNCTION("""COMPUTED_VALUE"""),"19SDSCE01046")</f>
        <v>19SDSCE01046</v>
      </c>
      <c r="D1763" s="73">
        <f ca="1">IFERROR(__xludf.DUMMYFUNCTION("""COMPUTED_VALUE"""),44364)</f>
        <v>44364</v>
      </c>
      <c r="E1763" s="72"/>
      <c r="F1763" s="72">
        <f ca="1">IFERROR(__xludf.DUMMYFUNCTION("""COMPUTED_VALUE"""),2500)</f>
        <v>2500</v>
      </c>
      <c r="G1763" s="75"/>
      <c r="H1763" s="59" t="str">
        <f ca="1">IFERROR(__xludf.DUMMYFUNCTION("""COMPUTED_VALUE"""),"UPDATE")</f>
        <v>UPDATE</v>
      </c>
      <c r="I1763" s="76" t="str">
        <f ca="1">IFERROR(__xludf.DUMMYFUNCTION("""COMPUTED_VALUE"""),"https://drive.google.com/open?id=1S7rQdK55Y6X-_gQJD7dpcDwwBxQXL0RA")</f>
        <v>https://drive.google.com/open?id=1S7rQdK55Y6X-_gQJD7dpcDwwBxQXL0RA</v>
      </c>
      <c r="J1763" s="59"/>
      <c r="K1763" s="59"/>
      <c r="L1763" s="59"/>
      <c r="M1763" s="59"/>
      <c r="N1763" s="59"/>
      <c r="O1763" s="59"/>
      <c r="P1763" s="59"/>
    </row>
    <row r="1764" spans="1:16">
      <c r="A1764" s="71">
        <f ca="1">IFERROR(__xludf.DUMMYFUNCTION("""COMPUTED_VALUE"""),44364.5845975115)</f>
        <v>44364.584597511501</v>
      </c>
      <c r="B1764" s="59" t="str">
        <f ca="1">IFERROR(__xludf.DUMMYFUNCTION("""COMPUTED_VALUE"""),"Dhwaj Shah")</f>
        <v>Dhwaj Shah</v>
      </c>
      <c r="C1764" s="72" t="str">
        <f ca="1">IFERROR(__xludf.DUMMYFUNCTION("""COMPUTED_VALUE"""),"19SDSCE01046")</f>
        <v>19SDSCE01046</v>
      </c>
      <c r="D1764" s="73">
        <f ca="1">IFERROR(__xludf.DUMMYFUNCTION("""COMPUTED_VALUE"""),44364)</f>
        <v>44364</v>
      </c>
      <c r="E1764" s="74">
        <f ca="1">IFERROR(__xludf.DUMMYFUNCTION("""COMPUTED_VALUE"""),25000)</f>
        <v>25000</v>
      </c>
      <c r="F1764" s="72"/>
      <c r="G1764" s="75"/>
      <c r="H1764" s="59" t="str">
        <f ca="1">IFERROR(__xludf.DUMMYFUNCTION("""COMPUTED_VALUE"""),"UPDATE")</f>
        <v>UPDATE</v>
      </c>
      <c r="I1764" s="76" t="str">
        <f ca="1">IFERROR(__xludf.DUMMYFUNCTION("""COMPUTED_VALUE"""),"https://drive.google.com/open?id=1fT4V7N6J4c5T1hlzND1fa5OI1GqQKeiv")</f>
        <v>https://drive.google.com/open?id=1fT4V7N6J4c5T1hlzND1fa5OI1GqQKeiv</v>
      </c>
      <c r="J1764" s="59"/>
      <c r="K1764" s="59"/>
      <c r="L1764" s="59"/>
      <c r="M1764" s="59"/>
      <c r="N1764" s="59"/>
      <c r="O1764" s="59"/>
      <c r="P1764" s="59"/>
    </row>
    <row r="1765" spans="1:16">
      <c r="A1765" s="71">
        <f ca="1">IFERROR(__xludf.DUMMYFUNCTION("""COMPUTED_VALUE"""),44364.5561340277)</f>
        <v>44364.556134027698</v>
      </c>
      <c r="B1765" s="59" t="str">
        <f ca="1">IFERROR(__xludf.DUMMYFUNCTION("""COMPUTED_VALUE"""),"Parth Maheshbhai Madariya")</f>
        <v>Parth Maheshbhai Madariya</v>
      </c>
      <c r="C1765" s="72" t="str">
        <f ca="1">IFERROR(__xludf.DUMMYFUNCTION("""COMPUTED_VALUE"""),"19SDSCE01029")</f>
        <v>19SDSCE01029</v>
      </c>
      <c r="D1765" s="73">
        <f ca="1">IFERROR(__xludf.DUMMYFUNCTION("""COMPUTED_VALUE"""),44364)</f>
        <v>44364</v>
      </c>
      <c r="E1765" s="72"/>
      <c r="F1765" s="72">
        <f ca="1">IFERROR(__xludf.DUMMYFUNCTION("""COMPUTED_VALUE"""),2500)</f>
        <v>2500</v>
      </c>
      <c r="G1765" s="75"/>
      <c r="H1765" s="59" t="str">
        <f ca="1">IFERROR(__xludf.DUMMYFUNCTION("""COMPUTED_VALUE"""),"UPDATE")</f>
        <v>UPDATE</v>
      </c>
      <c r="I1765" s="76" t="str">
        <f ca="1">IFERROR(__xludf.DUMMYFUNCTION("""COMPUTED_VALUE"""),"https://drive.google.com/open?id=1pOIBPSdajQ7byqLY_CjaHgTSVr-kK85b")</f>
        <v>https://drive.google.com/open?id=1pOIBPSdajQ7byqLY_CjaHgTSVr-kK85b</v>
      </c>
      <c r="J1765" s="59"/>
      <c r="K1765" s="59"/>
      <c r="L1765" s="59"/>
      <c r="M1765" s="59"/>
      <c r="N1765" s="59"/>
      <c r="O1765" s="59"/>
      <c r="P1765" s="59"/>
    </row>
    <row r="1766" spans="1:16">
      <c r="A1766" s="71">
        <f ca="1">IFERROR(__xludf.DUMMYFUNCTION("""COMPUTED_VALUE"""),44362.493091875)</f>
        <v>44362.493091875003</v>
      </c>
      <c r="B1766" s="59" t="str">
        <f ca="1">IFERROR(__xludf.DUMMYFUNCTION("""COMPUTED_VALUE"""),"HARIYANI ARJUN VINODBHAI")</f>
        <v>HARIYANI ARJUN VINODBHAI</v>
      </c>
      <c r="C1766" s="72" t="str">
        <f ca="1">IFERROR(__xludf.DUMMYFUNCTION("""COMPUTED_VALUE"""),"20SDSCE01043")</f>
        <v>20SDSCE01043</v>
      </c>
      <c r="D1766" s="73">
        <f ca="1">IFERROR(__xludf.DUMMYFUNCTION("""COMPUTED_VALUE"""),44362)</f>
        <v>44362</v>
      </c>
      <c r="E1766" s="72"/>
      <c r="F1766" s="72">
        <f ca="1">IFERROR(__xludf.DUMMYFUNCTION("""COMPUTED_VALUE"""),2500)</f>
        <v>2500</v>
      </c>
      <c r="G1766" s="75"/>
      <c r="H1766" s="59" t="str">
        <f ca="1">IFERROR(__xludf.DUMMYFUNCTION("""COMPUTED_VALUE"""),"UPDATE")</f>
        <v>UPDATE</v>
      </c>
      <c r="I1766" s="76" t="str">
        <f ca="1">IFERROR(__xludf.DUMMYFUNCTION("""COMPUTED_VALUE"""),"https://drive.google.com/open?id=13dT0tIQb8bWP6kPNKis63IcNj3hIJM2s")</f>
        <v>https://drive.google.com/open?id=13dT0tIQb8bWP6kPNKis63IcNj3hIJM2s</v>
      </c>
      <c r="J1766" s="59"/>
      <c r="K1766" s="59"/>
      <c r="L1766" s="59"/>
      <c r="M1766" s="59"/>
      <c r="N1766" s="59"/>
      <c r="O1766" s="59"/>
      <c r="P1766" s="59"/>
    </row>
    <row r="1767" spans="1:16">
      <c r="A1767" s="71">
        <f ca="1">IFERROR(__xludf.DUMMYFUNCTION("""COMPUTED_VALUE"""),44362.4044805208)</f>
        <v>44362.404480520803</v>
      </c>
      <c r="B1767" s="59" t="str">
        <f ca="1">IFERROR(__xludf.DUMMYFUNCTION("""COMPUTED_VALUE"""),"HARIYANI ARJUN VINODBHAI")</f>
        <v>HARIYANI ARJUN VINODBHAI</v>
      </c>
      <c r="C1767" s="72" t="str">
        <f ca="1">IFERROR(__xludf.DUMMYFUNCTION("""COMPUTED_VALUE"""),"20SDSCE01043")</f>
        <v>20SDSCE01043</v>
      </c>
      <c r="D1767" s="73">
        <f ca="1">IFERROR(__xludf.DUMMYFUNCTION("""COMPUTED_VALUE"""),44343)</f>
        <v>44343</v>
      </c>
      <c r="E1767" s="74">
        <f ca="1">IFERROR(__xludf.DUMMYFUNCTION("""COMPUTED_VALUE"""),12500)</f>
        <v>12500</v>
      </c>
      <c r="F1767" s="72"/>
      <c r="G1767" s="75"/>
      <c r="H1767" s="59" t="str">
        <f ca="1">IFERROR(__xludf.DUMMYFUNCTION("""COMPUTED_VALUE"""),"UPDATE")</f>
        <v>UPDATE</v>
      </c>
      <c r="I1767" s="76" t="str">
        <f ca="1">IFERROR(__xludf.DUMMYFUNCTION("""COMPUTED_VALUE"""),"https://drive.google.com/open?id=1WKlrkKon54YddeOlWP8L3-rBFfxbdvfz")</f>
        <v>https://drive.google.com/open?id=1WKlrkKon54YddeOlWP8L3-rBFfxbdvfz</v>
      </c>
      <c r="J1767" s="59"/>
      <c r="K1767" s="59"/>
      <c r="L1767" s="59"/>
      <c r="M1767" s="59"/>
      <c r="N1767" s="59"/>
      <c r="O1767" s="59"/>
      <c r="P1767" s="59"/>
    </row>
    <row r="1768" spans="1:16">
      <c r="A1768" s="71">
        <f ca="1">IFERROR(__xludf.DUMMYFUNCTION("""COMPUTED_VALUE"""),44362.4033141319)</f>
        <v>44362.403314131901</v>
      </c>
      <c r="B1768" s="59" t="str">
        <f ca="1">IFERROR(__xludf.DUMMYFUNCTION("""COMPUTED_VALUE"""),"HARIYANI ARJUN VINODBHAI")</f>
        <v>HARIYANI ARJUN VINODBHAI</v>
      </c>
      <c r="C1768" s="72" t="str">
        <f ca="1">IFERROR(__xludf.DUMMYFUNCTION("""COMPUTED_VALUE"""),"20SDSCE01043")</f>
        <v>20SDSCE01043</v>
      </c>
      <c r="D1768" s="73">
        <f ca="1">IFERROR(__xludf.DUMMYFUNCTION("""COMPUTED_VALUE"""),44360)</f>
        <v>44360</v>
      </c>
      <c r="E1768" s="74">
        <f ca="1">IFERROR(__xludf.DUMMYFUNCTION("""COMPUTED_VALUE"""),12500)</f>
        <v>12500</v>
      </c>
      <c r="F1768" s="72"/>
      <c r="G1768" s="75"/>
      <c r="H1768" s="59" t="str">
        <f ca="1">IFERROR(__xludf.DUMMYFUNCTION("""COMPUTED_VALUE"""),"UPDATE")</f>
        <v>UPDATE</v>
      </c>
      <c r="I1768" s="76" t="str">
        <f ca="1">IFERROR(__xludf.DUMMYFUNCTION("""COMPUTED_VALUE"""),"https://drive.google.com/open?id=15fTT89_XUdDgFQGHW0Ryzp6Lqta4wTbv")</f>
        <v>https://drive.google.com/open?id=15fTT89_XUdDgFQGHW0Ryzp6Lqta4wTbv</v>
      </c>
      <c r="J1768" s="59"/>
      <c r="K1768" s="59"/>
      <c r="L1768" s="59"/>
      <c r="M1768" s="59"/>
      <c r="N1768" s="59"/>
      <c r="O1768" s="59"/>
      <c r="P1768" s="59"/>
    </row>
    <row r="1769" spans="1:16">
      <c r="A1769" s="71">
        <f ca="1">IFERROR(__xludf.DUMMYFUNCTION("""COMPUTED_VALUE"""),44359.5450056597)</f>
        <v>44359.545005659696</v>
      </c>
      <c r="B1769" s="59" t="str">
        <f ca="1">IFERROR(__xludf.DUMMYFUNCTION("""COMPUTED_VALUE"""),"Ravi Zala")</f>
        <v>Ravi Zala</v>
      </c>
      <c r="C1769" s="72" t="str">
        <f ca="1">IFERROR(__xludf.DUMMYFUNCTION("""COMPUTED_VALUE"""),"20sdsme01047")</f>
        <v>20sdsme01047</v>
      </c>
      <c r="D1769" s="73">
        <f ca="1">IFERROR(__xludf.DUMMYFUNCTION("""COMPUTED_VALUE"""),44359)</f>
        <v>44359</v>
      </c>
      <c r="E1769" s="74">
        <f ca="1">IFERROR(__xludf.DUMMYFUNCTION("""COMPUTED_VALUE"""),5000)</f>
        <v>5000</v>
      </c>
      <c r="F1769" s="72">
        <f ca="1">IFERROR(__xludf.DUMMYFUNCTION("""COMPUTED_VALUE"""),2500)</f>
        <v>2500</v>
      </c>
      <c r="G1769" s="75"/>
      <c r="H1769" s="59" t="str">
        <f ca="1">IFERROR(__xludf.DUMMYFUNCTION("""COMPUTED_VALUE"""),"UPDATE")</f>
        <v>UPDATE</v>
      </c>
      <c r="I1769" s="76" t="str">
        <f ca="1">IFERROR(__xludf.DUMMYFUNCTION("""COMPUTED_VALUE"""),"https://drive.google.com/open?id=1qMEQ3MwqXWc1dAJhgBElhXyofQyBtm_y")</f>
        <v>https://drive.google.com/open?id=1qMEQ3MwqXWc1dAJhgBElhXyofQyBtm_y</v>
      </c>
      <c r="J1769" s="59"/>
      <c r="K1769" s="59"/>
      <c r="L1769" s="59"/>
      <c r="M1769" s="59"/>
      <c r="N1769" s="59"/>
      <c r="O1769" s="59"/>
      <c r="P1769" s="59"/>
    </row>
    <row r="1770" spans="1:16">
      <c r="A1770" s="71">
        <f ca="1">IFERROR(__xludf.DUMMYFUNCTION("""COMPUTED_VALUE"""),44359.5445144213)</f>
        <v>44359.544514421301</v>
      </c>
      <c r="B1770" s="59" t="str">
        <f ca="1">IFERROR(__xludf.DUMMYFUNCTION("""COMPUTED_VALUE"""),"Ravi Zala")</f>
        <v>Ravi Zala</v>
      </c>
      <c r="C1770" s="72" t="str">
        <f ca="1">IFERROR(__xludf.DUMMYFUNCTION("""COMPUTED_VALUE"""),"20sdsme01047")</f>
        <v>20sdsme01047</v>
      </c>
      <c r="D1770" s="73">
        <f ca="1">IFERROR(__xludf.DUMMYFUNCTION("""COMPUTED_VALUE"""),44359)</f>
        <v>44359</v>
      </c>
      <c r="E1770" s="74">
        <f ca="1">IFERROR(__xludf.DUMMYFUNCTION("""COMPUTED_VALUE"""),10000)</f>
        <v>10000</v>
      </c>
      <c r="F1770" s="72">
        <f ca="1">IFERROR(__xludf.DUMMYFUNCTION("""COMPUTED_VALUE"""),0)</f>
        <v>0</v>
      </c>
      <c r="G1770" s="75"/>
      <c r="H1770" s="59" t="str">
        <f ca="1">IFERROR(__xludf.DUMMYFUNCTION("""COMPUTED_VALUE"""),"UPDATE")</f>
        <v>UPDATE</v>
      </c>
      <c r="I1770" s="76" t="str">
        <f ca="1">IFERROR(__xludf.DUMMYFUNCTION("""COMPUTED_VALUE"""),"https://drive.google.com/open?id=1gYm7ynwOLyjlD4esvS3SXozv8aDXyIKH")</f>
        <v>https://drive.google.com/open?id=1gYm7ynwOLyjlD4esvS3SXozv8aDXyIKH</v>
      </c>
      <c r="J1770" s="59"/>
      <c r="K1770" s="59"/>
      <c r="L1770" s="59"/>
      <c r="M1770" s="59"/>
      <c r="N1770" s="59"/>
      <c r="O1770" s="59"/>
      <c r="P1770" s="59"/>
    </row>
    <row r="1771" spans="1:16">
      <c r="A1771" s="71">
        <f ca="1">IFERROR(__xludf.DUMMYFUNCTION("""COMPUTED_VALUE"""),44359.5109547222)</f>
        <v>44359.510954722202</v>
      </c>
      <c r="B1771" s="59" t="str">
        <f ca="1">IFERROR(__xludf.DUMMYFUNCTION("""COMPUTED_VALUE"""),"Romil Hiteshbhai Dobariya")</f>
        <v>Romil Hiteshbhai Dobariya</v>
      </c>
      <c r="C1771" s="72" t="str">
        <f ca="1">IFERROR(__xludf.DUMMYFUNCTION("""COMPUTED_VALUE"""),"20SDSCE01029")</f>
        <v>20SDSCE01029</v>
      </c>
      <c r="D1771" s="73">
        <f ca="1">IFERROR(__xludf.DUMMYFUNCTION("""COMPUTED_VALUE"""),44359)</f>
        <v>44359</v>
      </c>
      <c r="E1771" s="72"/>
      <c r="F1771" s="72"/>
      <c r="G1771" s="75"/>
      <c r="H1771" s="59" t="str">
        <f ca="1">IFERROR(__xludf.DUMMYFUNCTION("""COMPUTED_VALUE"""),"UPDATE")</f>
        <v>UPDATE</v>
      </c>
      <c r="I1771" s="76" t="str">
        <f ca="1">IFERROR(__xludf.DUMMYFUNCTION("""COMPUTED_VALUE"""),"https://drive.google.com/open?id=12ODEKTIOX1-1j1QlqXmNXjpofB02ctbf")</f>
        <v>https://drive.google.com/open?id=12ODEKTIOX1-1j1QlqXmNXjpofB02ctbf</v>
      </c>
      <c r="J1771" s="59"/>
      <c r="K1771" s="59"/>
      <c r="L1771" s="59"/>
      <c r="M1771" s="59"/>
      <c r="N1771" s="59"/>
      <c r="O1771" s="59"/>
      <c r="P1771" s="59"/>
    </row>
    <row r="1772" spans="1:16">
      <c r="A1772" s="71">
        <f ca="1">IFERROR(__xludf.DUMMYFUNCTION("""COMPUTED_VALUE"""),44359.3449543402)</f>
        <v>44359.344954340202</v>
      </c>
      <c r="B1772" s="59" t="str">
        <f ca="1">IFERROR(__xludf.DUMMYFUNCTION("""COMPUTED_VALUE"""),"Mayur Dabhi")</f>
        <v>Mayur Dabhi</v>
      </c>
      <c r="C1772" s="72" t="str">
        <f ca="1">IFERROR(__xludf.DUMMYFUNCTION("""COMPUTED_VALUE"""),"20sdsme01007")</f>
        <v>20sdsme01007</v>
      </c>
      <c r="D1772" s="73">
        <f ca="1">IFERROR(__xludf.DUMMYFUNCTION("""COMPUTED_VALUE"""),44358)</f>
        <v>44358</v>
      </c>
      <c r="E1772" s="74">
        <f ca="1">IFERROR(__xludf.DUMMYFUNCTION("""COMPUTED_VALUE"""),0)</f>
        <v>0</v>
      </c>
      <c r="F1772" s="72">
        <f ca="1">IFERROR(__xludf.DUMMYFUNCTION("""COMPUTED_VALUE"""),2500)</f>
        <v>2500</v>
      </c>
      <c r="G1772" s="75"/>
      <c r="H1772" s="59" t="str">
        <f ca="1">IFERROR(__xludf.DUMMYFUNCTION("""COMPUTED_VALUE"""),"UPDATE")</f>
        <v>UPDATE</v>
      </c>
      <c r="I1772" s="76" t="str">
        <f ca="1">IFERROR(__xludf.DUMMYFUNCTION("""COMPUTED_VALUE"""),"https://drive.google.com/open?id=154BGHEu0Z6otde7Pz_67InBqaJTQZ0iE")</f>
        <v>https://drive.google.com/open?id=154BGHEu0Z6otde7Pz_67InBqaJTQZ0iE</v>
      </c>
      <c r="J1772" s="59"/>
      <c r="K1772" s="59"/>
      <c r="L1772" s="59"/>
      <c r="M1772" s="59"/>
      <c r="N1772" s="59"/>
      <c r="O1772" s="59"/>
      <c r="P1772" s="59"/>
    </row>
    <row r="1773" spans="1:16">
      <c r="A1773" s="71">
        <f ca="1">IFERROR(__xludf.DUMMYFUNCTION("""COMPUTED_VALUE"""),44359.344258368)</f>
        <v>44359.344258368001</v>
      </c>
      <c r="B1773" s="59" t="str">
        <f ca="1">IFERROR(__xludf.DUMMYFUNCTION("""COMPUTED_VALUE"""),"Zala Ravi")</f>
        <v>Zala Ravi</v>
      </c>
      <c r="C1773" s="72" t="str">
        <f ca="1">IFERROR(__xludf.DUMMYFUNCTION("""COMPUTED_VALUE"""),"20sdsme01047")</f>
        <v>20sdsme01047</v>
      </c>
      <c r="D1773" s="73">
        <f ca="1">IFERROR(__xludf.DUMMYFUNCTION("""COMPUTED_VALUE"""),44358)</f>
        <v>44358</v>
      </c>
      <c r="E1773" s="74">
        <f ca="1">IFERROR(__xludf.DUMMYFUNCTION("""COMPUTED_VALUE"""),10000)</f>
        <v>10000</v>
      </c>
      <c r="F1773" s="72">
        <f ca="1">IFERROR(__xludf.DUMMYFUNCTION("""COMPUTED_VALUE"""),0)</f>
        <v>0</v>
      </c>
      <c r="G1773" s="75"/>
      <c r="H1773" s="59" t="str">
        <f ca="1">IFERROR(__xludf.DUMMYFUNCTION("""COMPUTED_VALUE"""),"UPDATE")</f>
        <v>UPDATE</v>
      </c>
      <c r="I1773" s="76" t="str">
        <f ca="1">IFERROR(__xludf.DUMMYFUNCTION("""COMPUTED_VALUE"""),"https://drive.google.com/open?id=1pviS52g0IkQIeGE6PXr9vlzDSxCVbiqv")</f>
        <v>https://drive.google.com/open?id=1pviS52g0IkQIeGE6PXr9vlzDSxCVbiqv</v>
      </c>
      <c r="J1773" s="59"/>
      <c r="K1773" s="59"/>
      <c r="L1773" s="59"/>
      <c r="M1773" s="59"/>
      <c r="N1773" s="59"/>
      <c r="O1773" s="59"/>
      <c r="P1773" s="59"/>
    </row>
    <row r="1774" spans="1:16">
      <c r="A1774" s="71">
        <f ca="1">IFERROR(__xludf.DUMMYFUNCTION("""COMPUTED_VALUE"""),44358.422138125)</f>
        <v>44358.422138125003</v>
      </c>
      <c r="B1774" s="59" t="str">
        <f ca="1">IFERROR(__xludf.DUMMYFUNCTION("""COMPUTED_VALUE"""),"adroja akshit damjibhai")</f>
        <v>adroja akshit damjibhai</v>
      </c>
      <c r="C1774" s="72" t="str">
        <f ca="1">IFERROR(__xludf.DUMMYFUNCTION("""COMPUTED_VALUE"""),"20SDSCE01002")</f>
        <v>20SDSCE01002</v>
      </c>
      <c r="D1774" s="73">
        <f ca="1">IFERROR(__xludf.DUMMYFUNCTION("""COMPUTED_VALUE"""),44354)</f>
        <v>44354</v>
      </c>
      <c r="E1774" s="74">
        <f ca="1">IFERROR(__xludf.DUMMYFUNCTION("""COMPUTED_VALUE"""),25000)</f>
        <v>25000</v>
      </c>
      <c r="F1774" s="72"/>
      <c r="G1774" s="75"/>
      <c r="H1774" s="59" t="str">
        <f ca="1">IFERROR(__xludf.DUMMYFUNCTION("""COMPUTED_VALUE"""),"UPDATE")</f>
        <v>UPDATE</v>
      </c>
      <c r="I1774" s="76" t="str">
        <f ca="1">IFERROR(__xludf.DUMMYFUNCTION("""COMPUTED_VALUE"""),"https://drive.google.com/open?id=1h0JYzAfK9F1FAGgSL2rGgaS5OimHRdiV")</f>
        <v>https://drive.google.com/open?id=1h0JYzAfK9F1FAGgSL2rGgaS5OimHRdiV</v>
      </c>
      <c r="J1774" s="59"/>
      <c r="K1774" s="59"/>
      <c r="L1774" s="59"/>
      <c r="M1774" s="59"/>
      <c r="N1774" s="59"/>
      <c r="O1774" s="59"/>
      <c r="P1774" s="59"/>
    </row>
    <row r="1775" spans="1:16">
      <c r="A1775" s="71">
        <f ca="1">IFERROR(__xludf.DUMMYFUNCTION("""COMPUTED_VALUE"""),44355.57971)</f>
        <v>44355.579709999998</v>
      </c>
      <c r="B1775" s="59" t="str">
        <f ca="1">IFERROR(__xludf.DUMMYFUNCTION("""COMPUTED_VALUE"""),"PRIYANK ARVINDBHAI HARKHANI")</f>
        <v>PRIYANK ARVINDBHAI HARKHANI</v>
      </c>
      <c r="C1775" s="72" t="str">
        <f ca="1">IFERROR(__xludf.DUMMYFUNCTION("""COMPUTED_VALUE"""),"20SDSME01016")</f>
        <v>20SDSME01016</v>
      </c>
      <c r="D1775" s="73">
        <f ca="1">IFERROR(__xludf.DUMMYFUNCTION("""COMPUTED_VALUE"""),44355)</f>
        <v>44355</v>
      </c>
      <c r="E1775" s="74">
        <f ca="1">IFERROR(__xludf.DUMMYFUNCTION("""COMPUTED_VALUE"""),0)</f>
        <v>0</v>
      </c>
      <c r="F1775" s="72">
        <f ca="1">IFERROR(__xludf.DUMMYFUNCTION("""COMPUTED_VALUE"""),2500)</f>
        <v>2500</v>
      </c>
      <c r="G1775" s="75"/>
      <c r="H1775" s="59" t="str">
        <f ca="1">IFERROR(__xludf.DUMMYFUNCTION("""COMPUTED_VALUE"""),"UPDATE")</f>
        <v>UPDATE</v>
      </c>
      <c r="I1775" s="76" t="str">
        <f ca="1">IFERROR(__xludf.DUMMYFUNCTION("""COMPUTED_VALUE"""),"https://drive.google.com/open?id=1X1pO0V7S2ifZv6jKa1fn5Yb1nhnTp9Gd")</f>
        <v>https://drive.google.com/open?id=1X1pO0V7S2ifZv6jKa1fn5Yb1nhnTp9Gd</v>
      </c>
      <c r="J1775" s="59"/>
      <c r="K1775" s="59"/>
      <c r="L1775" s="59"/>
      <c r="M1775" s="59"/>
      <c r="N1775" s="59"/>
      <c r="O1775" s="59"/>
      <c r="P1775" s="59"/>
    </row>
    <row r="1776" spans="1:16">
      <c r="A1776" s="71">
        <f ca="1">IFERROR(__xludf.DUMMYFUNCTION("""COMPUTED_VALUE"""),44355.4884917476)</f>
        <v>44355.488491747601</v>
      </c>
      <c r="B1776" s="59" t="str">
        <f ca="1">IFERROR(__xludf.DUMMYFUNCTION("""COMPUTED_VALUE"""),"LALJI RAMESHBHAI KOTADIYA")</f>
        <v>LALJI RAMESHBHAI KOTADIYA</v>
      </c>
      <c r="C1776" s="72" t="str">
        <f ca="1">IFERROR(__xludf.DUMMYFUNCTION("""COMPUTED_VALUE"""),"20SDSME01020")</f>
        <v>20SDSME01020</v>
      </c>
      <c r="D1776" s="73">
        <f ca="1">IFERROR(__xludf.DUMMYFUNCTION("""COMPUTED_VALUE"""),44414)</f>
        <v>44414</v>
      </c>
      <c r="E1776" s="74">
        <f ca="1">IFERROR(__xludf.DUMMYFUNCTION("""COMPUTED_VALUE"""),0)</f>
        <v>0</v>
      </c>
      <c r="F1776" s="72">
        <f ca="1">IFERROR(__xludf.DUMMYFUNCTION("""COMPUTED_VALUE"""),2500)</f>
        <v>2500</v>
      </c>
      <c r="G1776" s="75"/>
      <c r="H1776" s="59" t="str">
        <f ca="1">IFERROR(__xludf.DUMMYFUNCTION("""COMPUTED_VALUE"""),"UPDATE")</f>
        <v>UPDATE</v>
      </c>
      <c r="I1776" s="76" t="str">
        <f ca="1">IFERROR(__xludf.DUMMYFUNCTION("""COMPUTED_VALUE"""),"https://drive.google.com/open?id=1yR5oLFZb_AQWHcFlX1yT7LNcyLYVbaE_")</f>
        <v>https://drive.google.com/open?id=1yR5oLFZb_AQWHcFlX1yT7LNcyLYVbaE_</v>
      </c>
      <c r="J1776" s="59"/>
      <c r="K1776" s="59"/>
      <c r="L1776" s="59"/>
      <c r="M1776" s="59"/>
      <c r="N1776" s="59"/>
      <c r="O1776" s="59"/>
      <c r="P1776" s="59"/>
    </row>
    <row r="1777" spans="1:16">
      <c r="A1777" s="71">
        <f ca="1">IFERROR(__xludf.DUMMYFUNCTION("""COMPUTED_VALUE"""),44355.4878610532)</f>
        <v>44355.487861053203</v>
      </c>
      <c r="B1777" s="59" t="str">
        <f ca="1">IFERROR(__xludf.DUMMYFUNCTION("""COMPUTED_VALUE"""),"MAYUR JAYESHBHAI DABHI")</f>
        <v>MAYUR JAYESHBHAI DABHI</v>
      </c>
      <c r="C1777" s="72" t="str">
        <f ca="1">IFERROR(__xludf.DUMMYFUNCTION("""COMPUTED_VALUE"""),"20SDSME01007")</f>
        <v>20SDSME01007</v>
      </c>
      <c r="D1777" s="73">
        <f ca="1">IFERROR(__xludf.DUMMYFUNCTION("""COMPUTED_VALUE"""),44354)</f>
        <v>44354</v>
      </c>
      <c r="E1777" s="74">
        <f ca="1">IFERROR(__xludf.DUMMYFUNCTION("""COMPUTED_VALUE"""),15000)</f>
        <v>15000</v>
      </c>
      <c r="F1777" s="72">
        <f ca="1">IFERROR(__xludf.DUMMYFUNCTION("""COMPUTED_VALUE"""),0)</f>
        <v>0</v>
      </c>
      <c r="G1777" s="75"/>
      <c r="H1777" s="59" t="str">
        <f ca="1">IFERROR(__xludf.DUMMYFUNCTION("""COMPUTED_VALUE"""),"UPDATE")</f>
        <v>UPDATE</v>
      </c>
      <c r="I1777" s="76" t="str">
        <f ca="1">IFERROR(__xludf.DUMMYFUNCTION("""COMPUTED_VALUE"""),"https://drive.google.com/open?id=1zTGcWc-Qyo3Euo30qFAjpxoZioI1BVTr")</f>
        <v>https://drive.google.com/open?id=1zTGcWc-Qyo3Euo30qFAjpxoZioI1BVTr</v>
      </c>
      <c r="J1777" s="59"/>
      <c r="K1777" s="59"/>
      <c r="L1777" s="59"/>
      <c r="M1777" s="59"/>
      <c r="N1777" s="59"/>
      <c r="O1777" s="59"/>
      <c r="P1777" s="59"/>
    </row>
    <row r="1778" spans="1:16">
      <c r="A1778" s="71">
        <f ca="1">IFERROR(__xludf.DUMMYFUNCTION("""COMPUTED_VALUE"""),44355.4725306944)</f>
        <v>44355.472530694402</v>
      </c>
      <c r="B1778" s="59" t="str">
        <f ca="1">IFERROR(__xludf.DUMMYFUNCTION("""COMPUTED_VALUE"""),"utsav limbasiya")</f>
        <v>utsav limbasiya</v>
      </c>
      <c r="C1778" s="72" t="str">
        <f ca="1">IFERROR(__xludf.DUMMYFUNCTION("""COMPUTED_VALUE"""),"20sdsce01059")</f>
        <v>20sdsce01059</v>
      </c>
      <c r="D1778" s="73">
        <f ca="1">IFERROR(__xludf.DUMMYFUNCTION("""COMPUTED_VALUE"""),44352)</f>
        <v>44352</v>
      </c>
      <c r="E1778" s="74">
        <f ca="1">IFERROR(__xludf.DUMMYFUNCTION("""COMPUTED_VALUE"""),37500)</f>
        <v>37500</v>
      </c>
      <c r="F1778" s="72">
        <f ca="1">IFERROR(__xludf.DUMMYFUNCTION("""COMPUTED_VALUE"""),2500)</f>
        <v>2500</v>
      </c>
      <c r="G1778" s="75"/>
      <c r="H1778" s="59" t="str">
        <f ca="1">IFERROR(__xludf.DUMMYFUNCTION("""COMPUTED_VALUE"""),"UPDATE")</f>
        <v>UPDATE</v>
      </c>
      <c r="I1778" s="76" t="str">
        <f ca="1">IFERROR(__xludf.DUMMYFUNCTION("""COMPUTED_VALUE"""),"https://drive.google.com/open?id=1sOgJtjcv5vgplpLN-xO2pO6p4SFq9Svu")</f>
        <v>https://drive.google.com/open?id=1sOgJtjcv5vgplpLN-xO2pO6p4SFq9Svu</v>
      </c>
      <c r="J1778" s="59"/>
      <c r="K1778" s="59"/>
      <c r="L1778" s="59"/>
      <c r="M1778" s="59"/>
      <c r="N1778" s="59"/>
      <c r="O1778" s="59"/>
      <c r="P1778" s="59"/>
    </row>
    <row r="1779" spans="1:16">
      <c r="A1779" s="71">
        <f ca="1">IFERROR(__xludf.DUMMYFUNCTION("""COMPUTED_VALUE"""),44354.5339016898)</f>
        <v>44354.5339016898</v>
      </c>
      <c r="B1779" s="59" t="str">
        <f ca="1">IFERROR(__xludf.DUMMYFUNCTION("""COMPUTED_VALUE"""),"MARMIK SURESHBHAI ROKAD")</f>
        <v>MARMIK SURESHBHAI ROKAD</v>
      </c>
      <c r="C1779" s="72" t="str">
        <f ca="1">IFERROR(__xludf.DUMMYFUNCTION("""COMPUTED_VALUE"""),"20SDSME01034")</f>
        <v>20SDSME01034</v>
      </c>
      <c r="D1779" s="73">
        <f ca="1">IFERROR(__xludf.DUMMYFUNCTION("""COMPUTED_VALUE"""),44354)</f>
        <v>44354</v>
      </c>
      <c r="E1779" s="74">
        <f ca="1">IFERROR(__xludf.DUMMYFUNCTION("""COMPUTED_VALUE"""),0)</f>
        <v>0</v>
      </c>
      <c r="F1779" s="72">
        <f ca="1">IFERROR(__xludf.DUMMYFUNCTION("""COMPUTED_VALUE"""),2500)</f>
        <v>2500</v>
      </c>
      <c r="G1779" s="75"/>
      <c r="H1779" s="59" t="str">
        <f ca="1">IFERROR(__xludf.DUMMYFUNCTION("""COMPUTED_VALUE"""),"UPDATE")</f>
        <v>UPDATE</v>
      </c>
      <c r="I1779" s="76" t="str">
        <f ca="1">IFERROR(__xludf.DUMMYFUNCTION("""COMPUTED_VALUE"""),"https://drive.google.com/open?id=1S-aUk1CtELiuf1jjNJ87myyw_ZTBLJNA")</f>
        <v>https://drive.google.com/open?id=1S-aUk1CtELiuf1jjNJ87myyw_ZTBLJNA</v>
      </c>
      <c r="J1779" s="59"/>
      <c r="K1779" s="59"/>
      <c r="L1779" s="59"/>
      <c r="M1779" s="59"/>
      <c r="N1779" s="59"/>
      <c r="O1779" s="59"/>
      <c r="P1779" s="59"/>
    </row>
    <row r="1780" spans="1:16">
      <c r="A1780" s="71">
        <f ca="1">IFERROR(__xludf.DUMMYFUNCTION("""COMPUTED_VALUE"""),44354.3708883217)</f>
        <v>44354.370888321697</v>
      </c>
      <c r="B1780" s="59" t="str">
        <f ca="1">IFERROR(__xludf.DUMMYFUNCTION("""COMPUTED_VALUE"""),"Mili bathani")</f>
        <v>Mili bathani</v>
      </c>
      <c r="C1780" s="72" t="str">
        <f ca="1">IFERROR(__xludf.DUMMYFUNCTION("""COMPUTED_VALUE"""),"20SDSCE01008")</f>
        <v>20SDSCE01008</v>
      </c>
      <c r="D1780" s="73">
        <f ca="1">IFERROR(__xludf.DUMMYFUNCTION("""COMPUTED_VALUE"""),44354)</f>
        <v>44354</v>
      </c>
      <c r="E1780" s="74">
        <f ca="1">IFERROR(__xludf.DUMMYFUNCTION("""COMPUTED_VALUE"""),20000)</f>
        <v>20000</v>
      </c>
      <c r="F1780" s="72"/>
      <c r="G1780" s="75"/>
      <c r="H1780" s="59" t="str">
        <f ca="1">IFERROR(__xludf.DUMMYFUNCTION("""COMPUTED_VALUE"""),"UPDATE")</f>
        <v>UPDATE</v>
      </c>
      <c r="I1780" s="76" t="str">
        <f ca="1">IFERROR(__xludf.DUMMYFUNCTION("""COMPUTED_VALUE"""),"https://drive.google.com/open?id=1RhRZAGiczJ860iRvREfH7otgQotEUhUj")</f>
        <v>https://drive.google.com/open?id=1RhRZAGiczJ860iRvREfH7otgQotEUhUj</v>
      </c>
      <c r="J1780" s="59"/>
      <c r="K1780" s="59"/>
      <c r="L1780" s="59"/>
      <c r="M1780" s="59"/>
      <c r="N1780" s="59"/>
      <c r="O1780" s="59"/>
      <c r="P1780" s="59"/>
    </row>
    <row r="1781" spans="1:16">
      <c r="A1781" s="71">
        <f ca="1">IFERROR(__xludf.DUMMYFUNCTION("""COMPUTED_VALUE"""),44354.3513828356)</f>
        <v>44354.351382835601</v>
      </c>
      <c r="B1781" s="59" t="str">
        <f ca="1">IFERROR(__xludf.DUMMYFUNCTION("""COMPUTED_VALUE"""),"adroja akshit damjibhai")</f>
        <v>adroja akshit damjibhai</v>
      </c>
      <c r="C1781" s="72" t="str">
        <f ca="1">IFERROR(__xludf.DUMMYFUNCTION("""COMPUTED_VALUE"""),"20SDSCE_01002")</f>
        <v>20SDSCE_01002</v>
      </c>
      <c r="D1781" s="73">
        <f ca="1">IFERROR(__xludf.DUMMYFUNCTION("""COMPUTED_VALUE"""),44354)</f>
        <v>44354</v>
      </c>
      <c r="E1781" s="74">
        <f ca="1">IFERROR(__xludf.DUMMYFUNCTION("""COMPUTED_VALUE"""),25000)</f>
        <v>25000</v>
      </c>
      <c r="F1781" s="72"/>
      <c r="G1781" s="75"/>
      <c r="H1781" s="59" t="str">
        <f ca="1">IFERROR(__xludf.DUMMYFUNCTION("""COMPUTED_VALUE"""),"UPDATE")</f>
        <v>UPDATE</v>
      </c>
      <c r="I1781" s="76" t="str">
        <f ca="1">IFERROR(__xludf.DUMMYFUNCTION("""COMPUTED_VALUE"""),"https://drive.google.com/open?id=1DpvGN2gOa2I9Ja_vkxltE6U_DBs3p6JN")</f>
        <v>https://drive.google.com/open?id=1DpvGN2gOa2I9Ja_vkxltE6U_DBs3p6JN</v>
      </c>
      <c r="J1781" s="59"/>
      <c r="K1781" s="59"/>
      <c r="L1781" s="59"/>
      <c r="M1781" s="59"/>
      <c r="N1781" s="59"/>
      <c r="O1781" s="59"/>
      <c r="P1781" s="59"/>
    </row>
    <row r="1782" spans="1:16">
      <c r="A1782" s="71">
        <f ca="1">IFERROR(__xludf.DUMMYFUNCTION("""COMPUTED_VALUE"""),44351.8823965625)</f>
        <v>44351.882396562498</v>
      </c>
      <c r="B1782" s="59" t="str">
        <f ca="1">IFERROR(__xludf.DUMMYFUNCTION("""COMPUTED_VALUE"""),"Kariya jay maheshbhai")</f>
        <v>Kariya jay maheshbhai</v>
      </c>
      <c r="C1782" s="72" t="str">
        <f ca="1">IFERROR(__xludf.DUMMYFUNCTION("""COMPUTED_VALUE"""),"20SDSCE01052")</f>
        <v>20SDSCE01052</v>
      </c>
      <c r="D1782" s="73">
        <f ca="1">IFERROR(__xludf.DUMMYFUNCTION("""COMPUTED_VALUE"""),44351)</f>
        <v>44351</v>
      </c>
      <c r="E1782" s="74">
        <f ca="1">IFERROR(__xludf.DUMMYFUNCTION("""COMPUTED_VALUE"""),25000)</f>
        <v>25000</v>
      </c>
      <c r="F1782" s="72"/>
      <c r="G1782" s="75"/>
      <c r="H1782" s="59" t="str">
        <f ca="1">IFERROR(__xludf.DUMMYFUNCTION("""COMPUTED_VALUE"""),"UPDATE")</f>
        <v>UPDATE</v>
      </c>
      <c r="I1782" s="76" t="str">
        <f ca="1">IFERROR(__xludf.DUMMYFUNCTION("""COMPUTED_VALUE"""),"https://drive.google.com/open?id=1uhQzBiSpf5y1DZTZJszQpDTD-Vj8Tfzf")</f>
        <v>https://drive.google.com/open?id=1uhQzBiSpf5y1DZTZJszQpDTD-Vj8Tfzf</v>
      </c>
      <c r="J1782" s="59"/>
      <c r="K1782" s="59"/>
      <c r="L1782" s="59"/>
      <c r="M1782" s="59"/>
      <c r="N1782" s="59"/>
      <c r="O1782" s="59"/>
      <c r="P1782" s="59"/>
    </row>
    <row r="1783" spans="1:16">
      <c r="A1783" s="71">
        <f ca="1">IFERROR(__xludf.DUMMYFUNCTION("""COMPUTED_VALUE"""),44350.5623703009)</f>
        <v>44350.562370300897</v>
      </c>
      <c r="B1783" s="59" t="str">
        <f ca="1">IFERROR(__xludf.DUMMYFUNCTION("""COMPUTED_VALUE"""),"Rudra Bhambhi")</f>
        <v>Rudra Bhambhi</v>
      </c>
      <c r="C1783" s="72" t="str">
        <f ca="1">IFERROR(__xludf.DUMMYFUNCTION("""COMPUTED_VALUE"""),"21SDSME01004")</f>
        <v>21SDSME01004</v>
      </c>
      <c r="D1783" s="73">
        <f ca="1">IFERROR(__xludf.DUMMYFUNCTION("""COMPUTED_VALUE"""),44350)</f>
        <v>44350</v>
      </c>
      <c r="E1783" s="74">
        <f ca="1">IFERROR(__xludf.DUMMYFUNCTION("""COMPUTED_VALUE"""),13000)</f>
        <v>13000</v>
      </c>
      <c r="F1783" s="72"/>
      <c r="G1783" s="75"/>
      <c r="H1783" s="59" t="str">
        <f ca="1">IFERROR(__xludf.DUMMYFUNCTION("""COMPUTED_VALUE"""),"UPDATE")</f>
        <v>UPDATE</v>
      </c>
      <c r="I1783" s="76" t="str">
        <f ca="1">IFERROR(__xludf.DUMMYFUNCTION("""COMPUTED_VALUE"""),"https://drive.google.com/open?id=1_DI0O1HRydjtn8_oEC7q1XLoU7ZlB1Dd")</f>
        <v>https://drive.google.com/open?id=1_DI0O1HRydjtn8_oEC7q1XLoU7ZlB1Dd</v>
      </c>
      <c r="J1783" s="59"/>
      <c r="K1783" s="59"/>
      <c r="L1783" s="59"/>
      <c r="M1783" s="59"/>
      <c r="N1783" s="59"/>
      <c r="O1783" s="59"/>
      <c r="P1783" s="59"/>
    </row>
    <row r="1784" spans="1:16">
      <c r="A1784" s="71">
        <f ca="1">IFERROR(__xludf.DUMMYFUNCTION("""COMPUTED_VALUE"""),44350.4149004976)</f>
        <v>44350.414900497599</v>
      </c>
      <c r="B1784" s="59" t="str">
        <f ca="1">IFERROR(__xludf.DUMMYFUNCTION("""COMPUTED_VALUE"""),"Aniruddh Manojbhai Sharma ")</f>
        <v xml:space="preserve">Aniruddh Manojbhai Sharma </v>
      </c>
      <c r="C1784" s="72" t="str">
        <f ca="1">IFERROR(__xludf.DUMMYFUNCTION("""COMPUTED_VALUE"""),"20SDSEE01025 ")</f>
        <v xml:space="preserve">20SDSEE01025 </v>
      </c>
      <c r="D1784" s="73">
        <f ca="1">IFERROR(__xludf.DUMMYFUNCTION("""COMPUTED_VALUE"""),44301)</f>
        <v>44301</v>
      </c>
      <c r="E1784" s="74">
        <f ca="1">IFERROR(__xludf.DUMMYFUNCTION("""COMPUTED_VALUE"""),12500)</f>
        <v>12500</v>
      </c>
      <c r="F1784" s="72">
        <f ca="1">IFERROR(__xludf.DUMMYFUNCTION("""COMPUTED_VALUE"""),2500)</f>
        <v>2500</v>
      </c>
      <c r="G1784" s="75"/>
      <c r="H1784" s="59" t="str">
        <f ca="1">IFERROR(__xludf.DUMMYFUNCTION("""COMPUTED_VALUE"""),"UPDATE")</f>
        <v>UPDATE</v>
      </c>
      <c r="I1784" s="76" t="str">
        <f ca="1">IFERROR(__xludf.DUMMYFUNCTION("""COMPUTED_VALUE"""),"https://drive.google.com/open?id=1hBhnnu45v0sLMJDQzoJEEvyf3RN5Kze5")</f>
        <v>https://drive.google.com/open?id=1hBhnnu45v0sLMJDQzoJEEvyf3RN5Kze5</v>
      </c>
      <c r="J1784" s="59"/>
      <c r="K1784" s="59"/>
      <c r="L1784" s="59"/>
      <c r="M1784" s="59"/>
      <c r="N1784" s="59"/>
      <c r="O1784" s="59"/>
      <c r="P1784" s="59"/>
    </row>
    <row r="1785" spans="1:16">
      <c r="A1785" s="71">
        <f ca="1">IFERROR(__xludf.DUMMYFUNCTION("""COMPUTED_VALUE"""),44349.6999069675)</f>
        <v>44349.6999069675</v>
      </c>
      <c r="B1785" s="59" t="str">
        <f ca="1">IFERROR(__xludf.DUMMYFUNCTION("""COMPUTED_VALUE"""),"KOLADIYA DHRUV GIRISHBHAI")</f>
        <v>KOLADIYA DHRUV GIRISHBHAI</v>
      </c>
      <c r="C1785" s="72" t="str">
        <f ca="1">IFERROR(__xludf.DUMMYFUNCTION("""COMPUTED_VALUE"""),"20SDSCE01056")</f>
        <v>20SDSCE01056</v>
      </c>
      <c r="D1785" s="73">
        <f ca="1">IFERROR(__xludf.DUMMYFUNCTION("""COMPUTED_VALUE"""),44341)</f>
        <v>44341</v>
      </c>
      <c r="E1785" s="72"/>
      <c r="F1785" s="72">
        <f ca="1">IFERROR(__xludf.DUMMYFUNCTION("""COMPUTED_VALUE"""),2500)</f>
        <v>2500</v>
      </c>
      <c r="G1785" s="75"/>
      <c r="H1785" s="59" t="str">
        <f ca="1">IFERROR(__xludf.DUMMYFUNCTION("""COMPUTED_VALUE"""),"UPDATE")</f>
        <v>UPDATE</v>
      </c>
      <c r="I1785" s="76" t="str">
        <f ca="1">IFERROR(__xludf.DUMMYFUNCTION("""COMPUTED_VALUE"""),"https://drive.google.com/open?id=16xjEfKAjX7KRa9vAKWPUK1k8W5ftjbAX")</f>
        <v>https://drive.google.com/open?id=16xjEfKAjX7KRa9vAKWPUK1k8W5ftjbAX</v>
      </c>
      <c r="J1785" s="59"/>
      <c r="K1785" s="59"/>
      <c r="L1785" s="59"/>
      <c r="M1785" s="59"/>
      <c r="N1785" s="59"/>
      <c r="O1785" s="59"/>
      <c r="P1785" s="59"/>
    </row>
    <row r="1786" spans="1:16">
      <c r="A1786" s="71">
        <f ca="1">IFERROR(__xludf.DUMMYFUNCTION("""COMPUTED_VALUE"""),44349.697720706)</f>
        <v>44349.697720705997</v>
      </c>
      <c r="B1786" s="59" t="str">
        <f ca="1">IFERROR(__xludf.DUMMYFUNCTION("""COMPUTED_VALUE"""),"KOLADIYA DHRUV GIRISHBHAI")</f>
        <v>KOLADIYA DHRUV GIRISHBHAI</v>
      </c>
      <c r="C1786" s="72" t="str">
        <f ca="1">IFERROR(__xludf.DUMMYFUNCTION("""COMPUTED_VALUE"""),"20SDSCE01056")</f>
        <v>20SDSCE01056</v>
      </c>
      <c r="D1786" s="73">
        <f ca="1">IFERROR(__xludf.DUMMYFUNCTION("""COMPUTED_VALUE"""),44341)</f>
        <v>44341</v>
      </c>
      <c r="E1786" s="74">
        <f ca="1">IFERROR(__xludf.DUMMYFUNCTION("""COMPUTED_VALUE"""),12500)</f>
        <v>12500</v>
      </c>
      <c r="F1786" s="72"/>
      <c r="G1786" s="75"/>
      <c r="H1786" s="59" t="str">
        <f ca="1">IFERROR(__xludf.DUMMYFUNCTION("""COMPUTED_VALUE"""),"UPDATE")</f>
        <v>UPDATE</v>
      </c>
      <c r="I1786" s="76" t="str">
        <f ca="1">IFERROR(__xludf.DUMMYFUNCTION("""COMPUTED_VALUE"""),"https://drive.google.com/open?id=1XlloBBKvNOobEUAgXTdW5P_LbJubAkx1")</f>
        <v>https://drive.google.com/open?id=1XlloBBKvNOobEUAgXTdW5P_LbJubAkx1</v>
      </c>
      <c r="J1786" s="59"/>
      <c r="K1786" s="59"/>
      <c r="L1786" s="59"/>
      <c r="M1786" s="59"/>
      <c r="N1786" s="59"/>
      <c r="O1786" s="59"/>
      <c r="P1786" s="59"/>
    </row>
    <row r="1787" spans="1:16">
      <c r="A1787" s="71">
        <f ca="1">IFERROR(__xludf.DUMMYFUNCTION("""COMPUTED_VALUE"""),44349.5097574537)</f>
        <v>44349.509757453699</v>
      </c>
      <c r="B1787" s="59" t="str">
        <f ca="1">IFERROR(__xludf.DUMMYFUNCTION("""COMPUTED_VALUE"""),"Romil Hiteshbhai Dobariya")</f>
        <v>Romil Hiteshbhai Dobariya</v>
      </c>
      <c r="C1787" s="72" t="str">
        <f ca="1">IFERROR(__xludf.DUMMYFUNCTION("""COMPUTED_VALUE"""),"20SDSCE01029")</f>
        <v>20SDSCE01029</v>
      </c>
      <c r="D1787" s="73">
        <f ca="1">IFERROR(__xludf.DUMMYFUNCTION("""COMPUTED_VALUE"""),44349)</f>
        <v>44349</v>
      </c>
      <c r="E1787" s="72"/>
      <c r="F1787" s="72"/>
      <c r="G1787" s="75"/>
      <c r="H1787" s="59" t="str">
        <f ca="1">IFERROR(__xludf.DUMMYFUNCTION("""COMPUTED_VALUE"""),"UPDATE")</f>
        <v>UPDATE</v>
      </c>
      <c r="I1787" s="76" t="str">
        <f ca="1">IFERROR(__xludf.DUMMYFUNCTION("""COMPUTED_VALUE"""),"https://drive.google.com/open?id=1XMkB0ejwtaQ_XXS6JIik5YqKvNs4mDWT")</f>
        <v>https://drive.google.com/open?id=1XMkB0ejwtaQ_XXS6JIik5YqKvNs4mDWT</v>
      </c>
      <c r="J1787" s="59"/>
      <c r="K1787" s="59"/>
      <c r="L1787" s="59"/>
      <c r="M1787" s="59"/>
      <c r="N1787" s="59"/>
      <c r="O1787" s="59"/>
      <c r="P1787" s="59"/>
    </row>
    <row r="1788" spans="1:16">
      <c r="A1788" s="71">
        <f ca="1">IFERROR(__xludf.DUMMYFUNCTION("""COMPUTED_VALUE"""),44349.5090709143)</f>
        <v>44349.509070914297</v>
      </c>
      <c r="B1788" s="59" t="str">
        <f ca="1">IFERROR(__xludf.DUMMYFUNCTION("""COMPUTED_VALUE"""),"Romil Hiteshbhai Dobariya")</f>
        <v>Romil Hiteshbhai Dobariya</v>
      </c>
      <c r="C1788" s="72" t="str">
        <f ca="1">IFERROR(__xludf.DUMMYFUNCTION("""COMPUTED_VALUE"""),"20SDSCE01029")</f>
        <v>20SDSCE01029</v>
      </c>
      <c r="D1788" s="73">
        <f ca="1">IFERROR(__xludf.DUMMYFUNCTION("""COMPUTED_VALUE"""),44349)</f>
        <v>44349</v>
      </c>
      <c r="E1788" s="72"/>
      <c r="F1788" s="72"/>
      <c r="G1788" s="75"/>
      <c r="H1788" s="59" t="str">
        <f ca="1">IFERROR(__xludf.DUMMYFUNCTION("""COMPUTED_VALUE"""),"UPDATE")</f>
        <v>UPDATE</v>
      </c>
      <c r="I1788" s="76" t="str">
        <f ca="1">IFERROR(__xludf.DUMMYFUNCTION("""COMPUTED_VALUE"""),"https://drive.google.com/open?id=1BZT3fFAIskU0HviZMnnc79BoMh0smCnC")</f>
        <v>https://drive.google.com/open?id=1BZT3fFAIskU0HviZMnnc79BoMh0smCnC</v>
      </c>
      <c r="J1788" s="59"/>
      <c r="K1788" s="59"/>
      <c r="L1788" s="59"/>
      <c r="M1788" s="59"/>
      <c r="N1788" s="59"/>
      <c r="O1788" s="59"/>
      <c r="P1788" s="59"/>
    </row>
    <row r="1789" spans="1:16">
      <c r="A1789" s="71">
        <f ca="1">IFERROR(__xludf.DUMMYFUNCTION("""COMPUTED_VALUE"""),44348.5364705787)</f>
        <v>44348.5364705787</v>
      </c>
      <c r="B1789" s="59" t="str">
        <f ca="1">IFERROR(__xludf.DUMMYFUNCTION("""COMPUTED_VALUE"""),"ZALA RAVIBHAI VALLABHBHAI")</f>
        <v>ZALA RAVIBHAI VALLABHBHAI</v>
      </c>
      <c r="C1789" s="72" t="str">
        <f ca="1">IFERROR(__xludf.DUMMYFUNCTION("""COMPUTED_VALUE"""),"20SDSME01047")</f>
        <v>20SDSME01047</v>
      </c>
      <c r="D1789" s="73">
        <f ca="1">IFERROR(__xludf.DUMMYFUNCTION("""COMPUTED_VALUE"""),44345)</f>
        <v>44345</v>
      </c>
      <c r="E1789" s="74">
        <f ca="1">IFERROR(__xludf.DUMMYFUNCTION("""COMPUTED_VALUE"""),10000)</f>
        <v>10000</v>
      </c>
      <c r="F1789" s="72">
        <f ca="1">IFERROR(__xludf.DUMMYFUNCTION("""COMPUTED_VALUE"""),0)</f>
        <v>0</v>
      </c>
      <c r="G1789" s="75"/>
      <c r="H1789" s="59" t="str">
        <f ca="1">IFERROR(__xludf.DUMMYFUNCTION("""COMPUTED_VALUE"""),"UPDATE")</f>
        <v>UPDATE</v>
      </c>
      <c r="I1789" s="76" t="str">
        <f ca="1">IFERROR(__xludf.DUMMYFUNCTION("""COMPUTED_VALUE"""),"https://drive.google.com/open?id=1CVGq9UD1-iItWGp3jf7_FipK_vqWs7v2")</f>
        <v>https://drive.google.com/open?id=1CVGq9UD1-iItWGp3jf7_FipK_vqWs7v2</v>
      </c>
      <c r="J1789" s="59"/>
      <c r="K1789" s="59"/>
      <c r="L1789" s="59"/>
      <c r="M1789" s="59"/>
      <c r="N1789" s="59"/>
      <c r="O1789" s="59"/>
      <c r="P1789" s="59"/>
    </row>
    <row r="1790" spans="1:16">
      <c r="A1790" s="71">
        <f ca="1">IFERROR(__xludf.DUMMYFUNCTION("""COMPUTED_VALUE"""),44348.5356831597)</f>
        <v>44348.535683159702</v>
      </c>
      <c r="B1790" s="59" t="str">
        <f ca="1">IFERROR(__xludf.DUMMYFUNCTION("""COMPUTED_VALUE"""),"MAYUR JAYESHBHAI DABHI")</f>
        <v>MAYUR JAYESHBHAI DABHI</v>
      </c>
      <c r="C1790" s="72" t="str">
        <f ca="1">IFERROR(__xludf.DUMMYFUNCTION("""COMPUTED_VALUE"""),"20SDSME01007")</f>
        <v>20SDSME01007</v>
      </c>
      <c r="D1790" s="73">
        <f ca="1">IFERROR(__xludf.DUMMYFUNCTION("""COMPUTED_VALUE"""),44345)</f>
        <v>44345</v>
      </c>
      <c r="E1790" s="74">
        <f ca="1">IFERROR(__xludf.DUMMYFUNCTION("""COMPUTED_VALUE"""),10000)</f>
        <v>10000</v>
      </c>
      <c r="F1790" s="72">
        <f ca="1">IFERROR(__xludf.DUMMYFUNCTION("""COMPUTED_VALUE"""),0)</f>
        <v>0</v>
      </c>
      <c r="G1790" s="75"/>
      <c r="H1790" s="59" t="str">
        <f ca="1">IFERROR(__xludf.DUMMYFUNCTION("""COMPUTED_VALUE"""),"UPDATE")</f>
        <v>UPDATE</v>
      </c>
      <c r="I1790" s="76" t="str">
        <f ca="1">IFERROR(__xludf.DUMMYFUNCTION("""COMPUTED_VALUE"""),"https://drive.google.com/open?id=17oMQP2IRSo9NVlAIFNHqxWoUysgm63an")</f>
        <v>https://drive.google.com/open?id=17oMQP2IRSo9NVlAIFNHqxWoUysgm63an</v>
      </c>
      <c r="J1790" s="59"/>
      <c r="K1790" s="59"/>
      <c r="L1790" s="59"/>
      <c r="M1790" s="59"/>
      <c r="N1790" s="59"/>
      <c r="O1790" s="59"/>
      <c r="P1790" s="59"/>
    </row>
    <row r="1791" spans="1:16">
      <c r="A1791" s="71">
        <f ca="1">IFERROR(__xludf.DUMMYFUNCTION("""COMPUTED_VALUE"""),44345.606731331)</f>
        <v>44345.606731330998</v>
      </c>
      <c r="B1791" s="59" t="str">
        <f ca="1">IFERROR(__xludf.DUMMYFUNCTION("""COMPUTED_VALUE"""),"KADCHHI AESHABEN DINESHBHAI")</f>
        <v>KADCHHI AESHABEN DINESHBHAI</v>
      </c>
      <c r="C1791" s="72" t="str">
        <f ca="1">IFERROR(__xludf.DUMMYFUNCTION("""COMPUTED_VALUE"""),"20SDSCE01047")</f>
        <v>20SDSCE01047</v>
      </c>
      <c r="D1791" s="73">
        <f ca="1">IFERROR(__xludf.DUMMYFUNCTION("""COMPUTED_VALUE"""),44344)</f>
        <v>44344</v>
      </c>
      <c r="E1791" s="74">
        <f ca="1">IFERROR(__xludf.DUMMYFUNCTION("""COMPUTED_VALUE"""),6250)</f>
        <v>6250</v>
      </c>
      <c r="F1791" s="72"/>
      <c r="G1791" s="75"/>
      <c r="H1791" s="59" t="str">
        <f ca="1">IFERROR(__xludf.DUMMYFUNCTION("""COMPUTED_VALUE"""),"UPDATE")</f>
        <v>UPDATE</v>
      </c>
      <c r="I1791" s="76" t="str">
        <f ca="1">IFERROR(__xludf.DUMMYFUNCTION("""COMPUTED_VALUE"""),"https://drive.google.com/open?id=1hJ2PCAi6ps9jjWLmrviBRnvdmLtw8p2_")</f>
        <v>https://drive.google.com/open?id=1hJ2PCAi6ps9jjWLmrviBRnvdmLtw8p2_</v>
      </c>
      <c r="J1791" s="59"/>
      <c r="K1791" s="59"/>
      <c r="L1791" s="59"/>
      <c r="M1791" s="59"/>
      <c r="N1791" s="59"/>
      <c r="O1791" s="59"/>
      <c r="P1791" s="59"/>
    </row>
    <row r="1792" spans="1:16">
      <c r="A1792" s="71">
        <f ca="1">IFERROR(__xludf.DUMMYFUNCTION("""COMPUTED_VALUE"""),44344.8289768055)</f>
        <v>44344.828976805496</v>
      </c>
      <c r="B1792" s="59" t="str">
        <f ca="1">IFERROR(__xludf.DUMMYFUNCTION("""COMPUTED_VALUE"""),"Samarth Kalpeshbhai Dadhaniya")</f>
        <v>Samarth Kalpeshbhai Dadhaniya</v>
      </c>
      <c r="C1792" s="72" t="str">
        <f ca="1">IFERROR(__xludf.DUMMYFUNCTION("""COMPUTED_VALUE"""),"20SDSCE01023")</f>
        <v>20SDSCE01023</v>
      </c>
      <c r="D1792" s="73">
        <f ca="1">IFERROR(__xludf.DUMMYFUNCTION("""COMPUTED_VALUE"""),44344)</f>
        <v>44344</v>
      </c>
      <c r="E1792" s="74">
        <f ca="1">IFERROR(__xludf.DUMMYFUNCTION("""COMPUTED_VALUE"""),25000)</f>
        <v>25000</v>
      </c>
      <c r="F1792" s="72"/>
      <c r="G1792" s="75"/>
      <c r="H1792" s="59" t="str">
        <f ca="1">IFERROR(__xludf.DUMMYFUNCTION("""COMPUTED_VALUE"""),"UPDATE")</f>
        <v>UPDATE</v>
      </c>
      <c r="I1792" s="76" t="str">
        <f ca="1">IFERROR(__xludf.DUMMYFUNCTION("""COMPUTED_VALUE"""),"https://drive.google.com/open?id=1_z33MVe16BeNsIkkIYTd9Rsf3hb1ytAs")</f>
        <v>https://drive.google.com/open?id=1_z33MVe16BeNsIkkIYTd9Rsf3hb1ytAs</v>
      </c>
      <c r="J1792" s="59"/>
      <c r="K1792" s="59"/>
      <c r="L1792" s="59"/>
      <c r="M1792" s="59"/>
      <c r="N1792" s="59"/>
      <c r="O1792" s="59"/>
      <c r="P1792" s="59"/>
    </row>
    <row r="1793" spans="1:16">
      <c r="A1793" s="71">
        <f ca="1">IFERROR(__xludf.DUMMYFUNCTION("""COMPUTED_VALUE"""),44344.8006524305)</f>
        <v>44344.800652430502</v>
      </c>
      <c r="B1793" s="59" t="str">
        <f ca="1">IFERROR(__xludf.DUMMYFUNCTION("""COMPUTED_VALUE"""),"Raj m atkotiya")</f>
        <v>Raj m atkotiya</v>
      </c>
      <c r="C1793" s="72" t="str">
        <f ca="1">IFERROR(__xludf.DUMMYFUNCTION("""COMPUTED_VALUE"""),"20SDSCE01005")</f>
        <v>20SDSCE01005</v>
      </c>
      <c r="D1793" s="73">
        <f ca="1">IFERROR(__xludf.DUMMYFUNCTION("""COMPUTED_VALUE"""),44344)</f>
        <v>44344</v>
      </c>
      <c r="E1793" s="74">
        <f ca="1">IFERROR(__xludf.DUMMYFUNCTION("""COMPUTED_VALUE"""),6250)</f>
        <v>6250</v>
      </c>
      <c r="F1793" s="72"/>
      <c r="G1793" s="75"/>
      <c r="H1793" s="59" t="str">
        <f ca="1">IFERROR(__xludf.DUMMYFUNCTION("""COMPUTED_VALUE"""),"UPDATE")</f>
        <v>UPDATE</v>
      </c>
      <c r="I1793" s="76" t="str">
        <f ca="1">IFERROR(__xludf.DUMMYFUNCTION("""COMPUTED_VALUE"""),"https://drive.google.com/open?id=1pQBeSxNvC-G8lzgWob2G7X6VyGLqT26R")</f>
        <v>https://drive.google.com/open?id=1pQBeSxNvC-G8lzgWob2G7X6VyGLqT26R</v>
      </c>
      <c r="J1793" s="59"/>
      <c r="K1793" s="59"/>
      <c r="L1793" s="59"/>
      <c r="M1793" s="59"/>
      <c r="N1793" s="59"/>
      <c r="O1793" s="59"/>
      <c r="P1793" s="59"/>
    </row>
    <row r="1794" spans="1:16">
      <c r="A1794" s="71">
        <f ca="1">IFERROR(__xludf.DUMMYFUNCTION("""COMPUTED_VALUE"""),44344.4587270138)</f>
        <v>44344.4587270138</v>
      </c>
      <c r="B1794" s="59" t="str">
        <f ca="1">IFERROR(__xludf.DUMMYFUNCTION("""COMPUTED_VALUE"""),"KADCHHI AESHABEN DINESHBHAI")</f>
        <v>KADCHHI AESHABEN DINESHBHAI</v>
      </c>
      <c r="C1794" s="72" t="str">
        <f ca="1">IFERROR(__xludf.DUMMYFUNCTION("""COMPUTED_VALUE"""),"20SDSCE01047")</f>
        <v>20SDSCE01047</v>
      </c>
      <c r="D1794" s="73">
        <f ca="1">IFERROR(__xludf.DUMMYFUNCTION("""COMPUTED_VALUE"""),44344)</f>
        <v>44344</v>
      </c>
      <c r="E1794" s="72"/>
      <c r="F1794" s="72">
        <f ca="1">IFERROR(__xludf.DUMMYFUNCTION("""COMPUTED_VALUE"""),2500)</f>
        <v>2500</v>
      </c>
      <c r="G1794" s="75"/>
      <c r="H1794" s="59" t="str">
        <f ca="1">IFERROR(__xludf.DUMMYFUNCTION("""COMPUTED_VALUE"""),"UPDATE")</f>
        <v>UPDATE</v>
      </c>
      <c r="I1794" s="76" t="str">
        <f ca="1">IFERROR(__xludf.DUMMYFUNCTION("""COMPUTED_VALUE"""),"https://drive.google.com/open?id=1giQn7Yktk4Rl5xbbJbbASFQI9yNrKpy-")</f>
        <v>https://drive.google.com/open?id=1giQn7Yktk4Rl5xbbJbbASFQI9yNrKpy-</v>
      </c>
      <c r="J1794" s="59"/>
      <c r="K1794" s="59"/>
      <c r="L1794" s="59"/>
      <c r="M1794" s="59"/>
      <c r="N1794" s="59"/>
      <c r="O1794" s="59"/>
      <c r="P1794" s="59"/>
    </row>
    <row r="1795" spans="1:16">
      <c r="A1795" s="71">
        <f ca="1">IFERROR(__xludf.DUMMYFUNCTION("""COMPUTED_VALUE"""),44344.4574875231)</f>
        <v>44344.457487523097</v>
      </c>
      <c r="B1795" s="59" t="str">
        <f ca="1">IFERROR(__xludf.DUMMYFUNCTION("""COMPUTED_VALUE"""),"KADCHHI AESHABEN DINESHBHAI")</f>
        <v>KADCHHI AESHABEN DINESHBHAI</v>
      </c>
      <c r="C1795" s="72" t="str">
        <f ca="1">IFERROR(__xludf.DUMMYFUNCTION("""COMPUTED_VALUE"""),"20SDSCE01047")</f>
        <v>20SDSCE01047</v>
      </c>
      <c r="D1795" s="73">
        <f ca="1">IFERROR(__xludf.DUMMYFUNCTION("""COMPUTED_VALUE"""),44344)</f>
        <v>44344</v>
      </c>
      <c r="E1795" s="74">
        <f ca="1">IFERROR(__xludf.DUMMYFUNCTION("""COMPUTED_VALUE"""),6250)</f>
        <v>6250</v>
      </c>
      <c r="F1795" s="72"/>
      <c r="G1795" s="75"/>
      <c r="H1795" s="59" t="str">
        <f ca="1">IFERROR(__xludf.DUMMYFUNCTION("""COMPUTED_VALUE"""),"UPDATE")</f>
        <v>UPDATE</v>
      </c>
      <c r="I1795" s="76" t="str">
        <f ca="1">IFERROR(__xludf.DUMMYFUNCTION("""COMPUTED_VALUE"""),"https://drive.google.com/open?id=1RLfdxj4wJ5-dwg6VAdl9i_WcTT4PIpKE")</f>
        <v>https://drive.google.com/open?id=1RLfdxj4wJ5-dwg6VAdl9i_WcTT4PIpKE</v>
      </c>
      <c r="J1795" s="59"/>
      <c r="K1795" s="59"/>
      <c r="L1795" s="59"/>
      <c r="M1795" s="59"/>
      <c r="N1795" s="59"/>
      <c r="O1795" s="59"/>
      <c r="P1795" s="59"/>
    </row>
    <row r="1796" spans="1:16">
      <c r="A1796" s="71">
        <f ca="1">IFERROR(__xludf.DUMMYFUNCTION("""COMPUTED_VALUE"""),44344.4193238078)</f>
        <v>44344.419323807801</v>
      </c>
      <c r="B1796" s="59" t="str">
        <f ca="1">IFERROR(__xludf.DUMMYFUNCTION("""COMPUTED_VALUE"""),"Krunal Patel")</f>
        <v>Krunal Patel</v>
      </c>
      <c r="C1796" s="72" t="str">
        <f ca="1">IFERROR(__xludf.DUMMYFUNCTION("""COMPUTED_VALUE"""),"20SDSCE01060")</f>
        <v>20SDSCE01060</v>
      </c>
      <c r="D1796" s="73">
        <f ca="1">IFERROR(__xludf.DUMMYFUNCTION("""COMPUTED_VALUE"""),44342)</f>
        <v>44342</v>
      </c>
      <c r="E1796" s="74">
        <f ca="1">IFERROR(__xludf.DUMMYFUNCTION("""COMPUTED_VALUE"""),6250)</f>
        <v>6250</v>
      </c>
      <c r="F1796" s="72">
        <f ca="1">IFERROR(__xludf.DUMMYFUNCTION("""COMPUTED_VALUE"""),2500)</f>
        <v>2500</v>
      </c>
      <c r="G1796" s="75"/>
      <c r="H1796" s="59" t="str">
        <f ca="1">IFERROR(__xludf.DUMMYFUNCTION("""COMPUTED_VALUE"""),"UPDATE")</f>
        <v>UPDATE</v>
      </c>
      <c r="I1796" s="76" t="str">
        <f ca="1">IFERROR(__xludf.DUMMYFUNCTION("""COMPUTED_VALUE"""),"https://drive.google.com/open?id=1kJU8SSJwo3KbrkpVQi1V-R6_UhI2Y-hP")</f>
        <v>https://drive.google.com/open?id=1kJU8SSJwo3KbrkpVQi1V-R6_UhI2Y-hP</v>
      </c>
      <c r="J1796" s="59"/>
      <c r="K1796" s="59"/>
      <c r="L1796" s="59"/>
      <c r="M1796" s="59"/>
      <c r="N1796" s="59"/>
      <c r="O1796" s="59"/>
      <c r="P1796" s="59"/>
    </row>
    <row r="1797" spans="1:16">
      <c r="A1797" s="71">
        <f ca="1">IFERROR(__xludf.DUMMYFUNCTION("""COMPUTED_VALUE"""),44344.4183864004)</f>
        <v>44344.418386400401</v>
      </c>
      <c r="B1797" s="59" t="str">
        <f ca="1">IFERROR(__xludf.DUMMYFUNCTION("""COMPUTED_VALUE"""),"Krunal Patel")</f>
        <v>Krunal Patel</v>
      </c>
      <c r="C1797" s="72" t="str">
        <f ca="1">IFERROR(__xludf.DUMMYFUNCTION("""COMPUTED_VALUE"""),"20SDSCE01060")</f>
        <v>20SDSCE01060</v>
      </c>
      <c r="D1797" s="73">
        <f ca="1">IFERROR(__xludf.DUMMYFUNCTION("""COMPUTED_VALUE"""),44342)</f>
        <v>44342</v>
      </c>
      <c r="E1797" s="74">
        <f ca="1">IFERROR(__xludf.DUMMYFUNCTION("""COMPUTED_VALUE"""),6250)</f>
        <v>6250</v>
      </c>
      <c r="F1797" s="72">
        <f ca="1">IFERROR(__xludf.DUMMYFUNCTION("""COMPUTED_VALUE"""),2500)</f>
        <v>2500</v>
      </c>
      <c r="G1797" s="75"/>
      <c r="H1797" s="59" t="str">
        <f ca="1">IFERROR(__xludf.DUMMYFUNCTION("""COMPUTED_VALUE"""),"UPDATE")</f>
        <v>UPDATE</v>
      </c>
      <c r="I1797" s="76" t="str">
        <f ca="1">IFERROR(__xludf.DUMMYFUNCTION("""COMPUTED_VALUE"""),"https://drive.google.com/open?id=1YMbrlEtiX7bqV2v1cG0NYImo-Y5OSeSu")</f>
        <v>https://drive.google.com/open?id=1YMbrlEtiX7bqV2v1cG0NYImo-Y5OSeSu</v>
      </c>
      <c r="J1797" s="59"/>
      <c r="K1797" s="59"/>
      <c r="L1797" s="59"/>
      <c r="M1797" s="59"/>
      <c r="N1797" s="59"/>
      <c r="O1797" s="59"/>
      <c r="P1797" s="59"/>
    </row>
    <row r="1798" spans="1:16">
      <c r="A1798" s="71">
        <f ca="1">IFERROR(__xludf.DUMMYFUNCTION("""COMPUTED_VALUE"""),44344.3501646527)</f>
        <v>44344.3501646527</v>
      </c>
      <c r="B1798" s="59" t="str">
        <f ca="1">IFERROR(__xludf.DUMMYFUNCTION("""COMPUTED_VALUE"""),"HADIYAL HARSHIL MAHESHBHAI")</f>
        <v>HADIYAL HARSHIL MAHESHBHAI</v>
      </c>
      <c r="C1798" s="72" t="str">
        <f ca="1">IFERROR(__xludf.DUMMYFUNCTION("""COMPUTED_VALUE"""),"20SDSCE01041")</f>
        <v>20SDSCE01041</v>
      </c>
      <c r="D1798" s="73">
        <f ca="1">IFERROR(__xludf.DUMMYFUNCTION("""COMPUTED_VALUE"""),44343)</f>
        <v>44343</v>
      </c>
      <c r="E1798" s="72"/>
      <c r="F1798" s="72">
        <f ca="1">IFERROR(__xludf.DUMMYFUNCTION("""COMPUTED_VALUE"""),2500)</f>
        <v>2500</v>
      </c>
      <c r="G1798" s="75"/>
      <c r="H1798" s="59" t="str">
        <f ca="1">IFERROR(__xludf.DUMMYFUNCTION("""COMPUTED_VALUE"""),"UPDATE")</f>
        <v>UPDATE</v>
      </c>
      <c r="I1798" s="76" t="str">
        <f ca="1">IFERROR(__xludf.DUMMYFUNCTION("""COMPUTED_VALUE"""),"https://drive.google.com/open?id=1CqNcAScxkGfHKCN75fvrT24wZuymG1aa")</f>
        <v>https://drive.google.com/open?id=1CqNcAScxkGfHKCN75fvrT24wZuymG1aa</v>
      </c>
      <c r="J1798" s="59"/>
      <c r="K1798" s="59"/>
      <c r="L1798" s="59"/>
      <c r="M1798" s="59"/>
      <c r="N1798" s="59"/>
      <c r="O1798" s="59"/>
      <c r="P1798" s="59"/>
    </row>
    <row r="1799" spans="1:16">
      <c r="A1799" s="71">
        <f ca="1">IFERROR(__xludf.DUMMYFUNCTION("""COMPUTED_VALUE"""),44342.3803197337)</f>
        <v>44342.380319733697</v>
      </c>
      <c r="B1799" s="59" t="str">
        <f ca="1">IFERROR(__xludf.DUMMYFUNCTION("""COMPUTED_VALUE"""),"Kardani daksh rajeshbhai")</f>
        <v>Kardani daksh rajeshbhai</v>
      </c>
      <c r="C1799" s="72" t="str">
        <f ca="1">IFERROR(__xludf.DUMMYFUNCTION("""COMPUTED_VALUE"""),"20SDSCE01051")</f>
        <v>20SDSCE01051</v>
      </c>
      <c r="D1799" s="73">
        <f ca="1">IFERROR(__xludf.DUMMYFUNCTION("""COMPUTED_VALUE"""),44342)</f>
        <v>44342</v>
      </c>
      <c r="E1799" s="74">
        <f ca="1">IFERROR(__xludf.DUMMYFUNCTION("""COMPUTED_VALUE"""),25000)</f>
        <v>25000</v>
      </c>
      <c r="F1799" s="72">
        <f ca="1">IFERROR(__xludf.DUMMYFUNCTION("""COMPUTED_VALUE"""),2500)</f>
        <v>2500</v>
      </c>
      <c r="G1799" s="75"/>
      <c r="H1799" s="59" t="str">
        <f ca="1">IFERROR(__xludf.DUMMYFUNCTION("""COMPUTED_VALUE"""),"UPDATE")</f>
        <v>UPDATE</v>
      </c>
      <c r="I1799" s="76" t="str">
        <f ca="1">IFERROR(__xludf.DUMMYFUNCTION("""COMPUTED_VALUE"""),"https://drive.google.com/open?id=1h7GOkuprcIfPBvI1I4lligkC-qgnjRva")</f>
        <v>https://drive.google.com/open?id=1h7GOkuprcIfPBvI1I4lligkC-qgnjRva</v>
      </c>
      <c r="J1799" s="59"/>
      <c r="K1799" s="59"/>
      <c r="L1799" s="59"/>
      <c r="M1799" s="59"/>
      <c r="N1799" s="59"/>
      <c r="O1799" s="59"/>
      <c r="P1799" s="59"/>
    </row>
    <row r="1800" spans="1:16">
      <c r="A1800" s="71">
        <f ca="1">IFERROR(__xludf.DUMMYFUNCTION("""COMPUTED_VALUE"""),44342.3333394675)</f>
        <v>44342.333339467499</v>
      </c>
      <c r="B1800" s="59" t="str">
        <f ca="1">IFERROR(__xludf.DUMMYFUNCTION("""COMPUTED_VALUE"""),"Samarth Kalpeshbhai Dadhaniya")</f>
        <v>Samarth Kalpeshbhai Dadhaniya</v>
      </c>
      <c r="C1800" s="72" t="str">
        <f ca="1">IFERROR(__xludf.DUMMYFUNCTION("""COMPUTED_VALUE"""),"20SDSCE01023")</f>
        <v>20SDSCE01023</v>
      </c>
      <c r="D1800" s="73">
        <f ca="1">IFERROR(__xludf.DUMMYFUNCTION("""COMPUTED_VALUE"""),44338)</f>
        <v>44338</v>
      </c>
      <c r="E1800" s="72"/>
      <c r="F1800" s="72">
        <f ca="1">IFERROR(__xludf.DUMMYFUNCTION("""COMPUTED_VALUE"""),2500)</f>
        <v>2500</v>
      </c>
      <c r="G1800" s="75"/>
      <c r="H1800" s="59" t="str">
        <f ca="1">IFERROR(__xludf.DUMMYFUNCTION("""COMPUTED_VALUE"""),"UPDATE")</f>
        <v>UPDATE</v>
      </c>
      <c r="I1800" s="76" t="str">
        <f ca="1">IFERROR(__xludf.DUMMYFUNCTION("""COMPUTED_VALUE"""),"https://drive.google.com/open?id=1-Ht6oclHHp6iUvtF_DPoyqtQfzzUNglL")</f>
        <v>https://drive.google.com/open?id=1-Ht6oclHHp6iUvtF_DPoyqtQfzzUNglL</v>
      </c>
      <c r="J1800" s="59"/>
      <c r="K1800" s="59"/>
      <c r="L1800" s="59"/>
      <c r="M1800" s="59"/>
      <c r="N1800" s="59"/>
      <c r="O1800" s="59"/>
      <c r="P1800" s="59"/>
    </row>
    <row r="1801" spans="1:16">
      <c r="A1801" s="71">
        <f ca="1">IFERROR(__xludf.DUMMYFUNCTION("""COMPUTED_VALUE"""),44341.8846154166)</f>
        <v>44341.884615416602</v>
      </c>
      <c r="B1801" s="59" t="str">
        <f ca="1">IFERROR(__xludf.DUMMYFUNCTION("""COMPUTED_VALUE"""),"Chaniyara prachi rashikbhai")</f>
        <v>Chaniyara prachi rashikbhai</v>
      </c>
      <c r="C1801" s="72" t="str">
        <f ca="1">IFERROR(__xludf.DUMMYFUNCTION("""COMPUTED_VALUE"""),"20SDSCE01015")</f>
        <v>20SDSCE01015</v>
      </c>
      <c r="D1801" s="73">
        <f ca="1">IFERROR(__xludf.DUMMYFUNCTION("""COMPUTED_VALUE"""),44341)</f>
        <v>44341</v>
      </c>
      <c r="E1801" s="72"/>
      <c r="F1801" s="72">
        <f ca="1">IFERROR(__xludf.DUMMYFUNCTION("""COMPUTED_VALUE"""),2500)</f>
        <v>2500</v>
      </c>
      <c r="G1801" s="75"/>
      <c r="H1801" s="59" t="str">
        <f ca="1">IFERROR(__xludf.DUMMYFUNCTION("""COMPUTED_VALUE"""),"UPDATE")</f>
        <v>UPDATE</v>
      </c>
      <c r="I1801" s="76" t="str">
        <f ca="1">IFERROR(__xludf.DUMMYFUNCTION("""COMPUTED_VALUE"""),"https://drive.google.com/open?id=1gX6PfrHyrrMo43mdD7DLy20lbx_dEU-q")</f>
        <v>https://drive.google.com/open?id=1gX6PfrHyrrMo43mdD7DLy20lbx_dEU-q</v>
      </c>
      <c r="J1801" s="59"/>
      <c r="K1801" s="59"/>
      <c r="L1801" s="59"/>
      <c r="M1801" s="59"/>
      <c r="N1801" s="59"/>
      <c r="O1801" s="59"/>
      <c r="P1801" s="59"/>
    </row>
    <row r="1802" spans="1:16">
      <c r="A1802" s="71">
        <f ca="1">IFERROR(__xludf.DUMMYFUNCTION("""COMPUTED_VALUE"""),44341.8796920138)</f>
        <v>44341.879692013797</v>
      </c>
      <c r="B1802" s="59" t="str">
        <f ca="1">IFERROR(__xludf.DUMMYFUNCTION("""COMPUTED_VALUE"""),"Chaniyara prachi rasikbhai")</f>
        <v>Chaniyara prachi rasikbhai</v>
      </c>
      <c r="C1802" s="72" t="str">
        <f ca="1">IFERROR(__xludf.DUMMYFUNCTION("""COMPUTED_VALUE"""),"20SDSCE01015")</f>
        <v>20SDSCE01015</v>
      </c>
      <c r="D1802" s="73">
        <f ca="1">IFERROR(__xludf.DUMMYFUNCTION("""COMPUTED_VALUE"""),44341)</f>
        <v>44341</v>
      </c>
      <c r="E1802" s="72"/>
      <c r="F1802" s="72">
        <f ca="1">IFERROR(__xludf.DUMMYFUNCTION("""COMPUTED_VALUE"""),2500)</f>
        <v>2500</v>
      </c>
      <c r="G1802" s="75"/>
      <c r="H1802" s="59" t="str">
        <f ca="1">IFERROR(__xludf.DUMMYFUNCTION("""COMPUTED_VALUE"""),"UPDATE")</f>
        <v>UPDATE</v>
      </c>
      <c r="I1802" s="76" t="str">
        <f ca="1">IFERROR(__xludf.DUMMYFUNCTION("""COMPUTED_VALUE"""),"https://drive.google.com/open?id=1xFxhIJTtV4FrfVzZDy_OehbNf_S7mfBk")</f>
        <v>https://drive.google.com/open?id=1xFxhIJTtV4FrfVzZDy_OehbNf_S7mfBk</v>
      </c>
      <c r="J1802" s="59"/>
      <c r="K1802" s="59"/>
      <c r="L1802" s="59"/>
      <c r="M1802" s="59"/>
      <c r="N1802" s="59"/>
      <c r="O1802" s="59"/>
      <c r="P1802" s="59"/>
    </row>
    <row r="1803" spans="1:16">
      <c r="A1803" s="71">
        <f ca="1">IFERROR(__xludf.DUMMYFUNCTION("""COMPUTED_VALUE"""),44341.8239020254)</f>
        <v>44341.823902025397</v>
      </c>
      <c r="B1803" s="59" t="str">
        <f ca="1">IFERROR(__xludf.DUMMYFUNCTION("""COMPUTED_VALUE"""),"CHAVDA SHRUTI RAJESHBHAI")</f>
        <v>CHAVDA SHRUTI RAJESHBHAI</v>
      </c>
      <c r="C1803" s="72" t="str">
        <f ca="1">IFERROR(__xludf.DUMMYFUNCTION("""COMPUTED_VALUE"""),"20SDSCE01019")</f>
        <v>20SDSCE01019</v>
      </c>
      <c r="D1803" s="73">
        <f ca="1">IFERROR(__xludf.DUMMYFUNCTION("""COMPUTED_VALUE"""),44195)</f>
        <v>44195</v>
      </c>
      <c r="E1803" s="74">
        <f ca="1">IFERROR(__xludf.DUMMYFUNCTION("""COMPUTED_VALUE"""),25000)</f>
        <v>25000</v>
      </c>
      <c r="F1803" s="72">
        <f ca="1">IFERROR(__xludf.DUMMYFUNCTION("""COMPUTED_VALUE"""),2500)</f>
        <v>2500</v>
      </c>
      <c r="G1803" s="75"/>
      <c r="H1803" s="59" t="str">
        <f ca="1">IFERROR(__xludf.DUMMYFUNCTION("""COMPUTED_VALUE"""),"UPDATE")</f>
        <v>UPDATE</v>
      </c>
      <c r="I1803" s="76" t="str">
        <f ca="1">IFERROR(__xludf.DUMMYFUNCTION("""COMPUTED_VALUE"""),"https://drive.google.com/open?id=1t234nygSaNuYr2jxTGkU72bxuMcBZVw5")</f>
        <v>https://drive.google.com/open?id=1t234nygSaNuYr2jxTGkU72bxuMcBZVw5</v>
      </c>
      <c r="J1803" s="59"/>
      <c r="K1803" s="59"/>
      <c r="L1803" s="59"/>
      <c r="M1803" s="59"/>
      <c r="N1803" s="59"/>
      <c r="O1803" s="59"/>
      <c r="P1803" s="59"/>
    </row>
    <row r="1804" spans="1:16">
      <c r="A1804" s="71">
        <f ca="1">IFERROR(__xludf.DUMMYFUNCTION("""COMPUTED_VALUE"""),44341.80100103)</f>
        <v>44341.801001029999</v>
      </c>
      <c r="B1804" s="59" t="str">
        <f ca="1">IFERROR(__xludf.DUMMYFUNCTION("""COMPUTED_VALUE"""),"Romil Hiteshbhai Dobariya")</f>
        <v>Romil Hiteshbhai Dobariya</v>
      </c>
      <c r="C1804" s="72" t="str">
        <f ca="1">IFERROR(__xludf.DUMMYFUNCTION("""COMPUTED_VALUE"""),"20SDSCE01029")</f>
        <v>20SDSCE01029</v>
      </c>
      <c r="D1804" s="73">
        <f ca="1">IFERROR(__xludf.DUMMYFUNCTION("""COMPUTED_VALUE"""),44341)</f>
        <v>44341</v>
      </c>
      <c r="E1804" s="72"/>
      <c r="F1804" s="72"/>
      <c r="G1804" s="75"/>
      <c r="H1804" s="59" t="str">
        <f ca="1">IFERROR(__xludf.DUMMYFUNCTION("""COMPUTED_VALUE"""),"UPDATE")</f>
        <v>UPDATE</v>
      </c>
      <c r="I1804" s="76" t="str">
        <f ca="1">IFERROR(__xludf.DUMMYFUNCTION("""COMPUTED_VALUE"""),"https://drive.google.com/open?id=1VF5ku-1V1sj5HGeXxX6b59c-XBY3xj3M")</f>
        <v>https://drive.google.com/open?id=1VF5ku-1V1sj5HGeXxX6b59c-XBY3xj3M</v>
      </c>
      <c r="J1804" s="59"/>
      <c r="K1804" s="59"/>
      <c r="L1804" s="59"/>
      <c r="M1804" s="59"/>
      <c r="N1804" s="59"/>
      <c r="O1804" s="59"/>
      <c r="P1804" s="59"/>
    </row>
    <row r="1805" spans="1:16">
      <c r="A1805" s="71">
        <f ca="1">IFERROR(__xludf.DUMMYFUNCTION("""COMPUTED_VALUE"""),44341.7999720717)</f>
        <v>44341.799972071698</v>
      </c>
      <c r="B1805" s="59" t="str">
        <f ca="1">IFERROR(__xludf.DUMMYFUNCTION("""COMPUTED_VALUE"""),"Romil Hiteshbhai Dobariya")</f>
        <v>Romil Hiteshbhai Dobariya</v>
      </c>
      <c r="C1805" s="72" t="str">
        <f ca="1">IFERROR(__xludf.DUMMYFUNCTION("""COMPUTED_VALUE"""),"20SDSCE01029")</f>
        <v>20SDSCE01029</v>
      </c>
      <c r="D1805" s="73">
        <f ca="1">IFERROR(__xludf.DUMMYFUNCTION("""COMPUTED_VALUE"""),44340)</f>
        <v>44340</v>
      </c>
      <c r="E1805" s="72"/>
      <c r="F1805" s="72"/>
      <c r="G1805" s="75"/>
      <c r="H1805" s="59" t="str">
        <f ca="1">IFERROR(__xludf.DUMMYFUNCTION("""COMPUTED_VALUE"""),"UPDATE")</f>
        <v>UPDATE</v>
      </c>
      <c r="I1805" s="76" t="str">
        <f ca="1">IFERROR(__xludf.DUMMYFUNCTION("""COMPUTED_VALUE"""),"https://drive.google.com/open?id=1eH4TCAS_h8U0WWwYxLQIdf385dFWOUtH")</f>
        <v>https://drive.google.com/open?id=1eH4TCAS_h8U0WWwYxLQIdf385dFWOUtH</v>
      </c>
      <c r="J1805" s="59"/>
      <c r="K1805" s="59"/>
      <c r="L1805" s="59"/>
      <c r="M1805" s="59"/>
      <c r="N1805" s="59"/>
      <c r="O1805" s="59"/>
      <c r="P1805" s="59"/>
    </row>
    <row r="1806" spans="1:16">
      <c r="A1806" s="71">
        <f ca="1">IFERROR(__xludf.DUMMYFUNCTION("""COMPUTED_VALUE"""),44341.6436410879)</f>
        <v>44341.643641087903</v>
      </c>
      <c r="B1806" s="59" t="str">
        <f ca="1">IFERROR(__xludf.DUMMYFUNCTION("""COMPUTED_VALUE"""),"Rignesh Kalpeshbhai raiyani")</f>
        <v>Rignesh Kalpeshbhai raiyani</v>
      </c>
      <c r="C1806" s="72" t="str">
        <f ca="1">IFERROR(__xludf.DUMMYFUNCTION("""COMPUTED_VALUE"""),"20SDSCE01091")</f>
        <v>20SDSCE01091</v>
      </c>
      <c r="D1806" s="73">
        <f ca="1">IFERROR(__xludf.DUMMYFUNCTION("""COMPUTED_VALUE"""),44341)</f>
        <v>44341</v>
      </c>
      <c r="E1806" s="74">
        <f ca="1">IFERROR(__xludf.DUMMYFUNCTION("""COMPUTED_VALUE"""),0)</f>
        <v>0</v>
      </c>
      <c r="F1806" s="72">
        <f ca="1">IFERROR(__xludf.DUMMYFUNCTION("""COMPUTED_VALUE"""),2500)</f>
        <v>2500</v>
      </c>
      <c r="G1806" s="75"/>
      <c r="H1806" s="59" t="str">
        <f ca="1">IFERROR(__xludf.DUMMYFUNCTION("""COMPUTED_VALUE"""),"UPDATE")</f>
        <v>UPDATE</v>
      </c>
      <c r="I1806" s="76" t="str">
        <f ca="1">IFERROR(__xludf.DUMMYFUNCTION("""COMPUTED_VALUE"""),"https://drive.google.com/open?id=1dc6Kkm48JP3Jt58xVRaCJ5bxGOnV2ix_")</f>
        <v>https://drive.google.com/open?id=1dc6Kkm48JP3Jt58xVRaCJ5bxGOnV2ix_</v>
      </c>
      <c r="J1806" s="59"/>
      <c r="K1806" s="59"/>
      <c r="L1806" s="59"/>
      <c r="M1806" s="59"/>
      <c r="N1806" s="59"/>
      <c r="O1806" s="59"/>
      <c r="P1806" s="59"/>
    </row>
    <row r="1807" spans="1:16">
      <c r="A1807" s="71">
        <f ca="1">IFERROR(__xludf.DUMMYFUNCTION("""COMPUTED_VALUE"""),44341.615796875)</f>
        <v>44341.615796874998</v>
      </c>
      <c r="B1807" s="59" t="str">
        <f ca="1">IFERROR(__xludf.DUMMYFUNCTION("""COMPUTED_VALUE"""),"Raj m Atkotiya")</f>
        <v>Raj m Atkotiya</v>
      </c>
      <c r="C1807" s="72" t="str">
        <f ca="1">IFERROR(__xludf.DUMMYFUNCTION("""COMPUTED_VALUE"""),"20SDSCE01005")</f>
        <v>20SDSCE01005</v>
      </c>
      <c r="D1807" s="73">
        <f ca="1">IFERROR(__xludf.DUMMYFUNCTION("""COMPUTED_VALUE"""),44341)</f>
        <v>44341</v>
      </c>
      <c r="E1807" s="74">
        <f ca="1">IFERROR(__xludf.DUMMYFUNCTION("""COMPUTED_VALUE"""),25000)</f>
        <v>25000</v>
      </c>
      <c r="F1807" s="72"/>
      <c r="G1807" s="75"/>
      <c r="H1807" s="59" t="str">
        <f ca="1">IFERROR(__xludf.DUMMYFUNCTION("""COMPUTED_VALUE"""),"UPDATE")</f>
        <v>UPDATE</v>
      </c>
      <c r="I1807" s="76" t="str">
        <f ca="1">IFERROR(__xludf.DUMMYFUNCTION("""COMPUTED_VALUE"""),"https://drive.google.com/open?id=1QpXmFiYQN2rNKLZLzZ4N0qNgMh10G-Vl")</f>
        <v>https://drive.google.com/open?id=1QpXmFiYQN2rNKLZLzZ4N0qNgMh10G-Vl</v>
      </c>
      <c r="J1807" s="59"/>
      <c r="K1807" s="59"/>
      <c r="L1807" s="59"/>
      <c r="M1807" s="59"/>
      <c r="N1807" s="59"/>
      <c r="O1807" s="59"/>
      <c r="P1807" s="59"/>
    </row>
    <row r="1808" spans="1:16">
      <c r="A1808" s="71">
        <f ca="1">IFERROR(__xludf.DUMMYFUNCTION("""COMPUTED_VALUE"""),44341.5913701041)</f>
        <v>44341.591370104099</v>
      </c>
      <c r="B1808" s="59" t="str">
        <f ca="1">IFERROR(__xludf.DUMMYFUNCTION("""COMPUTED_VALUE"""),"Mili bathani")</f>
        <v>Mili bathani</v>
      </c>
      <c r="C1808" s="72" t="str">
        <f ca="1">IFERROR(__xludf.DUMMYFUNCTION("""COMPUTED_VALUE"""),"20SDSCE01008")</f>
        <v>20SDSCE01008</v>
      </c>
      <c r="D1808" s="73">
        <f ca="1">IFERROR(__xludf.DUMMYFUNCTION("""COMPUTED_VALUE"""),44341)</f>
        <v>44341</v>
      </c>
      <c r="E1808" s="72"/>
      <c r="F1808" s="72">
        <f ca="1">IFERROR(__xludf.DUMMYFUNCTION("""COMPUTED_VALUE"""),2500)</f>
        <v>2500</v>
      </c>
      <c r="G1808" s="75"/>
      <c r="H1808" s="59" t="str">
        <f ca="1">IFERROR(__xludf.DUMMYFUNCTION("""COMPUTED_VALUE"""),"UPDATE")</f>
        <v>UPDATE</v>
      </c>
      <c r="I1808" s="76" t="str">
        <f ca="1">IFERROR(__xludf.DUMMYFUNCTION("""COMPUTED_VALUE"""),"https://drive.google.com/open?id=1ovC5jkSRMYmlQaQL0uvtOvAqTFjw9_KX")</f>
        <v>https://drive.google.com/open?id=1ovC5jkSRMYmlQaQL0uvtOvAqTFjw9_KX</v>
      </c>
      <c r="J1808" s="59"/>
      <c r="K1808" s="59"/>
      <c r="L1808" s="59"/>
      <c r="M1808" s="59"/>
      <c r="N1808" s="59"/>
      <c r="O1808" s="59"/>
      <c r="P1808" s="59"/>
    </row>
    <row r="1809" spans="1:16">
      <c r="A1809" s="71">
        <f ca="1">IFERROR(__xludf.DUMMYFUNCTION("""COMPUTED_VALUE"""),44341.5908710532)</f>
        <v>44341.590871053202</v>
      </c>
      <c r="B1809" s="59" t="str">
        <f ca="1">IFERROR(__xludf.DUMMYFUNCTION("""COMPUTED_VALUE"""),"Mili bathani")</f>
        <v>Mili bathani</v>
      </c>
      <c r="C1809" s="72" t="str">
        <f ca="1">IFERROR(__xludf.DUMMYFUNCTION("""COMPUTED_VALUE"""),"20SDSCE01008")</f>
        <v>20SDSCE01008</v>
      </c>
      <c r="D1809" s="73">
        <f ca="1">IFERROR(__xludf.DUMMYFUNCTION("""COMPUTED_VALUE"""),44341)</f>
        <v>44341</v>
      </c>
      <c r="E1809" s="74">
        <f ca="1">IFERROR(__xludf.DUMMYFUNCTION("""COMPUTED_VALUE"""),5000)</f>
        <v>5000</v>
      </c>
      <c r="F1809" s="72"/>
      <c r="G1809" s="75"/>
      <c r="H1809" s="59" t="str">
        <f ca="1">IFERROR(__xludf.DUMMYFUNCTION("""COMPUTED_VALUE"""),"UPDATE")</f>
        <v>UPDATE</v>
      </c>
      <c r="I1809" s="76" t="str">
        <f ca="1">IFERROR(__xludf.DUMMYFUNCTION("""COMPUTED_VALUE"""),"https://drive.google.com/open?id=1uR6Zc4G7Fv-bxujYL3ZFEf7GeLFhwt16")</f>
        <v>https://drive.google.com/open?id=1uR6Zc4G7Fv-bxujYL3ZFEf7GeLFhwt16</v>
      </c>
      <c r="J1809" s="59"/>
      <c r="K1809" s="59"/>
      <c r="L1809" s="59"/>
      <c r="M1809" s="59"/>
      <c r="N1809" s="59"/>
      <c r="O1809" s="59"/>
      <c r="P1809" s="59"/>
    </row>
    <row r="1810" spans="1:16">
      <c r="A1810" s="71">
        <f ca="1">IFERROR(__xludf.DUMMYFUNCTION("""COMPUTED_VALUE"""),44341.5898259027)</f>
        <v>44341.589825902702</v>
      </c>
      <c r="B1810" s="59" t="str">
        <f ca="1">IFERROR(__xludf.DUMMYFUNCTION("""COMPUTED_VALUE"""),"Mili bathani")</f>
        <v>Mili bathani</v>
      </c>
      <c r="C1810" s="72" t="str">
        <f ca="1">IFERROR(__xludf.DUMMYFUNCTION("""COMPUTED_VALUE"""),"20SDSCE01008")</f>
        <v>20SDSCE01008</v>
      </c>
      <c r="D1810" s="73">
        <f ca="1">IFERROR(__xludf.DUMMYFUNCTION("""COMPUTED_VALUE"""),44341)</f>
        <v>44341</v>
      </c>
      <c r="E1810" s="74">
        <f ca="1">IFERROR(__xludf.DUMMYFUNCTION("""COMPUTED_VALUE"""),2500)</f>
        <v>2500</v>
      </c>
      <c r="F1810" s="72"/>
      <c r="G1810" s="75"/>
      <c r="H1810" s="59" t="str">
        <f ca="1">IFERROR(__xludf.DUMMYFUNCTION("""COMPUTED_VALUE"""),"UPDATE")</f>
        <v>UPDATE</v>
      </c>
      <c r="I1810" s="76" t="str">
        <f ca="1">IFERROR(__xludf.DUMMYFUNCTION("""COMPUTED_VALUE"""),"https://drive.google.com/open?id=17mhQpP5AYlmGt7B1nl9gf8gHtQ71jx8i")</f>
        <v>https://drive.google.com/open?id=17mhQpP5AYlmGt7B1nl9gf8gHtQ71jx8i</v>
      </c>
      <c r="J1810" s="59"/>
      <c r="K1810" s="59"/>
      <c r="L1810" s="59"/>
      <c r="M1810" s="59"/>
      <c r="N1810" s="59"/>
      <c r="O1810" s="59"/>
      <c r="P1810" s="59"/>
    </row>
    <row r="1811" spans="1:16">
      <c r="A1811" s="71">
        <f ca="1">IFERROR(__xludf.DUMMYFUNCTION("""COMPUTED_VALUE"""),44341.4906126273)</f>
        <v>44341.490612627298</v>
      </c>
      <c r="B1811" s="59" t="str">
        <f ca="1">IFERROR(__xludf.DUMMYFUNCTION("""COMPUTED_VALUE"""),"Jamnapara bansal manishbhai")</f>
        <v>Jamnapara bansal manishbhai</v>
      </c>
      <c r="C1811" s="72" t="str">
        <f ca="1">IFERROR(__xludf.DUMMYFUNCTION("""COMPUTED_VALUE"""),"20SDSCE01045")</f>
        <v>20SDSCE01045</v>
      </c>
      <c r="D1811" s="73">
        <f ca="1">IFERROR(__xludf.DUMMYFUNCTION("""COMPUTED_VALUE"""),44339)</f>
        <v>44339</v>
      </c>
      <c r="E1811" s="72"/>
      <c r="F1811" s="72">
        <f ca="1">IFERROR(__xludf.DUMMYFUNCTION("""COMPUTED_VALUE"""),2500)</f>
        <v>2500</v>
      </c>
      <c r="G1811" s="75"/>
      <c r="H1811" s="59" t="str">
        <f ca="1">IFERROR(__xludf.DUMMYFUNCTION("""COMPUTED_VALUE"""),"UPDATE")</f>
        <v>UPDATE</v>
      </c>
      <c r="I1811" s="76" t="str">
        <f ca="1">IFERROR(__xludf.DUMMYFUNCTION("""COMPUTED_VALUE"""),"https://drive.google.com/open?id=1Y6cCjUAGuFfYnbb1kGPMkA_BTPA8ZuIY")</f>
        <v>https://drive.google.com/open?id=1Y6cCjUAGuFfYnbb1kGPMkA_BTPA8ZuIY</v>
      </c>
      <c r="J1811" s="59"/>
      <c r="K1811" s="59"/>
      <c r="L1811" s="59"/>
      <c r="M1811" s="59"/>
      <c r="N1811" s="59"/>
      <c r="O1811" s="59"/>
      <c r="P1811" s="59"/>
    </row>
    <row r="1812" spans="1:16">
      <c r="A1812" s="71">
        <f ca="1">IFERROR(__xludf.DUMMYFUNCTION("""COMPUTED_VALUE"""),44340.5980298726)</f>
        <v>44340.598029872599</v>
      </c>
      <c r="B1812" s="59" t="str">
        <f ca="1">IFERROR(__xludf.DUMMYFUNCTION("""COMPUTED_VALUE"""),"Riya dedaniya")</f>
        <v>Riya dedaniya</v>
      </c>
      <c r="C1812" s="72" t="str">
        <f ca="1">IFERROR(__xludf.DUMMYFUNCTION("""COMPUTED_VALUE"""),"20SDSCE01025")</f>
        <v>20SDSCE01025</v>
      </c>
      <c r="D1812" s="73">
        <f ca="1">IFERROR(__xludf.DUMMYFUNCTION("""COMPUTED_VALUE"""),44340)</f>
        <v>44340</v>
      </c>
      <c r="E1812" s="74">
        <f ca="1">IFERROR(__xludf.DUMMYFUNCTION("""COMPUTED_VALUE"""),25000)</f>
        <v>25000</v>
      </c>
      <c r="F1812" s="72">
        <f ca="1">IFERROR(__xludf.DUMMYFUNCTION("""COMPUTED_VALUE"""),2500)</f>
        <v>2500</v>
      </c>
      <c r="G1812" s="75"/>
      <c r="H1812" s="59" t="str">
        <f ca="1">IFERROR(__xludf.DUMMYFUNCTION("""COMPUTED_VALUE"""),"UPDATE")</f>
        <v>UPDATE</v>
      </c>
      <c r="I1812" s="76" t="str">
        <f ca="1">IFERROR(__xludf.DUMMYFUNCTION("""COMPUTED_VALUE"""),"https://drive.google.com/open?id=10gNm--WlCh4QOxTroyUs_F_xPS1EQU43")</f>
        <v>https://drive.google.com/open?id=10gNm--WlCh4QOxTroyUs_F_xPS1EQU43</v>
      </c>
      <c r="J1812" s="59"/>
      <c r="K1812" s="59"/>
      <c r="L1812" s="59"/>
      <c r="M1812" s="59"/>
      <c r="N1812" s="59"/>
      <c r="O1812" s="59"/>
      <c r="P1812" s="59"/>
    </row>
    <row r="1813" spans="1:16">
      <c r="A1813" s="71">
        <f ca="1">IFERROR(__xludf.DUMMYFUNCTION("""COMPUTED_VALUE"""),44340.5962301736)</f>
        <v>44340.5962301736</v>
      </c>
      <c r="B1813" s="59" t="str">
        <f ca="1">IFERROR(__xludf.DUMMYFUNCTION("""COMPUTED_VALUE"""),"Vaghela Hiren Hasmukhabhi ")</f>
        <v xml:space="preserve">Vaghela Hiren Hasmukhabhi </v>
      </c>
      <c r="C1813" s="72" t="str">
        <f ca="1">IFERROR(__xludf.DUMMYFUNCTION("""COMPUTED_VALUE"""),"20SDSCE01130")</f>
        <v>20SDSCE01130</v>
      </c>
      <c r="D1813" s="73">
        <f ca="1">IFERROR(__xludf.DUMMYFUNCTION("""COMPUTED_VALUE"""),44340)</f>
        <v>44340</v>
      </c>
      <c r="E1813" s="74">
        <f ca="1">IFERROR(__xludf.DUMMYFUNCTION("""COMPUTED_VALUE"""),9000)</f>
        <v>9000</v>
      </c>
      <c r="F1813" s="72"/>
      <c r="G1813" s="75"/>
      <c r="H1813" s="59" t="str">
        <f ca="1">IFERROR(__xludf.DUMMYFUNCTION("""COMPUTED_VALUE"""),"UPDATE")</f>
        <v>UPDATE</v>
      </c>
      <c r="I1813" s="76" t="str">
        <f ca="1">IFERROR(__xludf.DUMMYFUNCTION("""COMPUTED_VALUE"""),"https://drive.google.com/open?id=174GQRueRnEf_b_vA3Mu-lalaJf1w4yUY")</f>
        <v>https://drive.google.com/open?id=174GQRueRnEf_b_vA3Mu-lalaJf1w4yUY</v>
      </c>
      <c r="J1813" s="59"/>
      <c r="K1813" s="59"/>
      <c r="L1813" s="59"/>
      <c r="M1813" s="59"/>
      <c r="N1813" s="59"/>
      <c r="O1813" s="59"/>
      <c r="P1813" s="59"/>
    </row>
    <row r="1814" spans="1:16">
      <c r="A1814" s="71">
        <f ca="1">IFERROR(__xludf.DUMMYFUNCTION("""COMPUTED_VALUE"""),44340.5014784606)</f>
        <v>44340.501478460603</v>
      </c>
      <c r="B1814" s="59" t="str">
        <f ca="1">IFERROR(__xludf.DUMMYFUNCTION("""COMPUTED_VALUE"""),"Romil Hiteshbhai Dobariya")</f>
        <v>Romil Hiteshbhai Dobariya</v>
      </c>
      <c r="C1814" s="72" t="str">
        <f ca="1">IFERROR(__xludf.DUMMYFUNCTION("""COMPUTED_VALUE"""),"20SDSCE01029")</f>
        <v>20SDSCE01029</v>
      </c>
      <c r="D1814" s="73">
        <f ca="1">IFERROR(__xludf.DUMMYFUNCTION("""COMPUTED_VALUE"""),44340)</f>
        <v>44340</v>
      </c>
      <c r="E1814" s="72"/>
      <c r="F1814" s="72"/>
      <c r="G1814" s="75"/>
      <c r="H1814" s="59" t="str">
        <f ca="1">IFERROR(__xludf.DUMMYFUNCTION("""COMPUTED_VALUE"""),"UPDATE")</f>
        <v>UPDATE</v>
      </c>
      <c r="I1814" s="76" t="str">
        <f ca="1">IFERROR(__xludf.DUMMYFUNCTION("""COMPUTED_VALUE"""),"https://drive.google.com/open?id=1omKpVvakMV2TtqIO5QJpB7m_6ropE6UA")</f>
        <v>https://drive.google.com/open?id=1omKpVvakMV2TtqIO5QJpB7m_6ropE6UA</v>
      </c>
      <c r="J1814" s="59"/>
      <c r="K1814" s="59"/>
      <c r="L1814" s="59"/>
      <c r="M1814" s="59"/>
      <c r="N1814" s="59"/>
      <c r="O1814" s="59"/>
      <c r="P1814" s="59"/>
    </row>
    <row r="1815" spans="1:16">
      <c r="A1815" s="71">
        <f ca="1">IFERROR(__xludf.DUMMYFUNCTION("""COMPUTED_VALUE"""),44340.4036713541)</f>
        <v>44340.403671354099</v>
      </c>
      <c r="B1815" s="59" t="str">
        <f ca="1">IFERROR(__xludf.DUMMYFUNCTION("""COMPUTED_VALUE"""),"Makadiya vivek Vijaya bhai")</f>
        <v>Makadiya vivek Vijaya bhai</v>
      </c>
      <c r="C1815" s="72" t="str">
        <f ca="1">IFERROR(__xludf.DUMMYFUNCTION("""COMPUTED_VALUE"""),"20SDSCV01004")</f>
        <v>20SDSCV01004</v>
      </c>
      <c r="D1815" s="73">
        <f ca="1">IFERROR(__xludf.DUMMYFUNCTION("""COMPUTED_VALUE"""),44340)</f>
        <v>44340</v>
      </c>
      <c r="E1815" s="72"/>
      <c r="F1815" s="72"/>
      <c r="G1815" s="75"/>
      <c r="H1815" s="59" t="str">
        <f ca="1">IFERROR(__xludf.DUMMYFUNCTION("""COMPUTED_VALUE"""),"UPDATE")</f>
        <v>UPDATE</v>
      </c>
      <c r="I1815" s="76" t="str">
        <f ca="1">IFERROR(__xludf.DUMMYFUNCTION("""COMPUTED_VALUE"""),"https://drive.google.com/open?id=1vVDY3R2mqMimKFGSa1asgKoVJmiCYaPJ")</f>
        <v>https://drive.google.com/open?id=1vVDY3R2mqMimKFGSa1asgKoVJmiCYaPJ</v>
      </c>
      <c r="J1815" s="59"/>
      <c r="K1815" s="59"/>
      <c r="L1815" s="59"/>
      <c r="M1815" s="59"/>
      <c r="N1815" s="59"/>
      <c r="O1815" s="59"/>
      <c r="P1815" s="59"/>
    </row>
    <row r="1816" spans="1:16">
      <c r="A1816" s="71">
        <f ca="1">IFERROR(__xludf.DUMMYFUNCTION("""COMPUTED_VALUE"""),44339.841623449)</f>
        <v>44339.841623449</v>
      </c>
      <c r="B1816" s="59" t="str">
        <f ca="1">IFERROR(__xludf.DUMMYFUNCTION("""COMPUTED_VALUE"""),"THUMMAR MEET M")</f>
        <v>THUMMAR MEET M</v>
      </c>
      <c r="C1816" s="72" t="str">
        <f ca="1">IFERROR(__xludf.DUMMYFUNCTION("""COMPUTED_VALUE"""),"20SDSEE01026")</f>
        <v>20SDSEE01026</v>
      </c>
      <c r="D1816" s="73">
        <f ca="1">IFERROR(__xludf.DUMMYFUNCTION("""COMPUTED_VALUE"""),44339)</f>
        <v>44339</v>
      </c>
      <c r="E1816" s="74">
        <f ca="1">IFERROR(__xludf.DUMMYFUNCTION("""COMPUTED_VALUE"""),0)</f>
        <v>0</v>
      </c>
      <c r="F1816" s="72">
        <f ca="1">IFERROR(__xludf.DUMMYFUNCTION("""COMPUTED_VALUE"""),2500)</f>
        <v>2500</v>
      </c>
      <c r="G1816" s="75"/>
      <c r="H1816" s="59" t="str">
        <f ca="1">IFERROR(__xludf.DUMMYFUNCTION("""COMPUTED_VALUE"""),"UPDATE")</f>
        <v>UPDATE</v>
      </c>
      <c r="I1816" s="76" t="str">
        <f ca="1">IFERROR(__xludf.DUMMYFUNCTION("""COMPUTED_VALUE"""),"https://drive.google.com/open?id=17lukzj3DqYXdVw1UjwNLmCc-ocfMBFfo")</f>
        <v>https://drive.google.com/open?id=17lukzj3DqYXdVw1UjwNLmCc-ocfMBFfo</v>
      </c>
      <c r="J1816" s="59"/>
      <c r="K1816" s="59"/>
      <c r="L1816" s="59"/>
      <c r="M1816" s="59"/>
      <c r="N1816" s="59"/>
      <c r="O1816" s="59"/>
      <c r="P1816" s="59"/>
    </row>
    <row r="1817" spans="1:16">
      <c r="A1817" s="71">
        <f ca="1">IFERROR(__xludf.DUMMYFUNCTION("""COMPUTED_VALUE"""),44339.8350550694)</f>
        <v>44339.835055069401</v>
      </c>
      <c r="B1817" s="59" t="str">
        <f ca="1">IFERROR(__xludf.DUMMYFUNCTION("""COMPUTED_VALUE"""),"Thummar  Meet M")</f>
        <v>Thummar  Meet M</v>
      </c>
      <c r="C1817" s="72" t="str">
        <f ca="1">IFERROR(__xludf.DUMMYFUNCTION("""COMPUTED_VALUE"""),"20SDSEE01026")</f>
        <v>20SDSEE01026</v>
      </c>
      <c r="D1817" s="73">
        <f ca="1">IFERROR(__xludf.DUMMYFUNCTION("""COMPUTED_VALUE"""),44339)</f>
        <v>44339</v>
      </c>
      <c r="E1817" s="74">
        <f ca="1">IFERROR(__xludf.DUMMYFUNCTION("""COMPUTED_VALUE"""),20000)</f>
        <v>20000</v>
      </c>
      <c r="F1817" s="72">
        <f ca="1">IFERROR(__xludf.DUMMYFUNCTION("""COMPUTED_VALUE"""),0)</f>
        <v>0</v>
      </c>
      <c r="G1817" s="75"/>
      <c r="H1817" s="59" t="str">
        <f ca="1">IFERROR(__xludf.DUMMYFUNCTION("""COMPUTED_VALUE"""),"UPDATE")</f>
        <v>UPDATE</v>
      </c>
      <c r="I1817" s="76" t="str">
        <f ca="1">IFERROR(__xludf.DUMMYFUNCTION("""COMPUTED_VALUE"""),"https://drive.google.com/open?id=13cLp3sSF1E0ZYqpUJhmbQW2OCgOOtfOk")</f>
        <v>https://drive.google.com/open?id=13cLp3sSF1E0ZYqpUJhmbQW2OCgOOtfOk</v>
      </c>
      <c r="J1817" s="59"/>
      <c r="K1817" s="59"/>
      <c r="L1817" s="59"/>
      <c r="M1817" s="59"/>
      <c r="N1817" s="59"/>
      <c r="O1817" s="59"/>
      <c r="P1817" s="59"/>
    </row>
    <row r="1818" spans="1:16">
      <c r="A1818" s="71">
        <f ca="1">IFERROR(__xludf.DUMMYFUNCTION("""COMPUTED_VALUE"""),44338.874816875)</f>
        <v>44338.874816875003</v>
      </c>
      <c r="B1818" s="59" t="str">
        <f ca="1">IFERROR(__xludf.DUMMYFUNCTION("""COMPUTED_VALUE"""),"Hapliya sunny chandubhai")</f>
        <v>Hapliya sunny chandubhai</v>
      </c>
      <c r="C1818" s="72" t="str">
        <f ca="1">IFERROR(__xludf.DUMMYFUNCTION("""COMPUTED_VALUE"""),"20SDSCE01042")</f>
        <v>20SDSCE01042</v>
      </c>
      <c r="D1818" s="73">
        <f ca="1">IFERROR(__xludf.DUMMYFUNCTION("""COMPUTED_VALUE"""),44338)</f>
        <v>44338</v>
      </c>
      <c r="E1818" s="74">
        <f ca="1">IFERROR(__xludf.DUMMYFUNCTION("""COMPUTED_VALUE"""),12500)</f>
        <v>12500</v>
      </c>
      <c r="F1818" s="72">
        <f ca="1">IFERROR(__xludf.DUMMYFUNCTION("""COMPUTED_VALUE"""),2500)</f>
        <v>2500</v>
      </c>
      <c r="G1818" s="75"/>
      <c r="H1818" s="59" t="str">
        <f ca="1">IFERROR(__xludf.DUMMYFUNCTION("""COMPUTED_VALUE"""),"UPDATE")</f>
        <v>UPDATE</v>
      </c>
      <c r="I1818" s="76" t="str">
        <f ca="1">IFERROR(__xludf.DUMMYFUNCTION("""COMPUTED_VALUE"""),"https://drive.google.com/open?id=1ErKrCv3QoHpTrxEBmNbVt4a2NDAWQt7v")</f>
        <v>https://drive.google.com/open?id=1ErKrCv3QoHpTrxEBmNbVt4a2NDAWQt7v</v>
      </c>
      <c r="J1818" s="59"/>
      <c r="K1818" s="59"/>
      <c r="L1818" s="59"/>
      <c r="M1818" s="59"/>
      <c r="N1818" s="59"/>
      <c r="O1818" s="59"/>
      <c r="P1818" s="59"/>
    </row>
    <row r="1819" spans="1:16">
      <c r="A1819" s="71">
        <f ca="1">IFERROR(__xludf.DUMMYFUNCTION("""COMPUTED_VALUE"""),44338.7252760185)</f>
        <v>44338.7252760185</v>
      </c>
      <c r="B1819" s="59" t="str">
        <f ca="1">IFERROR(__xludf.DUMMYFUNCTION("""COMPUTED_VALUE"""),"Keyur haresbhai asodariya")</f>
        <v>Keyur haresbhai asodariya</v>
      </c>
      <c r="C1819" s="72" t="str">
        <f ca="1">IFERROR(__xludf.DUMMYFUNCTION("""COMPUTED_VALUE"""),"20SDSEE01003")</f>
        <v>20SDSEE01003</v>
      </c>
      <c r="D1819" s="73">
        <f ca="1">IFERROR(__xludf.DUMMYFUNCTION("""COMPUTED_VALUE"""),44338)</f>
        <v>44338</v>
      </c>
      <c r="E1819" s="74">
        <f ca="1">IFERROR(__xludf.DUMMYFUNCTION("""COMPUTED_VALUE"""),0)</f>
        <v>0</v>
      </c>
      <c r="F1819" s="72">
        <f ca="1">IFERROR(__xludf.DUMMYFUNCTION("""COMPUTED_VALUE"""),2500)</f>
        <v>2500</v>
      </c>
      <c r="G1819" s="75"/>
      <c r="H1819" s="59" t="str">
        <f ca="1">IFERROR(__xludf.DUMMYFUNCTION("""COMPUTED_VALUE"""),"UPDATE")</f>
        <v>UPDATE</v>
      </c>
      <c r="I1819" s="76" t="str">
        <f ca="1">IFERROR(__xludf.DUMMYFUNCTION("""COMPUTED_VALUE"""),"https://drive.google.com/open?id=1sONMeJuY69XLE7F42-01JuEh705rB51F")</f>
        <v>https://drive.google.com/open?id=1sONMeJuY69XLE7F42-01JuEh705rB51F</v>
      </c>
      <c r="J1819" s="59"/>
      <c r="K1819" s="59"/>
      <c r="L1819" s="59"/>
      <c r="M1819" s="59"/>
      <c r="N1819" s="59"/>
      <c r="O1819" s="59"/>
      <c r="P1819" s="59"/>
    </row>
    <row r="1820" spans="1:16">
      <c r="A1820" s="71">
        <f ca="1">IFERROR(__xludf.DUMMYFUNCTION("""COMPUTED_VALUE"""),44338.7239775926)</f>
        <v>44338.723977592599</v>
      </c>
      <c r="B1820" s="59" t="str">
        <f ca="1">IFERROR(__xludf.DUMMYFUNCTION("""COMPUTED_VALUE"""),"Keyur haresbhai asodariya")</f>
        <v>Keyur haresbhai asodariya</v>
      </c>
      <c r="C1820" s="72" t="str">
        <f ca="1">IFERROR(__xludf.DUMMYFUNCTION("""COMPUTED_VALUE"""),"20SDSEE01003")</f>
        <v>20SDSEE01003</v>
      </c>
      <c r="D1820" s="73">
        <f ca="1">IFERROR(__xludf.DUMMYFUNCTION("""COMPUTED_VALUE"""),44338)</f>
        <v>44338</v>
      </c>
      <c r="E1820" s="74">
        <f ca="1">IFERROR(__xludf.DUMMYFUNCTION("""COMPUTED_VALUE"""),25000)</f>
        <v>25000</v>
      </c>
      <c r="F1820" s="72">
        <f ca="1">IFERROR(__xludf.DUMMYFUNCTION("""COMPUTED_VALUE"""),2500)</f>
        <v>2500</v>
      </c>
      <c r="G1820" s="75"/>
      <c r="H1820" s="59" t="str">
        <f ca="1">IFERROR(__xludf.DUMMYFUNCTION("""COMPUTED_VALUE"""),"UPDATE")</f>
        <v>UPDATE</v>
      </c>
      <c r="I1820" s="76" t="str">
        <f ca="1">IFERROR(__xludf.DUMMYFUNCTION("""COMPUTED_VALUE"""),"https://drive.google.com/open?id=13ChLR7GIsUTCuDIhrV6BmeACy2D50nty")</f>
        <v>https://drive.google.com/open?id=13ChLR7GIsUTCuDIhrV6BmeACy2D50nty</v>
      </c>
      <c r="J1820" s="59"/>
      <c r="K1820" s="59"/>
      <c r="L1820" s="59"/>
      <c r="M1820" s="59"/>
      <c r="N1820" s="59"/>
      <c r="O1820" s="59"/>
      <c r="P1820" s="59"/>
    </row>
    <row r="1821" spans="1:16">
      <c r="A1821" s="71">
        <f ca="1">IFERROR(__xludf.DUMMYFUNCTION("""COMPUTED_VALUE"""),44338.6018818634)</f>
        <v>44338.601881863397</v>
      </c>
      <c r="B1821" s="59" t="str">
        <f ca="1">IFERROR(__xludf.DUMMYFUNCTION("""COMPUTED_VALUE"""),"Vaghjiyani Hiten Laljibhai ")</f>
        <v xml:space="preserve">Vaghjiyani Hiten Laljibhai </v>
      </c>
      <c r="C1821" s="72" t="str">
        <f ca="1">IFERROR(__xludf.DUMMYFUNCTION("""COMPUTED_VALUE"""),"20SDSCE01133")</f>
        <v>20SDSCE01133</v>
      </c>
      <c r="D1821" s="73">
        <f ca="1">IFERROR(__xludf.DUMMYFUNCTION("""COMPUTED_VALUE"""),44338)</f>
        <v>44338</v>
      </c>
      <c r="E1821" s="72"/>
      <c r="F1821" s="72">
        <f ca="1">IFERROR(__xludf.DUMMYFUNCTION("""COMPUTED_VALUE"""),2500)</f>
        <v>2500</v>
      </c>
      <c r="G1821" s="75"/>
      <c r="H1821" s="59" t="str">
        <f ca="1">IFERROR(__xludf.DUMMYFUNCTION("""COMPUTED_VALUE"""),"UPDATE")</f>
        <v>UPDATE</v>
      </c>
      <c r="I1821" s="76" t="str">
        <f ca="1">IFERROR(__xludf.DUMMYFUNCTION("""COMPUTED_VALUE"""),"https://drive.google.com/open?id=1mKZGSv2Fguz_tc-21pP3ZU-J_bR-4kCz")</f>
        <v>https://drive.google.com/open?id=1mKZGSv2Fguz_tc-21pP3ZU-J_bR-4kCz</v>
      </c>
      <c r="J1821" s="59"/>
      <c r="K1821" s="59"/>
      <c r="L1821" s="59"/>
      <c r="M1821" s="59"/>
      <c r="N1821" s="59"/>
      <c r="O1821" s="59"/>
      <c r="P1821" s="59"/>
    </row>
    <row r="1822" spans="1:16">
      <c r="A1822" s="71">
        <f ca="1">IFERROR(__xludf.DUMMYFUNCTION("""COMPUTED_VALUE"""),44338.6010128472)</f>
        <v>44338.601012847197</v>
      </c>
      <c r="B1822" s="59" t="str">
        <f ca="1">IFERROR(__xludf.DUMMYFUNCTION("""COMPUTED_VALUE"""),"Vaghjiyani Hiten Laljibhai ")</f>
        <v xml:space="preserve">Vaghjiyani Hiten Laljibhai </v>
      </c>
      <c r="C1822" s="72" t="str">
        <f ca="1">IFERROR(__xludf.DUMMYFUNCTION("""COMPUTED_VALUE"""),"20SDSCE01133")</f>
        <v>20SDSCE01133</v>
      </c>
      <c r="D1822" s="73">
        <f ca="1">IFERROR(__xludf.DUMMYFUNCTION("""COMPUTED_VALUE"""),44338)</f>
        <v>44338</v>
      </c>
      <c r="E1822" s="74">
        <f ca="1">IFERROR(__xludf.DUMMYFUNCTION("""COMPUTED_VALUE"""),12500)</f>
        <v>12500</v>
      </c>
      <c r="F1822" s="72"/>
      <c r="G1822" s="75"/>
      <c r="H1822" s="59" t="str">
        <f ca="1">IFERROR(__xludf.DUMMYFUNCTION("""COMPUTED_VALUE"""),"UPDATE")</f>
        <v>UPDATE</v>
      </c>
      <c r="I1822" s="76" t="str">
        <f ca="1">IFERROR(__xludf.DUMMYFUNCTION("""COMPUTED_VALUE"""),"https://drive.google.com/open?id=1jQ72ifbu4fFU9ouDheQ_UmsZZn7pSFjl")</f>
        <v>https://drive.google.com/open?id=1jQ72ifbu4fFU9ouDheQ_UmsZZn7pSFjl</v>
      </c>
      <c r="J1822" s="59"/>
      <c r="K1822" s="59"/>
      <c r="L1822" s="59"/>
      <c r="M1822" s="59"/>
      <c r="N1822" s="59"/>
      <c r="O1822" s="59"/>
      <c r="P1822" s="59"/>
    </row>
    <row r="1823" spans="1:16">
      <c r="A1823" s="71">
        <f ca="1">IFERROR(__xludf.DUMMYFUNCTION("""COMPUTED_VALUE"""),44337.8916439467)</f>
        <v>44337.891643946699</v>
      </c>
      <c r="B1823" s="59" t="str">
        <f ca="1">IFERROR(__xludf.DUMMYFUNCTION("""COMPUTED_VALUE"""),"Heet kanabar rajeshbhai")</f>
        <v>Heet kanabar rajeshbhai</v>
      </c>
      <c r="C1823" s="72" t="str">
        <f ca="1">IFERROR(__xludf.DUMMYFUNCTION("""COMPUTED_VALUE"""),"20SDSCE01049")</f>
        <v>20SDSCE01049</v>
      </c>
      <c r="D1823" s="73">
        <f ca="1">IFERROR(__xludf.DUMMYFUNCTION("""COMPUTED_VALUE"""),44337)</f>
        <v>44337</v>
      </c>
      <c r="E1823" s="72"/>
      <c r="F1823" s="72">
        <f ca="1">IFERROR(__xludf.DUMMYFUNCTION("""COMPUTED_VALUE"""),2500)</f>
        <v>2500</v>
      </c>
      <c r="G1823" s="75"/>
      <c r="H1823" s="59" t="str">
        <f ca="1">IFERROR(__xludf.DUMMYFUNCTION("""COMPUTED_VALUE"""),"UPDATE")</f>
        <v>UPDATE</v>
      </c>
      <c r="I1823" s="76" t="str">
        <f ca="1">IFERROR(__xludf.DUMMYFUNCTION("""COMPUTED_VALUE"""),"https://drive.google.com/open?id=1Egrp3iEiTVDBOVudB68CnA6pIKqXaqtb")</f>
        <v>https://drive.google.com/open?id=1Egrp3iEiTVDBOVudB68CnA6pIKqXaqtb</v>
      </c>
      <c r="J1823" s="59"/>
      <c r="K1823" s="59"/>
      <c r="L1823" s="59"/>
      <c r="M1823" s="59"/>
      <c r="N1823" s="59"/>
      <c r="O1823" s="59"/>
      <c r="P1823" s="59"/>
    </row>
    <row r="1824" spans="1:16">
      <c r="A1824" s="71">
        <f ca="1">IFERROR(__xludf.DUMMYFUNCTION("""COMPUTED_VALUE"""),44337.8909718518)</f>
        <v>44337.890971851797</v>
      </c>
      <c r="B1824" s="59" t="str">
        <f ca="1">IFERROR(__xludf.DUMMYFUNCTION("""COMPUTED_VALUE"""),"Heet kanabar rajeshbhai")</f>
        <v>Heet kanabar rajeshbhai</v>
      </c>
      <c r="C1824" s="72" t="str">
        <f ca="1">IFERROR(__xludf.DUMMYFUNCTION("""COMPUTED_VALUE"""),"20SDSCE01049")</f>
        <v>20SDSCE01049</v>
      </c>
      <c r="D1824" s="73">
        <f ca="1">IFERROR(__xludf.DUMMYFUNCTION("""COMPUTED_VALUE"""),44337)</f>
        <v>44337</v>
      </c>
      <c r="E1824" s="74">
        <f ca="1">IFERROR(__xludf.DUMMYFUNCTION("""COMPUTED_VALUE"""),25000)</f>
        <v>25000</v>
      </c>
      <c r="F1824" s="72"/>
      <c r="G1824" s="75"/>
      <c r="H1824" s="59" t="str">
        <f ca="1">IFERROR(__xludf.DUMMYFUNCTION("""COMPUTED_VALUE"""),"UPDATE")</f>
        <v>UPDATE</v>
      </c>
      <c r="I1824" s="76" t="str">
        <f ca="1">IFERROR(__xludf.DUMMYFUNCTION("""COMPUTED_VALUE"""),"https://drive.google.com/open?id=1u1Wbm1YtC4fawq10Be-VuXnBYKUA8VYz")</f>
        <v>https://drive.google.com/open?id=1u1Wbm1YtC4fawq10Be-VuXnBYKUA8VYz</v>
      </c>
      <c r="J1824" s="59"/>
      <c r="K1824" s="59"/>
      <c r="L1824" s="59"/>
      <c r="M1824" s="59"/>
      <c r="N1824" s="59"/>
      <c r="O1824" s="59"/>
      <c r="P1824" s="59"/>
    </row>
    <row r="1825" spans="1:16">
      <c r="A1825" s="71">
        <f ca="1">IFERROR(__xludf.DUMMYFUNCTION("""COMPUTED_VALUE"""),44329.8074509259)</f>
        <v>44329.807450925902</v>
      </c>
      <c r="B1825" s="59" t="str">
        <f ca="1">IFERROR(__xludf.DUMMYFUNCTION("""COMPUTED_VALUE"""),"Chavda Karansinh H")</f>
        <v>Chavda Karansinh H</v>
      </c>
      <c r="C1825" s="72" t="str">
        <f ca="1">IFERROR(__xludf.DUMMYFUNCTION("""COMPUTED_VALUE"""),"20SDSCE01016")</f>
        <v>20SDSCE01016</v>
      </c>
      <c r="D1825" s="73">
        <f ca="1">IFERROR(__xludf.DUMMYFUNCTION("""COMPUTED_VALUE"""),44245)</f>
        <v>44245</v>
      </c>
      <c r="E1825" s="74">
        <f ca="1">IFERROR(__xludf.DUMMYFUNCTION("""COMPUTED_VALUE"""),25000)</f>
        <v>25000</v>
      </c>
      <c r="F1825" s="72">
        <f ca="1">IFERROR(__xludf.DUMMYFUNCTION("""COMPUTED_VALUE"""),2500)</f>
        <v>2500</v>
      </c>
      <c r="G1825" s="75"/>
      <c r="H1825" s="59" t="str">
        <f ca="1">IFERROR(__xludf.DUMMYFUNCTION("""COMPUTED_VALUE"""),"UPDATE")</f>
        <v>UPDATE</v>
      </c>
      <c r="I1825" s="76" t="str">
        <f ca="1">IFERROR(__xludf.DUMMYFUNCTION("""COMPUTED_VALUE"""),"https://drive.google.com/open?id=1uNNsyab2omjiPpfYE8dPPagIrh9c75rY")</f>
        <v>https://drive.google.com/open?id=1uNNsyab2omjiPpfYE8dPPagIrh9c75rY</v>
      </c>
      <c r="J1825" s="59"/>
      <c r="K1825" s="59"/>
      <c r="L1825" s="59"/>
      <c r="M1825" s="59"/>
      <c r="N1825" s="59"/>
      <c r="O1825" s="59"/>
      <c r="P1825" s="59"/>
    </row>
    <row r="1826" spans="1:16">
      <c r="A1826" s="71">
        <f ca="1">IFERROR(__xludf.DUMMYFUNCTION("""COMPUTED_VALUE"""),44329.8040101504)</f>
        <v>44329.804010150401</v>
      </c>
      <c r="B1826" s="59" t="str">
        <f ca="1">IFERROR(__xludf.DUMMYFUNCTION("""COMPUTED_VALUE"""),"Ratanpara Hetkumar Rajendra")</f>
        <v>Ratanpara Hetkumar Rajendra</v>
      </c>
      <c r="C1826" s="72" t="str">
        <f ca="1">IFERROR(__xludf.DUMMYFUNCTION("""COMPUTED_VALUE"""),"20SDSCE01094")</f>
        <v>20SDSCE01094</v>
      </c>
      <c r="D1826" s="73">
        <f ca="1">IFERROR(__xludf.DUMMYFUNCTION("""COMPUTED_VALUE"""),44329)</f>
        <v>44329</v>
      </c>
      <c r="E1826" s="74">
        <f ca="1">IFERROR(__xludf.DUMMYFUNCTION("""COMPUTED_VALUE"""),25000)</f>
        <v>25000</v>
      </c>
      <c r="F1826" s="72"/>
      <c r="G1826" s="75"/>
      <c r="H1826" s="59" t="str">
        <f ca="1">IFERROR(__xludf.DUMMYFUNCTION("""COMPUTED_VALUE"""),"UPDATE")</f>
        <v>UPDATE</v>
      </c>
      <c r="I1826" s="76" t="str">
        <f ca="1">IFERROR(__xludf.DUMMYFUNCTION("""COMPUTED_VALUE"""),"https://drive.google.com/open?id=1_G9-C2me0nuxk-MOqY-Y_pE7APwrC9TU")</f>
        <v>https://drive.google.com/open?id=1_G9-C2me0nuxk-MOqY-Y_pE7APwrC9TU</v>
      </c>
      <c r="J1826" s="59"/>
      <c r="K1826" s="59"/>
      <c r="L1826" s="59"/>
      <c r="M1826" s="59"/>
      <c r="N1826" s="59"/>
      <c r="O1826" s="59"/>
      <c r="P1826" s="59"/>
    </row>
    <row r="1827" spans="1:16">
      <c r="A1827" s="71">
        <f ca="1">IFERROR(__xludf.DUMMYFUNCTION("""COMPUTED_VALUE"""),44329.5872006944)</f>
        <v>44329.587200694397</v>
      </c>
      <c r="B1827" s="59" t="str">
        <f ca="1">IFERROR(__xludf.DUMMYFUNCTION("""COMPUTED_VALUE"""),"Pansuriya jay Jignesbhai")</f>
        <v>Pansuriya jay Jignesbhai</v>
      </c>
      <c r="C1827" s="72" t="str">
        <f ca="1">IFERROR(__xludf.DUMMYFUNCTION("""COMPUTED_VALUE"""),"20SDSCE01076")</f>
        <v>20SDSCE01076</v>
      </c>
      <c r="D1827" s="73">
        <f ca="1">IFERROR(__xludf.DUMMYFUNCTION("""COMPUTED_VALUE"""),44329)</f>
        <v>44329</v>
      </c>
      <c r="E1827" s="74">
        <f ca="1">IFERROR(__xludf.DUMMYFUNCTION("""COMPUTED_VALUE"""),25000)</f>
        <v>25000</v>
      </c>
      <c r="F1827" s="72"/>
      <c r="G1827" s="75"/>
      <c r="H1827" s="59" t="str">
        <f ca="1">IFERROR(__xludf.DUMMYFUNCTION("""COMPUTED_VALUE"""),"UPDATE")</f>
        <v>UPDATE</v>
      </c>
      <c r="I1827" s="76" t="str">
        <f ca="1">IFERROR(__xludf.DUMMYFUNCTION("""COMPUTED_VALUE"""),"https://drive.google.com/open?id=1tizQbbmlcTyj85L8_Duu3QDD4eCLz7LZ")</f>
        <v>https://drive.google.com/open?id=1tizQbbmlcTyj85L8_Duu3QDD4eCLz7LZ</v>
      </c>
      <c r="J1827" s="59"/>
      <c r="K1827" s="59"/>
      <c r="L1827" s="59"/>
      <c r="M1827" s="59"/>
      <c r="N1827" s="59"/>
      <c r="O1827" s="59"/>
      <c r="P1827" s="59"/>
    </row>
    <row r="1828" spans="1:16">
      <c r="A1828" s="71">
        <f ca="1">IFERROR(__xludf.DUMMYFUNCTION("""COMPUTED_VALUE"""),44327.502878125)</f>
        <v>44327.502878125</v>
      </c>
      <c r="B1828" s="59" t="str">
        <f ca="1">IFERROR(__xludf.DUMMYFUNCTION("""COMPUTED_VALUE"""),"Shubh Mukeshbhai Rupapara")</f>
        <v>Shubh Mukeshbhai Rupapara</v>
      </c>
      <c r="C1828" s="72" t="str">
        <f ca="1">IFERROR(__xludf.DUMMYFUNCTION("""COMPUTED_VALUE"""),"20SDSCE01103")</f>
        <v>20SDSCE01103</v>
      </c>
      <c r="D1828" s="73">
        <f ca="1">IFERROR(__xludf.DUMMYFUNCTION("""COMPUTED_VALUE"""),44213)</f>
        <v>44213</v>
      </c>
      <c r="E1828" s="74">
        <f ca="1">IFERROR(__xludf.DUMMYFUNCTION("""COMPUTED_VALUE"""),12500)</f>
        <v>12500</v>
      </c>
      <c r="F1828" s="72">
        <f ca="1">IFERROR(__xludf.DUMMYFUNCTION("""COMPUTED_VALUE"""),2500)</f>
        <v>2500</v>
      </c>
      <c r="G1828" s="75"/>
      <c r="H1828" s="59" t="str">
        <f ca="1">IFERROR(__xludf.DUMMYFUNCTION("""COMPUTED_VALUE"""),"UPDATE")</f>
        <v>UPDATE</v>
      </c>
      <c r="I1828" s="76" t="str">
        <f ca="1">IFERROR(__xludf.DUMMYFUNCTION("""COMPUTED_VALUE"""),"https://drive.google.com/open?id=1aM_WuYNQ2TPVNGnBsrw-U9Xjeyor7FY6")</f>
        <v>https://drive.google.com/open?id=1aM_WuYNQ2TPVNGnBsrw-U9Xjeyor7FY6</v>
      </c>
      <c r="J1828" s="59"/>
      <c r="K1828" s="59"/>
      <c r="L1828" s="59"/>
      <c r="M1828" s="59"/>
      <c r="N1828" s="59"/>
      <c r="O1828" s="59"/>
      <c r="P1828" s="59"/>
    </row>
    <row r="1829" spans="1:16">
      <c r="A1829" s="71">
        <f ca="1">IFERROR(__xludf.DUMMYFUNCTION("""COMPUTED_VALUE"""),44323.5363491087)</f>
        <v>44323.536349108697</v>
      </c>
      <c r="B1829" s="59" t="str">
        <f ca="1">IFERROR(__xludf.DUMMYFUNCTION("""COMPUTED_VALUE"""),"MASAND SANTOSH HARESHBHAI")</f>
        <v>MASAND SANTOSH HARESHBHAI</v>
      </c>
      <c r="C1829" s="72" t="str">
        <f ca="1">IFERROR(__xludf.DUMMYFUNCTION("""COMPUTED_VALUE"""),"18SDSCE01035")</f>
        <v>18SDSCE01035</v>
      </c>
      <c r="D1829" s="73">
        <f ca="1">IFERROR(__xludf.DUMMYFUNCTION("""COMPUTED_VALUE"""),44322)</f>
        <v>44322</v>
      </c>
      <c r="E1829" s="74">
        <f ca="1">IFERROR(__xludf.DUMMYFUNCTION("""COMPUTED_VALUE"""),16500)</f>
        <v>16500</v>
      </c>
      <c r="F1829" s="72"/>
      <c r="G1829" s="75"/>
      <c r="H1829" s="59" t="str">
        <f ca="1">IFERROR(__xludf.DUMMYFUNCTION("""COMPUTED_VALUE"""),"UPDATE")</f>
        <v>UPDATE</v>
      </c>
      <c r="I1829" s="76" t="str">
        <f ca="1">IFERROR(__xludf.DUMMYFUNCTION("""COMPUTED_VALUE"""),"https://drive.google.com/open?id=145gzzdjMuoSqYNKF_SBSJQUY2gRKvPzM")</f>
        <v>https://drive.google.com/open?id=145gzzdjMuoSqYNKF_SBSJQUY2gRKvPzM</v>
      </c>
      <c r="J1829" s="59"/>
      <c r="K1829" s="59"/>
      <c r="L1829" s="59"/>
      <c r="M1829" s="59"/>
      <c r="N1829" s="59"/>
      <c r="O1829" s="59"/>
      <c r="P1829" s="59"/>
    </row>
    <row r="1830" spans="1:16">
      <c r="A1830" s="71">
        <f ca="1">IFERROR(__xludf.DUMMYFUNCTION("""COMPUTED_VALUE"""),44315.8328915624)</f>
        <v>44315.832891562401</v>
      </c>
      <c r="B1830" s="59" t="str">
        <f ca="1">IFERROR(__xludf.DUMMYFUNCTION("""COMPUTED_VALUE"""),"Khoradiya Savan M")</f>
        <v>Khoradiya Savan M</v>
      </c>
      <c r="C1830" s="72" t="str">
        <f ca="1">IFERROR(__xludf.DUMMYFUNCTION("""COMPUTED_VALUE"""),"20SDSEE01013")</f>
        <v>20SDSEE01013</v>
      </c>
      <c r="D1830" s="73">
        <f ca="1">IFERROR(__xludf.DUMMYFUNCTION("""COMPUTED_VALUE"""),44315)</f>
        <v>44315</v>
      </c>
      <c r="E1830" s="74">
        <f ca="1">IFERROR(__xludf.DUMMYFUNCTION("""COMPUTED_VALUE"""),0)</f>
        <v>0</v>
      </c>
      <c r="F1830" s="72">
        <f ca="1">IFERROR(__xludf.DUMMYFUNCTION("""COMPUTED_VALUE"""),2500)</f>
        <v>2500</v>
      </c>
      <c r="G1830" s="75"/>
      <c r="H1830" s="59" t="str">
        <f ca="1">IFERROR(__xludf.DUMMYFUNCTION("""COMPUTED_VALUE"""),"UPDATE")</f>
        <v>UPDATE</v>
      </c>
      <c r="I1830" s="76" t="str">
        <f ca="1">IFERROR(__xludf.DUMMYFUNCTION("""COMPUTED_VALUE"""),"https://drive.google.com/open?id=1OP6TaqCOYSco5YUgvGZ572oPIz_COK_b")</f>
        <v>https://drive.google.com/open?id=1OP6TaqCOYSco5YUgvGZ572oPIz_COK_b</v>
      </c>
      <c r="J1830" s="59"/>
      <c r="K1830" s="59"/>
      <c r="L1830" s="59"/>
      <c r="M1830" s="59"/>
      <c r="N1830" s="59"/>
      <c r="O1830" s="59"/>
      <c r="P1830" s="59"/>
    </row>
    <row r="1831" spans="1:16">
      <c r="A1831" s="71">
        <f ca="1">IFERROR(__xludf.DUMMYFUNCTION("""COMPUTED_VALUE"""),44314.9965387037)</f>
        <v>44314.996538703701</v>
      </c>
      <c r="B1831" s="59" t="str">
        <f ca="1">IFERROR(__xludf.DUMMYFUNCTION("""COMPUTED_VALUE"""),"Harsh Chandarana")</f>
        <v>Harsh Chandarana</v>
      </c>
      <c r="C1831" s="72" t="str">
        <f ca="1">IFERROR(__xludf.DUMMYFUNCTION("""COMPUTED_VALUE"""),"19SDSCE01005")</f>
        <v>19SDSCE01005</v>
      </c>
      <c r="D1831" s="73">
        <f ca="1">IFERROR(__xludf.DUMMYFUNCTION("""COMPUTED_VALUE"""),44312)</f>
        <v>44312</v>
      </c>
      <c r="E1831" s="74">
        <f ca="1">IFERROR(__xludf.DUMMYFUNCTION("""COMPUTED_VALUE"""),25000)</f>
        <v>25000</v>
      </c>
      <c r="F1831" s="72"/>
      <c r="G1831" s="75"/>
      <c r="H1831" s="59" t="str">
        <f ca="1">IFERROR(__xludf.DUMMYFUNCTION("""COMPUTED_VALUE"""),"UPDATE")</f>
        <v>UPDATE</v>
      </c>
      <c r="I1831" s="76" t="str">
        <f ca="1">IFERROR(__xludf.DUMMYFUNCTION("""COMPUTED_VALUE"""),"https://drive.google.com/open?id=1ynzOYx8sXaDvTMYuC8fM0o_tRQjYGdhb")</f>
        <v>https://drive.google.com/open?id=1ynzOYx8sXaDvTMYuC8fM0o_tRQjYGdhb</v>
      </c>
      <c r="J1831" s="59"/>
      <c r="K1831" s="59"/>
      <c r="L1831" s="59"/>
      <c r="M1831" s="59"/>
      <c r="N1831" s="59"/>
      <c r="O1831" s="59"/>
      <c r="P1831" s="59"/>
    </row>
    <row r="1832" spans="1:16">
      <c r="A1832" s="71">
        <f ca="1">IFERROR(__xludf.DUMMYFUNCTION("""COMPUTED_VALUE"""),44314.3080794675)</f>
        <v>44314.308079467497</v>
      </c>
      <c r="B1832" s="59" t="str">
        <f ca="1">IFERROR(__xludf.DUMMYFUNCTION("""COMPUTED_VALUE"""),"ZILPAKUMARI RAJENDRABHAI CHAUDHARI ")</f>
        <v xml:space="preserve">ZILPAKUMARI RAJENDRABHAI CHAUDHARI </v>
      </c>
      <c r="C1832" s="72" t="str">
        <f ca="1">IFERROR(__xludf.DUMMYFUNCTION("""COMPUTED_VALUE"""),"18SDSEE01004")</f>
        <v>18SDSEE01004</v>
      </c>
      <c r="D1832" s="73">
        <f ca="1">IFERROR(__xludf.DUMMYFUNCTION("""COMPUTED_VALUE"""),44310)</f>
        <v>44310</v>
      </c>
      <c r="E1832" s="72"/>
      <c r="F1832" s="72"/>
      <c r="G1832" s="75"/>
      <c r="H1832" s="59" t="str">
        <f ca="1">IFERROR(__xludf.DUMMYFUNCTION("""COMPUTED_VALUE"""),"UPDATE")</f>
        <v>UPDATE</v>
      </c>
      <c r="I1832" s="76" t="str">
        <f ca="1">IFERROR(__xludf.DUMMYFUNCTION("""COMPUTED_VALUE"""),"https://drive.google.com/open?id=1i9J6gZUf0JbzpvRJ4cu4T2_SoX-V1s2r")</f>
        <v>https://drive.google.com/open?id=1i9J6gZUf0JbzpvRJ4cu4T2_SoX-V1s2r</v>
      </c>
      <c r="J1832" s="59"/>
      <c r="K1832" s="59"/>
      <c r="L1832" s="59"/>
      <c r="M1832" s="59"/>
      <c r="N1832" s="59"/>
      <c r="O1832" s="59"/>
      <c r="P1832" s="59"/>
    </row>
    <row r="1833" spans="1:16">
      <c r="A1833" s="71">
        <f ca="1">IFERROR(__xludf.DUMMYFUNCTION("""COMPUTED_VALUE"""),44309.533336574)</f>
        <v>44309.533336574001</v>
      </c>
      <c r="B1833" s="59" t="str">
        <f ca="1">IFERROR(__xludf.DUMMYFUNCTION("""COMPUTED_VALUE"""),"Padaliya dharmesh anilbhai")</f>
        <v>Padaliya dharmesh anilbhai</v>
      </c>
      <c r="C1833" s="72" t="str">
        <f ca="1">IFERROR(__xludf.DUMMYFUNCTION("""COMPUTED_VALUE"""),"18sdsee01013 ")</f>
        <v xml:space="preserve">18sdsee01013 </v>
      </c>
      <c r="D1833" s="73">
        <f ca="1">IFERROR(__xludf.DUMMYFUNCTION("""COMPUTED_VALUE"""),44309)</f>
        <v>44309</v>
      </c>
      <c r="E1833" s="72"/>
      <c r="F1833" s="72">
        <f ca="1">IFERROR(__xludf.DUMMYFUNCTION("""COMPUTED_VALUE"""),2500)</f>
        <v>2500</v>
      </c>
      <c r="G1833" s="75"/>
      <c r="H1833" s="59" t="str">
        <f ca="1">IFERROR(__xludf.DUMMYFUNCTION("""COMPUTED_VALUE"""),"UPDATE")</f>
        <v>UPDATE</v>
      </c>
      <c r="I1833" s="76" t="str">
        <f ca="1">IFERROR(__xludf.DUMMYFUNCTION("""COMPUTED_VALUE"""),"https://drive.google.com/open?id=1i6f38zPX9hQiY2tNuMRc6P9Y5ZbsquYX")</f>
        <v>https://drive.google.com/open?id=1i6f38zPX9hQiY2tNuMRc6P9Y5ZbsquYX</v>
      </c>
      <c r="J1833" s="59"/>
      <c r="K1833" s="59"/>
      <c r="L1833" s="59"/>
      <c r="M1833" s="59"/>
      <c r="N1833" s="59"/>
      <c r="O1833" s="59"/>
      <c r="P1833" s="59"/>
    </row>
    <row r="1834" spans="1:16">
      <c r="A1834" s="71">
        <f ca="1">IFERROR(__xludf.DUMMYFUNCTION("""COMPUTED_VALUE"""),44308.7806674421)</f>
        <v>44308.780667442101</v>
      </c>
      <c r="B1834" s="59" t="str">
        <f ca="1">IFERROR(__xludf.DUMMYFUNCTION("""COMPUTED_VALUE"""),"Rathod nishit")</f>
        <v>Rathod nishit</v>
      </c>
      <c r="C1834" s="72" t="str">
        <f ca="1">IFERROR(__xludf.DUMMYFUNCTION("""COMPUTED_VALUE"""),"19sdsee01007")</f>
        <v>19sdsee01007</v>
      </c>
      <c r="D1834" s="73">
        <f ca="1">IFERROR(__xludf.DUMMYFUNCTION("""COMPUTED_VALUE"""),44317)</f>
        <v>44317</v>
      </c>
      <c r="E1834" s="72"/>
      <c r="F1834" s="72"/>
      <c r="G1834" s="75"/>
      <c r="H1834" s="59" t="str">
        <f ca="1">IFERROR(__xludf.DUMMYFUNCTION("""COMPUTED_VALUE"""),"UPDATE")</f>
        <v>UPDATE</v>
      </c>
      <c r="I1834" s="76" t="str">
        <f ca="1">IFERROR(__xludf.DUMMYFUNCTION("""COMPUTED_VALUE"""),"https://drive.google.com/open?id=1gRiJRskskVjNwEyrtJwW5wawAuCZw6bM")</f>
        <v>https://drive.google.com/open?id=1gRiJRskskVjNwEyrtJwW5wawAuCZw6bM</v>
      </c>
      <c r="J1834" s="59"/>
      <c r="K1834" s="59"/>
      <c r="L1834" s="59"/>
      <c r="M1834" s="59"/>
      <c r="N1834" s="59"/>
      <c r="O1834" s="59"/>
      <c r="P1834" s="59"/>
    </row>
    <row r="1835" spans="1:16">
      <c r="A1835" s="71">
        <f ca="1">IFERROR(__xludf.DUMMYFUNCTION("""COMPUTED_VALUE"""),44308.6393566203)</f>
        <v>44308.639356620297</v>
      </c>
      <c r="B1835" s="59" t="str">
        <f ca="1">IFERROR(__xludf.DUMMYFUNCTION("""COMPUTED_VALUE"""),"RATHOD NISHIT NARANBHAI")</f>
        <v>RATHOD NISHIT NARANBHAI</v>
      </c>
      <c r="C1835" s="72" t="str">
        <f ca="1">IFERROR(__xludf.DUMMYFUNCTION("""COMPUTED_VALUE"""),"19SDSEE01007")</f>
        <v>19SDSEE01007</v>
      </c>
      <c r="D1835" s="73">
        <f ca="1">IFERROR(__xludf.DUMMYFUNCTION("""COMPUTED_VALUE"""),44305)</f>
        <v>44305</v>
      </c>
      <c r="E1835" s="72"/>
      <c r="F1835" s="72">
        <f ca="1">IFERROR(__xludf.DUMMYFUNCTION("""COMPUTED_VALUE"""),2500)</f>
        <v>2500</v>
      </c>
      <c r="G1835" s="75"/>
      <c r="H1835" s="59" t="str">
        <f ca="1">IFERROR(__xludf.DUMMYFUNCTION("""COMPUTED_VALUE"""),"UPDATE")</f>
        <v>UPDATE</v>
      </c>
      <c r="I1835" s="76" t="str">
        <f ca="1">IFERROR(__xludf.DUMMYFUNCTION("""COMPUTED_VALUE"""),"https://drive.google.com/open?id=1hrBtnfo86xO9e7wjP9lepzzOUWnr1FAq")</f>
        <v>https://drive.google.com/open?id=1hrBtnfo86xO9e7wjP9lepzzOUWnr1FAq</v>
      </c>
      <c r="J1835" s="59"/>
      <c r="K1835" s="59"/>
      <c r="L1835" s="59"/>
      <c r="M1835" s="59"/>
      <c r="N1835" s="59"/>
      <c r="O1835" s="59"/>
      <c r="P1835" s="59"/>
    </row>
    <row r="1836" spans="1:16">
      <c r="A1836" s="71">
        <f ca="1">IFERROR(__xludf.DUMMYFUNCTION("""COMPUTED_VALUE"""),44308.602317824)</f>
        <v>44308.602317823999</v>
      </c>
      <c r="B1836" s="59" t="str">
        <f ca="1">IFERROR(__xludf.DUMMYFUNCTION("""COMPUTED_VALUE"""),"KISHOR REKHA BEN SARVAIYA")</f>
        <v>KISHOR REKHA BEN SARVAIYA</v>
      </c>
      <c r="C1836" s="72" t="str">
        <f ca="1">IFERROR(__xludf.DUMMYFUNCTION("""COMPUTED_VALUE"""),"19SDSEE01008")</f>
        <v>19SDSEE01008</v>
      </c>
      <c r="D1836" s="73">
        <f ca="1">IFERROR(__xludf.DUMMYFUNCTION("""COMPUTED_VALUE"""),44231)</f>
        <v>44231</v>
      </c>
      <c r="E1836" s="74">
        <f ca="1">IFERROR(__xludf.DUMMYFUNCTION("""COMPUTED_VALUE"""),25000)</f>
        <v>25000</v>
      </c>
      <c r="F1836" s="72">
        <f ca="1">IFERROR(__xludf.DUMMYFUNCTION("""COMPUTED_VALUE"""),2500)</f>
        <v>2500</v>
      </c>
      <c r="G1836" s="75"/>
      <c r="H1836" s="59" t="str">
        <f ca="1">IFERROR(__xludf.DUMMYFUNCTION("""COMPUTED_VALUE"""),"UPDATE")</f>
        <v>UPDATE</v>
      </c>
      <c r="I1836" s="76" t="str">
        <f ca="1">IFERROR(__xludf.DUMMYFUNCTION("""COMPUTED_VALUE"""),"https://drive.google.com/open?id=19KWsgkSXVqTv_VZd6CoLlExdCgqh0iXU")</f>
        <v>https://drive.google.com/open?id=19KWsgkSXVqTv_VZd6CoLlExdCgqh0iXU</v>
      </c>
      <c r="J1836" s="59"/>
      <c r="K1836" s="59"/>
      <c r="L1836" s="59"/>
      <c r="M1836" s="59"/>
      <c r="N1836" s="59"/>
      <c r="O1836" s="59"/>
      <c r="P1836" s="59"/>
    </row>
    <row r="1837" spans="1:16">
      <c r="A1837" s="71">
        <f ca="1">IFERROR(__xludf.DUMMYFUNCTION("""COMPUTED_VALUE"""),44308.598286956)</f>
        <v>44308.598286956003</v>
      </c>
      <c r="B1837" s="59" t="str">
        <f ca="1">IFERROR(__xludf.DUMMYFUNCTION("""COMPUTED_VALUE"""),"SUKHADIYA DURGESH AND JASMINBHAI")</f>
        <v>SUKHADIYA DURGESH AND JASMINBHAI</v>
      </c>
      <c r="C1837" s="72" t="str">
        <f ca="1">IFERROR(__xludf.DUMMYFUNCTION("""COMPUTED_VALUE"""),"19SDSME01027 AND 19SDSME01028")</f>
        <v>19SDSME01027 AND 19SDSME01028</v>
      </c>
      <c r="D1837" s="73">
        <f ca="1">IFERROR(__xludf.DUMMYFUNCTION("""COMPUTED_VALUE"""),44308)</f>
        <v>44308</v>
      </c>
      <c r="E1837" s="74">
        <f ca="1">IFERROR(__xludf.DUMMYFUNCTION("""COMPUTED_VALUE"""),16000)</f>
        <v>16000</v>
      </c>
      <c r="F1837" s="72">
        <f ca="1">IFERROR(__xludf.DUMMYFUNCTION("""COMPUTED_VALUE"""),5000)</f>
        <v>5000</v>
      </c>
      <c r="G1837" s="75"/>
      <c r="H1837" s="59" t="str">
        <f ca="1">IFERROR(__xludf.DUMMYFUNCTION("""COMPUTED_VALUE"""),"UPDATE")</f>
        <v>UPDATE</v>
      </c>
      <c r="I1837" s="76" t="str">
        <f ca="1">IFERROR(__xludf.DUMMYFUNCTION("""COMPUTED_VALUE"""),"https://drive.google.com/open?id=1b1RCbNp5gMu_kAUmQoX-Xgu5dAVLERgv")</f>
        <v>https://drive.google.com/open?id=1b1RCbNp5gMu_kAUmQoX-Xgu5dAVLERgv</v>
      </c>
      <c r="J1837" s="59"/>
      <c r="K1837" s="59"/>
      <c r="L1837" s="59"/>
      <c r="M1837" s="59"/>
      <c r="N1837" s="59"/>
      <c r="O1837" s="59"/>
      <c r="P1837" s="59"/>
    </row>
    <row r="1838" spans="1:16">
      <c r="A1838" s="71">
        <f ca="1">IFERROR(__xludf.DUMMYFUNCTION("""COMPUTED_VALUE"""),44308.5506121064)</f>
        <v>44308.550612106403</v>
      </c>
      <c r="B1838" s="59" t="str">
        <f ca="1">IFERROR(__xludf.DUMMYFUNCTION("""COMPUTED_VALUE"""),"Satasiya Bhautik R.")</f>
        <v>Satasiya Bhautik R.</v>
      </c>
      <c r="C1838" s="72" t="str">
        <f ca="1">IFERROR(__xludf.DUMMYFUNCTION("""COMPUTED_VALUE"""),"19SDSEE01009")</f>
        <v>19SDSEE01009</v>
      </c>
      <c r="D1838" s="73">
        <f ca="1">IFERROR(__xludf.DUMMYFUNCTION("""COMPUTED_VALUE"""),44305)</f>
        <v>44305</v>
      </c>
      <c r="E1838" s="74">
        <f ca="1">IFERROR(__xludf.DUMMYFUNCTION("""COMPUTED_VALUE"""),0)</f>
        <v>0</v>
      </c>
      <c r="F1838" s="72">
        <f ca="1">IFERROR(__xludf.DUMMYFUNCTION("""COMPUTED_VALUE"""),2500)</f>
        <v>2500</v>
      </c>
      <c r="G1838" s="75"/>
      <c r="H1838" s="59" t="str">
        <f ca="1">IFERROR(__xludf.DUMMYFUNCTION("""COMPUTED_VALUE"""),"UPDATE")</f>
        <v>UPDATE</v>
      </c>
      <c r="I1838" s="76" t="str">
        <f ca="1">IFERROR(__xludf.DUMMYFUNCTION("""COMPUTED_VALUE"""),"https://drive.google.com/open?id=1OU7I2gkPY5feWNqzWxU0N_YvhtE2lth2")</f>
        <v>https://drive.google.com/open?id=1OU7I2gkPY5feWNqzWxU0N_YvhtE2lth2</v>
      </c>
      <c r="J1838" s="59"/>
      <c r="K1838" s="59"/>
      <c r="L1838" s="59"/>
      <c r="M1838" s="59"/>
      <c r="N1838" s="59"/>
      <c r="O1838" s="59"/>
      <c r="P1838" s="59"/>
    </row>
    <row r="1839" spans="1:16">
      <c r="A1839" s="71">
        <f ca="1">IFERROR(__xludf.DUMMYFUNCTION("""COMPUTED_VALUE"""),44308.5490753356)</f>
        <v>44308.549075335599</v>
      </c>
      <c r="B1839" s="59" t="str">
        <f ca="1">IFERROR(__xludf.DUMMYFUNCTION("""COMPUTED_VALUE"""),"Vala viren laljibhai")</f>
        <v>Vala viren laljibhai</v>
      </c>
      <c r="C1839" s="72" t="str">
        <f ca="1">IFERROR(__xludf.DUMMYFUNCTION("""COMPUTED_VALUE"""),"19SDSEE01011")</f>
        <v>19SDSEE01011</v>
      </c>
      <c r="D1839" s="73">
        <f ca="1">IFERROR(__xludf.DUMMYFUNCTION("""COMPUTED_VALUE"""),44305)</f>
        <v>44305</v>
      </c>
      <c r="E1839" s="72"/>
      <c r="F1839" s="72">
        <f ca="1">IFERROR(__xludf.DUMMYFUNCTION("""COMPUTED_VALUE"""),2500)</f>
        <v>2500</v>
      </c>
      <c r="G1839" s="75"/>
      <c r="H1839" s="59" t="str">
        <f ca="1">IFERROR(__xludf.DUMMYFUNCTION("""COMPUTED_VALUE"""),"UPDATE")</f>
        <v>UPDATE</v>
      </c>
      <c r="I1839" s="76" t="str">
        <f ca="1">IFERROR(__xludf.DUMMYFUNCTION("""COMPUTED_VALUE"""),"https://drive.google.com/open?id=1fAKFaJU5ec0iNlkhQZpgcLlf6mzXxTrt")</f>
        <v>https://drive.google.com/open?id=1fAKFaJU5ec0iNlkhQZpgcLlf6mzXxTrt</v>
      </c>
      <c r="J1839" s="59"/>
      <c r="K1839" s="59"/>
      <c r="L1839" s="59"/>
      <c r="M1839" s="59"/>
      <c r="N1839" s="59"/>
      <c r="O1839" s="59"/>
      <c r="P1839" s="59"/>
    </row>
    <row r="1840" spans="1:16">
      <c r="A1840" s="71">
        <f ca="1">IFERROR(__xludf.DUMMYFUNCTION("""COMPUTED_VALUE"""),44308.4833542361)</f>
        <v>44308.483354236101</v>
      </c>
      <c r="B1840" s="59" t="str">
        <f ca="1">IFERROR(__xludf.DUMMYFUNCTION("""COMPUTED_VALUE"""),"VEKARIYA KHUSHALI NATUBHAI ")</f>
        <v xml:space="preserve">VEKARIYA KHUSHALI NATUBHAI </v>
      </c>
      <c r="C1840" s="72" t="str">
        <f ca="1">IFERROR(__xludf.DUMMYFUNCTION("""COMPUTED_VALUE"""),"19SDSCE01061")</f>
        <v>19SDSCE01061</v>
      </c>
      <c r="D1840" s="73">
        <f ca="1">IFERROR(__xludf.DUMMYFUNCTION("""COMPUTED_VALUE"""),44303)</f>
        <v>44303</v>
      </c>
      <c r="E1840" s="74">
        <f ca="1">IFERROR(__xludf.DUMMYFUNCTION("""COMPUTED_VALUE"""),8500)</f>
        <v>8500</v>
      </c>
      <c r="F1840" s="72"/>
      <c r="G1840" s="75"/>
      <c r="H1840" s="59" t="str">
        <f ca="1">IFERROR(__xludf.DUMMYFUNCTION("""COMPUTED_VALUE"""),"UPDATE")</f>
        <v>UPDATE</v>
      </c>
      <c r="I1840" s="76" t="str">
        <f ca="1">IFERROR(__xludf.DUMMYFUNCTION("""COMPUTED_VALUE"""),"https://drive.google.com/open?id=11V4wNYgoEPGA8dVSfiNzgdTlEkscCSlv")</f>
        <v>https://drive.google.com/open?id=11V4wNYgoEPGA8dVSfiNzgdTlEkscCSlv</v>
      </c>
      <c r="J1840" s="59"/>
      <c r="K1840" s="59"/>
      <c r="L1840" s="59"/>
      <c r="M1840" s="59"/>
      <c r="N1840" s="59"/>
      <c r="O1840" s="59"/>
      <c r="P1840" s="59"/>
    </row>
    <row r="1841" spans="1:16">
      <c r="A1841" s="71">
        <f ca="1">IFERROR(__xludf.DUMMYFUNCTION("""COMPUTED_VALUE"""),44308.4547989699)</f>
        <v>44308.454798969899</v>
      </c>
      <c r="B1841" s="59" t="str">
        <f ca="1">IFERROR(__xludf.DUMMYFUNCTION("""COMPUTED_VALUE"""),"HINGARAJIYA DHARMIL BHARATBHAI")</f>
        <v>HINGARAJIYA DHARMIL BHARATBHAI</v>
      </c>
      <c r="C1841" s="72" t="str">
        <f ca="1">IFERROR(__xludf.DUMMYFUNCTION("""COMPUTED_VALUE"""),"19SDSEE01004")</f>
        <v>19SDSEE01004</v>
      </c>
      <c r="D1841" s="73">
        <f ca="1">IFERROR(__xludf.DUMMYFUNCTION("""COMPUTED_VALUE"""),44308)</f>
        <v>44308</v>
      </c>
      <c r="E1841" s="74">
        <f ca="1">IFERROR(__xludf.DUMMYFUNCTION("""COMPUTED_VALUE"""),16500)</f>
        <v>16500</v>
      </c>
      <c r="F1841" s="72"/>
      <c r="G1841" s="75"/>
      <c r="H1841" s="59" t="str">
        <f ca="1">IFERROR(__xludf.DUMMYFUNCTION("""COMPUTED_VALUE"""),"UPDATE")</f>
        <v>UPDATE</v>
      </c>
      <c r="I1841" s="76" t="str">
        <f ca="1">IFERROR(__xludf.DUMMYFUNCTION("""COMPUTED_VALUE"""),"https://drive.google.com/open?id=13r1EDUVILRFVhPp0uByxu8NoT7-YYPvB")</f>
        <v>https://drive.google.com/open?id=13r1EDUVILRFVhPp0uByxu8NoT7-YYPvB</v>
      </c>
      <c r="J1841" s="59"/>
      <c r="K1841" s="59"/>
      <c r="L1841" s="59"/>
      <c r="M1841" s="59"/>
      <c r="N1841" s="59"/>
      <c r="O1841" s="59"/>
      <c r="P1841" s="59"/>
    </row>
    <row r="1842" spans="1:16">
      <c r="A1842" s="71">
        <f ca="1">IFERROR(__xludf.DUMMYFUNCTION("""COMPUTED_VALUE"""),44306.7143628472)</f>
        <v>44306.714362847197</v>
      </c>
      <c r="B1842" s="59" t="str">
        <f ca="1">IFERROR(__xludf.DUMMYFUNCTION("""COMPUTED_VALUE"""),"Makwana kishan manu bhai ")</f>
        <v xml:space="preserve">Makwana kishan manu bhai </v>
      </c>
      <c r="C1842" s="72" t="str">
        <f ca="1">IFERROR(__xludf.DUMMYFUNCTION("""COMPUTED_VALUE"""),"18sdsee01012")</f>
        <v>18sdsee01012</v>
      </c>
      <c r="D1842" s="73">
        <f ca="1">IFERROR(__xludf.DUMMYFUNCTION("""COMPUTED_VALUE"""),44306)</f>
        <v>44306</v>
      </c>
      <c r="E1842" s="72"/>
      <c r="F1842" s="72">
        <f ca="1">IFERROR(__xludf.DUMMYFUNCTION("""COMPUTED_VALUE"""),1000)</f>
        <v>1000</v>
      </c>
      <c r="G1842" s="75"/>
      <c r="H1842" s="59" t="str">
        <f ca="1">IFERROR(__xludf.DUMMYFUNCTION("""COMPUTED_VALUE"""),"UPDATE")</f>
        <v>UPDATE</v>
      </c>
      <c r="I1842" s="76" t="str">
        <f ca="1">IFERROR(__xludf.DUMMYFUNCTION("""COMPUTED_VALUE"""),"https://drive.google.com/open?id=1PtG5hE13aBmHP2ehLwm3h_LDPuPUumX3")</f>
        <v>https://drive.google.com/open?id=1PtG5hE13aBmHP2ehLwm3h_LDPuPUumX3</v>
      </c>
      <c r="J1842" s="59"/>
      <c r="K1842" s="59"/>
      <c r="L1842" s="59"/>
      <c r="M1842" s="59"/>
      <c r="N1842" s="59"/>
      <c r="O1842" s="59"/>
      <c r="P1842" s="59"/>
    </row>
    <row r="1843" spans="1:16">
      <c r="A1843" s="71">
        <f ca="1">IFERROR(__xludf.DUMMYFUNCTION("""COMPUTED_VALUE"""),44306.524695949)</f>
        <v>44306.524695949003</v>
      </c>
      <c r="B1843" s="59" t="str">
        <f ca="1">IFERROR(__xludf.DUMMYFUNCTION("""COMPUTED_VALUE"""),"PARMAR NAYANKUMAR MANHARBHAI")</f>
        <v>PARMAR NAYANKUMAR MANHARBHAI</v>
      </c>
      <c r="C1843" s="72" t="str">
        <f ca="1">IFERROR(__xludf.DUMMYFUNCTION("""COMPUTED_VALUE"""),"18SDSME01023")</f>
        <v>18SDSME01023</v>
      </c>
      <c r="D1843" s="73">
        <f ca="1">IFERROR(__xludf.DUMMYFUNCTION("""COMPUTED_VALUE"""),44305)</f>
        <v>44305</v>
      </c>
      <c r="E1843" s="72"/>
      <c r="F1843" s="72">
        <f ca="1">IFERROR(__xludf.DUMMYFUNCTION("""COMPUTED_VALUE"""),1000)</f>
        <v>1000</v>
      </c>
      <c r="G1843" s="75"/>
      <c r="H1843" s="59" t="str">
        <f ca="1">IFERROR(__xludf.DUMMYFUNCTION("""COMPUTED_VALUE"""),"UPDATE")</f>
        <v>UPDATE</v>
      </c>
      <c r="I1843" s="76" t="str">
        <f ca="1">IFERROR(__xludf.DUMMYFUNCTION("""COMPUTED_VALUE"""),"https://drive.google.com/open?id=15PPniNp5kzaFRs2rWLfQcw_HugYXRnja")</f>
        <v>https://drive.google.com/open?id=15PPniNp5kzaFRs2rWLfQcw_HugYXRnja</v>
      </c>
      <c r="J1843" s="59"/>
      <c r="K1843" s="59"/>
      <c r="L1843" s="59"/>
      <c r="M1843" s="59"/>
      <c r="N1843" s="59"/>
      <c r="O1843" s="59"/>
      <c r="P1843" s="59"/>
    </row>
    <row r="1844" spans="1:16">
      <c r="A1844" s="71">
        <f ca="1">IFERROR(__xludf.DUMMYFUNCTION("""COMPUTED_VALUE"""),44306.4822326736)</f>
        <v>44306.482232673603</v>
      </c>
      <c r="B1844" s="59" t="str">
        <f ca="1">IFERROR(__xludf.DUMMYFUNCTION("""COMPUTED_VALUE"""),"Dharmesh anilbhai padaliya")</f>
        <v>Dharmesh anilbhai padaliya</v>
      </c>
      <c r="C1844" s="72" t="str">
        <f ca="1">IFERROR(__xludf.DUMMYFUNCTION("""COMPUTED_VALUE"""),"18sdsee01013 ")</f>
        <v xml:space="preserve">18sdsee01013 </v>
      </c>
      <c r="D1844" s="73">
        <f ca="1">IFERROR(__xludf.DUMMYFUNCTION("""COMPUTED_VALUE"""),44306)</f>
        <v>44306</v>
      </c>
      <c r="E1844" s="72"/>
      <c r="F1844" s="72"/>
      <c r="G1844" s="75"/>
      <c r="H1844" s="59" t="str">
        <f ca="1">IFERROR(__xludf.DUMMYFUNCTION("""COMPUTED_VALUE"""),"UPDATE")</f>
        <v>UPDATE</v>
      </c>
      <c r="I1844" s="76" t="str">
        <f ca="1">IFERROR(__xludf.DUMMYFUNCTION("""COMPUTED_VALUE"""),"https://drive.google.com/open?id=15dSZQRoZ7MIwXDGQB5ZoH0IltiqtAU1w")</f>
        <v>https://drive.google.com/open?id=15dSZQRoZ7MIwXDGQB5ZoH0IltiqtAU1w</v>
      </c>
      <c r="J1844" s="59"/>
      <c r="K1844" s="59"/>
      <c r="L1844" s="59"/>
      <c r="M1844" s="59"/>
      <c r="N1844" s="59"/>
      <c r="O1844" s="59"/>
      <c r="P1844" s="59"/>
    </row>
    <row r="1845" spans="1:16">
      <c r="A1845" s="71">
        <f ca="1">IFERROR(__xludf.DUMMYFUNCTION("""COMPUTED_VALUE"""),44306.3000428356)</f>
        <v>44306.300042835603</v>
      </c>
      <c r="B1845" s="59" t="str">
        <f ca="1">IFERROR(__xludf.DUMMYFUNCTION("""COMPUTED_VALUE"""),"Sahil Ramjibhai Chavda ")</f>
        <v xml:space="preserve">Sahil Ramjibhai Chavda </v>
      </c>
      <c r="C1845" s="72" t="str">
        <f ca="1">IFERROR(__xludf.DUMMYFUNCTION("""COMPUTED_VALUE"""),"18SDSEE01005 ")</f>
        <v xml:space="preserve">18SDSEE01005 </v>
      </c>
      <c r="D1845" s="73">
        <f ca="1">IFERROR(__xludf.DUMMYFUNCTION("""COMPUTED_VALUE"""),44305)</f>
        <v>44305</v>
      </c>
      <c r="E1845" s="72"/>
      <c r="F1845" s="72">
        <f ca="1">IFERROR(__xludf.DUMMYFUNCTION("""COMPUTED_VALUE"""),1000)</f>
        <v>1000</v>
      </c>
      <c r="G1845" s="75"/>
      <c r="H1845" s="59" t="str">
        <f ca="1">IFERROR(__xludf.DUMMYFUNCTION("""COMPUTED_VALUE"""),"UPDATE")</f>
        <v>UPDATE</v>
      </c>
      <c r="I1845" s="76" t="str">
        <f ca="1">IFERROR(__xludf.DUMMYFUNCTION("""COMPUTED_VALUE"""),"https://drive.google.com/open?id=1dToRC86NdNyKCmy-iiAx2eiTBT6XzWax")</f>
        <v>https://drive.google.com/open?id=1dToRC86NdNyKCmy-iiAx2eiTBT6XzWax</v>
      </c>
      <c r="J1845" s="59"/>
      <c r="K1845" s="59"/>
      <c r="L1845" s="59"/>
      <c r="M1845" s="59"/>
      <c r="N1845" s="59"/>
      <c r="O1845" s="59"/>
      <c r="P1845" s="59"/>
    </row>
    <row r="1846" spans="1:16">
      <c r="A1846" s="71">
        <f ca="1">IFERROR(__xludf.DUMMYFUNCTION("""COMPUTED_VALUE"""),44305.4961447453)</f>
        <v>44305.496144745302</v>
      </c>
      <c r="B1846" s="59" t="str">
        <f ca="1">IFERROR(__xludf.DUMMYFUNCTION("""COMPUTED_VALUE"""),"Parmar Ajakumar Rameshbhai")</f>
        <v>Parmar Ajakumar Rameshbhai</v>
      </c>
      <c r="C1846" s="72" t="str">
        <f ca="1">IFERROR(__xludf.DUMMYFUNCTION("""COMPUTED_VALUE"""),"18SDSEE01014")</f>
        <v>18SDSEE01014</v>
      </c>
      <c r="D1846" s="73">
        <f ca="1">IFERROR(__xludf.DUMMYFUNCTION("""COMPUTED_VALUE"""),44305)</f>
        <v>44305</v>
      </c>
      <c r="E1846" s="72"/>
      <c r="F1846" s="72">
        <f ca="1">IFERROR(__xludf.DUMMYFUNCTION("""COMPUTED_VALUE"""),2500)</f>
        <v>2500</v>
      </c>
      <c r="G1846" s="75"/>
      <c r="H1846" s="59" t="str">
        <f ca="1">IFERROR(__xludf.DUMMYFUNCTION("""COMPUTED_VALUE"""),"UPDATE")</f>
        <v>UPDATE</v>
      </c>
      <c r="I1846" s="76" t="str">
        <f ca="1">IFERROR(__xludf.DUMMYFUNCTION("""COMPUTED_VALUE"""),"https://drive.google.com/open?id=1ADtnabdGZbVteYUagOK293zlcwxIIyUb")</f>
        <v>https://drive.google.com/open?id=1ADtnabdGZbVteYUagOK293zlcwxIIyUb</v>
      </c>
      <c r="J1846" s="59"/>
      <c r="K1846" s="59"/>
      <c r="L1846" s="59"/>
      <c r="M1846" s="59"/>
      <c r="N1846" s="59"/>
      <c r="O1846" s="59"/>
      <c r="P1846" s="59"/>
    </row>
    <row r="1847" spans="1:16">
      <c r="A1847" s="71">
        <f ca="1">IFERROR(__xludf.DUMMYFUNCTION("""COMPUTED_VALUE"""),44305.4883260879)</f>
        <v>44305.4883260879</v>
      </c>
      <c r="B1847" s="59" t="str">
        <f ca="1">IFERROR(__xludf.DUMMYFUNCTION("""COMPUTED_VALUE"""),"Bagada Siddharth umeshbhai")</f>
        <v>Bagada Siddharth umeshbhai</v>
      </c>
      <c r="C1847" s="72" t="str">
        <f ca="1">IFERROR(__xludf.DUMMYFUNCTION("""COMPUTED_VALUE"""),"18SDSEE01001")</f>
        <v>18SDSEE01001</v>
      </c>
      <c r="D1847" s="73">
        <f ca="1">IFERROR(__xludf.DUMMYFUNCTION("""COMPUTED_VALUE"""),44305)</f>
        <v>44305</v>
      </c>
      <c r="E1847" s="72"/>
      <c r="F1847" s="72">
        <f ca="1">IFERROR(__xludf.DUMMYFUNCTION("""COMPUTED_VALUE"""),1000)</f>
        <v>1000</v>
      </c>
      <c r="G1847" s="75"/>
      <c r="H1847" s="59" t="str">
        <f ca="1">IFERROR(__xludf.DUMMYFUNCTION("""COMPUTED_VALUE"""),"UPDATE")</f>
        <v>UPDATE</v>
      </c>
      <c r="I1847" s="76" t="str">
        <f ca="1">IFERROR(__xludf.DUMMYFUNCTION("""COMPUTED_VALUE"""),"https://drive.google.com/open?id=1Qp_BZgm9XubdfMaIFB7kOLiAZOdYI98m")</f>
        <v>https://drive.google.com/open?id=1Qp_BZgm9XubdfMaIFB7kOLiAZOdYI98m</v>
      </c>
      <c r="J1847" s="59"/>
      <c r="K1847" s="59"/>
      <c r="L1847" s="59"/>
      <c r="M1847" s="59"/>
      <c r="N1847" s="59"/>
      <c r="O1847" s="59"/>
      <c r="P1847" s="59"/>
    </row>
    <row r="1848" spans="1:16">
      <c r="A1848" s="71">
        <f ca="1">IFERROR(__xludf.DUMMYFUNCTION("""COMPUTED_VALUE"""),44305.483945)</f>
        <v>44305.483945</v>
      </c>
      <c r="B1848" s="59" t="str">
        <f ca="1">IFERROR(__xludf.DUMMYFUNCTION("""COMPUTED_VALUE"""),"PARMAR ALPESH HARIBHAI")</f>
        <v>PARMAR ALPESH HARIBHAI</v>
      </c>
      <c r="C1848" s="72" t="str">
        <f ca="1">IFERROR(__xludf.DUMMYFUNCTION("""COMPUTED_VALUE"""),"18SDSME01020")</f>
        <v>18SDSME01020</v>
      </c>
      <c r="D1848" s="73">
        <f ca="1">IFERROR(__xludf.DUMMYFUNCTION("""COMPUTED_VALUE"""),44305)</f>
        <v>44305</v>
      </c>
      <c r="E1848" s="72"/>
      <c r="F1848" s="72">
        <f ca="1">IFERROR(__xludf.DUMMYFUNCTION("""COMPUTED_VALUE"""),1000)</f>
        <v>1000</v>
      </c>
      <c r="G1848" s="75"/>
      <c r="H1848" s="59" t="str">
        <f ca="1">IFERROR(__xludf.DUMMYFUNCTION("""COMPUTED_VALUE"""),"UPDATE")</f>
        <v>UPDATE</v>
      </c>
      <c r="I1848" s="76" t="str">
        <f ca="1">IFERROR(__xludf.DUMMYFUNCTION("""COMPUTED_VALUE"""),"https://drive.google.com/open?id=1RvDXpDaVdgECOEQBpO8-U0Ts3woVfUtR")</f>
        <v>https://drive.google.com/open?id=1RvDXpDaVdgECOEQBpO8-U0Ts3woVfUtR</v>
      </c>
      <c r="J1848" s="59"/>
      <c r="K1848" s="59"/>
      <c r="L1848" s="59"/>
      <c r="M1848" s="59"/>
      <c r="N1848" s="59"/>
      <c r="O1848" s="59"/>
      <c r="P1848" s="59"/>
    </row>
    <row r="1849" spans="1:16">
      <c r="A1849" s="71">
        <f ca="1">IFERROR(__xludf.DUMMYFUNCTION("""COMPUTED_VALUE"""),44305.4824974421)</f>
        <v>44305.482497442099</v>
      </c>
      <c r="B1849" s="59" t="str">
        <f ca="1">IFERROR(__xludf.DUMMYFUNCTION("""COMPUTED_VALUE"""),"DAFDA RAJKUMAR KANTIBHAI")</f>
        <v>DAFDA RAJKUMAR KANTIBHAI</v>
      </c>
      <c r="C1849" s="72" t="str">
        <f ca="1">IFERROR(__xludf.DUMMYFUNCTION("""COMPUTED_VALUE"""),"18SDSME01012")</f>
        <v>18SDSME01012</v>
      </c>
      <c r="D1849" s="73">
        <f ca="1">IFERROR(__xludf.DUMMYFUNCTION("""COMPUTED_VALUE"""),44305)</f>
        <v>44305</v>
      </c>
      <c r="E1849" s="72"/>
      <c r="F1849" s="72">
        <f ca="1">IFERROR(__xludf.DUMMYFUNCTION("""COMPUTED_VALUE"""),1000)</f>
        <v>1000</v>
      </c>
      <c r="G1849" s="75"/>
      <c r="H1849" s="59" t="str">
        <f ca="1">IFERROR(__xludf.DUMMYFUNCTION("""COMPUTED_VALUE"""),"UPDATE")</f>
        <v>UPDATE</v>
      </c>
      <c r="I1849" s="76" t="str">
        <f ca="1">IFERROR(__xludf.DUMMYFUNCTION("""COMPUTED_VALUE"""),"https://drive.google.com/open?id=17wLH5h3CRybRsviWuIsD5QXcuUU0a77A")</f>
        <v>https://drive.google.com/open?id=17wLH5h3CRybRsviWuIsD5QXcuUU0a77A</v>
      </c>
      <c r="J1849" s="59"/>
      <c r="K1849" s="59"/>
      <c r="L1849" s="59"/>
      <c r="M1849" s="59"/>
      <c r="N1849" s="59"/>
      <c r="O1849" s="59"/>
      <c r="P1849" s="59"/>
    </row>
    <row r="1850" spans="1:16">
      <c r="A1850" s="71">
        <f ca="1">IFERROR(__xludf.DUMMYFUNCTION("""COMPUTED_VALUE"""),44305.4815982291)</f>
        <v>44305.481598229097</v>
      </c>
      <c r="B1850" s="59" t="str">
        <f ca="1">IFERROR(__xludf.DUMMYFUNCTION("""COMPUTED_VALUE"""),"GADHIYA DIVYESH RANCHHODBHAI")</f>
        <v>GADHIYA DIVYESH RANCHHODBHAI</v>
      </c>
      <c r="C1850" s="72" t="str">
        <f ca="1">IFERROR(__xludf.DUMMYFUNCTION("""COMPUTED_VALUE"""),"18SDSME01016")</f>
        <v>18SDSME01016</v>
      </c>
      <c r="D1850" s="73">
        <f ca="1">IFERROR(__xludf.DUMMYFUNCTION("""COMPUTED_VALUE"""),44304)</f>
        <v>44304</v>
      </c>
      <c r="E1850" s="72"/>
      <c r="F1850" s="72">
        <f ca="1">IFERROR(__xludf.DUMMYFUNCTION("""COMPUTED_VALUE"""),3500)</f>
        <v>3500</v>
      </c>
      <c r="G1850" s="75"/>
      <c r="H1850" s="59" t="str">
        <f ca="1">IFERROR(__xludf.DUMMYFUNCTION("""COMPUTED_VALUE"""),"UPDATE")</f>
        <v>UPDATE</v>
      </c>
      <c r="I1850" s="76" t="str">
        <f ca="1">IFERROR(__xludf.DUMMYFUNCTION("""COMPUTED_VALUE"""),"https://drive.google.com/open?id=1dtfNeAR0SMKMtyPsvO9_V1LNUYB-u0TG")</f>
        <v>https://drive.google.com/open?id=1dtfNeAR0SMKMtyPsvO9_V1LNUYB-u0TG</v>
      </c>
      <c r="J1850" s="59"/>
      <c r="K1850" s="59"/>
      <c r="L1850" s="59"/>
      <c r="M1850" s="59"/>
      <c r="N1850" s="59"/>
      <c r="O1850" s="59"/>
      <c r="P1850" s="59"/>
    </row>
    <row r="1851" spans="1:16">
      <c r="A1851" s="71">
        <f ca="1">IFERROR(__xludf.DUMMYFUNCTION("""COMPUTED_VALUE"""),44305.4786807638)</f>
        <v>44305.478680763801</v>
      </c>
      <c r="B1851" s="59" t="str">
        <f ca="1">IFERROR(__xludf.DUMMYFUNCTION("""COMPUTED_VALUE"""),"CHAVDA MANISHKUMAR VINODBHAI")</f>
        <v>CHAVDA MANISHKUMAR VINODBHAI</v>
      </c>
      <c r="C1851" s="72" t="str">
        <f ca="1">IFERROR(__xludf.DUMMYFUNCTION("""COMPUTED_VALUE"""),"18SDSME01009")</f>
        <v>18SDSME01009</v>
      </c>
      <c r="D1851" s="73">
        <f ca="1">IFERROR(__xludf.DUMMYFUNCTION("""COMPUTED_VALUE"""),44304)</f>
        <v>44304</v>
      </c>
      <c r="E1851" s="72"/>
      <c r="F1851" s="72">
        <f ca="1">IFERROR(__xludf.DUMMYFUNCTION("""COMPUTED_VALUE"""),1000)</f>
        <v>1000</v>
      </c>
      <c r="G1851" s="75"/>
      <c r="H1851" s="59" t="str">
        <f ca="1">IFERROR(__xludf.DUMMYFUNCTION("""COMPUTED_VALUE"""),"UPDATE")</f>
        <v>UPDATE</v>
      </c>
      <c r="I1851" s="76" t="str">
        <f ca="1">IFERROR(__xludf.DUMMYFUNCTION("""COMPUTED_VALUE"""),"https://drive.google.com/open?id=1jMFKXl3Dj854TfGDXM9s2ovdPSK36Z0Z")</f>
        <v>https://drive.google.com/open?id=1jMFKXl3Dj854TfGDXM9s2ovdPSK36Z0Z</v>
      </c>
      <c r="J1851" s="59"/>
      <c r="K1851" s="59"/>
      <c r="L1851" s="59"/>
      <c r="M1851" s="59"/>
      <c r="N1851" s="59"/>
      <c r="O1851" s="59"/>
      <c r="P1851" s="59"/>
    </row>
    <row r="1852" spans="1:16">
      <c r="A1852" s="71">
        <f ca="1">IFERROR(__xludf.DUMMYFUNCTION("""COMPUTED_VALUE"""),44304.5735205787)</f>
        <v>44304.573520578699</v>
      </c>
      <c r="B1852" s="59" t="str">
        <f ca="1">IFERROR(__xludf.DUMMYFUNCTION("""COMPUTED_VALUE"""),"SHIRVI CHARMI DINESHBHAI")</f>
        <v>SHIRVI CHARMI DINESHBHAI</v>
      </c>
      <c r="C1852" s="72" t="str">
        <f ca="1">IFERROR(__xludf.DUMMYFUNCTION("""COMPUTED_VALUE"""),"19SDSCE01049")</f>
        <v>19SDSCE01049</v>
      </c>
      <c r="D1852" s="73">
        <f ca="1">IFERROR(__xludf.DUMMYFUNCTION("""COMPUTED_VALUE"""),44304)</f>
        <v>44304</v>
      </c>
      <c r="E1852" s="74">
        <f ca="1">IFERROR(__xludf.DUMMYFUNCTION("""COMPUTED_VALUE"""),8000)</f>
        <v>8000</v>
      </c>
      <c r="F1852" s="72"/>
      <c r="G1852" s="75"/>
      <c r="H1852" s="59" t="str">
        <f ca="1">IFERROR(__xludf.DUMMYFUNCTION("""COMPUTED_VALUE"""),"UPDATE")</f>
        <v>UPDATE</v>
      </c>
      <c r="I1852" s="76" t="str">
        <f ca="1">IFERROR(__xludf.DUMMYFUNCTION("""COMPUTED_VALUE"""),"https://drive.google.com/open?id=1RAfpdMzQrOqKtcK3l9Mg9X16IkdUHoEG")</f>
        <v>https://drive.google.com/open?id=1RAfpdMzQrOqKtcK3l9Mg9X16IkdUHoEG</v>
      </c>
      <c r="J1852" s="59"/>
      <c r="K1852" s="59"/>
      <c r="L1852" s="59"/>
      <c r="M1852" s="59"/>
      <c r="N1852" s="59"/>
      <c r="O1852" s="59"/>
      <c r="P1852" s="59"/>
    </row>
    <row r="1853" spans="1:16">
      <c r="A1853" s="71">
        <f ca="1">IFERROR(__xludf.DUMMYFUNCTION("""COMPUTED_VALUE"""),44304.5508748611)</f>
        <v>44304.550874861103</v>
      </c>
      <c r="B1853" s="59" t="str">
        <f ca="1">IFERROR(__xludf.DUMMYFUNCTION("""COMPUTED_VALUE"""),"TIWARI AMIT SATISHCHANDRA")</f>
        <v>TIWARI AMIT SATISHCHANDRA</v>
      </c>
      <c r="C1853" s="72" t="str">
        <f ca="1">IFERROR(__xludf.DUMMYFUNCTION("""COMPUTED_VALUE"""),"18SDSCE01065")</f>
        <v>18SDSCE01065</v>
      </c>
      <c r="D1853" s="73">
        <f ca="1">IFERROR(__xludf.DUMMYFUNCTION("""COMPUTED_VALUE"""),44302)</f>
        <v>44302</v>
      </c>
      <c r="E1853" s="72"/>
      <c r="F1853" s="72">
        <f ca="1">IFERROR(__xludf.DUMMYFUNCTION("""COMPUTED_VALUE"""),1000)</f>
        <v>1000</v>
      </c>
      <c r="G1853" s="75"/>
      <c r="H1853" s="59" t="str">
        <f ca="1">IFERROR(__xludf.DUMMYFUNCTION("""COMPUTED_VALUE"""),"UPDATE")</f>
        <v>UPDATE</v>
      </c>
      <c r="I1853" s="76" t="str">
        <f ca="1">IFERROR(__xludf.DUMMYFUNCTION("""COMPUTED_VALUE"""),"https://drive.google.com/open?id=11YFzfW7_7aEb0ltzUQPufKwVC8XHDMSJ")</f>
        <v>https://drive.google.com/open?id=11YFzfW7_7aEb0ltzUQPufKwVC8XHDMSJ</v>
      </c>
      <c r="J1853" s="59"/>
      <c r="K1853" s="59"/>
      <c r="L1853" s="59"/>
      <c r="M1853" s="59"/>
      <c r="N1853" s="59"/>
      <c r="O1853" s="59"/>
      <c r="P1853" s="59"/>
    </row>
    <row r="1854" spans="1:16">
      <c r="A1854" s="71">
        <f ca="1">IFERROR(__xludf.DUMMYFUNCTION("""COMPUTED_VALUE"""),44304.5481868865)</f>
        <v>44304.548186886503</v>
      </c>
      <c r="B1854" s="59" t="str">
        <f ca="1">IFERROR(__xludf.DUMMYFUNCTION("""COMPUTED_VALUE"""),"SAJEDA ISUBBHAI SHRIMALI")</f>
        <v>SAJEDA ISUBBHAI SHRIMALI</v>
      </c>
      <c r="C1854" s="72" t="str">
        <f ca="1">IFERROR(__xludf.DUMMYFUNCTION("""COMPUTED_VALUE"""),"16SDSCE01038")</f>
        <v>16SDSCE01038</v>
      </c>
      <c r="D1854" s="73">
        <f ca="1">IFERROR(__xludf.DUMMYFUNCTION("""COMPUTED_VALUE"""),44298)</f>
        <v>44298</v>
      </c>
      <c r="E1854" s="72"/>
      <c r="F1854" s="72">
        <f ca="1">IFERROR(__xludf.DUMMYFUNCTION("""COMPUTED_VALUE"""),1000)</f>
        <v>1000</v>
      </c>
      <c r="G1854" s="75"/>
      <c r="H1854" s="59" t="str">
        <f ca="1">IFERROR(__xludf.DUMMYFUNCTION("""COMPUTED_VALUE"""),"UPDATE")</f>
        <v>UPDATE</v>
      </c>
      <c r="I1854" s="76" t="str">
        <f ca="1">IFERROR(__xludf.DUMMYFUNCTION("""COMPUTED_VALUE"""),"https://drive.google.com/open?id=1ttBNUsCUCMCYIyVC-pmwFTgg4r9ZT8fJ")</f>
        <v>https://drive.google.com/open?id=1ttBNUsCUCMCYIyVC-pmwFTgg4r9ZT8fJ</v>
      </c>
      <c r="J1854" s="59"/>
      <c r="K1854" s="59"/>
      <c r="L1854" s="59"/>
      <c r="M1854" s="59"/>
      <c r="N1854" s="59"/>
      <c r="O1854" s="59"/>
      <c r="P1854" s="59"/>
    </row>
    <row r="1855" spans="1:16">
      <c r="A1855" s="71">
        <f ca="1">IFERROR(__xludf.DUMMYFUNCTION("""COMPUTED_VALUE"""),44304.5460454398)</f>
        <v>44304.546045439798</v>
      </c>
      <c r="B1855" s="59" t="str">
        <f ca="1">IFERROR(__xludf.DUMMYFUNCTION("""COMPUTED_VALUE"""),"SARDHARA KARAN PRAVINBHAI")</f>
        <v>SARDHARA KARAN PRAVINBHAI</v>
      </c>
      <c r="C1855" s="72" t="str">
        <f ca="1">IFERROR(__xludf.DUMMYFUNCTION("""COMPUTED_VALUE"""),"18SDSCE01055")</f>
        <v>18SDSCE01055</v>
      </c>
      <c r="D1855" s="73">
        <f ca="1">IFERROR(__xludf.DUMMYFUNCTION("""COMPUTED_VALUE"""),44302)</f>
        <v>44302</v>
      </c>
      <c r="E1855" s="74">
        <f ca="1">IFERROR(__xludf.DUMMYFUNCTION("""COMPUTED_VALUE"""),8500)</f>
        <v>8500</v>
      </c>
      <c r="F1855" s="72"/>
      <c r="G1855" s="75"/>
      <c r="H1855" s="59" t="str">
        <f ca="1">IFERROR(__xludf.DUMMYFUNCTION("""COMPUTED_VALUE"""),"UPDATE")</f>
        <v>UPDATE</v>
      </c>
      <c r="I1855" s="76" t="str">
        <f ca="1">IFERROR(__xludf.DUMMYFUNCTION("""COMPUTED_VALUE"""),"https://drive.google.com/open?id=1RBgctZwvxY3WZrvZJ19sc-x6_FbcbOM5")</f>
        <v>https://drive.google.com/open?id=1RBgctZwvxY3WZrvZJ19sc-x6_FbcbOM5</v>
      </c>
      <c r="J1855" s="59"/>
      <c r="K1855" s="59"/>
      <c r="L1855" s="59"/>
      <c r="M1855" s="59"/>
      <c r="N1855" s="59"/>
      <c r="O1855" s="59"/>
      <c r="P1855" s="59"/>
    </row>
    <row r="1856" spans="1:16">
      <c r="A1856" s="71">
        <f ca="1">IFERROR(__xludf.DUMMYFUNCTION("""COMPUTED_VALUE"""),44303.6682829629)</f>
        <v>44303.668282962899</v>
      </c>
      <c r="B1856" s="59" t="str">
        <f ca="1">IFERROR(__xludf.DUMMYFUNCTION("""COMPUTED_VALUE"""),"Parth lodhiya")</f>
        <v>Parth lodhiya</v>
      </c>
      <c r="C1856" s="72" t="str">
        <f ca="1">IFERROR(__xludf.DUMMYFUNCTION("""COMPUTED_VALUE"""),"19sdsce01028")</f>
        <v>19sdsce01028</v>
      </c>
      <c r="D1856" s="73">
        <f ca="1">IFERROR(__xludf.DUMMYFUNCTION("""COMPUTED_VALUE"""),44303)</f>
        <v>44303</v>
      </c>
      <c r="E1856" s="74">
        <f ca="1">IFERROR(__xludf.DUMMYFUNCTION("""COMPUTED_VALUE"""),25000)</f>
        <v>25000</v>
      </c>
      <c r="F1856" s="72">
        <f ca="1">IFERROR(__xludf.DUMMYFUNCTION("""COMPUTED_VALUE"""),2500)</f>
        <v>2500</v>
      </c>
      <c r="G1856" s="75"/>
      <c r="H1856" s="59" t="str">
        <f ca="1">IFERROR(__xludf.DUMMYFUNCTION("""COMPUTED_VALUE"""),"UPDATE")</f>
        <v>UPDATE</v>
      </c>
      <c r="I1856" s="76" t="str">
        <f ca="1">IFERROR(__xludf.DUMMYFUNCTION("""COMPUTED_VALUE"""),"https://drive.google.com/open?id=1GuNJtR-5jf4Sb21Bgq4WiQK1p6u39I0_")</f>
        <v>https://drive.google.com/open?id=1GuNJtR-5jf4Sb21Bgq4WiQK1p6u39I0_</v>
      </c>
      <c r="J1856" s="59"/>
      <c r="K1856" s="59"/>
      <c r="L1856" s="59"/>
      <c r="M1856" s="59"/>
      <c r="N1856" s="59"/>
      <c r="O1856" s="59"/>
      <c r="P1856" s="59"/>
    </row>
    <row r="1857" spans="1:16">
      <c r="A1857" s="71">
        <f ca="1">IFERROR(__xludf.DUMMYFUNCTION("""COMPUTED_VALUE"""),44303.6369493981)</f>
        <v>44303.636949398096</v>
      </c>
      <c r="B1857" s="59" t="str">
        <f ca="1">IFERROR(__xludf.DUMMYFUNCTION("""COMPUTED_VALUE"""),"SURELA Paras Vinodbhai")</f>
        <v>SURELA Paras Vinodbhai</v>
      </c>
      <c r="C1857" s="72" t="str">
        <f ca="1">IFERROR(__xludf.DUMMYFUNCTION("""COMPUTED_VALUE"""),"18SDSEE01022")</f>
        <v>18SDSEE01022</v>
      </c>
      <c r="D1857" s="73">
        <f ca="1">IFERROR(__xludf.DUMMYFUNCTION("""COMPUTED_VALUE"""),44226)</f>
        <v>44226</v>
      </c>
      <c r="E1857" s="74">
        <f ca="1">IFERROR(__xludf.DUMMYFUNCTION("""COMPUTED_VALUE"""),25000)</f>
        <v>25000</v>
      </c>
      <c r="F1857" s="72">
        <f ca="1">IFERROR(__xludf.DUMMYFUNCTION("""COMPUTED_VALUE"""),2500)</f>
        <v>2500</v>
      </c>
      <c r="G1857" s="75"/>
      <c r="H1857" s="59" t="str">
        <f ca="1">IFERROR(__xludf.DUMMYFUNCTION("""COMPUTED_VALUE"""),"UPDATE")</f>
        <v>UPDATE</v>
      </c>
      <c r="I1857" s="76" t="str">
        <f ca="1">IFERROR(__xludf.DUMMYFUNCTION("""COMPUTED_VALUE"""),"https://drive.google.com/open?id=1Y2K6H_ZjGAN_juBEZspGKcPl73AGX71D")</f>
        <v>https://drive.google.com/open?id=1Y2K6H_ZjGAN_juBEZspGKcPl73AGX71D</v>
      </c>
      <c r="J1857" s="59"/>
      <c r="K1857" s="59"/>
      <c r="L1857" s="59"/>
      <c r="M1857" s="59"/>
      <c r="N1857" s="59"/>
      <c r="O1857" s="59"/>
      <c r="P1857" s="59"/>
    </row>
    <row r="1858" spans="1:16">
      <c r="A1858" s="71">
        <f ca="1">IFERROR(__xludf.DUMMYFUNCTION("""COMPUTED_VALUE"""),44303.6172946412)</f>
        <v>44303.617294641197</v>
      </c>
      <c r="B1858" s="59" t="str">
        <f ca="1">IFERROR(__xludf.DUMMYFUNCTION("""COMPUTED_VALUE"""),"Gautam Pitroda ")</f>
        <v xml:space="preserve">Gautam Pitroda </v>
      </c>
      <c r="C1858" s="72" t="str">
        <f ca="1">IFERROR(__xludf.DUMMYFUNCTION("""COMPUTED_VALUE"""),"19sdsce01038")</f>
        <v>19sdsce01038</v>
      </c>
      <c r="D1858" s="73">
        <f ca="1">IFERROR(__xludf.DUMMYFUNCTION("""COMPUTED_VALUE"""),44303)</f>
        <v>44303</v>
      </c>
      <c r="E1858" s="74">
        <f ca="1">IFERROR(__xludf.DUMMYFUNCTION("""COMPUTED_VALUE"""),6250)</f>
        <v>6250</v>
      </c>
      <c r="F1858" s="72"/>
      <c r="G1858" s="75"/>
      <c r="H1858" s="59" t="str">
        <f ca="1">IFERROR(__xludf.DUMMYFUNCTION("""COMPUTED_VALUE"""),"UPDATE")</f>
        <v>UPDATE</v>
      </c>
      <c r="I1858" s="76" t="str">
        <f ca="1">IFERROR(__xludf.DUMMYFUNCTION("""COMPUTED_VALUE"""),"https://drive.google.com/open?id=13JuvuR3cR4oPlrQk0z-YhvF9wlL5t5gF")</f>
        <v>https://drive.google.com/open?id=13JuvuR3cR4oPlrQk0z-YhvF9wlL5t5gF</v>
      </c>
      <c r="J1858" s="59"/>
      <c r="K1858" s="59"/>
      <c r="L1858" s="59"/>
      <c r="M1858" s="59"/>
      <c r="N1858" s="59"/>
      <c r="O1858" s="59"/>
      <c r="P1858" s="59"/>
    </row>
    <row r="1859" spans="1:16">
      <c r="A1859" s="71">
        <f ca="1">IFERROR(__xludf.DUMMYFUNCTION("""COMPUTED_VALUE"""),44303.6166450115)</f>
        <v>44303.616645011498</v>
      </c>
      <c r="B1859" s="59" t="str">
        <f ca="1">IFERROR(__xludf.DUMMYFUNCTION("""COMPUTED_VALUE"""),"jay dharmendrabhai rathod")</f>
        <v>jay dharmendrabhai rathod</v>
      </c>
      <c r="C1859" s="72" t="str">
        <f ca="1">IFERROR(__xludf.DUMMYFUNCTION("""COMPUTED_VALUE"""),"18SDSEE01019")</f>
        <v>18SDSEE01019</v>
      </c>
      <c r="D1859" s="73">
        <f ca="1">IFERROR(__xludf.DUMMYFUNCTION("""COMPUTED_VALUE"""),44188)</f>
        <v>44188</v>
      </c>
      <c r="E1859" s="74">
        <f ca="1">IFERROR(__xludf.DUMMYFUNCTION("""COMPUTED_VALUE"""),25000)</f>
        <v>25000</v>
      </c>
      <c r="F1859" s="72">
        <f ca="1">IFERROR(__xludf.DUMMYFUNCTION("""COMPUTED_VALUE"""),3500)</f>
        <v>3500</v>
      </c>
      <c r="G1859" s="75"/>
      <c r="H1859" s="59" t="str">
        <f ca="1">IFERROR(__xludf.DUMMYFUNCTION("""COMPUTED_VALUE"""),"UPDATE")</f>
        <v>UPDATE</v>
      </c>
      <c r="I1859" s="76" t="str">
        <f ca="1">IFERROR(__xludf.DUMMYFUNCTION("""COMPUTED_VALUE"""),"https://drive.google.com/open?id=1JvXVmNVIMsy29h5SnbRxJhi3YwHx6pTH")</f>
        <v>https://drive.google.com/open?id=1JvXVmNVIMsy29h5SnbRxJhi3YwHx6pTH</v>
      </c>
      <c r="J1859" s="59"/>
      <c r="K1859" s="59"/>
      <c r="L1859" s="59"/>
      <c r="M1859" s="59"/>
      <c r="N1859" s="59"/>
      <c r="O1859" s="59"/>
      <c r="P1859" s="59"/>
    </row>
    <row r="1860" spans="1:16">
      <c r="A1860" s="71">
        <f ca="1">IFERROR(__xludf.DUMMYFUNCTION("""COMPUTED_VALUE"""),44303.6144339583)</f>
        <v>44303.614433958297</v>
      </c>
      <c r="B1860" s="59" t="str">
        <f ca="1">IFERROR(__xludf.DUMMYFUNCTION("""COMPUTED_VALUE"""),"jay dharmendrabhai rathod")</f>
        <v>jay dharmendrabhai rathod</v>
      </c>
      <c r="C1860" s="72" t="str">
        <f ca="1">IFERROR(__xludf.DUMMYFUNCTION("""COMPUTED_VALUE"""),"18SDSEE01019")</f>
        <v>18SDSEE01019</v>
      </c>
      <c r="D1860" s="73">
        <f ca="1">IFERROR(__xludf.DUMMYFUNCTION("""COMPUTED_VALUE"""),44188)</f>
        <v>44188</v>
      </c>
      <c r="E1860" s="74">
        <f ca="1">IFERROR(__xludf.DUMMYFUNCTION("""COMPUTED_VALUE"""),25000)</f>
        <v>25000</v>
      </c>
      <c r="F1860" s="72">
        <f ca="1">IFERROR(__xludf.DUMMYFUNCTION("""COMPUTED_VALUE"""),3500)</f>
        <v>3500</v>
      </c>
      <c r="G1860" s="75"/>
      <c r="H1860" s="59" t="str">
        <f ca="1">IFERROR(__xludf.DUMMYFUNCTION("""COMPUTED_VALUE"""),"UPDATE")</f>
        <v>UPDATE</v>
      </c>
      <c r="I1860" s="76" t="str">
        <f ca="1">IFERROR(__xludf.DUMMYFUNCTION("""COMPUTED_VALUE"""),"https://drive.google.com/open?id=1-4vjdyYyOYRfZu9dKHOWraiNZMh1imLn")</f>
        <v>https://drive.google.com/open?id=1-4vjdyYyOYRfZu9dKHOWraiNZMh1imLn</v>
      </c>
      <c r="J1860" s="59"/>
      <c r="K1860" s="59"/>
      <c r="L1860" s="59"/>
      <c r="M1860" s="59"/>
      <c r="N1860" s="59"/>
      <c r="O1860" s="59"/>
      <c r="P1860" s="59"/>
    </row>
    <row r="1861" spans="1:16">
      <c r="A1861" s="71">
        <f ca="1">IFERROR(__xludf.DUMMYFUNCTION("""COMPUTED_VALUE"""),44303.6038903472)</f>
        <v>44303.6038903472</v>
      </c>
      <c r="B1861" s="59" t="str">
        <f ca="1">IFERROR(__xludf.DUMMYFUNCTION("""COMPUTED_VALUE"""),"Naman Pareshbhai Ranparia")</f>
        <v>Naman Pareshbhai Ranparia</v>
      </c>
      <c r="C1861" s="72" t="str">
        <f ca="1">IFERROR(__xludf.DUMMYFUNCTION("""COMPUTED_VALUE"""),"18SDSEE01017")</f>
        <v>18SDSEE01017</v>
      </c>
      <c r="D1861" s="73">
        <f ca="1">IFERROR(__xludf.DUMMYFUNCTION("""COMPUTED_VALUE"""),44187)</f>
        <v>44187</v>
      </c>
      <c r="E1861" s="74">
        <f ca="1">IFERROR(__xludf.DUMMYFUNCTION("""COMPUTED_VALUE"""),25000)</f>
        <v>25000</v>
      </c>
      <c r="F1861" s="72">
        <f ca="1">IFERROR(__xludf.DUMMYFUNCTION("""COMPUTED_VALUE"""),3500)</f>
        <v>3500</v>
      </c>
      <c r="G1861" s="75"/>
      <c r="H1861" s="59" t="str">
        <f ca="1">IFERROR(__xludf.DUMMYFUNCTION("""COMPUTED_VALUE"""),"UPDATE")</f>
        <v>UPDATE</v>
      </c>
      <c r="I1861" s="76" t="str">
        <f ca="1">IFERROR(__xludf.DUMMYFUNCTION("""COMPUTED_VALUE"""),"https://drive.google.com/open?id=1msuS9VmdwC2D17JcEo6A-BjtEA9P_bMw")</f>
        <v>https://drive.google.com/open?id=1msuS9VmdwC2D17JcEo6A-BjtEA9P_bMw</v>
      </c>
      <c r="J1861" s="59"/>
      <c r="K1861" s="59"/>
      <c r="L1861" s="59"/>
      <c r="M1861" s="59"/>
      <c r="N1861" s="59"/>
      <c r="O1861" s="59"/>
      <c r="P1861" s="59"/>
    </row>
    <row r="1862" spans="1:16">
      <c r="A1862" s="71">
        <f ca="1">IFERROR(__xludf.DUMMYFUNCTION("""COMPUTED_VALUE"""),44303.6032797222)</f>
        <v>44303.6032797222</v>
      </c>
      <c r="B1862" s="59" t="str">
        <f ca="1">IFERROR(__xludf.DUMMYFUNCTION("""COMPUTED_VALUE"""),"Naman Pareshbhai Ranparia")</f>
        <v>Naman Pareshbhai Ranparia</v>
      </c>
      <c r="C1862" s="72" t="str">
        <f ca="1">IFERROR(__xludf.DUMMYFUNCTION("""COMPUTED_VALUE"""),"18SDSEE01017")</f>
        <v>18SDSEE01017</v>
      </c>
      <c r="D1862" s="73">
        <f ca="1">IFERROR(__xludf.DUMMYFUNCTION("""COMPUTED_VALUE"""),44187)</f>
        <v>44187</v>
      </c>
      <c r="E1862" s="74">
        <f ca="1">IFERROR(__xludf.DUMMYFUNCTION("""COMPUTED_VALUE"""),25000)</f>
        <v>25000</v>
      </c>
      <c r="F1862" s="72">
        <f ca="1">IFERROR(__xludf.DUMMYFUNCTION("""COMPUTED_VALUE"""),3500)</f>
        <v>3500</v>
      </c>
      <c r="G1862" s="75"/>
      <c r="H1862" s="59" t="str">
        <f ca="1">IFERROR(__xludf.DUMMYFUNCTION("""COMPUTED_VALUE"""),"UPDATE")</f>
        <v>UPDATE</v>
      </c>
      <c r="I1862" s="76" t="str">
        <f ca="1">IFERROR(__xludf.DUMMYFUNCTION("""COMPUTED_VALUE"""),"https://drive.google.com/open?id=10syV7bm0_i5tpbUo2a1gZOlpKqbV40to")</f>
        <v>https://drive.google.com/open?id=10syV7bm0_i5tpbUo2a1gZOlpKqbV40to</v>
      </c>
      <c r="J1862" s="59"/>
      <c r="K1862" s="59"/>
      <c r="L1862" s="59"/>
      <c r="M1862" s="59"/>
      <c r="N1862" s="59"/>
      <c r="O1862" s="59"/>
      <c r="P1862" s="59"/>
    </row>
    <row r="1863" spans="1:16">
      <c r="A1863" s="71">
        <f ca="1">IFERROR(__xludf.DUMMYFUNCTION("""COMPUTED_VALUE"""),44303.59955228)</f>
        <v>44303.59955228</v>
      </c>
      <c r="B1863" s="59" t="str">
        <f ca="1">IFERROR(__xludf.DUMMYFUNCTION("""COMPUTED_VALUE"""),"Rathod nishit")</f>
        <v>Rathod nishit</v>
      </c>
      <c r="C1863" s="72" t="str">
        <f ca="1">IFERROR(__xludf.DUMMYFUNCTION("""COMPUTED_VALUE"""),"19sdsee01007")</f>
        <v>19sdsee01007</v>
      </c>
      <c r="D1863" s="73">
        <f ca="1">IFERROR(__xludf.DUMMYFUNCTION("""COMPUTED_VALUE"""),44232)</f>
        <v>44232</v>
      </c>
      <c r="E1863" s="74">
        <f ca="1">IFERROR(__xludf.DUMMYFUNCTION("""COMPUTED_VALUE"""),24000)</f>
        <v>24000</v>
      </c>
      <c r="F1863" s="72">
        <f ca="1">IFERROR(__xludf.DUMMYFUNCTION("""COMPUTED_VALUE"""),2500)</f>
        <v>2500</v>
      </c>
      <c r="G1863" s="75"/>
      <c r="H1863" s="59" t="str">
        <f ca="1">IFERROR(__xludf.DUMMYFUNCTION("""COMPUTED_VALUE"""),"UPDATE")</f>
        <v>UPDATE</v>
      </c>
      <c r="I1863" s="76" t="str">
        <f ca="1">IFERROR(__xludf.DUMMYFUNCTION("""COMPUTED_VALUE"""),"https://drive.google.com/open?id=1bxVbnioXvpyYvJVjlnFf9u3lOSacgMUf")</f>
        <v>https://drive.google.com/open?id=1bxVbnioXvpyYvJVjlnFf9u3lOSacgMUf</v>
      </c>
      <c r="J1863" s="59"/>
      <c r="K1863" s="59"/>
      <c r="L1863" s="59"/>
      <c r="M1863" s="59"/>
      <c r="N1863" s="59"/>
      <c r="O1863" s="59"/>
      <c r="P1863" s="59"/>
    </row>
    <row r="1864" spans="1:16">
      <c r="A1864" s="71">
        <f ca="1">IFERROR(__xludf.DUMMYFUNCTION("""COMPUTED_VALUE"""),44303.593257199)</f>
        <v>44303.593257198998</v>
      </c>
      <c r="B1864" s="59" t="str">
        <f ca="1">IFERROR(__xludf.DUMMYFUNCTION("""COMPUTED_VALUE"""),"CHUDASAMA MAYURBHAI KANUBHAI")</f>
        <v>CHUDASAMA MAYURBHAI KANUBHAI</v>
      </c>
      <c r="C1864" s="72" t="str">
        <f ca="1">IFERROR(__xludf.DUMMYFUNCTION("""COMPUTED_VALUE"""),"18SDSEE01006")</f>
        <v>18SDSEE01006</v>
      </c>
      <c r="D1864" s="73">
        <f ca="1">IFERROR(__xludf.DUMMYFUNCTION("""COMPUTED_VALUE"""),44303)</f>
        <v>44303</v>
      </c>
      <c r="E1864" s="72"/>
      <c r="F1864" s="72">
        <f ca="1">IFERROR(__xludf.DUMMYFUNCTION("""COMPUTED_VALUE"""),1000)</f>
        <v>1000</v>
      </c>
      <c r="G1864" s="75"/>
      <c r="H1864" s="59" t="str">
        <f ca="1">IFERROR(__xludf.DUMMYFUNCTION("""COMPUTED_VALUE"""),"UPDATE")</f>
        <v>UPDATE</v>
      </c>
      <c r="I1864" s="76" t="str">
        <f ca="1">IFERROR(__xludf.DUMMYFUNCTION("""COMPUTED_VALUE"""),"https://drive.google.com/open?id=1d9AZaVkLmQFJqC7YsnzDyHeJy45CrJKZ")</f>
        <v>https://drive.google.com/open?id=1d9AZaVkLmQFJqC7YsnzDyHeJy45CrJKZ</v>
      </c>
      <c r="J1864" s="59"/>
      <c r="K1864" s="59"/>
      <c r="L1864" s="59"/>
      <c r="M1864" s="59"/>
      <c r="N1864" s="59"/>
      <c r="O1864" s="59"/>
      <c r="P1864" s="59"/>
    </row>
    <row r="1865" spans="1:16">
      <c r="A1865" s="71">
        <f ca="1">IFERROR(__xludf.DUMMYFUNCTION("""COMPUTED_VALUE"""),44303.5782364583)</f>
        <v>44303.578236458299</v>
      </c>
      <c r="B1865" s="59" t="str">
        <f ca="1">IFERROR(__xludf.DUMMYFUNCTION("""COMPUTED_VALUE"""),"Ravindra Chandrajitbhai Vaghamshi")</f>
        <v>Ravindra Chandrajitbhai Vaghamshi</v>
      </c>
      <c r="C1865" s="72" t="str">
        <f ca="1">IFERROR(__xludf.DUMMYFUNCTION("""COMPUTED_VALUE"""),"18SDSEE01024")</f>
        <v>18SDSEE01024</v>
      </c>
      <c r="D1865" s="73">
        <f ca="1">IFERROR(__xludf.DUMMYFUNCTION("""COMPUTED_VALUE"""),44235)</f>
        <v>44235</v>
      </c>
      <c r="E1865" s="74">
        <f ca="1">IFERROR(__xludf.DUMMYFUNCTION("""COMPUTED_VALUE"""),0)</f>
        <v>0</v>
      </c>
      <c r="F1865" s="72">
        <f ca="1">IFERROR(__xludf.DUMMYFUNCTION("""COMPUTED_VALUE"""),3500)</f>
        <v>3500</v>
      </c>
      <c r="G1865" s="75"/>
      <c r="H1865" s="59" t="str">
        <f ca="1">IFERROR(__xludf.DUMMYFUNCTION("""COMPUTED_VALUE"""),"UPDATE")</f>
        <v>UPDATE</v>
      </c>
      <c r="I1865" s="76" t="str">
        <f ca="1">IFERROR(__xludf.DUMMYFUNCTION("""COMPUTED_VALUE"""),"https://drive.google.com/open?id=1Z42kxSCXQ7BCD80unntPG4IYmT65-ubF")</f>
        <v>https://drive.google.com/open?id=1Z42kxSCXQ7BCD80unntPG4IYmT65-ubF</v>
      </c>
      <c r="J1865" s="59"/>
      <c r="K1865" s="59"/>
      <c r="L1865" s="59"/>
      <c r="M1865" s="59"/>
      <c r="N1865" s="59"/>
      <c r="O1865" s="59"/>
      <c r="P1865" s="59"/>
    </row>
    <row r="1866" spans="1:16">
      <c r="A1866" s="71">
        <f ca="1">IFERROR(__xludf.DUMMYFUNCTION("""COMPUTED_VALUE"""),44303.5763127662)</f>
        <v>44303.576312766199</v>
      </c>
      <c r="B1866" s="59" t="str">
        <f ca="1">IFERROR(__xludf.DUMMYFUNCTION("""COMPUTED_VALUE"""),"Sojitra Fenil R.")</f>
        <v>Sojitra Fenil R.</v>
      </c>
      <c r="C1866" s="72" t="str">
        <f ca="1">IFERROR(__xludf.DUMMYFUNCTION("""COMPUTED_VALUE"""),"16SDSEE01022")</f>
        <v>16SDSEE01022</v>
      </c>
      <c r="D1866" s="73">
        <f ca="1">IFERROR(__xludf.DUMMYFUNCTION("""COMPUTED_VALUE"""),44288)</f>
        <v>44288</v>
      </c>
      <c r="E1866" s="72"/>
      <c r="F1866" s="72">
        <f ca="1">IFERROR(__xludf.DUMMYFUNCTION("""COMPUTED_VALUE"""),2500)</f>
        <v>2500</v>
      </c>
      <c r="G1866" s="75"/>
      <c r="H1866" s="59" t="str">
        <f ca="1">IFERROR(__xludf.DUMMYFUNCTION("""COMPUTED_VALUE"""),"UPDATE")</f>
        <v>UPDATE</v>
      </c>
      <c r="I1866" s="76" t="str">
        <f ca="1">IFERROR(__xludf.DUMMYFUNCTION("""COMPUTED_VALUE"""),"https://drive.google.com/open?id=16ZMc8AD8_N_59qYK_ByMVQpjy5kdtTQJ")</f>
        <v>https://drive.google.com/open?id=16ZMc8AD8_N_59qYK_ByMVQpjy5kdtTQJ</v>
      </c>
      <c r="J1866" s="59"/>
      <c r="K1866" s="59"/>
      <c r="L1866" s="59"/>
      <c r="M1866" s="59"/>
      <c r="N1866" s="59"/>
      <c r="O1866" s="59"/>
      <c r="P1866" s="59"/>
    </row>
    <row r="1867" spans="1:16">
      <c r="A1867" s="71">
        <f ca="1">IFERROR(__xludf.DUMMYFUNCTION("""COMPUTED_VALUE"""),44303.5354922106)</f>
        <v>44303.535492210598</v>
      </c>
      <c r="B1867" s="59" t="str">
        <f ca="1">IFERROR(__xludf.DUMMYFUNCTION("""COMPUTED_VALUE"""),"Gohel Rohit Rajeshbhai ")</f>
        <v xml:space="preserve">Gohel Rohit Rajeshbhai </v>
      </c>
      <c r="C1867" s="72" t="str">
        <f ca="1">IFERROR(__xludf.DUMMYFUNCTION("""COMPUTED_VALUE"""),"19SDSEE01003")</f>
        <v>19SDSEE01003</v>
      </c>
      <c r="D1867" s="73">
        <f ca="1">IFERROR(__xludf.DUMMYFUNCTION("""COMPUTED_VALUE"""),44281)</f>
        <v>44281</v>
      </c>
      <c r="E1867" s="74">
        <f ca="1">IFERROR(__xludf.DUMMYFUNCTION("""COMPUTED_VALUE"""),0)</f>
        <v>0</v>
      </c>
      <c r="F1867" s="72">
        <f ca="1">IFERROR(__xludf.DUMMYFUNCTION("""COMPUTED_VALUE"""),2500)</f>
        <v>2500</v>
      </c>
      <c r="G1867" s="75"/>
      <c r="H1867" s="59" t="str">
        <f ca="1">IFERROR(__xludf.DUMMYFUNCTION("""COMPUTED_VALUE"""),"UPDATE")</f>
        <v>UPDATE</v>
      </c>
      <c r="I1867" s="76" t="str">
        <f ca="1">IFERROR(__xludf.DUMMYFUNCTION("""COMPUTED_VALUE"""),"https://drive.google.com/open?id=1kwtG2hJWjT7f95iE9SgAOcPsncWE_xhw")</f>
        <v>https://drive.google.com/open?id=1kwtG2hJWjT7f95iE9SgAOcPsncWE_xhw</v>
      </c>
      <c r="J1867" s="59"/>
      <c r="K1867" s="59"/>
      <c r="L1867" s="59"/>
      <c r="M1867" s="59"/>
      <c r="N1867" s="59"/>
      <c r="O1867" s="59"/>
      <c r="P1867" s="59"/>
    </row>
    <row r="1868" spans="1:16">
      <c r="A1868" s="71">
        <f ca="1">IFERROR(__xludf.DUMMYFUNCTION("""COMPUTED_VALUE"""),44303.5248366898)</f>
        <v>44303.524836689801</v>
      </c>
      <c r="B1868" s="59" t="str">
        <f ca="1">IFERROR(__xludf.DUMMYFUNCTION("""COMPUTED_VALUE"""),"GHUGHAL SAGAR BABUBHAI")</f>
        <v>GHUGHAL SAGAR BABUBHAI</v>
      </c>
      <c r="C1868" s="72" t="str">
        <f ca="1">IFERROR(__xludf.DUMMYFUNCTION("""COMPUTED_VALUE"""),"19SDSEE01002")</f>
        <v>19SDSEE01002</v>
      </c>
      <c r="D1868" s="73">
        <f ca="1">IFERROR(__xludf.DUMMYFUNCTION("""COMPUTED_VALUE"""),44228)</f>
        <v>44228</v>
      </c>
      <c r="E1868" s="74">
        <f ca="1">IFERROR(__xludf.DUMMYFUNCTION("""COMPUTED_VALUE"""),0)</f>
        <v>0</v>
      </c>
      <c r="F1868" s="72">
        <f ca="1">IFERROR(__xludf.DUMMYFUNCTION("""COMPUTED_VALUE"""),2500)</f>
        <v>2500</v>
      </c>
      <c r="G1868" s="75"/>
      <c r="H1868" s="59" t="str">
        <f ca="1">IFERROR(__xludf.DUMMYFUNCTION("""COMPUTED_VALUE"""),"UPDATE")</f>
        <v>UPDATE</v>
      </c>
      <c r="I1868" s="76" t="str">
        <f ca="1">IFERROR(__xludf.DUMMYFUNCTION("""COMPUTED_VALUE"""),"https://drive.google.com/open?id=1Kb1K2HMZ1AaovpysreR4jpnLeWVa2d5Q")</f>
        <v>https://drive.google.com/open?id=1Kb1K2HMZ1AaovpysreR4jpnLeWVa2d5Q</v>
      </c>
      <c r="J1868" s="59"/>
      <c r="K1868" s="59"/>
      <c r="L1868" s="59"/>
      <c r="M1868" s="59"/>
      <c r="N1868" s="59"/>
      <c r="O1868" s="59"/>
      <c r="P1868" s="59"/>
    </row>
    <row r="1869" spans="1:16">
      <c r="A1869" s="71">
        <f ca="1">IFERROR(__xludf.DUMMYFUNCTION("""COMPUTED_VALUE"""),44303.4980016088)</f>
        <v>44303.498001608801</v>
      </c>
      <c r="B1869" s="59" t="str">
        <f ca="1">IFERROR(__xludf.DUMMYFUNCTION("""COMPUTED_VALUE"""),"KERALIYA YASH JENTILAL")</f>
        <v>KERALIYA YASH JENTILAL</v>
      </c>
      <c r="C1869" s="72" t="str">
        <f ca="1">IFERROR(__xludf.DUMMYFUNCTION("""COMPUTED_VALUE"""),"19SDSME01012")</f>
        <v>19SDSME01012</v>
      </c>
      <c r="D1869" s="73">
        <f ca="1">IFERROR(__xludf.DUMMYFUNCTION("""COMPUTED_VALUE"""),44303)</f>
        <v>44303</v>
      </c>
      <c r="E1869" s="72"/>
      <c r="F1869" s="72">
        <f ca="1">IFERROR(__xludf.DUMMYFUNCTION("""COMPUTED_VALUE"""),2500)</f>
        <v>2500</v>
      </c>
      <c r="G1869" s="75"/>
      <c r="H1869" s="59" t="str">
        <f ca="1">IFERROR(__xludf.DUMMYFUNCTION("""COMPUTED_VALUE"""),"UPDATE")</f>
        <v>UPDATE</v>
      </c>
      <c r="I1869" s="76" t="str">
        <f ca="1">IFERROR(__xludf.DUMMYFUNCTION("""COMPUTED_VALUE"""),"https://drive.google.com/open?id=1U7aLHa3eXIBBq-6K6bR7uVqTwE4o0Lkr")</f>
        <v>https://drive.google.com/open?id=1U7aLHa3eXIBBq-6K6bR7uVqTwE4o0Lkr</v>
      </c>
      <c r="J1869" s="59"/>
      <c r="K1869" s="59"/>
      <c r="L1869" s="59"/>
      <c r="M1869" s="59"/>
      <c r="N1869" s="59"/>
      <c r="O1869" s="59"/>
      <c r="P1869" s="59"/>
    </row>
    <row r="1870" spans="1:16">
      <c r="A1870" s="71">
        <f ca="1">IFERROR(__xludf.DUMMYFUNCTION("""COMPUTED_VALUE"""),44303.4792936574)</f>
        <v>44303.479293657401</v>
      </c>
      <c r="B1870" s="59" t="str">
        <f ca="1">IFERROR(__xludf.DUMMYFUNCTION("""COMPUTED_VALUE"""),"Shekhada sweta vinodbhai")</f>
        <v>Shekhada sweta vinodbhai</v>
      </c>
      <c r="C1870" s="72" t="str">
        <f ca="1">IFERROR(__xludf.DUMMYFUNCTION("""COMPUTED_VALUE"""),"19sdsce01048")</f>
        <v>19sdsce01048</v>
      </c>
      <c r="D1870" s="73">
        <f ca="1">IFERROR(__xludf.DUMMYFUNCTION("""COMPUTED_VALUE"""),44231)</f>
        <v>44231</v>
      </c>
      <c r="E1870" s="74">
        <f ca="1">IFERROR(__xludf.DUMMYFUNCTION("""COMPUTED_VALUE"""),8500)</f>
        <v>8500</v>
      </c>
      <c r="F1870" s="72">
        <f ca="1">IFERROR(__xludf.DUMMYFUNCTION("""COMPUTED_VALUE"""),2500)</f>
        <v>2500</v>
      </c>
      <c r="G1870" s="75"/>
      <c r="H1870" s="59" t="str">
        <f ca="1">IFERROR(__xludf.DUMMYFUNCTION("""COMPUTED_VALUE"""),"UPDATE")</f>
        <v>UPDATE</v>
      </c>
      <c r="I1870" s="76" t="str">
        <f ca="1">IFERROR(__xludf.DUMMYFUNCTION("""COMPUTED_VALUE"""),"https://drive.google.com/open?id=1-HyjBTmNyhZxrHbtUcDqirYDvDWTFVOa")</f>
        <v>https://drive.google.com/open?id=1-HyjBTmNyhZxrHbtUcDqirYDvDWTFVOa</v>
      </c>
      <c r="J1870" s="59"/>
      <c r="K1870" s="59"/>
      <c r="L1870" s="59"/>
      <c r="M1870" s="59"/>
      <c r="N1870" s="59"/>
      <c r="O1870" s="59"/>
      <c r="P1870" s="59"/>
    </row>
    <row r="1871" spans="1:16">
      <c r="A1871" s="71">
        <f ca="1">IFERROR(__xludf.DUMMYFUNCTION("""COMPUTED_VALUE"""),44303.4768298032)</f>
        <v>44303.4768298032</v>
      </c>
      <c r="B1871" s="59" t="str">
        <f ca="1">IFERROR(__xludf.DUMMYFUNCTION("""COMPUTED_VALUE"""),"Shekhada sweta vinodbhai")</f>
        <v>Shekhada sweta vinodbhai</v>
      </c>
      <c r="C1871" s="72" t="str">
        <f ca="1">IFERROR(__xludf.DUMMYFUNCTION("""COMPUTED_VALUE"""),"19sdsce01048")</f>
        <v>19sdsce01048</v>
      </c>
      <c r="D1871" s="73">
        <f ca="1">IFERROR(__xludf.DUMMYFUNCTION("""COMPUTED_VALUE"""),44231)</f>
        <v>44231</v>
      </c>
      <c r="E1871" s="74">
        <f ca="1">IFERROR(__xludf.DUMMYFUNCTION("""COMPUTED_VALUE"""),8500)</f>
        <v>8500</v>
      </c>
      <c r="F1871" s="72">
        <f ca="1">IFERROR(__xludf.DUMMYFUNCTION("""COMPUTED_VALUE"""),2500)</f>
        <v>2500</v>
      </c>
      <c r="G1871" s="75"/>
      <c r="H1871" s="59" t="str">
        <f ca="1">IFERROR(__xludf.DUMMYFUNCTION("""COMPUTED_VALUE"""),"UPDATE")</f>
        <v>UPDATE</v>
      </c>
      <c r="I1871" s="76" t="str">
        <f ca="1">IFERROR(__xludf.DUMMYFUNCTION("""COMPUTED_VALUE"""),"https://drive.google.com/open?id=1vEYCt-CaSKSr0h72bk737D3qD2XXfWDd")</f>
        <v>https://drive.google.com/open?id=1vEYCt-CaSKSr0h72bk737D3qD2XXfWDd</v>
      </c>
      <c r="J1871" s="59"/>
      <c r="K1871" s="59"/>
      <c r="L1871" s="59"/>
      <c r="M1871" s="59"/>
      <c r="N1871" s="59"/>
      <c r="O1871" s="59"/>
      <c r="P1871" s="59"/>
    </row>
    <row r="1872" spans="1:16">
      <c r="A1872" s="71">
        <f ca="1">IFERROR(__xludf.DUMMYFUNCTION("""COMPUTED_VALUE"""),44303.4749315393)</f>
        <v>44303.474931539298</v>
      </c>
      <c r="B1872" s="59" t="str">
        <f ca="1">IFERROR(__xludf.DUMMYFUNCTION("""COMPUTED_VALUE"""),"Shekhada sweta vinodbhai")</f>
        <v>Shekhada sweta vinodbhai</v>
      </c>
      <c r="C1872" s="72" t="str">
        <f ca="1">IFERROR(__xludf.DUMMYFUNCTION("""COMPUTED_VALUE"""),"19sdsce01048")</f>
        <v>19sdsce01048</v>
      </c>
      <c r="D1872" s="73">
        <f ca="1">IFERROR(__xludf.DUMMYFUNCTION("""COMPUTED_VALUE"""),44231)</f>
        <v>44231</v>
      </c>
      <c r="E1872" s="74">
        <f ca="1">IFERROR(__xludf.DUMMYFUNCTION("""COMPUTED_VALUE"""),8500)</f>
        <v>8500</v>
      </c>
      <c r="F1872" s="72">
        <f ca="1">IFERROR(__xludf.DUMMYFUNCTION("""COMPUTED_VALUE"""),2500)</f>
        <v>2500</v>
      </c>
      <c r="G1872" s="75"/>
      <c r="H1872" s="59" t="str">
        <f ca="1">IFERROR(__xludf.DUMMYFUNCTION("""COMPUTED_VALUE"""),"UPDATE")</f>
        <v>UPDATE</v>
      </c>
      <c r="I1872" s="76" t="str">
        <f ca="1">IFERROR(__xludf.DUMMYFUNCTION("""COMPUTED_VALUE"""),"https://drive.google.com/open?id=1CH5463vMwAf4Tpp68BQFc6tAJqzRzp-2")</f>
        <v>https://drive.google.com/open?id=1CH5463vMwAf4Tpp68BQFc6tAJqzRzp-2</v>
      </c>
      <c r="J1872" s="59"/>
      <c r="K1872" s="59"/>
      <c r="L1872" s="59"/>
      <c r="M1872" s="59"/>
      <c r="N1872" s="59"/>
      <c r="O1872" s="59"/>
      <c r="P1872" s="59"/>
    </row>
    <row r="1873" spans="1:16">
      <c r="A1873" s="71">
        <f ca="1">IFERROR(__xludf.DUMMYFUNCTION("""COMPUTED_VALUE"""),44303.4605351273)</f>
        <v>44303.460535127298</v>
      </c>
      <c r="B1873" s="59" t="str">
        <f ca="1">IFERROR(__xludf.DUMMYFUNCTION("""COMPUTED_VALUE"""),"JOSHI HARSH SAMIRBHAI")</f>
        <v>JOSHI HARSH SAMIRBHAI</v>
      </c>
      <c r="C1873" s="72" t="str">
        <f ca="1">IFERROR(__xludf.DUMMYFUNCTION("""COMPUTED_VALUE"""),"19SDSME01009")</f>
        <v>19SDSME01009</v>
      </c>
      <c r="D1873" s="73">
        <f ca="1">IFERROR(__xludf.DUMMYFUNCTION("""COMPUTED_VALUE"""),44303)</f>
        <v>44303</v>
      </c>
      <c r="E1873" s="72"/>
      <c r="F1873" s="72">
        <f ca="1">IFERROR(__xludf.DUMMYFUNCTION("""COMPUTED_VALUE"""),2500)</f>
        <v>2500</v>
      </c>
      <c r="G1873" s="75"/>
      <c r="H1873" s="59" t="str">
        <f ca="1">IFERROR(__xludf.DUMMYFUNCTION("""COMPUTED_VALUE"""),"UPDATE")</f>
        <v>UPDATE</v>
      </c>
      <c r="I1873" s="76" t="str">
        <f ca="1">IFERROR(__xludf.DUMMYFUNCTION("""COMPUTED_VALUE"""),"https://drive.google.com/open?id=1WuWEZzcfKWK3AtaxNj6jFMRqjl0YgCVA")</f>
        <v>https://drive.google.com/open?id=1WuWEZzcfKWK3AtaxNj6jFMRqjl0YgCVA</v>
      </c>
      <c r="J1873" s="59"/>
      <c r="K1873" s="59"/>
      <c r="L1873" s="59"/>
      <c r="M1873" s="59"/>
      <c r="N1873" s="59"/>
      <c r="O1873" s="59"/>
      <c r="P1873" s="59"/>
    </row>
    <row r="1874" spans="1:16">
      <c r="A1874" s="71">
        <f ca="1">IFERROR(__xludf.DUMMYFUNCTION("""COMPUTED_VALUE"""),44303.4530014004)</f>
        <v>44303.453001400398</v>
      </c>
      <c r="B1874" s="59" t="str">
        <f ca="1">IFERROR(__xludf.DUMMYFUNCTION("""COMPUTED_VALUE"""),"THAKAR JAYESH RAMANBHAI")</f>
        <v>THAKAR JAYESH RAMANBHAI</v>
      </c>
      <c r="C1874" s="72" t="str">
        <f ca="1">IFERROR(__xludf.DUMMYFUNCTION("""COMPUTED_VALUE"""),"15SDSME01057")</f>
        <v>15SDSME01057</v>
      </c>
      <c r="D1874" s="73">
        <f ca="1">IFERROR(__xludf.DUMMYFUNCTION("""COMPUTED_VALUE"""),44303)</f>
        <v>44303</v>
      </c>
      <c r="E1874" s="74">
        <f ca="1">IFERROR(__xludf.DUMMYFUNCTION("""COMPUTED_VALUE"""),6500)</f>
        <v>6500</v>
      </c>
      <c r="F1874" s="72">
        <f ca="1">IFERROR(__xludf.DUMMYFUNCTION("""COMPUTED_VALUE"""),3500)</f>
        <v>3500</v>
      </c>
      <c r="G1874" s="75"/>
      <c r="H1874" s="59" t="str">
        <f ca="1">IFERROR(__xludf.DUMMYFUNCTION("""COMPUTED_VALUE"""),"UPDATE")</f>
        <v>UPDATE</v>
      </c>
      <c r="I1874" s="76" t="str">
        <f ca="1">IFERROR(__xludf.DUMMYFUNCTION("""COMPUTED_VALUE"""),"https://drive.google.com/open?id=1BAh2uEJulItfVAWnCP14yzFWJT5YrSZb")</f>
        <v>https://drive.google.com/open?id=1BAh2uEJulItfVAWnCP14yzFWJT5YrSZb</v>
      </c>
      <c r="J1874" s="59"/>
      <c r="K1874" s="59"/>
      <c r="L1874" s="59"/>
      <c r="M1874" s="59"/>
      <c r="N1874" s="59"/>
      <c r="O1874" s="59"/>
      <c r="P1874" s="59"/>
    </row>
    <row r="1875" spans="1:16">
      <c r="A1875" s="71">
        <f ca="1">IFERROR(__xludf.DUMMYFUNCTION("""COMPUTED_VALUE"""),44303.4510696759)</f>
        <v>44303.451069675903</v>
      </c>
      <c r="B1875" s="59" t="str">
        <f ca="1">IFERROR(__xludf.DUMMYFUNCTION("""COMPUTED_VALUE"""),"BARASIYA DEEP AMRUTLAL ")</f>
        <v xml:space="preserve">BARASIYA DEEP AMRUTLAL </v>
      </c>
      <c r="C1875" s="72" t="str">
        <f ca="1">IFERROR(__xludf.DUMMYFUNCTION("""COMPUTED_VALUE"""),"19SDSME01001")</f>
        <v>19SDSME01001</v>
      </c>
      <c r="D1875" s="73">
        <f ca="1">IFERROR(__xludf.DUMMYFUNCTION("""COMPUTED_VALUE"""),44303)</f>
        <v>44303</v>
      </c>
      <c r="E1875" s="72"/>
      <c r="F1875" s="72">
        <f ca="1">IFERROR(__xludf.DUMMYFUNCTION("""COMPUTED_VALUE"""),2500)</f>
        <v>2500</v>
      </c>
      <c r="G1875" s="75"/>
      <c r="H1875" s="59" t="str">
        <f ca="1">IFERROR(__xludf.DUMMYFUNCTION("""COMPUTED_VALUE"""),"UPDATE")</f>
        <v>UPDATE</v>
      </c>
      <c r="I1875" s="76" t="str">
        <f ca="1">IFERROR(__xludf.DUMMYFUNCTION("""COMPUTED_VALUE"""),"https://drive.google.com/open?id=1oKUJsG7Fb4LMycyCByzMIUtaApGpndOi")</f>
        <v>https://drive.google.com/open?id=1oKUJsG7Fb4LMycyCByzMIUtaApGpndOi</v>
      </c>
      <c r="J1875" s="59"/>
      <c r="K1875" s="59"/>
      <c r="L1875" s="59"/>
      <c r="M1875" s="59"/>
      <c r="N1875" s="59"/>
      <c r="O1875" s="59"/>
      <c r="P1875" s="59"/>
    </row>
    <row r="1876" spans="1:16">
      <c r="A1876" s="71">
        <f ca="1">IFERROR(__xludf.DUMMYFUNCTION("""COMPUTED_VALUE"""),44303.4060078472)</f>
        <v>44303.406007847203</v>
      </c>
      <c r="B1876" s="59" t="str">
        <f ca="1">IFERROR(__xludf.DUMMYFUNCTION("""COMPUTED_VALUE"""),"KHIMANI FAIZAN YUSUFBHAI")</f>
        <v>KHIMANI FAIZAN YUSUFBHAI</v>
      </c>
      <c r="C1876" s="72" t="str">
        <f ca="1">IFERROR(__xludf.DUMMYFUNCTION("""COMPUTED_VALUE"""),"19SDSCE01025")</f>
        <v>19SDSCE01025</v>
      </c>
      <c r="D1876" s="73">
        <f ca="1">IFERROR(__xludf.DUMMYFUNCTION("""COMPUTED_VALUE"""),44303)</f>
        <v>44303</v>
      </c>
      <c r="E1876" s="74">
        <f ca="1">IFERROR(__xludf.DUMMYFUNCTION("""COMPUTED_VALUE"""),8000)</f>
        <v>8000</v>
      </c>
      <c r="F1876" s="72"/>
      <c r="G1876" s="75"/>
      <c r="H1876" s="59" t="str">
        <f ca="1">IFERROR(__xludf.DUMMYFUNCTION("""COMPUTED_VALUE"""),"UPDATE")</f>
        <v>UPDATE</v>
      </c>
      <c r="I1876" s="76" t="str">
        <f ca="1">IFERROR(__xludf.DUMMYFUNCTION("""COMPUTED_VALUE"""),"https://drive.google.com/open?id=1tfl1FFhzw_ztvaVOGxeEPWlF3n5YRLgU")</f>
        <v>https://drive.google.com/open?id=1tfl1FFhzw_ztvaVOGxeEPWlF3n5YRLgU</v>
      </c>
      <c r="J1876" s="59"/>
      <c r="K1876" s="59"/>
      <c r="L1876" s="59"/>
      <c r="M1876" s="59"/>
      <c r="N1876" s="59"/>
      <c r="O1876" s="59"/>
      <c r="P1876" s="59"/>
    </row>
    <row r="1877" spans="1:16">
      <c r="A1877" s="71">
        <f ca="1">IFERROR(__xludf.DUMMYFUNCTION("""COMPUTED_VALUE"""),44303.3921613541)</f>
        <v>44303.392161354102</v>
      </c>
      <c r="B1877" s="59" t="str">
        <f ca="1">IFERROR(__xludf.DUMMYFUNCTION("""COMPUTED_VALUE"""),"Khimani faizan")</f>
        <v>Khimani faizan</v>
      </c>
      <c r="C1877" s="72" t="str">
        <f ca="1">IFERROR(__xludf.DUMMYFUNCTION("""COMPUTED_VALUE"""),"19SDSCE01025")</f>
        <v>19SDSCE01025</v>
      </c>
      <c r="D1877" s="73">
        <f ca="1">IFERROR(__xludf.DUMMYFUNCTION("""COMPUTED_VALUE"""),44303)</f>
        <v>44303</v>
      </c>
      <c r="E1877" s="74">
        <f ca="1">IFERROR(__xludf.DUMMYFUNCTION("""COMPUTED_VALUE"""),8000)</f>
        <v>8000</v>
      </c>
      <c r="F1877" s="72"/>
      <c r="G1877" s="75"/>
      <c r="H1877" s="59" t="str">
        <f ca="1">IFERROR(__xludf.DUMMYFUNCTION("""COMPUTED_VALUE"""),"UPDATE")</f>
        <v>UPDATE</v>
      </c>
      <c r="I1877" s="76" t="str">
        <f ca="1">IFERROR(__xludf.DUMMYFUNCTION("""COMPUTED_VALUE"""),"https://drive.google.com/open?id=1eJf00wNIv3tCAoeaZv0A53X036jtPlTI")</f>
        <v>https://drive.google.com/open?id=1eJf00wNIv3tCAoeaZv0A53X036jtPlTI</v>
      </c>
      <c r="J1877" s="59"/>
      <c r="K1877" s="59"/>
      <c r="L1877" s="59"/>
      <c r="M1877" s="59"/>
      <c r="N1877" s="59"/>
      <c r="O1877" s="59"/>
      <c r="P1877" s="59"/>
    </row>
    <row r="1878" spans="1:16">
      <c r="A1878" s="71">
        <f ca="1">IFERROR(__xludf.DUMMYFUNCTION("""COMPUTED_VALUE"""),44303.380694699)</f>
        <v>44303.380694699001</v>
      </c>
      <c r="B1878" s="59" t="str">
        <f ca="1">IFERROR(__xludf.DUMMYFUNCTION("""COMPUTED_VALUE"""),"Priya vala")</f>
        <v>Priya vala</v>
      </c>
      <c r="C1878" s="72" t="str">
        <f ca="1">IFERROR(__xludf.DUMMYFUNCTION("""COMPUTED_VALUE"""),"19SDSCE01059")</f>
        <v>19SDSCE01059</v>
      </c>
      <c r="D1878" s="73">
        <f ca="1">IFERROR(__xludf.DUMMYFUNCTION("""COMPUTED_VALUE"""),44302)</f>
        <v>44302</v>
      </c>
      <c r="E1878" s="74">
        <f ca="1">IFERROR(__xludf.DUMMYFUNCTION("""COMPUTED_VALUE"""),5500)</f>
        <v>5500</v>
      </c>
      <c r="F1878" s="72"/>
      <c r="G1878" s="75"/>
      <c r="H1878" s="59" t="str">
        <f ca="1">IFERROR(__xludf.DUMMYFUNCTION("""COMPUTED_VALUE"""),"UPDATE")</f>
        <v>UPDATE</v>
      </c>
      <c r="I1878" s="76" t="str">
        <f ca="1">IFERROR(__xludf.DUMMYFUNCTION("""COMPUTED_VALUE"""),"https://drive.google.com/open?id=11dWoq7IZIXELnJw40yJ1euu4AleV9Fdi")</f>
        <v>https://drive.google.com/open?id=11dWoq7IZIXELnJw40yJ1euu4AleV9Fdi</v>
      </c>
      <c r="J1878" s="59"/>
      <c r="K1878" s="59"/>
      <c r="L1878" s="59"/>
      <c r="M1878" s="59"/>
      <c r="N1878" s="59"/>
      <c r="O1878" s="59"/>
      <c r="P1878" s="59"/>
    </row>
    <row r="1879" spans="1:16">
      <c r="A1879" s="71">
        <f ca="1">IFERROR(__xludf.DUMMYFUNCTION("""COMPUTED_VALUE"""),44303.3795620717)</f>
        <v>44303.379562071699</v>
      </c>
      <c r="B1879" s="59" t="str">
        <f ca="1">IFERROR(__xludf.DUMMYFUNCTION("""COMPUTED_VALUE"""),"Priya vala")</f>
        <v>Priya vala</v>
      </c>
      <c r="C1879" s="72" t="str">
        <f ca="1">IFERROR(__xludf.DUMMYFUNCTION("""COMPUTED_VALUE"""),"19SDSCE01059")</f>
        <v>19SDSCE01059</v>
      </c>
      <c r="D1879" s="73">
        <f ca="1">IFERROR(__xludf.DUMMYFUNCTION("""COMPUTED_VALUE"""),44285)</f>
        <v>44285</v>
      </c>
      <c r="E1879" s="74">
        <f ca="1">IFERROR(__xludf.DUMMYFUNCTION("""COMPUTED_VALUE"""),8500)</f>
        <v>8500</v>
      </c>
      <c r="F1879" s="72"/>
      <c r="G1879" s="75"/>
      <c r="H1879" s="59" t="str">
        <f ca="1">IFERROR(__xludf.DUMMYFUNCTION("""COMPUTED_VALUE"""),"UPDATE")</f>
        <v>UPDATE</v>
      </c>
      <c r="I1879" s="76" t="str">
        <f ca="1">IFERROR(__xludf.DUMMYFUNCTION("""COMPUTED_VALUE"""),"https://drive.google.com/open?id=1p8ra2TihNbHOToAieQVseQzTwyhR9SfM")</f>
        <v>https://drive.google.com/open?id=1p8ra2TihNbHOToAieQVseQzTwyhR9SfM</v>
      </c>
      <c r="J1879" s="59"/>
      <c r="K1879" s="59"/>
      <c r="L1879" s="59"/>
      <c r="M1879" s="59"/>
      <c r="N1879" s="59"/>
      <c r="O1879" s="59"/>
      <c r="P1879" s="59"/>
    </row>
    <row r="1880" spans="1:16">
      <c r="A1880" s="71">
        <f ca="1">IFERROR(__xludf.DUMMYFUNCTION("""COMPUTED_VALUE"""),44302.6053137615)</f>
        <v>44302.605313761502</v>
      </c>
      <c r="B1880" s="59" t="str">
        <f ca="1">IFERROR(__xludf.DUMMYFUNCTION("""COMPUTED_VALUE"""),"SUREJA KEVIN HARIBHAI")</f>
        <v>SUREJA KEVIN HARIBHAI</v>
      </c>
      <c r="C1880" s="72" t="str">
        <f ca="1">IFERROR(__xludf.DUMMYFUNCTION("""COMPUTED_VALUE"""),"19SDSCE01054")</f>
        <v>19SDSCE01054</v>
      </c>
      <c r="D1880" s="73">
        <f ca="1">IFERROR(__xludf.DUMMYFUNCTION("""COMPUTED_VALUE"""),44289)</f>
        <v>44289</v>
      </c>
      <c r="E1880" s="74">
        <f ca="1">IFERROR(__xludf.DUMMYFUNCTION("""COMPUTED_VALUE"""),16500)</f>
        <v>16500</v>
      </c>
      <c r="F1880" s="72"/>
      <c r="G1880" s="75"/>
      <c r="H1880" s="59" t="str">
        <f ca="1">IFERROR(__xludf.DUMMYFUNCTION("""COMPUTED_VALUE"""),"UPDATE")</f>
        <v>UPDATE</v>
      </c>
      <c r="I1880" s="76" t="str">
        <f ca="1">IFERROR(__xludf.DUMMYFUNCTION("""COMPUTED_VALUE"""),"https://drive.google.com/open?id=1yZtdFTrcf1YrQnIAQw2GKrVJ6gjDN3XB")</f>
        <v>https://drive.google.com/open?id=1yZtdFTrcf1YrQnIAQw2GKrVJ6gjDN3XB</v>
      </c>
      <c r="J1880" s="59"/>
      <c r="K1880" s="59"/>
      <c r="L1880" s="59"/>
      <c r="M1880" s="59"/>
      <c r="N1880" s="59"/>
      <c r="O1880" s="59"/>
      <c r="P1880" s="59"/>
    </row>
    <row r="1881" spans="1:16">
      <c r="A1881" s="71">
        <f ca="1">IFERROR(__xludf.DUMMYFUNCTION("""COMPUTED_VALUE"""),44302.6052368171)</f>
        <v>44302.6052368171</v>
      </c>
      <c r="B1881" s="59" t="str">
        <f ca="1">IFERROR(__xludf.DUMMYFUNCTION("""COMPUTED_VALUE"""),"SUREJA KEVIN HARIBHAI")</f>
        <v>SUREJA KEVIN HARIBHAI</v>
      </c>
      <c r="C1881" s="72" t="str">
        <f ca="1">IFERROR(__xludf.DUMMYFUNCTION("""COMPUTED_VALUE"""),"19SDSCE01054")</f>
        <v>19SDSCE01054</v>
      </c>
      <c r="D1881" s="73">
        <f ca="1">IFERROR(__xludf.DUMMYFUNCTION("""COMPUTED_VALUE"""),44289)</f>
        <v>44289</v>
      </c>
      <c r="E1881" s="74">
        <f ca="1">IFERROR(__xludf.DUMMYFUNCTION("""COMPUTED_VALUE"""),16500)</f>
        <v>16500</v>
      </c>
      <c r="F1881" s="72"/>
      <c r="G1881" s="75"/>
      <c r="H1881" s="59" t="str">
        <f ca="1">IFERROR(__xludf.DUMMYFUNCTION("""COMPUTED_VALUE"""),"UPDATE")</f>
        <v>UPDATE</v>
      </c>
      <c r="I1881" s="76" t="str">
        <f ca="1">IFERROR(__xludf.DUMMYFUNCTION("""COMPUTED_VALUE"""),"https://drive.google.com/open?id=1ZQWoDo8cBQqnNxEpxTrcaerfr1zME95y")</f>
        <v>https://drive.google.com/open?id=1ZQWoDo8cBQqnNxEpxTrcaerfr1zME95y</v>
      </c>
      <c r="J1881" s="59"/>
      <c r="K1881" s="59"/>
      <c r="L1881" s="59"/>
      <c r="M1881" s="59"/>
      <c r="N1881" s="59"/>
      <c r="O1881" s="59"/>
      <c r="P1881" s="59"/>
    </row>
    <row r="1882" spans="1:16">
      <c r="A1882" s="71">
        <f ca="1">IFERROR(__xludf.DUMMYFUNCTION("""COMPUTED_VALUE"""),44302.5748817476)</f>
        <v>44302.574881747598</v>
      </c>
      <c r="B1882" s="59" t="str">
        <f ca="1">IFERROR(__xludf.DUMMYFUNCTION("""COMPUTED_VALUE"""),"VALA PRIYA BHIKHUBHAI")</f>
        <v>VALA PRIYA BHIKHUBHAI</v>
      </c>
      <c r="C1882" s="72" t="str">
        <f ca="1">IFERROR(__xludf.DUMMYFUNCTION("""COMPUTED_VALUE"""),"19SDSCE01059")</f>
        <v>19SDSCE01059</v>
      </c>
      <c r="D1882" s="73">
        <f ca="1">IFERROR(__xludf.DUMMYFUNCTION("""COMPUTED_VALUE"""),44285)</f>
        <v>44285</v>
      </c>
      <c r="E1882" s="74">
        <f ca="1">IFERROR(__xludf.DUMMYFUNCTION("""COMPUTED_VALUE"""),8500)</f>
        <v>8500</v>
      </c>
      <c r="F1882" s="72"/>
      <c r="G1882" s="75"/>
      <c r="H1882" s="59" t="str">
        <f ca="1">IFERROR(__xludf.DUMMYFUNCTION("""COMPUTED_VALUE"""),"UPDATE")</f>
        <v>UPDATE</v>
      </c>
      <c r="I1882" s="76" t="str">
        <f ca="1">IFERROR(__xludf.DUMMYFUNCTION("""COMPUTED_VALUE"""),"https://drive.google.com/open?id=1kqHZ2afWKyi54byXac4NtA8SHSAUWRQh")</f>
        <v>https://drive.google.com/open?id=1kqHZ2afWKyi54byXac4NtA8SHSAUWRQh</v>
      </c>
      <c r="J1882" s="59"/>
      <c r="K1882" s="59"/>
      <c r="L1882" s="59"/>
      <c r="M1882" s="59"/>
      <c r="N1882" s="59"/>
      <c r="O1882" s="59"/>
      <c r="P1882" s="59"/>
    </row>
    <row r="1883" spans="1:16">
      <c r="A1883" s="71">
        <f ca="1">IFERROR(__xludf.DUMMYFUNCTION("""COMPUTED_VALUE"""),44302.5724294675)</f>
        <v>44302.572429467502</v>
      </c>
      <c r="B1883" s="59" t="str">
        <f ca="1">IFERROR(__xludf.DUMMYFUNCTION("""COMPUTED_VALUE"""),"LODHIYA PARTH VIPULBHAI")</f>
        <v>LODHIYA PARTH VIPULBHAI</v>
      </c>
      <c r="C1883" s="72" t="str">
        <f ca="1">IFERROR(__xludf.DUMMYFUNCTION("""COMPUTED_VALUE"""),"19SDSCE01028")</f>
        <v>19SDSCE01028</v>
      </c>
      <c r="D1883" s="73">
        <f ca="1">IFERROR(__xludf.DUMMYFUNCTION("""COMPUTED_VALUE"""),44282)</f>
        <v>44282</v>
      </c>
      <c r="E1883" s="74">
        <f ca="1">IFERROR(__xludf.DUMMYFUNCTION("""COMPUTED_VALUE"""),8500)</f>
        <v>8500</v>
      </c>
      <c r="F1883" s="72"/>
      <c r="G1883" s="75"/>
      <c r="H1883" s="59" t="str">
        <f ca="1">IFERROR(__xludf.DUMMYFUNCTION("""COMPUTED_VALUE"""),"UPDATE")</f>
        <v>UPDATE</v>
      </c>
      <c r="I1883" s="76" t="str">
        <f ca="1">IFERROR(__xludf.DUMMYFUNCTION("""COMPUTED_VALUE"""),"https://drive.google.com/open?id=1bROEyTnI2gG4Xii045dWrKxnq5q3XIPk")</f>
        <v>https://drive.google.com/open?id=1bROEyTnI2gG4Xii045dWrKxnq5q3XIPk</v>
      </c>
      <c r="J1883" s="59"/>
      <c r="K1883" s="59"/>
      <c r="L1883" s="59"/>
      <c r="M1883" s="59"/>
      <c r="N1883" s="59"/>
      <c r="O1883" s="59"/>
      <c r="P1883" s="59"/>
    </row>
    <row r="1884" spans="1:16">
      <c r="A1884" s="71">
        <f ca="1">IFERROR(__xludf.DUMMYFUNCTION("""COMPUTED_VALUE"""),44302.5699425)</f>
        <v>44302.569942499998</v>
      </c>
      <c r="B1884" s="59" t="str">
        <f ca="1">IFERROR(__xludf.DUMMYFUNCTION("""COMPUTED_VALUE"""),"NAKRANI PRINCE")</f>
        <v>NAKRANI PRINCE</v>
      </c>
      <c r="C1884" s="72" t="str">
        <f ca="1">IFERROR(__xludf.DUMMYFUNCTION("""COMPUTED_VALUE"""),"19SDSME01037")</f>
        <v>19SDSME01037</v>
      </c>
      <c r="D1884" s="73">
        <f ca="1">IFERROR(__xludf.DUMMYFUNCTION("""COMPUTED_VALUE"""),44296)</f>
        <v>44296</v>
      </c>
      <c r="E1884" s="74">
        <f ca="1">IFERROR(__xludf.DUMMYFUNCTION("""COMPUTED_VALUE"""),10000)</f>
        <v>10000</v>
      </c>
      <c r="F1884" s="72"/>
      <c r="G1884" s="75"/>
      <c r="H1884" s="59" t="str">
        <f ca="1">IFERROR(__xludf.DUMMYFUNCTION("""COMPUTED_VALUE"""),"UPDATE")</f>
        <v>UPDATE</v>
      </c>
      <c r="I1884" s="76" t="str">
        <f ca="1">IFERROR(__xludf.DUMMYFUNCTION("""COMPUTED_VALUE"""),"https://drive.google.com/open?id=1CalTY4U5HPdJolefA05SIR5ZZnqtrlTf")</f>
        <v>https://drive.google.com/open?id=1CalTY4U5HPdJolefA05SIR5ZZnqtrlTf</v>
      </c>
      <c r="J1884" s="59"/>
      <c r="K1884" s="59"/>
      <c r="L1884" s="59"/>
      <c r="M1884" s="59"/>
      <c r="N1884" s="59"/>
      <c r="O1884" s="59"/>
      <c r="P1884" s="59"/>
    </row>
    <row r="1885" spans="1:16">
      <c r="A1885" s="71">
        <f ca="1">IFERROR(__xludf.DUMMYFUNCTION("""COMPUTED_VALUE"""),44302.566998287)</f>
        <v>44302.566998287002</v>
      </c>
      <c r="B1885" s="59" t="str">
        <f ca="1">IFERROR(__xludf.DUMMYFUNCTION("""COMPUTED_VALUE"""),"Khanpara Madhavi Vijaybhai")</f>
        <v>Khanpara Madhavi Vijaybhai</v>
      </c>
      <c r="C1885" s="72" t="str">
        <f ca="1">IFERROR(__xludf.DUMMYFUNCTION("""COMPUTED_VALUE"""),"19SDSCE01023")</f>
        <v>19SDSCE01023</v>
      </c>
      <c r="D1885" s="73">
        <f ca="1">IFERROR(__xludf.DUMMYFUNCTION("""COMPUTED_VALUE"""),44302)</f>
        <v>44302</v>
      </c>
      <c r="E1885" s="74">
        <f ca="1">IFERROR(__xludf.DUMMYFUNCTION("""COMPUTED_VALUE"""),8000)</f>
        <v>8000</v>
      </c>
      <c r="F1885" s="72">
        <f ca="1">IFERROR(__xludf.DUMMYFUNCTION("""COMPUTED_VALUE"""),0)</f>
        <v>0</v>
      </c>
      <c r="G1885" s="75"/>
      <c r="H1885" s="59" t="str">
        <f ca="1">IFERROR(__xludf.DUMMYFUNCTION("""COMPUTED_VALUE"""),"UPDATE")</f>
        <v>UPDATE</v>
      </c>
      <c r="I1885" s="76" t="str">
        <f ca="1">IFERROR(__xludf.DUMMYFUNCTION("""COMPUTED_VALUE"""),"https://drive.google.com/open?id=116wLemU3fmx7RMPZyaE4ZIWHi0DCYL0q")</f>
        <v>https://drive.google.com/open?id=116wLemU3fmx7RMPZyaE4ZIWHi0DCYL0q</v>
      </c>
      <c r="J1885" s="59"/>
      <c r="K1885" s="59"/>
      <c r="L1885" s="59"/>
      <c r="M1885" s="59"/>
      <c r="N1885" s="59"/>
      <c r="O1885" s="59"/>
      <c r="P1885" s="59"/>
    </row>
    <row r="1886" spans="1:16">
      <c r="A1886" s="71">
        <f ca="1">IFERROR(__xludf.DUMMYFUNCTION("""COMPUTED_VALUE"""),44302.561562199)</f>
        <v>44302.561562199</v>
      </c>
      <c r="B1886" s="59" t="str">
        <f ca="1">IFERROR(__xludf.DUMMYFUNCTION("""COMPUTED_VALUE"""),"smit bhimani")</f>
        <v>smit bhimani</v>
      </c>
      <c r="C1886" s="72" t="str">
        <f ca="1">IFERROR(__xludf.DUMMYFUNCTION("""COMPUTED_VALUE"""),"19SDSCE01004")</f>
        <v>19SDSCE01004</v>
      </c>
      <c r="D1886" s="73">
        <f ca="1">IFERROR(__xludf.DUMMYFUNCTION("""COMPUTED_VALUE"""),44299)</f>
        <v>44299</v>
      </c>
      <c r="E1886" s="74">
        <f ca="1">IFERROR(__xludf.DUMMYFUNCTION("""COMPUTED_VALUE"""),8000)</f>
        <v>8000</v>
      </c>
      <c r="F1886" s="72"/>
      <c r="G1886" s="75"/>
      <c r="H1886" s="59" t="str">
        <f ca="1">IFERROR(__xludf.DUMMYFUNCTION("""COMPUTED_VALUE"""),"UPDATE")</f>
        <v>UPDATE</v>
      </c>
      <c r="I1886" s="76" t="str">
        <f ca="1">IFERROR(__xludf.DUMMYFUNCTION("""COMPUTED_VALUE"""),"https://drive.google.com/open?id=1Fu18gc8Auib6uEB0pzd-VXoQPRSSN-k_")</f>
        <v>https://drive.google.com/open?id=1Fu18gc8Auib6uEB0pzd-VXoQPRSSN-k_</v>
      </c>
      <c r="J1886" s="59"/>
      <c r="K1886" s="59"/>
      <c r="L1886" s="59"/>
      <c r="M1886" s="59"/>
      <c r="N1886" s="59"/>
      <c r="O1886" s="59"/>
      <c r="P1886" s="59"/>
    </row>
    <row r="1887" spans="1:16">
      <c r="A1887" s="71">
        <f ca="1">IFERROR(__xludf.DUMMYFUNCTION("""COMPUTED_VALUE"""),44302.5610273263)</f>
        <v>44302.561027326301</v>
      </c>
      <c r="B1887" s="59" t="str">
        <f ca="1">IFERROR(__xludf.DUMMYFUNCTION("""COMPUTED_VALUE"""),"smit bhimani ")</f>
        <v xml:space="preserve">smit bhimani </v>
      </c>
      <c r="C1887" s="72" t="str">
        <f ca="1">IFERROR(__xludf.DUMMYFUNCTION("""COMPUTED_VALUE"""),"19SDSCE01004")</f>
        <v>19SDSCE01004</v>
      </c>
      <c r="D1887" s="73">
        <f ca="1">IFERROR(__xludf.DUMMYFUNCTION("""COMPUTED_VALUE"""),44282)</f>
        <v>44282</v>
      </c>
      <c r="E1887" s="74">
        <f ca="1">IFERROR(__xludf.DUMMYFUNCTION("""COMPUTED_VALUE"""),8500)</f>
        <v>8500</v>
      </c>
      <c r="F1887" s="72"/>
      <c r="G1887" s="75"/>
      <c r="H1887" s="59" t="str">
        <f ca="1">IFERROR(__xludf.DUMMYFUNCTION("""COMPUTED_VALUE"""),"UPDATE")</f>
        <v>UPDATE</v>
      </c>
      <c r="I1887" s="76" t="str">
        <f ca="1">IFERROR(__xludf.DUMMYFUNCTION("""COMPUTED_VALUE"""),"https://drive.google.com/open?id=1rOWNEf39NV78zC3sduvjGLg1Wx17H3Nb")</f>
        <v>https://drive.google.com/open?id=1rOWNEf39NV78zC3sduvjGLg1Wx17H3Nb</v>
      </c>
      <c r="J1887" s="59"/>
      <c r="K1887" s="59"/>
      <c r="L1887" s="59"/>
      <c r="M1887" s="59"/>
      <c r="N1887" s="59"/>
      <c r="O1887" s="59"/>
      <c r="P1887" s="59"/>
    </row>
    <row r="1888" spans="1:16">
      <c r="A1888" s="71">
        <f ca="1">IFERROR(__xludf.DUMMYFUNCTION("""COMPUTED_VALUE"""),44302.5604730671)</f>
        <v>44302.560473067097</v>
      </c>
      <c r="B1888" s="59" t="str">
        <f ca="1">IFERROR(__xludf.DUMMYFUNCTION("""COMPUTED_VALUE"""),"smit bhimani")</f>
        <v>smit bhimani</v>
      </c>
      <c r="C1888" s="72" t="str">
        <f ca="1">IFERROR(__xludf.DUMMYFUNCTION("""COMPUTED_VALUE"""),"19SDSCE01004")</f>
        <v>19SDSCE01004</v>
      </c>
      <c r="D1888" s="73">
        <f ca="1">IFERROR(__xludf.DUMMYFUNCTION("""COMPUTED_VALUE"""),44204)</f>
        <v>44204</v>
      </c>
      <c r="E1888" s="74">
        <f ca="1">IFERROR(__xludf.DUMMYFUNCTION("""COMPUTED_VALUE"""),8500)</f>
        <v>8500</v>
      </c>
      <c r="F1888" s="72"/>
      <c r="G1888" s="75"/>
      <c r="H1888" s="59" t="str">
        <f ca="1">IFERROR(__xludf.DUMMYFUNCTION("""COMPUTED_VALUE"""),"UPDATE")</f>
        <v>UPDATE</v>
      </c>
      <c r="I1888" s="76" t="str">
        <f ca="1">IFERROR(__xludf.DUMMYFUNCTION("""COMPUTED_VALUE"""),"https://drive.google.com/open?id=10BjzHIm0f1s93Ql46OnAy1DdmCjo2Mfm")</f>
        <v>https://drive.google.com/open?id=10BjzHIm0f1s93Ql46OnAy1DdmCjo2Mfm</v>
      </c>
      <c r="J1888" s="59"/>
      <c r="K1888" s="59"/>
      <c r="L1888" s="59"/>
      <c r="M1888" s="59"/>
      <c r="N1888" s="59"/>
      <c r="O1888" s="59"/>
      <c r="P1888" s="59"/>
    </row>
    <row r="1889" spans="1:16">
      <c r="A1889" s="71">
        <f ca="1">IFERROR(__xludf.DUMMYFUNCTION("""COMPUTED_VALUE"""),44302.5597237384)</f>
        <v>44302.559723738399</v>
      </c>
      <c r="B1889" s="59" t="str">
        <f ca="1">IFERROR(__xludf.DUMMYFUNCTION("""COMPUTED_VALUE"""),"smit bhimani")</f>
        <v>smit bhimani</v>
      </c>
      <c r="C1889" s="72" t="str">
        <f ca="1">IFERROR(__xludf.DUMMYFUNCTION("""COMPUTED_VALUE"""),"19SDSCE01004")</f>
        <v>19SDSCE01004</v>
      </c>
      <c r="D1889" s="73">
        <f ca="1">IFERROR(__xludf.DUMMYFUNCTION("""COMPUTED_VALUE"""),44204)</f>
        <v>44204</v>
      </c>
      <c r="E1889" s="72"/>
      <c r="F1889" s="72">
        <f ca="1">IFERROR(__xludf.DUMMYFUNCTION("""COMPUTED_VALUE"""),2500)</f>
        <v>2500</v>
      </c>
      <c r="G1889" s="75"/>
      <c r="H1889" s="59" t="str">
        <f ca="1">IFERROR(__xludf.DUMMYFUNCTION("""COMPUTED_VALUE"""),"UPDATE")</f>
        <v>UPDATE</v>
      </c>
      <c r="I1889" s="76" t="str">
        <f ca="1">IFERROR(__xludf.DUMMYFUNCTION("""COMPUTED_VALUE"""),"https://drive.google.com/open?id=1usFnonf90aaGe6Zl5DWN7rZAz7qVY_00")</f>
        <v>https://drive.google.com/open?id=1usFnonf90aaGe6Zl5DWN7rZAz7qVY_00</v>
      </c>
      <c r="J1889" s="59"/>
      <c r="K1889" s="59"/>
      <c r="L1889" s="59"/>
      <c r="M1889" s="59"/>
      <c r="N1889" s="59"/>
      <c r="O1889" s="59"/>
      <c r="P1889" s="59"/>
    </row>
    <row r="1890" spans="1:16">
      <c r="A1890" s="71">
        <f ca="1">IFERROR(__xludf.DUMMYFUNCTION("""COMPUTED_VALUE"""),44301.8625091203)</f>
        <v>44301.862509120299</v>
      </c>
      <c r="B1890" s="59" t="str">
        <f ca="1">IFERROR(__xludf.DUMMYFUNCTION("""COMPUTED_VALUE"""),"ANIRUDDH MANOJ SHARMA")</f>
        <v>ANIRUDDH MANOJ SHARMA</v>
      </c>
      <c r="C1890" s="72" t="str">
        <f ca="1">IFERROR(__xludf.DUMMYFUNCTION("""COMPUTED_VALUE"""),"20SDSEE01025")</f>
        <v>20SDSEE01025</v>
      </c>
      <c r="D1890" s="73">
        <f ca="1">IFERROR(__xludf.DUMMYFUNCTION("""COMPUTED_VALUE"""),44301)</f>
        <v>44301</v>
      </c>
      <c r="E1890" s="74">
        <f ca="1">IFERROR(__xludf.DUMMYFUNCTION("""COMPUTED_VALUE"""),12500)</f>
        <v>12500</v>
      </c>
      <c r="F1890" s="72">
        <f ca="1">IFERROR(__xludf.DUMMYFUNCTION("""COMPUTED_VALUE"""),2500)</f>
        <v>2500</v>
      </c>
      <c r="G1890" s="75"/>
      <c r="H1890" s="59" t="str">
        <f ca="1">IFERROR(__xludf.DUMMYFUNCTION("""COMPUTED_VALUE"""),"UPDATE")</f>
        <v>UPDATE</v>
      </c>
      <c r="I1890" s="76" t="str">
        <f ca="1">IFERROR(__xludf.DUMMYFUNCTION("""COMPUTED_VALUE"""),"https://drive.google.com/open?id=1Ov47zt95Lb4f5iY050hGwI5O2eOWuOOk")</f>
        <v>https://drive.google.com/open?id=1Ov47zt95Lb4f5iY050hGwI5O2eOWuOOk</v>
      </c>
      <c r="J1890" s="59"/>
      <c r="K1890" s="59"/>
      <c r="L1890" s="59"/>
      <c r="M1890" s="59"/>
      <c r="N1890" s="59"/>
      <c r="O1890" s="59"/>
      <c r="P1890" s="59"/>
    </row>
    <row r="1891" spans="1:16">
      <c r="A1891" s="71">
        <f ca="1">IFERROR(__xludf.DUMMYFUNCTION("""COMPUTED_VALUE"""),44299.5577509606)</f>
        <v>44299.557750960601</v>
      </c>
      <c r="B1891" s="59" t="str">
        <f ca="1">IFERROR(__xludf.DUMMYFUNCTION("""COMPUTED_VALUE"""),"BHALODIYA MAYANK DINESHBHAI")</f>
        <v>BHALODIYA MAYANK DINESHBHAI</v>
      </c>
      <c r="C1891" s="72" t="str">
        <f ca="1">IFERROR(__xludf.DUMMYFUNCTION("""COMPUTED_VALUE"""),"18SDSCE01005")</f>
        <v>18SDSCE01005</v>
      </c>
      <c r="D1891" s="73">
        <f ca="1">IFERROR(__xludf.DUMMYFUNCTION("""COMPUTED_VALUE"""),44299)</f>
        <v>44299</v>
      </c>
      <c r="E1891" s="74">
        <f ca="1">IFERROR(__xludf.DUMMYFUNCTION("""COMPUTED_VALUE"""),8500)</f>
        <v>8500</v>
      </c>
      <c r="F1891" s="72"/>
      <c r="G1891" s="75"/>
      <c r="H1891" s="59" t="str">
        <f ca="1">IFERROR(__xludf.DUMMYFUNCTION("""COMPUTED_VALUE"""),"UPDATE")</f>
        <v>UPDATE</v>
      </c>
      <c r="I1891" s="76" t="str">
        <f ca="1">IFERROR(__xludf.DUMMYFUNCTION("""COMPUTED_VALUE"""),"https://drive.google.com/open?id=1Eng21kAyJGcH7YLkWFxPi6p0w2KlKFD7")</f>
        <v>https://drive.google.com/open?id=1Eng21kAyJGcH7YLkWFxPi6p0w2KlKFD7</v>
      </c>
      <c r="J1891" s="59"/>
      <c r="K1891" s="59"/>
      <c r="L1891" s="59"/>
      <c r="M1891" s="59"/>
      <c r="N1891" s="59"/>
      <c r="O1891" s="59"/>
      <c r="P1891" s="59"/>
    </row>
    <row r="1892" spans="1:16">
      <c r="A1892" s="71">
        <f ca="1">IFERROR(__xludf.DUMMYFUNCTION("""COMPUTED_VALUE"""),44299.4680607754)</f>
        <v>44299.468060775398</v>
      </c>
      <c r="B1892" s="59" t="str">
        <f ca="1">IFERROR(__xludf.DUMMYFUNCTION("""COMPUTED_VALUE"""),"Smit Bhimani ")</f>
        <v xml:space="preserve">Smit Bhimani </v>
      </c>
      <c r="C1892" s="72" t="str">
        <f ca="1">IFERROR(__xludf.DUMMYFUNCTION("""COMPUTED_VALUE"""),"19SDSCE01004")</f>
        <v>19SDSCE01004</v>
      </c>
      <c r="D1892" s="73">
        <f ca="1">IFERROR(__xludf.DUMMYFUNCTION("""COMPUTED_VALUE"""),44299)</f>
        <v>44299</v>
      </c>
      <c r="E1892" s="74">
        <f ca="1">IFERROR(__xludf.DUMMYFUNCTION("""COMPUTED_VALUE"""),8000)</f>
        <v>8000</v>
      </c>
      <c r="F1892" s="72"/>
      <c r="G1892" s="75"/>
      <c r="H1892" s="59" t="str">
        <f ca="1">IFERROR(__xludf.DUMMYFUNCTION("""COMPUTED_VALUE"""),"UPDATE")</f>
        <v>UPDATE</v>
      </c>
      <c r="I1892" s="76" t="str">
        <f ca="1">IFERROR(__xludf.DUMMYFUNCTION("""COMPUTED_VALUE"""),"https://drive.google.com/open?id=1RKgIx2lUsfAWMKZ01__g6JDGwEkDHUQW")</f>
        <v>https://drive.google.com/open?id=1RKgIx2lUsfAWMKZ01__g6JDGwEkDHUQW</v>
      </c>
      <c r="J1892" s="59"/>
      <c r="K1892" s="59"/>
      <c r="L1892" s="59"/>
      <c r="M1892" s="59"/>
      <c r="N1892" s="59"/>
      <c r="O1892" s="59"/>
      <c r="P1892" s="59"/>
    </row>
    <row r="1893" spans="1:16">
      <c r="A1893" s="71">
        <f ca="1">IFERROR(__xludf.DUMMYFUNCTION("""COMPUTED_VALUE"""),44299.4538993634)</f>
        <v>44299.453899363398</v>
      </c>
      <c r="B1893" s="59" t="str">
        <f ca="1">IFERROR(__xludf.DUMMYFUNCTION("""COMPUTED_VALUE"""),"SHUKLA DHAVAL HITESHBHAI")</f>
        <v>SHUKLA DHAVAL HITESHBHAI</v>
      </c>
      <c r="C1893" s="72" t="str">
        <f ca="1">IFERROR(__xludf.DUMMYFUNCTION("""COMPUTED_VALUE"""),"18SDSCE01060")</f>
        <v>18SDSCE01060</v>
      </c>
      <c r="D1893" s="73">
        <f ca="1">IFERROR(__xludf.DUMMYFUNCTION("""COMPUTED_VALUE"""),44288)</f>
        <v>44288</v>
      </c>
      <c r="E1893" s="74">
        <f ca="1">IFERROR(__xludf.DUMMYFUNCTION("""COMPUTED_VALUE"""),25000)</f>
        <v>25000</v>
      </c>
      <c r="F1893" s="72">
        <f ca="1">IFERROR(__xludf.DUMMYFUNCTION("""COMPUTED_VALUE"""),3500)</f>
        <v>3500</v>
      </c>
      <c r="G1893" s="75"/>
      <c r="H1893" s="59" t="str">
        <f ca="1">IFERROR(__xludf.DUMMYFUNCTION("""COMPUTED_VALUE"""),"UPDATE")</f>
        <v>UPDATE</v>
      </c>
      <c r="I1893" s="76" t="str">
        <f ca="1">IFERROR(__xludf.DUMMYFUNCTION("""COMPUTED_VALUE"""),"https://drive.google.com/open?id=1IvzKg3FnLhSGTl1UXMp9VyegNFrBDLnB")</f>
        <v>https://drive.google.com/open?id=1IvzKg3FnLhSGTl1UXMp9VyegNFrBDLnB</v>
      </c>
      <c r="J1893" s="59"/>
      <c r="K1893" s="59"/>
      <c r="L1893" s="59"/>
      <c r="M1893" s="59"/>
      <c r="N1893" s="59"/>
      <c r="O1893" s="59"/>
      <c r="P1893" s="59"/>
    </row>
    <row r="1894" spans="1:16">
      <c r="A1894" s="71">
        <f ca="1">IFERROR(__xludf.DUMMYFUNCTION("""COMPUTED_VALUE"""),44299.4395576851)</f>
        <v>44299.439557685102</v>
      </c>
      <c r="B1894" s="59" t="str">
        <f ca="1">IFERROR(__xludf.DUMMYFUNCTION("""COMPUTED_VALUE"""),"KUBAVAT MILAN MUKESHBHAI")</f>
        <v>KUBAVAT MILAN MUKESHBHAI</v>
      </c>
      <c r="C1894" s="72" t="str">
        <f ca="1">IFERROR(__xludf.DUMMYFUNCTION("""COMPUTED_VALUE"""),"19SDSCE03901")</f>
        <v>19SDSCE03901</v>
      </c>
      <c r="D1894" s="73">
        <f ca="1">IFERROR(__xludf.DUMMYFUNCTION("""COMPUTED_VALUE"""),44299)</f>
        <v>44299</v>
      </c>
      <c r="E1894" s="74">
        <f ca="1">IFERROR(__xludf.DUMMYFUNCTION("""COMPUTED_VALUE"""),8000)</f>
        <v>8000</v>
      </c>
      <c r="F1894" s="72"/>
      <c r="G1894" s="75"/>
      <c r="H1894" s="59" t="str">
        <f ca="1">IFERROR(__xludf.DUMMYFUNCTION("""COMPUTED_VALUE"""),"UPDATE")</f>
        <v>UPDATE</v>
      </c>
      <c r="I1894" s="76" t="str">
        <f ca="1">IFERROR(__xludf.DUMMYFUNCTION("""COMPUTED_VALUE"""),"https://drive.google.com/open?id=1GeUL70mWX8rdUemttH2YAMIQ65czDQgK")</f>
        <v>https://drive.google.com/open?id=1GeUL70mWX8rdUemttH2YAMIQ65czDQgK</v>
      </c>
      <c r="J1894" s="59"/>
      <c r="K1894" s="59"/>
      <c r="L1894" s="59"/>
      <c r="M1894" s="59"/>
      <c r="N1894" s="59"/>
      <c r="O1894" s="59"/>
      <c r="P1894" s="59"/>
    </row>
    <row r="1895" spans="1:16">
      <c r="A1895" s="71">
        <f ca="1">IFERROR(__xludf.DUMMYFUNCTION("""COMPUTED_VALUE"""),44299.4388492361)</f>
        <v>44299.438849236103</v>
      </c>
      <c r="B1895" s="59" t="str">
        <f ca="1">IFERROR(__xludf.DUMMYFUNCTION("""COMPUTED_VALUE"""),"KUBAVAT MILAN MUKESHBHAI")</f>
        <v>KUBAVAT MILAN MUKESHBHAI</v>
      </c>
      <c r="C1895" s="72" t="str">
        <f ca="1">IFERROR(__xludf.DUMMYFUNCTION("""COMPUTED_VALUE"""),"19SDSCE03901")</f>
        <v>19SDSCE03901</v>
      </c>
      <c r="D1895" s="73">
        <f ca="1">IFERROR(__xludf.DUMMYFUNCTION("""COMPUTED_VALUE"""),44288)</f>
        <v>44288</v>
      </c>
      <c r="E1895" s="74">
        <f ca="1">IFERROR(__xludf.DUMMYFUNCTION("""COMPUTED_VALUE"""),8500)</f>
        <v>8500</v>
      </c>
      <c r="F1895" s="72"/>
      <c r="G1895" s="75"/>
      <c r="H1895" s="59" t="str">
        <f ca="1">IFERROR(__xludf.DUMMYFUNCTION("""COMPUTED_VALUE"""),"UPDATE")</f>
        <v>UPDATE</v>
      </c>
      <c r="I1895" s="76" t="str">
        <f ca="1">IFERROR(__xludf.DUMMYFUNCTION("""COMPUTED_VALUE"""),"https://drive.google.com/open?id=182J_3fE7TcCDufI7Bbh82AAGXZQcHzfK")</f>
        <v>https://drive.google.com/open?id=182J_3fE7TcCDufI7Bbh82AAGXZQcHzfK</v>
      </c>
      <c r="J1895" s="59"/>
      <c r="K1895" s="59"/>
      <c r="L1895" s="59"/>
      <c r="M1895" s="59"/>
      <c r="N1895" s="59"/>
      <c r="O1895" s="59"/>
      <c r="P1895" s="59"/>
    </row>
    <row r="1896" spans="1:16">
      <c r="A1896" s="71">
        <f ca="1">IFERROR(__xludf.DUMMYFUNCTION("""COMPUTED_VALUE"""),44299.4044851041)</f>
        <v>44299.404485104104</v>
      </c>
      <c r="B1896" s="59" t="str">
        <f ca="1">IFERROR(__xludf.DUMMYFUNCTION("""COMPUTED_VALUE"""),"MOVALIA KRUNAL PRAVIN")</f>
        <v>MOVALIA KRUNAL PRAVIN</v>
      </c>
      <c r="C1896" s="72" t="str">
        <f ca="1">IFERROR(__xludf.DUMMYFUNCTION("""COMPUTED_VALUE"""),"18SDSCE01041")</f>
        <v>18SDSCE01041</v>
      </c>
      <c r="D1896" s="73">
        <f ca="1">IFERROR(__xludf.DUMMYFUNCTION("""COMPUTED_VALUE"""),44298)</f>
        <v>44298</v>
      </c>
      <c r="E1896" s="74">
        <f ca="1">IFERROR(__xludf.DUMMYFUNCTION("""COMPUTED_VALUE"""),8000)</f>
        <v>8000</v>
      </c>
      <c r="F1896" s="72"/>
      <c r="G1896" s="75"/>
      <c r="H1896" s="59" t="str">
        <f ca="1">IFERROR(__xludf.DUMMYFUNCTION("""COMPUTED_VALUE"""),"UPDATE")</f>
        <v>UPDATE</v>
      </c>
      <c r="I1896" s="76" t="str">
        <f ca="1">IFERROR(__xludf.DUMMYFUNCTION("""COMPUTED_VALUE"""),"https://drive.google.com/open?id=1mu4e9ma2C2PDsI4zLkAbEaQ-UqNTxPR0")</f>
        <v>https://drive.google.com/open?id=1mu4e9ma2C2PDsI4zLkAbEaQ-UqNTxPR0</v>
      </c>
      <c r="J1896" s="59"/>
      <c r="K1896" s="59"/>
      <c r="L1896" s="59"/>
      <c r="M1896" s="59"/>
      <c r="N1896" s="59"/>
      <c r="O1896" s="59"/>
      <c r="P1896" s="59"/>
    </row>
    <row r="1897" spans="1:16">
      <c r="A1897" s="71">
        <f ca="1">IFERROR(__xludf.DUMMYFUNCTION("""COMPUTED_VALUE"""),44299.4001818055)</f>
        <v>44299.400181805497</v>
      </c>
      <c r="B1897" s="59" t="str">
        <f ca="1">IFERROR(__xludf.DUMMYFUNCTION("""COMPUTED_VALUE"""),"KOTADIYA DEEP MAHESHBHAI")</f>
        <v>KOTADIYA DEEP MAHESHBHAI</v>
      </c>
      <c r="C1897" s="72" t="str">
        <f ca="1">IFERROR(__xludf.DUMMYFUNCTION("""COMPUTED_VALUE"""),"18SDSME01018")</f>
        <v>18SDSME01018</v>
      </c>
      <c r="D1897" s="73">
        <f ca="1">IFERROR(__xludf.DUMMYFUNCTION("""COMPUTED_VALUE"""),44298)</f>
        <v>44298</v>
      </c>
      <c r="E1897" s="72"/>
      <c r="F1897" s="72">
        <f ca="1">IFERROR(__xludf.DUMMYFUNCTION("""COMPUTED_VALUE"""),3500)</f>
        <v>3500</v>
      </c>
      <c r="G1897" s="75"/>
      <c r="H1897" s="59" t="str">
        <f ca="1">IFERROR(__xludf.DUMMYFUNCTION("""COMPUTED_VALUE"""),"UPDATE")</f>
        <v>UPDATE</v>
      </c>
      <c r="I1897" s="76" t="str">
        <f ca="1">IFERROR(__xludf.DUMMYFUNCTION("""COMPUTED_VALUE"""),"https://drive.google.com/open?id=1tCms7785H0IXlJqXWkjnNxvyPNT_NcGj")</f>
        <v>https://drive.google.com/open?id=1tCms7785H0IXlJqXWkjnNxvyPNT_NcGj</v>
      </c>
      <c r="J1897" s="59"/>
      <c r="K1897" s="59"/>
      <c r="L1897" s="59"/>
      <c r="M1897" s="59"/>
      <c r="N1897" s="59"/>
      <c r="O1897" s="59"/>
      <c r="P1897" s="59"/>
    </row>
    <row r="1898" spans="1:16">
      <c r="A1898" s="71">
        <f ca="1">IFERROR(__xludf.DUMMYFUNCTION("""COMPUTED_VALUE"""),44299.3982284027)</f>
        <v>44299.398228402701</v>
      </c>
      <c r="B1898" s="59" t="str">
        <f ca="1">IFERROR(__xludf.DUMMYFUNCTION("""COMPUTED_VALUE"""),"KOTADIYA DEEP MAHESHBHAI")</f>
        <v>KOTADIYA DEEP MAHESHBHAI</v>
      </c>
      <c r="C1898" s="72" t="str">
        <f ca="1">IFERROR(__xludf.DUMMYFUNCTION("""COMPUTED_VALUE"""),"18SDSME01018")</f>
        <v>18SDSME01018</v>
      </c>
      <c r="D1898" s="73">
        <f ca="1">IFERROR(__xludf.DUMMYFUNCTION("""COMPUTED_VALUE"""),44298)</f>
        <v>44298</v>
      </c>
      <c r="E1898" s="74">
        <f ca="1">IFERROR(__xludf.DUMMYFUNCTION("""COMPUTED_VALUE"""),7000)</f>
        <v>7000</v>
      </c>
      <c r="F1898" s="72"/>
      <c r="G1898" s="75"/>
      <c r="H1898" s="59" t="str">
        <f ca="1">IFERROR(__xludf.DUMMYFUNCTION("""COMPUTED_VALUE"""),"UPDATE")</f>
        <v>UPDATE</v>
      </c>
      <c r="I1898" s="76" t="str">
        <f ca="1">IFERROR(__xludf.DUMMYFUNCTION("""COMPUTED_VALUE"""),"https://drive.google.com/open?id=1GN2l5LkMNTrI6IGcEqZ8vDOSf-J-vqsf")</f>
        <v>https://drive.google.com/open?id=1GN2l5LkMNTrI6IGcEqZ8vDOSf-J-vqsf</v>
      </c>
      <c r="J1898" s="59"/>
      <c r="K1898" s="59"/>
      <c r="L1898" s="59"/>
      <c r="M1898" s="59"/>
      <c r="N1898" s="59"/>
      <c r="O1898" s="59"/>
      <c r="P1898" s="59"/>
    </row>
    <row r="1899" spans="1:16">
      <c r="A1899" s="71">
        <f ca="1">IFERROR(__xludf.DUMMYFUNCTION("""COMPUTED_VALUE"""),44299.3965986458)</f>
        <v>44299.396598645799</v>
      </c>
      <c r="B1899" s="59" t="str">
        <f ca="1">IFERROR(__xludf.DUMMYFUNCTION("""COMPUTED_VALUE"""),"KATHESIYA VAIBHAV JAGDISHBHAI")</f>
        <v>KATHESIYA VAIBHAV JAGDISHBHAI</v>
      </c>
      <c r="C1899" s="72" t="str">
        <f ca="1">IFERROR(__xludf.DUMMYFUNCTION("""COMPUTED_VALUE"""),"16SDSME01019")</f>
        <v>16SDSME01019</v>
      </c>
      <c r="D1899" s="73">
        <f ca="1">IFERROR(__xludf.DUMMYFUNCTION("""COMPUTED_VALUE"""),44298)</f>
        <v>44298</v>
      </c>
      <c r="E1899" s="74">
        <f ca="1">IFERROR(__xludf.DUMMYFUNCTION("""COMPUTED_VALUE"""),8500)</f>
        <v>8500</v>
      </c>
      <c r="F1899" s="72">
        <f ca="1">IFERROR(__xludf.DUMMYFUNCTION("""COMPUTED_VALUE"""),3500)</f>
        <v>3500</v>
      </c>
      <c r="G1899" s="75"/>
      <c r="H1899" s="59" t="str">
        <f ca="1">IFERROR(__xludf.DUMMYFUNCTION("""COMPUTED_VALUE"""),"UPDATE")</f>
        <v>UPDATE</v>
      </c>
      <c r="I1899" s="76" t="str">
        <f ca="1">IFERROR(__xludf.DUMMYFUNCTION("""COMPUTED_VALUE"""),"https://drive.google.com/open?id=1cIn9kq7Cu6aC0BHl1Bmd0LlYat1dHfkS")</f>
        <v>https://drive.google.com/open?id=1cIn9kq7Cu6aC0BHl1Bmd0LlYat1dHfkS</v>
      </c>
      <c r="J1899" s="59"/>
      <c r="K1899" s="59"/>
      <c r="L1899" s="59"/>
      <c r="M1899" s="59"/>
      <c r="N1899" s="59"/>
      <c r="O1899" s="59"/>
      <c r="P1899" s="59"/>
    </row>
    <row r="1900" spans="1:16">
      <c r="A1900" s="71">
        <f ca="1">IFERROR(__xludf.DUMMYFUNCTION("""COMPUTED_VALUE"""),44298.8517140277)</f>
        <v>44298.851714027704</v>
      </c>
      <c r="B1900" s="59" t="str">
        <f ca="1">IFERROR(__xludf.DUMMYFUNCTION("""COMPUTED_VALUE"""),"MORI HARDIK DILIPBHAI")</f>
        <v>MORI HARDIK DILIPBHAI</v>
      </c>
      <c r="C1900" s="72" t="str">
        <f ca="1">IFERROR(__xludf.DUMMYFUNCTION("""COMPUTED_VALUE"""),"18SDSCE01039")</f>
        <v>18SDSCE01039</v>
      </c>
      <c r="D1900" s="73">
        <f ca="1">IFERROR(__xludf.DUMMYFUNCTION("""COMPUTED_VALUE"""),44298)</f>
        <v>44298</v>
      </c>
      <c r="E1900" s="74">
        <f ca="1">IFERROR(__xludf.DUMMYFUNCTION("""COMPUTED_VALUE"""),7500)</f>
        <v>7500</v>
      </c>
      <c r="F1900" s="72">
        <f ca="1">IFERROR(__xludf.DUMMYFUNCTION("""COMPUTED_VALUE"""),1000)</f>
        <v>1000</v>
      </c>
      <c r="G1900" s="75"/>
      <c r="H1900" s="59" t="str">
        <f ca="1">IFERROR(__xludf.DUMMYFUNCTION("""COMPUTED_VALUE"""),"UPDATE")</f>
        <v>UPDATE</v>
      </c>
      <c r="I1900" s="76" t="str">
        <f ca="1">IFERROR(__xludf.DUMMYFUNCTION("""COMPUTED_VALUE"""),"https://drive.google.com/open?id=1F9QajAXzfWf-RzH6y49ZCzGOuiBFbGNX")</f>
        <v>https://drive.google.com/open?id=1F9QajAXzfWf-RzH6y49ZCzGOuiBFbGNX</v>
      </c>
      <c r="J1900" s="59"/>
      <c r="K1900" s="59"/>
      <c r="L1900" s="59"/>
      <c r="M1900" s="59"/>
      <c r="N1900" s="59"/>
      <c r="O1900" s="59"/>
      <c r="P1900" s="59"/>
    </row>
    <row r="1901" spans="1:16">
      <c r="A1901" s="71">
        <f ca="1">IFERROR(__xludf.DUMMYFUNCTION("""COMPUTED_VALUE"""),44298.7217981597)</f>
        <v>44298.721798159699</v>
      </c>
      <c r="B1901" s="59" t="str">
        <f ca="1">IFERROR(__xludf.DUMMYFUNCTION("""COMPUTED_VALUE"""),"VIVEK ASHOKBHAI BHATVASIYA ")</f>
        <v xml:space="preserve">VIVEK ASHOKBHAI BHATVASIYA </v>
      </c>
      <c r="C1901" s="72" t="str">
        <f ca="1">IFERROR(__xludf.DUMMYFUNCTION("""COMPUTED_VALUE"""),"20SDSME01003 ")</f>
        <v xml:space="preserve">20SDSME01003 </v>
      </c>
      <c r="D1901" s="73">
        <f ca="1">IFERROR(__xludf.DUMMYFUNCTION("""COMPUTED_VALUE"""),44298)</f>
        <v>44298</v>
      </c>
      <c r="E1901" s="74">
        <f ca="1">IFERROR(__xludf.DUMMYFUNCTION("""COMPUTED_VALUE"""),12500)</f>
        <v>12500</v>
      </c>
      <c r="F1901" s="72">
        <f ca="1">IFERROR(__xludf.DUMMYFUNCTION("""COMPUTED_VALUE"""),2500)</f>
        <v>2500</v>
      </c>
      <c r="G1901" s="75"/>
      <c r="H1901" s="59" t="str">
        <f ca="1">IFERROR(__xludf.DUMMYFUNCTION("""COMPUTED_VALUE"""),"UPDATE")</f>
        <v>UPDATE</v>
      </c>
      <c r="I1901" s="76" t="str">
        <f ca="1">IFERROR(__xludf.DUMMYFUNCTION("""COMPUTED_VALUE"""),"https://drive.google.com/open?id=1fvkoginXqj26J71lFsVkqV1Z-psJnmDV")</f>
        <v>https://drive.google.com/open?id=1fvkoginXqj26J71lFsVkqV1Z-psJnmDV</v>
      </c>
      <c r="J1901" s="59"/>
      <c r="K1901" s="59"/>
      <c r="L1901" s="59"/>
      <c r="M1901" s="59"/>
      <c r="N1901" s="59"/>
      <c r="O1901" s="59"/>
      <c r="P1901" s="59"/>
    </row>
    <row r="1902" spans="1:16">
      <c r="A1902" s="71">
        <f ca="1">IFERROR(__xludf.DUMMYFUNCTION("""COMPUTED_VALUE"""),44298.7209483101)</f>
        <v>44298.720948310103</v>
      </c>
      <c r="B1902" s="59" t="str">
        <f ca="1">IFERROR(__xludf.DUMMYFUNCTION("""COMPUTED_VALUE"""),"VIVEK ASHOKBHAI BHATVASIYA")</f>
        <v>VIVEK ASHOKBHAI BHATVASIYA</v>
      </c>
      <c r="C1902" s="72" t="str">
        <f ca="1">IFERROR(__xludf.DUMMYFUNCTION("""COMPUTED_VALUE"""),"20SDSME01003 ")</f>
        <v xml:space="preserve">20SDSME01003 </v>
      </c>
      <c r="D1902" s="73">
        <f ca="1">IFERROR(__xludf.DUMMYFUNCTION("""COMPUTED_VALUE"""),44298)</f>
        <v>44298</v>
      </c>
      <c r="E1902" s="74">
        <f ca="1">IFERROR(__xludf.DUMMYFUNCTION("""COMPUTED_VALUE"""),12500)</f>
        <v>12500</v>
      </c>
      <c r="F1902" s="72">
        <f ca="1">IFERROR(__xludf.DUMMYFUNCTION("""COMPUTED_VALUE"""),2500)</f>
        <v>2500</v>
      </c>
      <c r="G1902" s="75"/>
      <c r="H1902" s="59" t="str">
        <f ca="1">IFERROR(__xludf.DUMMYFUNCTION("""COMPUTED_VALUE"""),"UPDATE")</f>
        <v>UPDATE</v>
      </c>
      <c r="I1902" s="76" t="str">
        <f ca="1">IFERROR(__xludf.DUMMYFUNCTION("""COMPUTED_VALUE"""),"https://drive.google.com/open?id=1600b3lONvG_fqHnu6H_lvDOCVR8HCgOz")</f>
        <v>https://drive.google.com/open?id=1600b3lONvG_fqHnu6H_lvDOCVR8HCgOz</v>
      </c>
      <c r="J1902" s="59"/>
      <c r="K1902" s="59"/>
      <c r="L1902" s="59"/>
      <c r="M1902" s="59"/>
      <c r="N1902" s="59"/>
      <c r="O1902" s="59"/>
      <c r="P1902" s="59"/>
    </row>
    <row r="1903" spans="1:16">
      <c r="A1903" s="71">
        <f ca="1">IFERROR(__xludf.DUMMYFUNCTION("""COMPUTED_VALUE"""),44298.5914519791)</f>
        <v>44298.591451979097</v>
      </c>
      <c r="B1903" s="59" t="str">
        <f ca="1">IFERROR(__xludf.DUMMYFUNCTION("""COMPUTED_VALUE"""),"MODHAVADIYA POOJA HAMIR")</f>
        <v>MODHAVADIYA POOJA HAMIR</v>
      </c>
      <c r="C1903" s="72" t="str">
        <f ca="1">IFERROR(__xludf.DUMMYFUNCTION("""COMPUTED_VALUE"""),"18SDSCE01038")</f>
        <v>18SDSCE01038</v>
      </c>
      <c r="D1903" s="73">
        <f ca="1">IFERROR(__xludf.DUMMYFUNCTION("""COMPUTED_VALUE"""),44298)</f>
        <v>44298</v>
      </c>
      <c r="E1903" s="74">
        <f ca="1">IFERROR(__xludf.DUMMYFUNCTION("""COMPUTED_VALUE"""),8000)</f>
        <v>8000</v>
      </c>
      <c r="F1903" s="72"/>
      <c r="G1903" s="75"/>
      <c r="H1903" s="59" t="str">
        <f ca="1">IFERROR(__xludf.DUMMYFUNCTION("""COMPUTED_VALUE"""),"UPDATE")</f>
        <v>UPDATE</v>
      </c>
      <c r="I1903" s="76" t="str">
        <f ca="1">IFERROR(__xludf.DUMMYFUNCTION("""COMPUTED_VALUE"""),"https://drive.google.com/open?id=1Wju0tgKPQzCBpbO771eyjZUb4Eucf1IH")</f>
        <v>https://drive.google.com/open?id=1Wju0tgKPQzCBpbO771eyjZUb4Eucf1IH</v>
      </c>
      <c r="J1903" s="59"/>
      <c r="K1903" s="59"/>
      <c r="L1903" s="59"/>
      <c r="M1903" s="59"/>
      <c r="N1903" s="59"/>
      <c r="O1903" s="59"/>
      <c r="P1903" s="59"/>
    </row>
    <row r="1904" spans="1:16">
      <c r="A1904" s="71">
        <f ca="1">IFERROR(__xludf.DUMMYFUNCTION("""COMPUTED_VALUE"""),44298.5901741319)</f>
        <v>44298.590174131903</v>
      </c>
      <c r="B1904" s="59" t="str">
        <f ca="1">IFERROR(__xludf.DUMMYFUNCTION("""COMPUTED_VALUE"""),"DAVE RIYA RAJESHKUMAR")</f>
        <v>DAVE RIYA RAJESHKUMAR</v>
      </c>
      <c r="C1904" s="72" t="str">
        <f ca="1">IFERROR(__xludf.DUMMYFUNCTION("""COMPUTED_VALUE"""),"18SDSCE01011")</f>
        <v>18SDSCE01011</v>
      </c>
      <c r="D1904" s="73">
        <f ca="1">IFERROR(__xludf.DUMMYFUNCTION("""COMPUTED_VALUE"""),44298)</f>
        <v>44298</v>
      </c>
      <c r="E1904" s="72"/>
      <c r="F1904" s="72">
        <f ca="1">IFERROR(__xludf.DUMMYFUNCTION("""COMPUTED_VALUE"""),1000)</f>
        <v>1000</v>
      </c>
      <c r="G1904" s="75"/>
      <c r="H1904" s="59" t="str">
        <f ca="1">IFERROR(__xludf.DUMMYFUNCTION("""COMPUTED_VALUE"""),"UPDATE")</f>
        <v>UPDATE</v>
      </c>
      <c r="I1904" s="76" t="str">
        <f ca="1">IFERROR(__xludf.DUMMYFUNCTION("""COMPUTED_VALUE"""),"https://drive.google.com/open?id=1sH-fPwB-0OqiuML-22rs3uwswRgFdmRN")</f>
        <v>https://drive.google.com/open?id=1sH-fPwB-0OqiuML-22rs3uwswRgFdmRN</v>
      </c>
      <c r="J1904" s="59"/>
      <c r="K1904" s="59"/>
      <c r="L1904" s="59"/>
      <c r="M1904" s="59"/>
      <c r="N1904" s="59"/>
      <c r="O1904" s="59"/>
      <c r="P1904" s="59"/>
    </row>
    <row r="1905" spans="1:16">
      <c r="A1905" s="71">
        <f ca="1">IFERROR(__xludf.DUMMYFUNCTION("""COMPUTED_VALUE"""),44298.5896570833)</f>
        <v>44298.589657083299</v>
      </c>
      <c r="B1905" s="59" t="str">
        <f ca="1">IFERROR(__xludf.DUMMYFUNCTION("""COMPUTED_VALUE"""),"DAVE RIYA RAJESHKUMAR")</f>
        <v>DAVE RIYA RAJESHKUMAR</v>
      </c>
      <c r="C1905" s="72" t="str">
        <f ca="1">IFERROR(__xludf.DUMMYFUNCTION("""COMPUTED_VALUE"""),"18SDSCE01011")</f>
        <v>18SDSCE01011</v>
      </c>
      <c r="D1905" s="73">
        <f ca="1">IFERROR(__xludf.DUMMYFUNCTION("""COMPUTED_VALUE"""),44298)</f>
        <v>44298</v>
      </c>
      <c r="E1905" s="74">
        <f ca="1">IFERROR(__xludf.DUMMYFUNCTION("""COMPUTED_VALUE"""),16500)</f>
        <v>16500</v>
      </c>
      <c r="F1905" s="72"/>
      <c r="G1905" s="75"/>
      <c r="H1905" s="59" t="str">
        <f ca="1">IFERROR(__xludf.DUMMYFUNCTION("""COMPUTED_VALUE"""),"UPDATE")</f>
        <v>UPDATE</v>
      </c>
      <c r="I1905" s="76" t="str">
        <f ca="1">IFERROR(__xludf.DUMMYFUNCTION("""COMPUTED_VALUE"""),"https://drive.google.com/open?id=1zE6ebYG6jLOFa48bHyVEf1ksTSRh0Di_")</f>
        <v>https://drive.google.com/open?id=1zE6ebYG6jLOFa48bHyVEf1ksTSRh0Di_</v>
      </c>
      <c r="J1905" s="59"/>
      <c r="K1905" s="59"/>
      <c r="L1905" s="59"/>
      <c r="M1905" s="59"/>
      <c r="N1905" s="59"/>
      <c r="O1905" s="59"/>
      <c r="P1905" s="59"/>
    </row>
    <row r="1906" spans="1:16">
      <c r="A1906" s="71">
        <f ca="1">IFERROR(__xludf.DUMMYFUNCTION("""COMPUTED_VALUE"""),44296.5542757638)</f>
        <v>44296.554275763803</v>
      </c>
      <c r="B1906" s="59" t="str">
        <f ca="1">IFERROR(__xludf.DUMMYFUNCTION("""COMPUTED_VALUE"""),"vansh ratanghaida")</f>
        <v>vansh ratanghaida</v>
      </c>
      <c r="C1906" s="72" t="str">
        <f ca="1">IFERROR(__xludf.DUMMYFUNCTION("""COMPUTED_VALUE"""),"19sdsce02901")</f>
        <v>19sdsce02901</v>
      </c>
      <c r="D1906" s="73">
        <f ca="1">IFERROR(__xludf.DUMMYFUNCTION("""COMPUTED_VALUE"""),44296)</f>
        <v>44296</v>
      </c>
      <c r="E1906" s="74">
        <f ca="1">IFERROR(__xludf.DUMMYFUNCTION("""COMPUTED_VALUE"""),8000)</f>
        <v>8000</v>
      </c>
      <c r="F1906" s="72">
        <f ca="1">IFERROR(__xludf.DUMMYFUNCTION("""COMPUTED_VALUE"""),0)</f>
        <v>0</v>
      </c>
      <c r="G1906" s="75"/>
      <c r="H1906" s="59" t="str">
        <f ca="1">IFERROR(__xludf.DUMMYFUNCTION("""COMPUTED_VALUE"""),"UPDATE")</f>
        <v>UPDATE</v>
      </c>
      <c r="I1906" s="76" t="str">
        <f ca="1">IFERROR(__xludf.DUMMYFUNCTION("""COMPUTED_VALUE"""),"https://drive.google.com/open?id=1HEJFGjI77zoe9rhHlTShTdmwW7m3ORtA")</f>
        <v>https://drive.google.com/open?id=1HEJFGjI77zoe9rhHlTShTdmwW7m3ORtA</v>
      </c>
      <c r="J1906" s="59"/>
      <c r="K1906" s="59"/>
      <c r="L1906" s="59"/>
      <c r="M1906" s="59"/>
      <c r="N1906" s="59"/>
      <c r="O1906" s="59"/>
      <c r="P1906" s="59"/>
    </row>
    <row r="1907" spans="1:16">
      <c r="A1907" s="71">
        <f ca="1">IFERROR(__xludf.DUMMYFUNCTION("""COMPUTED_VALUE"""),44294.7743160763)</f>
        <v>44294.774316076298</v>
      </c>
      <c r="B1907" s="59" t="str">
        <f ca="1">IFERROR(__xludf.DUMMYFUNCTION("""COMPUTED_VALUE"""),"Jatin MangalSingh Kanyal")</f>
        <v>Jatin MangalSingh Kanyal</v>
      </c>
      <c r="C1907" s="72" t="str">
        <f ca="1">IFERROR(__xludf.DUMMYFUNCTION("""COMPUTED_VALUE"""),"19SDSCE01020")</f>
        <v>19SDSCE01020</v>
      </c>
      <c r="D1907" s="73">
        <f ca="1">IFERROR(__xludf.DUMMYFUNCTION("""COMPUTED_VALUE"""),44294)</f>
        <v>44294</v>
      </c>
      <c r="E1907" s="74">
        <f ca="1">IFERROR(__xludf.DUMMYFUNCTION("""COMPUTED_VALUE"""),8000)</f>
        <v>8000</v>
      </c>
      <c r="F1907" s="72"/>
      <c r="G1907" s="75"/>
      <c r="H1907" s="59" t="str">
        <f ca="1">IFERROR(__xludf.DUMMYFUNCTION("""COMPUTED_VALUE"""),"UPDATE")</f>
        <v>UPDATE</v>
      </c>
      <c r="I1907" s="76" t="str">
        <f ca="1">IFERROR(__xludf.DUMMYFUNCTION("""COMPUTED_VALUE"""),"https://drive.google.com/open?id=17gNqTDgHhyC24enMtcTkFtjLCqSvI9AV")</f>
        <v>https://drive.google.com/open?id=17gNqTDgHhyC24enMtcTkFtjLCqSvI9AV</v>
      </c>
      <c r="J1907" s="59"/>
      <c r="K1907" s="59"/>
      <c r="L1907" s="59"/>
      <c r="M1907" s="59"/>
      <c r="N1907" s="59"/>
      <c r="O1907" s="59"/>
      <c r="P1907" s="59"/>
    </row>
    <row r="1908" spans="1:16">
      <c r="A1908" s="71">
        <f ca="1">IFERROR(__xludf.DUMMYFUNCTION("""COMPUTED_VALUE"""),44291.4046109837)</f>
        <v>44291.4046109837</v>
      </c>
      <c r="B1908" s="59" t="str">
        <f ca="1">IFERROR(__xludf.DUMMYFUNCTION("""COMPUTED_VALUE"""),"THAKAR JAYESH RAMANBHAI")</f>
        <v>THAKAR JAYESH RAMANBHAI</v>
      </c>
      <c r="C1908" s="72" t="str">
        <f ca="1">IFERROR(__xludf.DUMMYFUNCTION("""COMPUTED_VALUE"""),"15SDSME01057")</f>
        <v>15SDSME01057</v>
      </c>
      <c r="D1908" s="73">
        <f ca="1">IFERROR(__xludf.DUMMYFUNCTION("""COMPUTED_VALUE"""),44285)</f>
        <v>44285</v>
      </c>
      <c r="E1908" s="74">
        <f ca="1">IFERROR(__xludf.DUMMYFUNCTION("""COMPUTED_VALUE"""),8500)</f>
        <v>8500</v>
      </c>
      <c r="F1908" s="72"/>
      <c r="G1908" s="75"/>
      <c r="H1908" s="59" t="str">
        <f ca="1">IFERROR(__xludf.DUMMYFUNCTION("""COMPUTED_VALUE"""),"UPDATE")</f>
        <v>UPDATE</v>
      </c>
      <c r="I1908" s="76" t="str">
        <f ca="1">IFERROR(__xludf.DUMMYFUNCTION("""COMPUTED_VALUE"""),"https://drive.google.com/open?id=1EaBzCSvfIHmqby9oafc4--MmGBq-xCvw")</f>
        <v>https://drive.google.com/open?id=1EaBzCSvfIHmqby9oafc4--MmGBq-xCvw</v>
      </c>
      <c r="J1908" s="59"/>
      <c r="K1908" s="59"/>
      <c r="L1908" s="59"/>
      <c r="M1908" s="59"/>
      <c r="N1908" s="59"/>
      <c r="O1908" s="59"/>
      <c r="P1908" s="59"/>
    </row>
    <row r="1909" spans="1:16">
      <c r="A1909" s="71">
        <f ca="1">IFERROR(__xludf.DUMMYFUNCTION("""COMPUTED_VALUE"""),44288.4253847453)</f>
        <v>44288.4253847453</v>
      </c>
      <c r="B1909" s="59" t="str">
        <f ca="1">IFERROR(__xludf.DUMMYFUNCTION("""COMPUTED_VALUE"""),"MORI HARDIK")</f>
        <v>MORI HARDIK</v>
      </c>
      <c r="C1909" s="72" t="str">
        <f ca="1">IFERROR(__xludf.DUMMYFUNCTION("""COMPUTED_VALUE"""),"18SDSCE01039")</f>
        <v>18SDSCE01039</v>
      </c>
      <c r="D1909" s="73">
        <f ca="1">IFERROR(__xludf.DUMMYFUNCTION("""COMPUTED_VALUE"""),44286)</f>
        <v>44286</v>
      </c>
      <c r="E1909" s="74">
        <f ca="1">IFERROR(__xludf.DUMMYFUNCTION("""COMPUTED_VALUE"""),8500)</f>
        <v>8500</v>
      </c>
      <c r="F1909" s="72"/>
      <c r="G1909" s="75"/>
      <c r="H1909" s="59" t="str">
        <f ca="1">IFERROR(__xludf.DUMMYFUNCTION("""COMPUTED_VALUE"""),"UPDATE")</f>
        <v>UPDATE</v>
      </c>
      <c r="I1909" s="76" t="str">
        <f ca="1">IFERROR(__xludf.DUMMYFUNCTION("""COMPUTED_VALUE"""),"https://drive.google.com/open?id=11dtnuhGR8af7rcnBfI_U-M3hkRTXhomB")</f>
        <v>https://drive.google.com/open?id=11dtnuhGR8af7rcnBfI_U-M3hkRTXhomB</v>
      </c>
      <c r="J1909" s="59"/>
      <c r="K1909" s="59"/>
      <c r="L1909" s="59"/>
      <c r="M1909" s="59"/>
      <c r="N1909" s="59"/>
      <c r="O1909" s="59"/>
      <c r="P1909" s="59"/>
    </row>
    <row r="1910" spans="1:16">
      <c r="A1910" s="71">
        <f ca="1">IFERROR(__xludf.DUMMYFUNCTION("""COMPUTED_VALUE"""),44288.4232262268)</f>
        <v>44288.423226226798</v>
      </c>
      <c r="B1910" s="59" t="str">
        <f ca="1">IFERROR(__xludf.DUMMYFUNCTION("""COMPUTED_VALUE"""),"BHALODIYA MAYANK")</f>
        <v>BHALODIYA MAYANK</v>
      </c>
      <c r="C1910" s="72" t="str">
        <f ca="1">IFERROR(__xludf.DUMMYFUNCTION("""COMPUTED_VALUE"""),"18SDSCE01005")</f>
        <v>18SDSCE01005</v>
      </c>
      <c r="D1910" s="73">
        <f ca="1">IFERROR(__xludf.DUMMYFUNCTION("""COMPUTED_VALUE"""),44288)</f>
        <v>44288</v>
      </c>
      <c r="E1910" s="74">
        <f ca="1">IFERROR(__xludf.DUMMYFUNCTION("""COMPUTED_VALUE"""),8500)</f>
        <v>8500</v>
      </c>
      <c r="F1910" s="72"/>
      <c r="G1910" s="75"/>
      <c r="H1910" s="59" t="str">
        <f ca="1">IFERROR(__xludf.DUMMYFUNCTION("""COMPUTED_VALUE"""),"UPDATE")</f>
        <v>UPDATE</v>
      </c>
      <c r="I1910" s="76" t="str">
        <f ca="1">IFERROR(__xludf.DUMMYFUNCTION("""COMPUTED_VALUE"""),"https://drive.google.com/open?id=1Wi7vqk2J0LSqZY4WNYXDTE599aayKAhK")</f>
        <v>https://drive.google.com/open?id=1Wi7vqk2J0LSqZY4WNYXDTE599aayKAhK</v>
      </c>
      <c r="J1910" s="59"/>
      <c r="K1910" s="59"/>
      <c r="L1910" s="59"/>
      <c r="M1910" s="59"/>
      <c r="N1910" s="59"/>
      <c r="O1910" s="59"/>
      <c r="P1910" s="59"/>
    </row>
    <row r="1911" spans="1:16">
      <c r="A1911" s="71">
        <f ca="1">IFERROR(__xludf.DUMMYFUNCTION("""COMPUTED_VALUE"""),44288.4217752662)</f>
        <v>44288.421775266201</v>
      </c>
      <c r="B1911" s="59" t="str">
        <f ca="1">IFERROR(__xludf.DUMMYFUNCTION("""COMPUTED_VALUE"""),"SARDHARA KARAN")</f>
        <v>SARDHARA KARAN</v>
      </c>
      <c r="C1911" s="72" t="str">
        <f ca="1">IFERROR(__xludf.DUMMYFUNCTION("""COMPUTED_VALUE"""),"18SDSCE01055")</f>
        <v>18SDSCE01055</v>
      </c>
      <c r="D1911" s="73">
        <f ca="1">IFERROR(__xludf.DUMMYFUNCTION("""COMPUTED_VALUE"""),44288)</f>
        <v>44288</v>
      </c>
      <c r="E1911" s="74">
        <f ca="1">IFERROR(__xludf.DUMMYFUNCTION("""COMPUTED_VALUE"""),8500)</f>
        <v>8500</v>
      </c>
      <c r="F1911" s="72"/>
      <c r="G1911" s="75"/>
      <c r="H1911" s="59" t="str">
        <f ca="1">IFERROR(__xludf.DUMMYFUNCTION("""COMPUTED_VALUE"""),"UPDATE")</f>
        <v>UPDATE</v>
      </c>
      <c r="I1911" s="76" t="str">
        <f ca="1">IFERROR(__xludf.DUMMYFUNCTION("""COMPUTED_VALUE"""),"https://drive.google.com/open?id=1-RNRWOMisT3Mn7Utdj7T4gwEcK_bcZ53")</f>
        <v>https://drive.google.com/open?id=1-RNRWOMisT3Mn7Utdj7T4gwEcK_bcZ53</v>
      </c>
      <c r="J1911" s="59"/>
      <c r="K1911" s="59"/>
      <c r="L1911" s="59"/>
      <c r="M1911" s="59"/>
      <c r="N1911" s="59"/>
      <c r="O1911" s="59"/>
      <c r="P1911" s="59"/>
    </row>
    <row r="1912" spans="1:16">
      <c r="A1912" s="71">
        <f ca="1">IFERROR(__xludf.DUMMYFUNCTION("""COMPUTED_VALUE"""),44288.4198244097)</f>
        <v>44288.419824409699</v>
      </c>
      <c r="B1912" s="59" t="str">
        <f ca="1">IFERROR(__xludf.DUMMYFUNCTION("""COMPUTED_VALUE"""),"Ramani Raj Mukeshbhai")</f>
        <v>Ramani Raj Mukeshbhai</v>
      </c>
      <c r="C1912" s="72" t="str">
        <f ca="1">IFERROR(__xludf.DUMMYFUNCTION("""COMPUTED_VALUE"""),"20sdsce01093")</f>
        <v>20sdsce01093</v>
      </c>
      <c r="D1912" s="73">
        <f ca="1">IFERROR(__xludf.DUMMYFUNCTION("""COMPUTED_VALUE"""),44288)</f>
        <v>44288</v>
      </c>
      <c r="E1912" s="72"/>
      <c r="F1912" s="72">
        <f ca="1">IFERROR(__xludf.DUMMYFUNCTION("""COMPUTED_VALUE"""),2500)</f>
        <v>2500</v>
      </c>
      <c r="G1912" s="75"/>
      <c r="H1912" s="59" t="str">
        <f ca="1">IFERROR(__xludf.DUMMYFUNCTION("""COMPUTED_VALUE"""),"UPDATE")</f>
        <v>UPDATE</v>
      </c>
      <c r="I1912" s="76" t="str">
        <f ca="1">IFERROR(__xludf.DUMMYFUNCTION("""COMPUTED_VALUE"""),"https://drive.google.com/open?id=15Jpfa5O5wryvJozbjSI-7KAMRCNyAwDi")</f>
        <v>https://drive.google.com/open?id=15Jpfa5O5wryvJozbjSI-7KAMRCNyAwDi</v>
      </c>
      <c r="J1912" s="59"/>
      <c r="K1912" s="59"/>
      <c r="L1912" s="59"/>
      <c r="M1912" s="59"/>
      <c r="N1912" s="59"/>
      <c r="O1912" s="59"/>
      <c r="P1912" s="59"/>
    </row>
    <row r="1913" spans="1:16">
      <c r="A1913" s="71">
        <f ca="1">IFERROR(__xludf.DUMMYFUNCTION("""COMPUTED_VALUE"""),44288.4154211226)</f>
        <v>44288.415421122598</v>
      </c>
      <c r="B1913" s="59" t="str">
        <f ca="1">IFERROR(__xludf.DUMMYFUNCTION("""COMPUTED_VALUE"""),"Ramani Raj Mukeshbhai")</f>
        <v>Ramani Raj Mukeshbhai</v>
      </c>
      <c r="C1913" s="72" t="str">
        <f ca="1">IFERROR(__xludf.DUMMYFUNCTION("""COMPUTED_VALUE"""),"20sdsce01093")</f>
        <v>20sdsce01093</v>
      </c>
      <c r="D1913" s="73">
        <f ca="1">IFERROR(__xludf.DUMMYFUNCTION("""COMPUTED_VALUE"""),44286)</f>
        <v>44286</v>
      </c>
      <c r="E1913" s="74">
        <f ca="1">IFERROR(__xludf.DUMMYFUNCTION("""COMPUTED_VALUE"""),25000)</f>
        <v>25000</v>
      </c>
      <c r="F1913" s="72"/>
      <c r="G1913" s="75"/>
      <c r="H1913" s="59" t="str">
        <f ca="1">IFERROR(__xludf.DUMMYFUNCTION("""COMPUTED_VALUE"""),"UPDATE")</f>
        <v>UPDATE</v>
      </c>
      <c r="I1913" s="76" t="str">
        <f ca="1">IFERROR(__xludf.DUMMYFUNCTION("""COMPUTED_VALUE"""),"https://drive.google.com/open?id=1HnvZVdP3PEMUG091tYNkG2FkKHaSHiw4")</f>
        <v>https://drive.google.com/open?id=1HnvZVdP3PEMUG091tYNkG2FkKHaSHiw4</v>
      </c>
      <c r="J1913" s="59"/>
      <c r="K1913" s="59"/>
      <c r="L1913" s="59"/>
      <c r="M1913" s="59"/>
      <c r="N1913" s="59"/>
      <c r="O1913" s="59"/>
      <c r="P1913" s="59"/>
    </row>
    <row r="1914" spans="1:16">
      <c r="A1914" s="71">
        <f ca="1">IFERROR(__xludf.DUMMYFUNCTION("""COMPUTED_VALUE"""),44287.3787421643)</f>
        <v>44287.378742164299</v>
      </c>
      <c r="B1914" s="59" t="str">
        <f ca="1">IFERROR(__xludf.DUMMYFUNCTION("""COMPUTED_VALUE"""),"Khimani faizan")</f>
        <v>Khimani faizan</v>
      </c>
      <c r="C1914" s="72" t="str">
        <f ca="1">IFERROR(__xludf.DUMMYFUNCTION("""COMPUTED_VALUE"""),"19SDSCE01025")</f>
        <v>19SDSCE01025</v>
      </c>
      <c r="D1914" s="73">
        <f ca="1">IFERROR(__xludf.DUMMYFUNCTION("""COMPUTED_VALUE"""),44285)</f>
        <v>44285</v>
      </c>
      <c r="E1914" s="74">
        <f ca="1">IFERROR(__xludf.DUMMYFUNCTION("""COMPUTED_VALUE"""),8500)</f>
        <v>8500</v>
      </c>
      <c r="F1914" s="72"/>
      <c r="G1914" s="75"/>
      <c r="H1914" s="59" t="str">
        <f ca="1">IFERROR(__xludf.DUMMYFUNCTION("""COMPUTED_VALUE"""),"UPDATE")</f>
        <v>UPDATE</v>
      </c>
      <c r="I1914" s="76" t="str">
        <f ca="1">IFERROR(__xludf.DUMMYFUNCTION("""COMPUTED_VALUE"""),"https://drive.google.com/open?id=1I8IC2srPIdpdFyhZZ3bECnkwd_BKJb_6")</f>
        <v>https://drive.google.com/open?id=1I8IC2srPIdpdFyhZZ3bECnkwd_BKJb_6</v>
      </c>
      <c r="J1914" s="59"/>
      <c r="K1914" s="59"/>
      <c r="L1914" s="59"/>
      <c r="M1914" s="59"/>
      <c r="N1914" s="59"/>
      <c r="O1914" s="59"/>
      <c r="P1914" s="59"/>
    </row>
    <row r="1915" spans="1:16">
      <c r="A1915" s="71">
        <f ca="1">IFERROR(__xludf.DUMMYFUNCTION("""COMPUTED_VALUE"""),44286.8121526967)</f>
        <v>44286.812152696701</v>
      </c>
      <c r="B1915" s="59" t="str">
        <f ca="1">IFERROR(__xludf.DUMMYFUNCTION("""COMPUTED_VALUE"""),"TRAPASIYA BHARGAVKUMAR SHAILESHBHAI")</f>
        <v>TRAPASIYA BHARGAVKUMAR SHAILESHBHAI</v>
      </c>
      <c r="C1915" s="72" t="str">
        <f ca="1">IFERROR(__xludf.DUMMYFUNCTION("""COMPUTED_VALUE"""),"20SDSCV01011")</f>
        <v>20SDSCV01011</v>
      </c>
      <c r="D1915" s="73">
        <f ca="1">IFERROR(__xludf.DUMMYFUNCTION("""COMPUTED_VALUE"""),44286)</f>
        <v>44286</v>
      </c>
      <c r="E1915" s="72"/>
      <c r="F1915" s="72"/>
      <c r="G1915" s="75"/>
      <c r="H1915" s="59" t="str">
        <f ca="1">IFERROR(__xludf.DUMMYFUNCTION("""COMPUTED_VALUE"""),"UPDATE")</f>
        <v>UPDATE</v>
      </c>
      <c r="I1915" s="76" t="str">
        <f ca="1">IFERROR(__xludf.DUMMYFUNCTION("""COMPUTED_VALUE"""),"https://drive.google.com/open?id=1xBV98qjU0qS_eEE1KDWcFX1USbiiHzZE")</f>
        <v>https://drive.google.com/open?id=1xBV98qjU0qS_eEE1KDWcFX1USbiiHzZE</v>
      </c>
      <c r="J1915" s="59"/>
      <c r="K1915" s="59"/>
      <c r="L1915" s="59"/>
      <c r="M1915" s="59"/>
      <c r="N1915" s="59"/>
      <c r="O1915" s="59"/>
      <c r="P1915" s="59"/>
    </row>
    <row r="1916" spans="1:16">
      <c r="A1916" s="71">
        <f ca="1">IFERROR(__xludf.DUMMYFUNCTION("""COMPUTED_VALUE"""),44286.6522536226)</f>
        <v>44286.652253622597</v>
      </c>
      <c r="B1916" s="59" t="str">
        <f ca="1">IFERROR(__xludf.DUMMYFUNCTION("""COMPUTED_VALUE"""),"KOGATIYA JENIL PREMJIBHAI")</f>
        <v>KOGATIYA JENIL PREMJIBHAI</v>
      </c>
      <c r="C1916" s="72" t="str">
        <f ca="1">IFERROR(__xludf.DUMMYFUNCTION("""COMPUTED_VALUE"""),"20SDSME01019")</f>
        <v>20SDSME01019</v>
      </c>
      <c r="D1916" s="73">
        <f ca="1">IFERROR(__xludf.DUMMYFUNCTION("""COMPUTED_VALUE"""),44286)</f>
        <v>44286</v>
      </c>
      <c r="E1916" s="74">
        <f ca="1">IFERROR(__xludf.DUMMYFUNCTION("""COMPUTED_VALUE"""),0)</f>
        <v>0</v>
      </c>
      <c r="F1916" s="72">
        <f ca="1">IFERROR(__xludf.DUMMYFUNCTION("""COMPUTED_VALUE"""),2500)</f>
        <v>2500</v>
      </c>
      <c r="G1916" s="75"/>
      <c r="H1916" s="59" t="str">
        <f ca="1">IFERROR(__xludf.DUMMYFUNCTION("""COMPUTED_VALUE"""),"UPDATE")</f>
        <v>UPDATE</v>
      </c>
      <c r="I1916" s="76" t="str">
        <f ca="1">IFERROR(__xludf.DUMMYFUNCTION("""COMPUTED_VALUE"""),"https://drive.google.com/open?id=1R2wxsCTOzN0TZrM3CiVNB7kfsKTo6J5i")</f>
        <v>https://drive.google.com/open?id=1R2wxsCTOzN0TZrM3CiVNB7kfsKTo6J5i</v>
      </c>
      <c r="J1916" s="59"/>
      <c r="K1916" s="59"/>
      <c r="L1916" s="59"/>
      <c r="M1916" s="59"/>
      <c r="N1916" s="59"/>
      <c r="O1916" s="59"/>
      <c r="P1916" s="59"/>
    </row>
    <row r="1917" spans="1:16">
      <c r="A1917" s="71">
        <f ca="1">IFERROR(__xludf.DUMMYFUNCTION("""COMPUTED_VALUE"""),44286.5743208101)</f>
        <v>44286.574320810098</v>
      </c>
      <c r="B1917" s="59" t="str">
        <f ca="1">IFERROR(__xludf.DUMMYFUNCTION("""COMPUTED_VALUE"""),"Shivam paliwal")</f>
        <v>Shivam paliwal</v>
      </c>
      <c r="C1917" s="72" t="str">
        <f ca="1">IFERROR(__xludf.DUMMYFUNCTION("""COMPUTED_VALUE"""),"20SDSME01029")</f>
        <v>20SDSME01029</v>
      </c>
      <c r="D1917" s="73">
        <f ca="1">IFERROR(__xludf.DUMMYFUNCTION("""COMPUTED_VALUE"""),44251)</f>
        <v>44251</v>
      </c>
      <c r="E1917" s="72"/>
      <c r="F1917" s="72">
        <f ca="1">IFERROR(__xludf.DUMMYFUNCTION("""COMPUTED_VALUE"""),2500)</f>
        <v>2500</v>
      </c>
      <c r="G1917" s="75"/>
      <c r="H1917" s="59" t="str">
        <f ca="1">IFERROR(__xludf.DUMMYFUNCTION("""COMPUTED_VALUE"""),"UPDATE")</f>
        <v>UPDATE</v>
      </c>
      <c r="I1917" s="76" t="str">
        <f ca="1">IFERROR(__xludf.DUMMYFUNCTION("""COMPUTED_VALUE"""),"https://drive.google.com/open?id=1IZ8bNJxHQ4DoOd7n60QWcCXFamdtASjZ")</f>
        <v>https://drive.google.com/open?id=1IZ8bNJxHQ4DoOd7n60QWcCXFamdtASjZ</v>
      </c>
      <c r="J1917" s="59"/>
      <c r="K1917" s="59"/>
      <c r="L1917" s="59"/>
      <c r="M1917" s="59"/>
      <c r="N1917" s="59"/>
      <c r="O1917" s="59"/>
      <c r="P1917" s="59"/>
    </row>
    <row r="1918" spans="1:16">
      <c r="A1918" s="71">
        <f ca="1">IFERROR(__xludf.DUMMYFUNCTION("""COMPUTED_VALUE"""),44286.5665100347)</f>
        <v>44286.566510034703</v>
      </c>
      <c r="B1918" s="59" t="str">
        <f ca="1">IFERROR(__xludf.DUMMYFUNCTION("""COMPUTED_VALUE"""),"Shivam paliwal")</f>
        <v>Shivam paliwal</v>
      </c>
      <c r="C1918" s="72" t="str">
        <f ca="1">IFERROR(__xludf.DUMMYFUNCTION("""COMPUTED_VALUE"""),"20SDSME01029")</f>
        <v>20SDSME01029</v>
      </c>
      <c r="D1918" s="73">
        <f ca="1">IFERROR(__xludf.DUMMYFUNCTION("""COMPUTED_VALUE"""),44251)</f>
        <v>44251</v>
      </c>
      <c r="E1918" s="74">
        <f ca="1">IFERROR(__xludf.DUMMYFUNCTION("""COMPUTED_VALUE"""),12500)</f>
        <v>12500</v>
      </c>
      <c r="F1918" s="72">
        <f ca="1">IFERROR(__xludf.DUMMYFUNCTION("""COMPUTED_VALUE"""),2500)</f>
        <v>2500</v>
      </c>
      <c r="G1918" s="75"/>
      <c r="H1918" s="59" t="str">
        <f ca="1">IFERROR(__xludf.DUMMYFUNCTION("""COMPUTED_VALUE"""),"UPDATE")</f>
        <v>UPDATE</v>
      </c>
      <c r="I1918" s="76" t="str">
        <f ca="1">IFERROR(__xludf.DUMMYFUNCTION("""COMPUTED_VALUE"""),"https://drive.google.com/open?id=1EKzzA39lQJ8twlNCalb5N3CDfpmdUnLW")</f>
        <v>https://drive.google.com/open?id=1EKzzA39lQJ8twlNCalb5N3CDfpmdUnLW</v>
      </c>
      <c r="J1918" s="59"/>
      <c r="K1918" s="59"/>
      <c r="L1918" s="59"/>
      <c r="M1918" s="59"/>
      <c r="N1918" s="59"/>
      <c r="O1918" s="59"/>
      <c r="P1918" s="59"/>
    </row>
    <row r="1919" spans="1:16">
      <c r="A1919" s="71">
        <f ca="1">IFERROR(__xludf.DUMMYFUNCTION("""COMPUTED_VALUE"""),44286.5046774768)</f>
        <v>44286.504677476798</v>
      </c>
      <c r="B1919" s="59" t="str">
        <f ca="1">IFERROR(__xludf.DUMMYFUNCTION("""COMPUTED_VALUE"""),"Tanna kishan dilipbhai")</f>
        <v>Tanna kishan dilipbhai</v>
      </c>
      <c r="C1919" s="72" t="str">
        <f ca="1">IFERROR(__xludf.DUMMYFUNCTION("""COMPUTED_VALUE"""),"20SDSME01037")</f>
        <v>20SDSME01037</v>
      </c>
      <c r="D1919" s="73">
        <f ca="1">IFERROR(__xludf.DUMMYFUNCTION("""COMPUTED_VALUE"""),44259)</f>
        <v>44259</v>
      </c>
      <c r="E1919" s="74">
        <f ca="1">IFERROR(__xludf.DUMMYFUNCTION("""COMPUTED_VALUE"""),15000)</f>
        <v>15000</v>
      </c>
      <c r="F1919" s="72">
        <f ca="1">IFERROR(__xludf.DUMMYFUNCTION("""COMPUTED_VALUE"""),2500)</f>
        <v>2500</v>
      </c>
      <c r="G1919" s="75"/>
      <c r="H1919" s="59" t="str">
        <f ca="1">IFERROR(__xludf.DUMMYFUNCTION("""COMPUTED_VALUE"""),"UPDATE")</f>
        <v>UPDATE</v>
      </c>
      <c r="I1919" s="76" t="str">
        <f ca="1">IFERROR(__xludf.DUMMYFUNCTION("""COMPUTED_VALUE"""),"https://drive.google.com/open?id=11qM7uIAWDseTSSr43Mjckp2JZRYWkzH9")</f>
        <v>https://drive.google.com/open?id=11qM7uIAWDseTSSr43Mjckp2JZRYWkzH9</v>
      </c>
      <c r="J1919" s="59"/>
      <c r="K1919" s="59"/>
      <c r="L1919" s="59"/>
      <c r="M1919" s="59"/>
      <c r="N1919" s="59"/>
      <c r="O1919" s="59"/>
      <c r="P1919" s="59"/>
    </row>
    <row r="1920" spans="1:16">
      <c r="A1920" s="71">
        <f ca="1">IFERROR(__xludf.DUMMYFUNCTION("""COMPUTED_VALUE"""),44286.5046655092)</f>
        <v>44286.504665509201</v>
      </c>
      <c r="B1920" s="59" t="str">
        <f ca="1">IFERROR(__xludf.DUMMYFUNCTION("""COMPUTED_VALUE"""),"GADHETHARIA JAY MUKESH")</f>
        <v>GADHETHARIA JAY MUKESH</v>
      </c>
      <c r="C1920" s="72" t="str">
        <f ca="1">IFERROR(__xludf.DUMMYFUNCTION("""COMPUTED_VALUE"""),"18SDSCE01016")</f>
        <v>18SDSCE01016</v>
      </c>
      <c r="D1920" s="73">
        <f ca="1">IFERROR(__xludf.DUMMYFUNCTION("""COMPUTED_VALUE"""),44286)</f>
        <v>44286</v>
      </c>
      <c r="E1920" s="74">
        <f ca="1">IFERROR(__xludf.DUMMYFUNCTION("""COMPUTED_VALUE"""),11500)</f>
        <v>11500</v>
      </c>
      <c r="F1920" s="72"/>
      <c r="G1920" s="75"/>
      <c r="H1920" s="59" t="str">
        <f ca="1">IFERROR(__xludf.DUMMYFUNCTION("""COMPUTED_VALUE"""),"UPDATE")</f>
        <v>UPDATE</v>
      </c>
      <c r="I1920" s="76" t="str">
        <f ca="1">IFERROR(__xludf.DUMMYFUNCTION("""COMPUTED_VALUE"""),"https://drive.google.com/open?id=1JiuS5uSuPUauwcdmr-tuQfOmlOpufLJ6")</f>
        <v>https://drive.google.com/open?id=1JiuS5uSuPUauwcdmr-tuQfOmlOpufLJ6</v>
      </c>
      <c r="J1920" s="59"/>
      <c r="K1920" s="59"/>
      <c r="L1920" s="59"/>
      <c r="M1920" s="59"/>
      <c r="N1920" s="59"/>
      <c r="O1920" s="59"/>
      <c r="P1920" s="59"/>
    </row>
    <row r="1921" spans="1:16">
      <c r="A1921" s="71">
        <f ca="1">IFERROR(__xludf.DUMMYFUNCTION("""COMPUTED_VALUE"""),44286.5034692939)</f>
        <v>44286.503469293901</v>
      </c>
      <c r="B1921" s="59" t="str">
        <f ca="1">IFERROR(__xludf.DUMMYFUNCTION("""COMPUTED_VALUE"""),"MANANI JAINISHKUMAR BHARATBHAI")</f>
        <v>MANANI JAINISHKUMAR BHARATBHAI</v>
      </c>
      <c r="C1921" s="72" t="str">
        <f ca="1">IFERROR(__xludf.DUMMYFUNCTION("""COMPUTED_VALUE"""),"18SDSCE01033")</f>
        <v>18SDSCE01033</v>
      </c>
      <c r="D1921" s="73">
        <f ca="1">IFERROR(__xludf.DUMMYFUNCTION("""COMPUTED_VALUE"""),44286)</f>
        <v>44286</v>
      </c>
      <c r="E1921" s="74">
        <f ca="1">IFERROR(__xludf.DUMMYFUNCTION("""COMPUTED_VALUE"""),16500)</f>
        <v>16500</v>
      </c>
      <c r="F1921" s="72"/>
      <c r="G1921" s="75"/>
      <c r="H1921" s="59" t="str">
        <f ca="1">IFERROR(__xludf.DUMMYFUNCTION("""COMPUTED_VALUE"""),"UPDATE")</f>
        <v>UPDATE</v>
      </c>
      <c r="I1921" s="76" t="str">
        <f ca="1">IFERROR(__xludf.DUMMYFUNCTION("""COMPUTED_VALUE"""),"https://drive.google.com/open?id=1vHvzRfT-ahafyDrlcLoej_wr141R6Sw1")</f>
        <v>https://drive.google.com/open?id=1vHvzRfT-ahafyDrlcLoej_wr141R6Sw1</v>
      </c>
      <c r="J1921" s="59"/>
      <c r="K1921" s="59"/>
      <c r="L1921" s="59"/>
      <c r="M1921" s="59"/>
      <c r="N1921" s="59"/>
      <c r="O1921" s="59"/>
      <c r="P1921" s="59"/>
    </row>
    <row r="1922" spans="1:16">
      <c r="A1922" s="71">
        <f ca="1">IFERROR(__xludf.DUMMYFUNCTION("""COMPUTED_VALUE"""),44286.4971798842)</f>
        <v>44286.497179884202</v>
      </c>
      <c r="B1922" s="59" t="str">
        <f ca="1">IFERROR(__xludf.DUMMYFUNCTION("""COMPUTED_VALUE"""),"TOPIWALA KISHAN PARESH")</f>
        <v>TOPIWALA KISHAN PARESH</v>
      </c>
      <c r="C1922" s="72" t="str">
        <f ca="1">IFERROR(__xludf.DUMMYFUNCTION("""COMPUTED_VALUE"""),"18SDSCE01066")</f>
        <v>18SDSCE01066</v>
      </c>
      <c r="D1922" s="73">
        <f ca="1">IFERROR(__xludf.DUMMYFUNCTION("""COMPUTED_VALUE"""),44285)</f>
        <v>44285</v>
      </c>
      <c r="E1922" s="74">
        <f ca="1">IFERROR(__xludf.DUMMYFUNCTION("""COMPUTED_VALUE"""),8000)</f>
        <v>8000</v>
      </c>
      <c r="F1922" s="72"/>
      <c r="G1922" s="75"/>
      <c r="H1922" s="59" t="str">
        <f ca="1">IFERROR(__xludf.DUMMYFUNCTION("""COMPUTED_VALUE"""),"UPDATE")</f>
        <v>UPDATE</v>
      </c>
      <c r="I1922" s="76" t="str">
        <f ca="1">IFERROR(__xludf.DUMMYFUNCTION("""COMPUTED_VALUE"""),"https://drive.google.com/open?id=1xvECAODZMvmqD-hIQlqccEDu5OPXg4Rx")</f>
        <v>https://drive.google.com/open?id=1xvECAODZMvmqD-hIQlqccEDu5OPXg4Rx</v>
      </c>
      <c r="J1922" s="59"/>
      <c r="K1922" s="59"/>
      <c r="L1922" s="59"/>
      <c r="M1922" s="59"/>
      <c r="N1922" s="59"/>
      <c r="O1922" s="59"/>
      <c r="P1922" s="59"/>
    </row>
    <row r="1923" spans="1:16">
      <c r="A1923" s="71">
        <f ca="1">IFERROR(__xludf.DUMMYFUNCTION("""COMPUTED_VALUE"""),44286.4958895717)</f>
        <v>44286.495889571699</v>
      </c>
      <c r="B1923" s="59" t="str">
        <f ca="1">IFERROR(__xludf.DUMMYFUNCTION("""COMPUTED_VALUE"""),"VACHHANI TULSIBALA JITENDRABHAI")</f>
        <v>VACHHANI TULSIBALA JITENDRABHAI</v>
      </c>
      <c r="C1923" s="72" t="str">
        <f ca="1">IFERROR(__xludf.DUMMYFUNCTION("""COMPUTED_VALUE"""),"18SDSCE01068")</f>
        <v>18SDSCE01068</v>
      </c>
      <c r="D1923" s="73">
        <f ca="1">IFERROR(__xludf.DUMMYFUNCTION("""COMPUTED_VALUE"""),44285)</f>
        <v>44285</v>
      </c>
      <c r="E1923" s="74">
        <f ca="1">IFERROR(__xludf.DUMMYFUNCTION("""COMPUTED_VALUE"""),16500)</f>
        <v>16500</v>
      </c>
      <c r="F1923" s="72"/>
      <c r="G1923" s="75"/>
      <c r="H1923" s="59" t="str">
        <f ca="1">IFERROR(__xludf.DUMMYFUNCTION("""COMPUTED_VALUE"""),"UPDATE")</f>
        <v>UPDATE</v>
      </c>
      <c r="I1923" s="76" t="str">
        <f ca="1">IFERROR(__xludf.DUMMYFUNCTION("""COMPUTED_VALUE"""),"https://drive.google.com/open?id=1tMJgLr_l53IfcNlax-L6UncWcJvaNGoP")</f>
        <v>https://drive.google.com/open?id=1tMJgLr_l53IfcNlax-L6UncWcJvaNGoP</v>
      </c>
      <c r="J1923" s="59"/>
      <c r="K1923" s="59"/>
      <c r="L1923" s="59"/>
      <c r="M1923" s="59"/>
      <c r="N1923" s="59"/>
      <c r="O1923" s="59"/>
      <c r="P1923" s="59"/>
    </row>
    <row r="1924" spans="1:16">
      <c r="A1924" s="71">
        <f ca="1">IFERROR(__xludf.DUMMYFUNCTION("""COMPUTED_VALUE"""),44286.4950979745)</f>
        <v>44286.495097974497</v>
      </c>
      <c r="B1924" s="59" t="str">
        <f ca="1">IFERROR(__xludf.DUMMYFUNCTION("""COMPUTED_VALUE"""),"Asodariya archit suresh")</f>
        <v>Asodariya archit suresh</v>
      </c>
      <c r="C1924" s="72" t="str">
        <f ca="1">IFERROR(__xludf.DUMMYFUNCTION("""COMPUTED_VALUE"""),"20SDSME01002")</f>
        <v>20SDSME01002</v>
      </c>
      <c r="D1924" s="73">
        <f ca="1">IFERROR(__xludf.DUMMYFUNCTION("""COMPUTED_VALUE"""),44267)</f>
        <v>44267</v>
      </c>
      <c r="E1924" s="74">
        <f ca="1">IFERROR(__xludf.DUMMYFUNCTION("""COMPUTED_VALUE"""),12500)</f>
        <v>12500</v>
      </c>
      <c r="F1924" s="72">
        <f ca="1">IFERROR(__xludf.DUMMYFUNCTION("""COMPUTED_VALUE"""),0)</f>
        <v>0</v>
      </c>
      <c r="G1924" s="75"/>
      <c r="H1924" s="59" t="str">
        <f ca="1">IFERROR(__xludf.DUMMYFUNCTION("""COMPUTED_VALUE"""),"UPDATE")</f>
        <v>UPDATE</v>
      </c>
      <c r="I1924" s="76" t="str">
        <f ca="1">IFERROR(__xludf.DUMMYFUNCTION("""COMPUTED_VALUE"""),"https://drive.google.com/open?id=1V4pBJpnJCRs5qNGK7WMjB2G1P0DCGDJg")</f>
        <v>https://drive.google.com/open?id=1V4pBJpnJCRs5qNGK7WMjB2G1P0DCGDJg</v>
      </c>
      <c r="J1924" s="59"/>
      <c r="K1924" s="59"/>
      <c r="L1924" s="59"/>
      <c r="M1924" s="59"/>
      <c r="N1924" s="59"/>
      <c r="O1924" s="59"/>
      <c r="P1924" s="59"/>
    </row>
    <row r="1925" spans="1:16">
      <c r="A1925" s="71">
        <f ca="1">IFERROR(__xludf.DUMMYFUNCTION("""COMPUTED_VALUE"""),44286.4919357523)</f>
        <v>44286.491935752303</v>
      </c>
      <c r="B1925" s="59" t="str">
        <f ca="1">IFERROR(__xludf.DUMMYFUNCTION("""COMPUTED_VALUE"""),"Asodariya archit suresh")</f>
        <v>Asodariya archit suresh</v>
      </c>
      <c r="C1925" s="72" t="str">
        <f ca="1">IFERROR(__xludf.DUMMYFUNCTION("""COMPUTED_VALUE"""),"20SDSME01002")</f>
        <v>20SDSME01002</v>
      </c>
      <c r="D1925" s="73">
        <f ca="1">IFERROR(__xludf.DUMMYFUNCTION("""COMPUTED_VALUE"""),44267)</f>
        <v>44267</v>
      </c>
      <c r="E1925" s="74">
        <f ca="1">IFERROR(__xludf.DUMMYFUNCTION("""COMPUTED_VALUE"""),12500)</f>
        <v>12500</v>
      </c>
      <c r="F1925" s="72">
        <f ca="1">IFERROR(__xludf.DUMMYFUNCTION("""COMPUTED_VALUE"""),0)</f>
        <v>0</v>
      </c>
      <c r="G1925" s="75"/>
      <c r="H1925" s="59" t="str">
        <f ca="1">IFERROR(__xludf.DUMMYFUNCTION("""COMPUTED_VALUE"""),"UPDATE")</f>
        <v>UPDATE</v>
      </c>
      <c r="I1925" s="76" t="str">
        <f ca="1">IFERROR(__xludf.DUMMYFUNCTION("""COMPUTED_VALUE"""),"https://drive.google.com/open?id=1CSU8QaZDosaFhUc3Euz2cEfceQys7F-o")</f>
        <v>https://drive.google.com/open?id=1CSU8QaZDosaFhUc3Euz2cEfceQys7F-o</v>
      </c>
      <c r="J1925" s="59"/>
      <c r="K1925" s="59"/>
      <c r="L1925" s="59"/>
      <c r="M1925" s="59"/>
      <c r="N1925" s="59"/>
      <c r="O1925" s="59"/>
      <c r="P1925" s="59"/>
    </row>
    <row r="1926" spans="1:16">
      <c r="A1926" s="71">
        <f ca="1">IFERROR(__xludf.DUMMYFUNCTION("""COMPUTED_VALUE"""),44286.4910403935)</f>
        <v>44286.491040393499</v>
      </c>
      <c r="B1926" s="59" t="str">
        <f ca="1">IFERROR(__xludf.DUMMYFUNCTION("""COMPUTED_VALUE"""),"TRIVEDI HEMANG KETANBHAI")</f>
        <v>TRIVEDI HEMANG KETANBHAI</v>
      </c>
      <c r="C1926" s="72" t="str">
        <f ca="1">IFERROR(__xludf.DUMMYFUNCTION("""COMPUTED_VALUE"""),"18SDSCE01067")</f>
        <v>18SDSCE01067</v>
      </c>
      <c r="D1926" s="73">
        <f ca="1">IFERROR(__xludf.DUMMYFUNCTION("""COMPUTED_VALUE"""),44230)</f>
        <v>44230</v>
      </c>
      <c r="E1926" s="72"/>
      <c r="F1926" s="72">
        <f ca="1">IFERROR(__xludf.DUMMYFUNCTION("""COMPUTED_VALUE"""),3500)</f>
        <v>3500</v>
      </c>
      <c r="G1926" s="75"/>
      <c r="H1926" s="59" t="str">
        <f ca="1">IFERROR(__xludf.DUMMYFUNCTION("""COMPUTED_VALUE"""),"UPDATE")</f>
        <v>UPDATE</v>
      </c>
      <c r="I1926" s="76" t="str">
        <f ca="1">IFERROR(__xludf.DUMMYFUNCTION("""COMPUTED_VALUE"""),"https://drive.google.com/open?id=1gCuL4tTAqxcW0Y1hoU6vePuVKn3dYjOP")</f>
        <v>https://drive.google.com/open?id=1gCuL4tTAqxcW0Y1hoU6vePuVKn3dYjOP</v>
      </c>
      <c r="J1926" s="59"/>
      <c r="K1926" s="59"/>
      <c r="L1926" s="59"/>
      <c r="M1926" s="59"/>
      <c r="N1926" s="59"/>
      <c r="O1926" s="59"/>
      <c r="P1926" s="59"/>
    </row>
    <row r="1927" spans="1:16">
      <c r="A1927" s="71">
        <f ca="1">IFERROR(__xludf.DUMMYFUNCTION("""COMPUTED_VALUE"""),44286.4899790046)</f>
        <v>44286.489979004597</v>
      </c>
      <c r="B1927" s="59" t="str">
        <f ca="1">IFERROR(__xludf.DUMMYFUNCTION("""COMPUTED_VALUE"""),"TRIVEDI HEMANG KETANBHAI")</f>
        <v>TRIVEDI HEMANG KETANBHAI</v>
      </c>
      <c r="C1927" s="72" t="str">
        <f ca="1">IFERROR(__xludf.DUMMYFUNCTION("""COMPUTED_VALUE"""),"18SDSCE01067")</f>
        <v>18SDSCE01067</v>
      </c>
      <c r="D1927" s="73">
        <f ca="1">IFERROR(__xludf.DUMMYFUNCTION("""COMPUTED_VALUE"""),44280)</f>
        <v>44280</v>
      </c>
      <c r="E1927" s="74">
        <f ca="1">IFERROR(__xludf.DUMMYFUNCTION("""COMPUTED_VALUE"""),17000)</f>
        <v>17000</v>
      </c>
      <c r="F1927" s="72"/>
      <c r="G1927" s="75"/>
      <c r="H1927" s="59" t="str">
        <f ca="1">IFERROR(__xludf.DUMMYFUNCTION("""COMPUTED_VALUE"""),"UPDATE")</f>
        <v>UPDATE</v>
      </c>
      <c r="I1927" s="76" t="str">
        <f ca="1">IFERROR(__xludf.DUMMYFUNCTION("""COMPUTED_VALUE"""),"https://drive.google.com/open?id=16fYuLNnGHqfJSdUcQI4UxsWjQKf_okfn")</f>
        <v>https://drive.google.com/open?id=16fYuLNnGHqfJSdUcQI4UxsWjQKf_okfn</v>
      </c>
      <c r="J1927" s="59"/>
      <c r="K1927" s="59"/>
      <c r="L1927" s="59"/>
      <c r="M1927" s="59"/>
      <c r="N1927" s="59"/>
      <c r="O1927" s="59"/>
      <c r="P1927" s="59"/>
    </row>
    <row r="1928" spans="1:16">
      <c r="A1928" s="71">
        <f ca="1">IFERROR(__xludf.DUMMYFUNCTION("""COMPUTED_VALUE"""),44286.4803594097)</f>
        <v>44286.480359409703</v>
      </c>
      <c r="B1928" s="59" t="str">
        <f ca="1">IFERROR(__xludf.DUMMYFUNCTION("""COMPUTED_VALUE"""),"MORI DARSHANKUMAR BHUPATBHAI")</f>
        <v>MORI DARSHANKUMAR BHUPATBHAI</v>
      </c>
      <c r="C1928" s="72" t="str">
        <f ca="1">IFERROR(__xludf.DUMMYFUNCTION("""COMPUTED_VALUE"""),"17SDSCE01031")</f>
        <v>17SDSCE01031</v>
      </c>
      <c r="D1928" s="73">
        <f ca="1">IFERROR(__xludf.DUMMYFUNCTION("""COMPUTED_VALUE"""),44281)</f>
        <v>44281</v>
      </c>
      <c r="E1928" s="74">
        <f ca="1">IFERROR(__xludf.DUMMYFUNCTION("""COMPUTED_VALUE"""),16500)</f>
        <v>16500</v>
      </c>
      <c r="F1928" s="72"/>
      <c r="G1928" s="75"/>
      <c r="H1928" s="59" t="str">
        <f ca="1">IFERROR(__xludf.DUMMYFUNCTION("""COMPUTED_VALUE"""),"UPDATE")</f>
        <v>UPDATE</v>
      </c>
      <c r="I1928" s="76" t="str">
        <f ca="1">IFERROR(__xludf.DUMMYFUNCTION("""COMPUTED_VALUE"""),"https://drive.google.com/open?id=1gsa-dkD9RJcFRiPc2rvzV2XNIGNY1y5H")</f>
        <v>https://drive.google.com/open?id=1gsa-dkD9RJcFRiPc2rvzV2XNIGNY1y5H</v>
      </c>
      <c r="J1928" s="59"/>
      <c r="K1928" s="59"/>
      <c r="L1928" s="59"/>
      <c r="M1928" s="59"/>
      <c r="N1928" s="59"/>
      <c r="O1928" s="59"/>
      <c r="P1928" s="59"/>
    </row>
    <row r="1929" spans="1:16">
      <c r="A1929" s="71">
        <f ca="1">IFERROR(__xludf.DUMMYFUNCTION("""COMPUTED_VALUE"""),44286.4682515277)</f>
        <v>44286.468251527702</v>
      </c>
      <c r="B1929" s="59" t="str">
        <f ca="1">IFERROR(__xludf.DUMMYFUNCTION("""COMPUTED_VALUE"""),"MOVALIA KRUNAL PRAVIN")</f>
        <v>MOVALIA KRUNAL PRAVIN</v>
      </c>
      <c r="C1929" s="72" t="str">
        <f ca="1">IFERROR(__xludf.DUMMYFUNCTION("""COMPUTED_VALUE"""),"18SDSCE01041")</f>
        <v>18SDSCE01041</v>
      </c>
      <c r="D1929" s="73">
        <f ca="1">IFERROR(__xludf.DUMMYFUNCTION("""COMPUTED_VALUE"""),44280)</f>
        <v>44280</v>
      </c>
      <c r="E1929" s="74">
        <f ca="1">IFERROR(__xludf.DUMMYFUNCTION("""COMPUTED_VALUE"""),8500)</f>
        <v>8500</v>
      </c>
      <c r="F1929" s="72"/>
      <c r="G1929" s="75"/>
      <c r="H1929" s="59" t="str">
        <f ca="1">IFERROR(__xludf.DUMMYFUNCTION("""COMPUTED_VALUE"""),"UPDATE")</f>
        <v>UPDATE</v>
      </c>
      <c r="I1929" s="76" t="str">
        <f ca="1">IFERROR(__xludf.DUMMYFUNCTION("""COMPUTED_VALUE"""),"https://drive.google.com/open?id=1ev1-MN_DLK_BL5943D1rgxlyxOb5iute")</f>
        <v>https://drive.google.com/open?id=1ev1-MN_DLK_BL5943D1rgxlyxOb5iute</v>
      </c>
      <c r="J1929" s="59"/>
      <c r="K1929" s="59"/>
      <c r="L1929" s="59"/>
      <c r="M1929" s="59"/>
      <c r="N1929" s="59"/>
      <c r="O1929" s="59"/>
      <c r="P1929" s="59"/>
    </row>
    <row r="1930" spans="1:16">
      <c r="A1930" s="71">
        <f ca="1">IFERROR(__xludf.DUMMYFUNCTION("""COMPUTED_VALUE"""),44286.4593736342)</f>
        <v>44286.459373634199</v>
      </c>
      <c r="B1930" s="59" t="str">
        <f ca="1">IFERROR(__xludf.DUMMYFUNCTION("""COMPUTED_VALUE"""),"Vaibhav jagdishbhai kathesiya")</f>
        <v>Vaibhav jagdishbhai kathesiya</v>
      </c>
      <c r="C1930" s="72" t="str">
        <f ca="1">IFERROR(__xludf.DUMMYFUNCTION("""COMPUTED_VALUE"""),"16SDSME01019")</f>
        <v>16SDSME01019</v>
      </c>
      <c r="D1930" s="73">
        <f ca="1">IFERROR(__xludf.DUMMYFUNCTION("""COMPUTED_VALUE"""),44286)</f>
        <v>44286</v>
      </c>
      <c r="E1930" s="72"/>
      <c r="F1930" s="72"/>
      <c r="G1930" s="75"/>
      <c r="H1930" s="59" t="str">
        <f ca="1">IFERROR(__xludf.DUMMYFUNCTION("""COMPUTED_VALUE"""),"UPDATE")</f>
        <v>UPDATE</v>
      </c>
      <c r="I1930" s="76" t="str">
        <f ca="1">IFERROR(__xludf.DUMMYFUNCTION("""COMPUTED_VALUE"""),"https://drive.google.com/open?id=1jOvCky-BVgCCwetdI_xbczBCnspitmdN")</f>
        <v>https://drive.google.com/open?id=1jOvCky-BVgCCwetdI_xbczBCnspitmdN</v>
      </c>
      <c r="J1930" s="59"/>
      <c r="K1930" s="59"/>
      <c r="L1930" s="59"/>
      <c r="M1930" s="59"/>
      <c r="N1930" s="59"/>
      <c r="O1930" s="59"/>
      <c r="P1930" s="59"/>
    </row>
    <row r="1931" spans="1:16">
      <c r="A1931" s="71">
        <f ca="1">IFERROR(__xludf.DUMMYFUNCTION("""COMPUTED_VALUE"""),44286.4514886689)</f>
        <v>44286.451488668899</v>
      </c>
      <c r="B1931" s="59" t="str">
        <f ca="1">IFERROR(__xludf.DUMMYFUNCTION("""COMPUTED_VALUE"""),"MODHAVADIYA POOJA HAMIRBHAI")</f>
        <v>MODHAVADIYA POOJA HAMIRBHAI</v>
      </c>
      <c r="C1931" s="72" t="str">
        <f ca="1">IFERROR(__xludf.DUMMYFUNCTION("""COMPUTED_VALUE"""),"18SDSCE01038")</f>
        <v>18SDSCE01038</v>
      </c>
      <c r="D1931" s="73">
        <f ca="1">IFERROR(__xludf.DUMMYFUNCTION("""COMPUTED_VALUE"""),44281)</f>
        <v>44281</v>
      </c>
      <c r="E1931" s="74">
        <f ca="1">IFERROR(__xludf.DUMMYFUNCTION("""COMPUTED_VALUE"""),8500)</f>
        <v>8500</v>
      </c>
      <c r="F1931" s="72"/>
      <c r="G1931" s="75"/>
      <c r="H1931" s="59" t="str">
        <f ca="1">IFERROR(__xludf.DUMMYFUNCTION("""COMPUTED_VALUE"""),"UPDATE")</f>
        <v>UPDATE</v>
      </c>
      <c r="I1931" s="76" t="str">
        <f ca="1">IFERROR(__xludf.DUMMYFUNCTION("""COMPUTED_VALUE"""),"https://drive.google.com/open?id=1lSjBRrLEICGzJl7vYvF7xluQtysXd8O8")</f>
        <v>https://drive.google.com/open?id=1lSjBRrLEICGzJl7vYvF7xluQtysXd8O8</v>
      </c>
      <c r="J1931" s="59"/>
      <c r="K1931" s="59"/>
      <c r="L1931" s="59"/>
      <c r="M1931" s="59"/>
      <c r="N1931" s="59"/>
      <c r="O1931" s="59"/>
      <c r="P1931" s="59"/>
    </row>
    <row r="1932" spans="1:16">
      <c r="A1932" s="71">
        <f ca="1">IFERROR(__xludf.DUMMYFUNCTION("""COMPUTED_VALUE"""),44286.4479852083)</f>
        <v>44286.447985208302</v>
      </c>
      <c r="B1932" s="59" t="str">
        <f ca="1">IFERROR(__xludf.DUMMYFUNCTION("""COMPUTED_VALUE"""),"GONDALIYA OM DHARMENDRABHAI")</f>
        <v>GONDALIYA OM DHARMENDRABHAI</v>
      </c>
      <c r="C1932" s="72" t="str">
        <f ca="1">IFERROR(__xludf.DUMMYFUNCTION("""COMPUTED_VALUE"""),"18SDSCE01021")</f>
        <v>18SDSCE01021</v>
      </c>
      <c r="D1932" s="73">
        <f ca="1">IFERROR(__xludf.DUMMYFUNCTION("""COMPUTED_VALUE"""),44283)</f>
        <v>44283</v>
      </c>
      <c r="E1932" s="74">
        <f ca="1">IFERROR(__xludf.DUMMYFUNCTION("""COMPUTED_VALUE"""),16500)</f>
        <v>16500</v>
      </c>
      <c r="F1932" s="72"/>
      <c r="G1932" s="75"/>
      <c r="H1932" s="59" t="str">
        <f ca="1">IFERROR(__xludf.DUMMYFUNCTION("""COMPUTED_VALUE"""),"UPDATE")</f>
        <v>UPDATE</v>
      </c>
      <c r="I1932" s="76" t="str">
        <f ca="1">IFERROR(__xludf.DUMMYFUNCTION("""COMPUTED_VALUE"""),"https://drive.google.com/open?id=1ab49zYMv_bbawXrEnGl_OrEjRBttH10i")</f>
        <v>https://drive.google.com/open?id=1ab49zYMv_bbawXrEnGl_OrEjRBttH10i</v>
      </c>
      <c r="J1932" s="59"/>
      <c r="K1932" s="59"/>
      <c r="L1932" s="59"/>
      <c r="M1932" s="59"/>
      <c r="N1932" s="59"/>
      <c r="O1932" s="59"/>
      <c r="P1932" s="59"/>
    </row>
    <row r="1933" spans="1:16">
      <c r="A1933" s="71">
        <f ca="1">IFERROR(__xludf.DUMMYFUNCTION("""COMPUTED_VALUE"""),44286.4432597106)</f>
        <v>44286.443259710599</v>
      </c>
      <c r="B1933" s="59" t="str">
        <f ca="1">IFERROR(__xludf.DUMMYFUNCTION("""COMPUTED_VALUE"""),"Prince shingala")</f>
        <v>Prince shingala</v>
      </c>
      <c r="C1933" s="72" t="str">
        <f ca="1">IFERROR(__xludf.DUMMYFUNCTION("""COMPUTED_VALUE"""),"19SDSME01025")</f>
        <v>19SDSME01025</v>
      </c>
      <c r="D1933" s="73">
        <f ca="1">IFERROR(__xludf.DUMMYFUNCTION("""COMPUTED_VALUE"""),44283)</f>
        <v>44283</v>
      </c>
      <c r="E1933" s="74">
        <f ca="1">IFERROR(__xludf.DUMMYFUNCTION("""COMPUTED_VALUE"""),8500)</f>
        <v>8500</v>
      </c>
      <c r="F1933" s="72">
        <f ca="1">IFERROR(__xludf.DUMMYFUNCTION("""COMPUTED_VALUE"""),2500)</f>
        <v>2500</v>
      </c>
      <c r="G1933" s="75"/>
      <c r="H1933" s="59" t="str">
        <f ca="1">IFERROR(__xludf.DUMMYFUNCTION("""COMPUTED_VALUE"""),"UPDATE")</f>
        <v>UPDATE</v>
      </c>
      <c r="I1933" s="76" t="str">
        <f ca="1">IFERROR(__xludf.DUMMYFUNCTION("""COMPUTED_VALUE"""),"https://drive.google.com/open?id=1ST-8KqCj5K9j4jBIORRi4uoUZoJp_GXw")</f>
        <v>https://drive.google.com/open?id=1ST-8KqCj5K9j4jBIORRi4uoUZoJp_GXw</v>
      </c>
      <c r="J1933" s="59"/>
      <c r="K1933" s="59"/>
      <c r="L1933" s="59"/>
      <c r="M1933" s="59"/>
      <c r="N1933" s="59"/>
      <c r="O1933" s="59"/>
      <c r="P1933" s="59"/>
    </row>
    <row r="1934" spans="1:16">
      <c r="A1934" s="71">
        <f ca="1">IFERROR(__xludf.DUMMYFUNCTION("""COMPUTED_VALUE"""),44286.4420704166)</f>
        <v>44286.442070416597</v>
      </c>
      <c r="B1934" s="59" t="str">
        <f ca="1">IFERROR(__xludf.DUMMYFUNCTION("""COMPUTED_VALUE"""),"Prince shingala")</f>
        <v>Prince shingala</v>
      </c>
      <c r="C1934" s="72" t="str">
        <f ca="1">IFERROR(__xludf.DUMMYFUNCTION("""COMPUTED_VALUE"""),"19SDSME01025")</f>
        <v>19SDSME01025</v>
      </c>
      <c r="D1934" s="73">
        <f ca="1">IFERROR(__xludf.DUMMYFUNCTION("""COMPUTED_VALUE"""),44234)</f>
        <v>44234</v>
      </c>
      <c r="E1934" s="74">
        <f ca="1">IFERROR(__xludf.DUMMYFUNCTION("""COMPUTED_VALUE"""),8500)</f>
        <v>8500</v>
      </c>
      <c r="F1934" s="72">
        <f ca="1">IFERROR(__xludf.DUMMYFUNCTION("""COMPUTED_VALUE"""),0)</f>
        <v>0</v>
      </c>
      <c r="G1934" s="75"/>
      <c r="H1934" s="59" t="str">
        <f ca="1">IFERROR(__xludf.DUMMYFUNCTION("""COMPUTED_VALUE"""),"UPDATE")</f>
        <v>UPDATE</v>
      </c>
      <c r="I1934" s="76" t="str">
        <f ca="1">IFERROR(__xludf.DUMMYFUNCTION("""COMPUTED_VALUE"""),"https://drive.google.com/open?id=14I4-fj78lW0W6PGleXTiIG9Dfwa5Qz3u")</f>
        <v>https://drive.google.com/open?id=14I4-fj78lW0W6PGleXTiIG9Dfwa5Qz3u</v>
      </c>
      <c r="J1934" s="59"/>
      <c r="K1934" s="59"/>
      <c r="L1934" s="59"/>
      <c r="M1934" s="59"/>
      <c r="N1934" s="59"/>
      <c r="O1934" s="59"/>
      <c r="P1934" s="59"/>
    </row>
    <row r="1935" spans="1:16">
      <c r="A1935" s="71">
        <f ca="1">IFERROR(__xludf.DUMMYFUNCTION("""COMPUTED_VALUE"""),44286.4326314004)</f>
        <v>44286.432631400399</v>
      </c>
      <c r="B1935" s="59" t="str">
        <f ca="1">IFERROR(__xludf.DUMMYFUNCTION("""COMPUTED_VALUE"""),"Asodariya archit")</f>
        <v>Asodariya archit</v>
      </c>
      <c r="C1935" s="72" t="str">
        <f ca="1">IFERROR(__xludf.DUMMYFUNCTION("""COMPUTED_VALUE"""),"20SDSME01002")</f>
        <v>20SDSME01002</v>
      </c>
      <c r="D1935" s="73">
        <f ca="1">IFERROR(__xludf.DUMMYFUNCTION("""COMPUTED_VALUE"""),44267)</f>
        <v>44267</v>
      </c>
      <c r="E1935" s="72"/>
      <c r="F1935" s="72">
        <f ca="1">IFERROR(__xludf.DUMMYFUNCTION("""COMPUTED_VALUE"""),0)</f>
        <v>0</v>
      </c>
      <c r="G1935" s="75"/>
      <c r="H1935" s="59" t="str">
        <f ca="1">IFERROR(__xludf.DUMMYFUNCTION("""COMPUTED_VALUE"""),"UPDATE")</f>
        <v>UPDATE</v>
      </c>
      <c r="I1935" s="76" t="str">
        <f ca="1">IFERROR(__xludf.DUMMYFUNCTION("""COMPUTED_VALUE"""),"https://drive.google.com/open?id=1EtSIAV1wSOEzZeKO9EkyTDsebnUCO3fO")</f>
        <v>https://drive.google.com/open?id=1EtSIAV1wSOEzZeKO9EkyTDsebnUCO3fO</v>
      </c>
      <c r="J1935" s="59"/>
      <c r="K1935" s="59"/>
      <c r="L1935" s="59"/>
      <c r="M1935" s="59"/>
      <c r="N1935" s="59"/>
      <c r="O1935" s="59"/>
      <c r="P1935" s="59"/>
    </row>
    <row r="1936" spans="1:16">
      <c r="A1936" s="71">
        <f ca="1">IFERROR(__xludf.DUMMYFUNCTION("""COMPUTED_VALUE"""),44285.7094004629)</f>
        <v>44285.709400462903</v>
      </c>
      <c r="B1936" s="59" t="str">
        <f ca="1">IFERROR(__xludf.DUMMYFUNCTION("""COMPUTED_VALUE"""),"Siddhpura romil jagdishbhai")</f>
        <v>Siddhpura romil jagdishbhai</v>
      </c>
      <c r="C1936" s="72" t="str">
        <f ca="1">IFERROR(__xludf.DUMMYFUNCTION("""COMPUTED_VALUE"""),"19sdsme01026")</f>
        <v>19sdsme01026</v>
      </c>
      <c r="D1936" s="73">
        <f ca="1">IFERROR(__xludf.DUMMYFUNCTION("""COMPUTED_VALUE"""),44285)</f>
        <v>44285</v>
      </c>
      <c r="E1936" s="74">
        <f ca="1">IFERROR(__xludf.DUMMYFUNCTION("""COMPUTED_VALUE"""),25000)</f>
        <v>25000</v>
      </c>
      <c r="F1936" s="72">
        <f ca="1">IFERROR(__xludf.DUMMYFUNCTION("""COMPUTED_VALUE"""),27500)</f>
        <v>27500</v>
      </c>
      <c r="G1936" s="75"/>
      <c r="H1936" s="59" t="str">
        <f ca="1">IFERROR(__xludf.DUMMYFUNCTION("""COMPUTED_VALUE"""),"UPDATE")</f>
        <v>UPDATE</v>
      </c>
      <c r="I1936" s="76" t="str">
        <f ca="1">IFERROR(__xludf.DUMMYFUNCTION("""COMPUTED_VALUE"""),"https://drive.google.com/open?id=1lmD-qtvxx-9xiguNASDRu_BNb74UMoyc")</f>
        <v>https://drive.google.com/open?id=1lmD-qtvxx-9xiguNASDRu_BNb74UMoyc</v>
      </c>
      <c r="J1936" s="59"/>
      <c r="K1936" s="59"/>
      <c r="L1936" s="59"/>
      <c r="M1936" s="59"/>
      <c r="N1936" s="59"/>
      <c r="O1936" s="59"/>
      <c r="P1936" s="59"/>
    </row>
    <row r="1937" spans="1:16">
      <c r="A1937" s="71">
        <f ca="1">IFERROR(__xludf.DUMMYFUNCTION("""COMPUTED_VALUE"""),44285.3739315509)</f>
        <v>44285.373931550901</v>
      </c>
      <c r="B1937" s="59" t="str">
        <f ca="1">IFERROR(__xludf.DUMMYFUNCTION("""COMPUTED_VALUE"""),"BARASIYA DEEP AMRUTLAL ")</f>
        <v xml:space="preserve">BARASIYA DEEP AMRUTLAL </v>
      </c>
      <c r="C1937" s="72" t="str">
        <f ca="1">IFERROR(__xludf.DUMMYFUNCTION("""COMPUTED_VALUE"""),"19SDSME01001")</f>
        <v>19SDSME01001</v>
      </c>
      <c r="D1937" s="73">
        <f ca="1">IFERROR(__xludf.DUMMYFUNCTION("""COMPUTED_VALUE"""),44280)</f>
        <v>44280</v>
      </c>
      <c r="E1937" s="74">
        <f ca="1">IFERROR(__xludf.DUMMYFUNCTION("""COMPUTED_VALUE"""),16500)</f>
        <v>16500</v>
      </c>
      <c r="F1937" s="72"/>
      <c r="G1937" s="75"/>
      <c r="H1937" s="59" t="str">
        <f ca="1">IFERROR(__xludf.DUMMYFUNCTION("""COMPUTED_VALUE"""),"UPDATE")</f>
        <v>UPDATE</v>
      </c>
      <c r="I1937" s="76" t="str">
        <f ca="1">IFERROR(__xludf.DUMMYFUNCTION("""COMPUTED_VALUE"""),"https://drive.google.com/open?id=1w2h_xVUkAxcp9AyDSE0hFMobnlWSoDrF")</f>
        <v>https://drive.google.com/open?id=1w2h_xVUkAxcp9AyDSE0hFMobnlWSoDrF</v>
      </c>
      <c r="J1937" s="59"/>
      <c r="K1937" s="59"/>
      <c r="L1937" s="59"/>
      <c r="M1937" s="59"/>
      <c r="N1937" s="59"/>
      <c r="O1937" s="59"/>
      <c r="P1937" s="59"/>
    </row>
    <row r="1938" spans="1:16">
      <c r="A1938" s="71">
        <f ca="1">IFERROR(__xludf.DUMMYFUNCTION("""COMPUTED_VALUE"""),44282.5908489814)</f>
        <v>44282.590848981403</v>
      </c>
      <c r="B1938" s="59" t="str">
        <f ca="1">IFERROR(__xludf.DUMMYFUNCTION("""COMPUTED_VALUE"""),"TILWANI DHAVAL CHHAGANBHAI")</f>
        <v>TILWANI DHAVAL CHHAGANBHAI</v>
      </c>
      <c r="C1938" s="72" t="str">
        <f ca="1">IFERROR(__xludf.DUMMYFUNCTION("""COMPUTED_VALUE"""),"20SDSME01038")</f>
        <v>20SDSME01038</v>
      </c>
      <c r="D1938" s="73">
        <f ca="1">IFERROR(__xludf.DUMMYFUNCTION("""COMPUTED_VALUE"""),44282)</f>
        <v>44282</v>
      </c>
      <c r="E1938" s="74">
        <f ca="1">IFERROR(__xludf.DUMMYFUNCTION("""COMPUTED_VALUE"""),1000)</f>
        <v>1000</v>
      </c>
      <c r="F1938" s="72">
        <f ca="1">IFERROR(__xludf.DUMMYFUNCTION("""COMPUTED_VALUE"""),0)</f>
        <v>0</v>
      </c>
      <c r="G1938" s="75"/>
      <c r="H1938" s="59" t="str">
        <f ca="1">IFERROR(__xludf.DUMMYFUNCTION("""COMPUTED_VALUE"""),"UPDATE")</f>
        <v>UPDATE</v>
      </c>
      <c r="I1938" s="76" t="str">
        <f ca="1">IFERROR(__xludf.DUMMYFUNCTION("""COMPUTED_VALUE"""),"https://drive.google.com/open?id=1lIZUBTRxqW_Rtz6qCdEj4iow77TShgZ4")</f>
        <v>https://drive.google.com/open?id=1lIZUBTRxqW_Rtz6qCdEj4iow77TShgZ4</v>
      </c>
      <c r="J1938" s="59"/>
      <c r="K1938" s="59"/>
      <c r="L1938" s="59"/>
      <c r="M1938" s="59"/>
      <c r="N1938" s="59"/>
      <c r="O1938" s="59"/>
      <c r="P1938" s="59"/>
    </row>
    <row r="1939" spans="1:16">
      <c r="A1939" s="71">
        <f ca="1">IFERROR(__xludf.DUMMYFUNCTION("""COMPUTED_VALUE"""),44282.49301)</f>
        <v>44282.493009999998</v>
      </c>
      <c r="B1939" s="59" t="str">
        <f ca="1">IFERROR(__xludf.DUMMYFUNCTION("""COMPUTED_VALUE"""),"SHIRVI CHARMI DINESHBHAI")</f>
        <v>SHIRVI CHARMI DINESHBHAI</v>
      </c>
      <c r="C1939" s="72" t="str">
        <f ca="1">IFERROR(__xludf.DUMMYFUNCTION("""COMPUTED_VALUE"""),"19SDSCE01049")</f>
        <v>19SDSCE01049</v>
      </c>
      <c r="D1939" s="73">
        <f ca="1">IFERROR(__xludf.DUMMYFUNCTION("""COMPUTED_VALUE"""),44282)</f>
        <v>44282</v>
      </c>
      <c r="E1939" s="74">
        <f ca="1">IFERROR(__xludf.DUMMYFUNCTION("""COMPUTED_VALUE"""),8500)</f>
        <v>8500</v>
      </c>
      <c r="F1939" s="72"/>
      <c r="G1939" s="75"/>
      <c r="H1939" s="59" t="str">
        <f ca="1">IFERROR(__xludf.DUMMYFUNCTION("""COMPUTED_VALUE"""),"UPDATE")</f>
        <v>UPDATE</v>
      </c>
      <c r="I1939" s="76" t="str">
        <f ca="1">IFERROR(__xludf.DUMMYFUNCTION("""COMPUTED_VALUE"""),"https://drive.google.com/open?id=10mSWrj-NGpo8k4Ex3dL4ZW2AWIuzZ3Ue")</f>
        <v>https://drive.google.com/open?id=10mSWrj-NGpo8k4Ex3dL4ZW2AWIuzZ3Ue</v>
      </c>
      <c r="J1939" s="59"/>
      <c r="K1939" s="59"/>
      <c r="L1939" s="59"/>
      <c r="M1939" s="59"/>
      <c r="N1939" s="59"/>
      <c r="O1939" s="59"/>
      <c r="P1939" s="59"/>
    </row>
    <row r="1940" spans="1:16">
      <c r="A1940" s="71">
        <f ca="1">IFERROR(__xludf.DUMMYFUNCTION("""COMPUTED_VALUE"""),44282.4729802893)</f>
        <v>44282.472980289298</v>
      </c>
      <c r="B1940" s="59" t="str">
        <f ca="1">IFERROR(__xludf.DUMMYFUNCTION("""COMPUTED_VALUE"""),"Deep Barasiya")</f>
        <v>Deep Barasiya</v>
      </c>
      <c r="C1940" s="72" t="str">
        <f ca="1">IFERROR(__xludf.DUMMYFUNCTION("""COMPUTED_VALUE"""),"19SDSME01001")</f>
        <v>19SDSME01001</v>
      </c>
      <c r="D1940" s="73">
        <f ca="1">IFERROR(__xludf.DUMMYFUNCTION("""COMPUTED_VALUE"""),44280)</f>
        <v>44280</v>
      </c>
      <c r="E1940" s="74">
        <f ca="1">IFERROR(__xludf.DUMMYFUNCTION("""COMPUTED_VALUE"""),16500)</f>
        <v>16500</v>
      </c>
      <c r="F1940" s="72"/>
      <c r="G1940" s="75"/>
      <c r="H1940" s="59" t="str">
        <f ca="1">IFERROR(__xludf.DUMMYFUNCTION("""COMPUTED_VALUE"""),"UPDATE")</f>
        <v>UPDATE</v>
      </c>
      <c r="I1940" s="76" t="str">
        <f ca="1">IFERROR(__xludf.DUMMYFUNCTION("""COMPUTED_VALUE"""),"https://drive.google.com/open?id=1vStTfXIc3sEp00LZ-a1MvnsAefqfEDY5")</f>
        <v>https://drive.google.com/open?id=1vStTfXIc3sEp00LZ-a1MvnsAefqfEDY5</v>
      </c>
      <c r="J1940" s="59"/>
      <c r="K1940" s="59"/>
      <c r="L1940" s="59"/>
      <c r="M1940" s="59"/>
      <c r="N1940" s="59"/>
      <c r="O1940" s="59"/>
      <c r="P1940" s="59"/>
    </row>
    <row r="1941" spans="1:16">
      <c r="A1941" s="71">
        <f ca="1">IFERROR(__xludf.DUMMYFUNCTION("""COMPUTED_VALUE"""),44282.4678932986)</f>
        <v>44282.467893298599</v>
      </c>
      <c r="B1941" s="59" t="str">
        <f ca="1">IFERROR(__xludf.DUMMYFUNCTION("""COMPUTED_VALUE"""),"Dharmik Ashwinbhai Gadhiya")</f>
        <v>Dharmik Ashwinbhai Gadhiya</v>
      </c>
      <c r="C1941" s="72" t="str">
        <f ca="1">IFERROR(__xludf.DUMMYFUNCTION("""COMPUTED_VALUE"""),"20SDSCE01033")</f>
        <v>20SDSCE01033</v>
      </c>
      <c r="D1941" s="73">
        <f ca="1">IFERROR(__xludf.DUMMYFUNCTION("""COMPUTED_VALUE"""),44282)</f>
        <v>44282</v>
      </c>
      <c r="E1941" s="74">
        <f ca="1">IFERROR(__xludf.DUMMYFUNCTION("""COMPUTED_VALUE"""),7500)</f>
        <v>7500</v>
      </c>
      <c r="F1941" s="72"/>
      <c r="G1941" s="75"/>
      <c r="H1941" s="59" t="str">
        <f ca="1">IFERROR(__xludf.DUMMYFUNCTION("""COMPUTED_VALUE"""),"UPDATE")</f>
        <v>UPDATE</v>
      </c>
      <c r="I1941" s="76" t="str">
        <f ca="1">IFERROR(__xludf.DUMMYFUNCTION("""COMPUTED_VALUE"""),"https://drive.google.com/open?id=1ULbiQZy-x_QDUCDlS1VPrsXAJFx3rR3o")</f>
        <v>https://drive.google.com/open?id=1ULbiQZy-x_QDUCDlS1VPrsXAJFx3rR3o</v>
      </c>
      <c r="J1941" s="59"/>
      <c r="K1941" s="59"/>
      <c r="L1941" s="59"/>
      <c r="M1941" s="59"/>
      <c r="N1941" s="59"/>
      <c r="O1941" s="59"/>
      <c r="P1941" s="59"/>
    </row>
    <row r="1942" spans="1:16">
      <c r="A1942" s="71">
        <f ca="1">IFERROR(__xludf.DUMMYFUNCTION("""COMPUTED_VALUE"""),44282.4671513541)</f>
        <v>44282.467151354103</v>
      </c>
      <c r="B1942" s="59" t="str">
        <f ca="1">IFERROR(__xludf.DUMMYFUNCTION("""COMPUTED_VALUE"""),"Dharmik Ashwinbhai Gadhiya")</f>
        <v>Dharmik Ashwinbhai Gadhiya</v>
      </c>
      <c r="C1942" s="72" t="str">
        <f ca="1">IFERROR(__xludf.DUMMYFUNCTION("""COMPUTED_VALUE"""),"20SDSCE01033")</f>
        <v>20SDSCE01033</v>
      </c>
      <c r="D1942" s="73">
        <f ca="1">IFERROR(__xludf.DUMMYFUNCTION("""COMPUTED_VALUE"""),44282)</f>
        <v>44282</v>
      </c>
      <c r="E1942" s="72"/>
      <c r="F1942" s="72">
        <f ca="1">IFERROR(__xludf.DUMMYFUNCTION("""COMPUTED_VALUE"""),13000)</f>
        <v>13000</v>
      </c>
      <c r="G1942" s="75"/>
      <c r="H1942" s="59" t="str">
        <f ca="1">IFERROR(__xludf.DUMMYFUNCTION("""COMPUTED_VALUE"""),"UPDATE")</f>
        <v>UPDATE</v>
      </c>
      <c r="I1942" s="76" t="str">
        <f ca="1">IFERROR(__xludf.DUMMYFUNCTION("""COMPUTED_VALUE"""),"https://drive.google.com/open?id=1fib7FYeefE55LohJSoDSucoflIcEhmQp")</f>
        <v>https://drive.google.com/open?id=1fib7FYeefE55LohJSoDSucoflIcEhmQp</v>
      </c>
      <c r="J1942" s="59"/>
      <c r="K1942" s="59"/>
      <c r="L1942" s="59"/>
      <c r="M1942" s="59"/>
      <c r="N1942" s="59"/>
      <c r="O1942" s="59"/>
      <c r="P1942" s="59"/>
    </row>
    <row r="1943" spans="1:16">
      <c r="A1943" s="71">
        <f ca="1">IFERROR(__xludf.DUMMYFUNCTION("""COMPUTED_VALUE"""),44282.4179307407)</f>
        <v>44282.417930740703</v>
      </c>
      <c r="B1943" s="59" t="str">
        <f ca="1">IFERROR(__xludf.DUMMYFUNCTION("""COMPUTED_VALUE"""),"Vansh Ratanghaida ")</f>
        <v xml:space="preserve">Vansh Ratanghaida </v>
      </c>
      <c r="C1943" s="72" t="str">
        <f ca="1">IFERROR(__xludf.DUMMYFUNCTION("""COMPUTED_VALUE"""),"19SDSCE02901 ")</f>
        <v xml:space="preserve">19SDSCE02901 </v>
      </c>
      <c r="D1943" s="73">
        <f ca="1">IFERROR(__xludf.DUMMYFUNCTION("""COMPUTED_VALUE"""),44280)</f>
        <v>44280</v>
      </c>
      <c r="E1943" s="74">
        <f ca="1">IFERROR(__xludf.DUMMYFUNCTION("""COMPUTED_VALUE"""),8500)</f>
        <v>8500</v>
      </c>
      <c r="F1943" s="72">
        <f ca="1">IFERROR(__xludf.DUMMYFUNCTION("""COMPUTED_VALUE"""),0)</f>
        <v>0</v>
      </c>
      <c r="G1943" s="75"/>
      <c r="H1943" s="59" t="str">
        <f ca="1">IFERROR(__xludf.DUMMYFUNCTION("""COMPUTED_VALUE"""),"UPDATE")</f>
        <v>UPDATE</v>
      </c>
      <c r="I1943" s="76" t="str">
        <f ca="1">IFERROR(__xludf.DUMMYFUNCTION("""COMPUTED_VALUE"""),"https://drive.google.com/open?id=1chXruJkJPZUmJyW6cvCZ6KMtrAGBpA5Z")</f>
        <v>https://drive.google.com/open?id=1chXruJkJPZUmJyW6cvCZ6KMtrAGBpA5Z</v>
      </c>
      <c r="J1943" s="59"/>
      <c r="K1943" s="59"/>
      <c r="L1943" s="59"/>
      <c r="M1943" s="59"/>
      <c r="N1943" s="59"/>
      <c r="O1943" s="59"/>
      <c r="P1943" s="59"/>
    </row>
    <row r="1944" spans="1:16">
      <c r="A1944" s="71">
        <f ca="1">IFERROR(__xludf.DUMMYFUNCTION("""COMPUTED_VALUE"""),44282.3959316782)</f>
        <v>44282.395931678198</v>
      </c>
      <c r="B1944" s="59" t="str">
        <f ca="1">IFERROR(__xludf.DUMMYFUNCTION("""COMPUTED_VALUE"""),"Jatin Mangal Singh Kanyal")</f>
        <v>Jatin Mangal Singh Kanyal</v>
      </c>
      <c r="C1944" s="72" t="str">
        <f ca="1">IFERROR(__xludf.DUMMYFUNCTION("""COMPUTED_VALUE"""),"19sdsce01020")</f>
        <v>19sdsce01020</v>
      </c>
      <c r="D1944" s="73">
        <f ca="1">IFERROR(__xludf.DUMMYFUNCTION("""COMPUTED_VALUE"""),44281)</f>
        <v>44281</v>
      </c>
      <c r="E1944" s="74">
        <f ca="1">IFERROR(__xludf.DUMMYFUNCTION("""COMPUTED_VALUE"""),8500)</f>
        <v>8500</v>
      </c>
      <c r="F1944" s="72"/>
      <c r="G1944" s="75"/>
      <c r="H1944" s="59" t="str">
        <f ca="1">IFERROR(__xludf.DUMMYFUNCTION("""COMPUTED_VALUE"""),"UPDATE")</f>
        <v>UPDATE</v>
      </c>
      <c r="I1944" s="76" t="str">
        <f ca="1">IFERROR(__xludf.DUMMYFUNCTION("""COMPUTED_VALUE"""),"https://drive.google.com/open?id=1c88MRly9Rp6i3LMcQmQRJnMAnxMlbwHH")</f>
        <v>https://drive.google.com/open?id=1c88MRly9Rp6i3LMcQmQRJnMAnxMlbwHH</v>
      </c>
      <c r="J1944" s="59"/>
      <c r="K1944" s="59"/>
      <c r="L1944" s="59"/>
      <c r="M1944" s="59"/>
      <c r="N1944" s="59"/>
      <c r="O1944" s="59"/>
      <c r="P1944" s="59"/>
    </row>
    <row r="1945" spans="1:16">
      <c r="A1945" s="71">
        <f ca="1">IFERROR(__xludf.DUMMYFUNCTION("""COMPUTED_VALUE"""),44282.3944387847)</f>
        <v>44282.3944387847</v>
      </c>
      <c r="B1945" s="59" t="str">
        <f ca="1">IFERROR(__xludf.DUMMYFUNCTION("""COMPUTED_VALUE"""),"Smit Jaysukhlal Bhimani")</f>
        <v>Smit Jaysukhlal Bhimani</v>
      </c>
      <c r="C1945" s="72" t="str">
        <f ca="1">IFERROR(__xludf.DUMMYFUNCTION("""COMPUTED_VALUE"""),"19SDSCE01004")</f>
        <v>19SDSCE01004</v>
      </c>
      <c r="D1945" s="73">
        <f ca="1">IFERROR(__xludf.DUMMYFUNCTION("""COMPUTED_VALUE"""),44282)</f>
        <v>44282</v>
      </c>
      <c r="E1945" s="74">
        <f ca="1">IFERROR(__xludf.DUMMYFUNCTION("""COMPUTED_VALUE"""),8500)</f>
        <v>8500</v>
      </c>
      <c r="F1945" s="72"/>
      <c r="G1945" s="75"/>
      <c r="H1945" s="59" t="str">
        <f ca="1">IFERROR(__xludf.DUMMYFUNCTION("""COMPUTED_VALUE"""),"UPDATE")</f>
        <v>UPDATE</v>
      </c>
      <c r="I1945" s="76" t="str">
        <f ca="1">IFERROR(__xludf.DUMMYFUNCTION("""COMPUTED_VALUE"""),"https://drive.google.com/open?id=1b7XRukgOvqNaF7MRez5a8ywBSexzXrVx")</f>
        <v>https://drive.google.com/open?id=1b7XRukgOvqNaF7MRez5a8ywBSexzXrVx</v>
      </c>
      <c r="J1945" s="59"/>
      <c r="K1945" s="59"/>
      <c r="L1945" s="59"/>
      <c r="M1945" s="59"/>
      <c r="N1945" s="59"/>
      <c r="O1945" s="59"/>
      <c r="P1945" s="59"/>
    </row>
    <row r="1946" spans="1:16">
      <c r="A1946" s="71">
        <f ca="1">IFERROR(__xludf.DUMMYFUNCTION("""COMPUTED_VALUE"""),44281.5567858796)</f>
        <v>44281.556785879598</v>
      </c>
      <c r="B1946" s="59" t="str">
        <f ca="1">IFERROR(__xludf.DUMMYFUNCTION("""COMPUTED_VALUE"""),"Rathod viram")</f>
        <v>Rathod viram</v>
      </c>
      <c r="C1946" s="72" t="str">
        <f ca="1">IFERROR(__xludf.DUMMYFUNCTION("""COMPUTED_VALUE"""),"19sdsme01021")</f>
        <v>19sdsme01021</v>
      </c>
      <c r="D1946" s="73">
        <f ca="1">IFERROR(__xludf.DUMMYFUNCTION("""COMPUTED_VALUE"""),44281)</f>
        <v>44281</v>
      </c>
      <c r="E1946" s="74">
        <f ca="1">IFERROR(__xludf.DUMMYFUNCTION("""COMPUTED_VALUE"""),27000)</f>
        <v>27000</v>
      </c>
      <c r="F1946" s="72">
        <f ca="1">IFERROR(__xludf.DUMMYFUNCTION("""COMPUTED_VALUE"""),2500)</f>
        <v>2500</v>
      </c>
      <c r="G1946" s="75"/>
      <c r="H1946" s="59" t="str">
        <f ca="1">IFERROR(__xludf.DUMMYFUNCTION("""COMPUTED_VALUE"""),"UPDATE")</f>
        <v>UPDATE</v>
      </c>
      <c r="I1946" s="76" t="str">
        <f ca="1">IFERROR(__xludf.DUMMYFUNCTION("""COMPUTED_VALUE"""),"https://drive.google.com/open?id=1HAuwpJDQs842iNz_TFPJMhxZTHIz_TBk")</f>
        <v>https://drive.google.com/open?id=1HAuwpJDQs842iNz_TFPJMhxZTHIz_TBk</v>
      </c>
      <c r="J1946" s="59"/>
      <c r="K1946" s="59"/>
      <c r="L1946" s="59"/>
      <c r="M1946" s="59"/>
      <c r="N1946" s="59"/>
      <c r="O1946" s="59"/>
      <c r="P1946" s="59"/>
    </row>
    <row r="1947" spans="1:16">
      <c r="A1947" s="71">
        <f ca="1">IFERROR(__xludf.DUMMYFUNCTION("""COMPUTED_VALUE"""),44281.5565317129)</f>
        <v>44281.5565317129</v>
      </c>
      <c r="B1947" s="59" t="str">
        <f ca="1">IFERROR(__xludf.DUMMYFUNCTION("""COMPUTED_VALUE"""),"Rathod viram")</f>
        <v>Rathod viram</v>
      </c>
      <c r="C1947" s="72" t="str">
        <f ca="1">IFERROR(__xludf.DUMMYFUNCTION("""COMPUTED_VALUE"""),"19sdsme01021")</f>
        <v>19sdsme01021</v>
      </c>
      <c r="D1947" s="73">
        <f ca="1">IFERROR(__xludf.DUMMYFUNCTION("""COMPUTED_VALUE"""),44281)</f>
        <v>44281</v>
      </c>
      <c r="E1947" s="74">
        <f ca="1">IFERROR(__xludf.DUMMYFUNCTION("""COMPUTED_VALUE"""),27000)</f>
        <v>27000</v>
      </c>
      <c r="F1947" s="72">
        <f ca="1">IFERROR(__xludf.DUMMYFUNCTION("""COMPUTED_VALUE"""),2500)</f>
        <v>2500</v>
      </c>
      <c r="G1947" s="75"/>
      <c r="H1947" s="59" t="str">
        <f ca="1">IFERROR(__xludf.DUMMYFUNCTION("""COMPUTED_VALUE"""),"UPDATE")</f>
        <v>UPDATE</v>
      </c>
      <c r="I1947" s="76" t="str">
        <f ca="1">IFERROR(__xludf.DUMMYFUNCTION("""COMPUTED_VALUE"""),"https://drive.google.com/open?id=1ucKwgrPUTWwkuULd0lXuxG1Er19qkeYC")</f>
        <v>https://drive.google.com/open?id=1ucKwgrPUTWwkuULd0lXuxG1Er19qkeYC</v>
      </c>
      <c r="J1947" s="59"/>
      <c r="K1947" s="59"/>
      <c r="L1947" s="59"/>
      <c r="M1947" s="59"/>
      <c r="N1947" s="59"/>
      <c r="O1947" s="59"/>
      <c r="P1947" s="59"/>
    </row>
    <row r="1948" spans="1:16">
      <c r="A1948" s="71">
        <f ca="1">IFERROR(__xludf.DUMMYFUNCTION("""COMPUTED_VALUE"""),44281.4311976736)</f>
        <v>44281.431197673599</v>
      </c>
      <c r="B1948" s="59" t="str">
        <f ca="1">IFERROR(__xludf.DUMMYFUNCTION("""COMPUTED_VALUE"""),"Radadiya Harin K")</f>
        <v>Radadiya Harin K</v>
      </c>
      <c r="C1948" s="72" t="str">
        <f ca="1">IFERROR(__xludf.DUMMYFUNCTION("""COMPUTED_VALUE"""),"19SDSME01017")</f>
        <v>19SDSME01017</v>
      </c>
      <c r="D1948" s="73">
        <f ca="1">IFERROR(__xludf.DUMMYFUNCTION("""COMPUTED_VALUE"""),44281)</f>
        <v>44281</v>
      </c>
      <c r="E1948" s="72"/>
      <c r="F1948" s="72">
        <f ca="1">IFERROR(__xludf.DUMMYFUNCTION("""COMPUTED_VALUE"""),2500)</f>
        <v>2500</v>
      </c>
      <c r="G1948" s="75"/>
      <c r="H1948" s="59" t="str">
        <f ca="1">IFERROR(__xludf.DUMMYFUNCTION("""COMPUTED_VALUE"""),"UPDATE")</f>
        <v>UPDATE</v>
      </c>
      <c r="I1948" s="76" t="str">
        <f ca="1">IFERROR(__xludf.DUMMYFUNCTION("""COMPUTED_VALUE"""),"https://drive.google.com/open?id=12X1SS4FSQm5FRoE4lMFgNpep0qUHbBbZ")</f>
        <v>https://drive.google.com/open?id=12X1SS4FSQm5FRoE4lMFgNpep0qUHbBbZ</v>
      </c>
      <c r="J1948" s="59"/>
      <c r="K1948" s="59"/>
      <c r="L1948" s="59"/>
      <c r="M1948" s="59"/>
      <c r="N1948" s="59"/>
      <c r="O1948" s="59"/>
      <c r="P1948" s="59"/>
    </row>
    <row r="1949" spans="1:16">
      <c r="A1949" s="71">
        <f ca="1">IFERROR(__xludf.DUMMYFUNCTION("""COMPUTED_VALUE"""),44281.4305222685)</f>
        <v>44281.4305222685</v>
      </c>
      <c r="B1949" s="59" t="str">
        <f ca="1">IFERROR(__xludf.DUMMYFUNCTION("""COMPUTED_VALUE"""),"Radadiya Harin K")</f>
        <v>Radadiya Harin K</v>
      </c>
      <c r="C1949" s="72" t="str">
        <f ca="1">IFERROR(__xludf.DUMMYFUNCTION("""COMPUTED_VALUE"""),"19SDSME01017")</f>
        <v>19SDSME01017</v>
      </c>
      <c r="D1949" s="73">
        <f ca="1">IFERROR(__xludf.DUMMYFUNCTION("""COMPUTED_VALUE"""),44281)</f>
        <v>44281</v>
      </c>
      <c r="E1949" s="74">
        <f ca="1">IFERROR(__xludf.DUMMYFUNCTION("""COMPUTED_VALUE"""),1750)</f>
        <v>1750</v>
      </c>
      <c r="F1949" s="72"/>
      <c r="G1949" s="75"/>
      <c r="H1949" s="59" t="str">
        <f ca="1">IFERROR(__xludf.DUMMYFUNCTION("""COMPUTED_VALUE"""),"UPDATE")</f>
        <v>UPDATE</v>
      </c>
      <c r="I1949" s="76" t="str">
        <f ca="1">IFERROR(__xludf.DUMMYFUNCTION("""COMPUTED_VALUE"""),"https://drive.google.com/open?id=1M-dV9EqJo3COzF6qggxNHL6jiRhU8Djb")</f>
        <v>https://drive.google.com/open?id=1M-dV9EqJo3COzF6qggxNHL6jiRhU8Djb</v>
      </c>
      <c r="J1949" s="59"/>
      <c r="K1949" s="59"/>
      <c r="L1949" s="59"/>
      <c r="M1949" s="59"/>
      <c r="N1949" s="59"/>
      <c r="O1949" s="59"/>
      <c r="P1949" s="59"/>
    </row>
    <row r="1950" spans="1:16">
      <c r="A1950" s="71">
        <f ca="1">IFERROR(__xludf.DUMMYFUNCTION("""COMPUTED_VALUE"""),44280.6028259259)</f>
        <v>44280.602825925896</v>
      </c>
      <c r="B1950" s="59" t="str">
        <f ca="1">IFERROR(__xludf.DUMMYFUNCTION("""COMPUTED_VALUE"""),"Yash Ranpariya ")</f>
        <v xml:space="preserve">Yash Ranpariya </v>
      </c>
      <c r="C1950" s="72" t="str">
        <f ca="1">IFERROR(__xludf.DUMMYFUNCTION("""COMPUTED_VALUE"""),"19SDSME01020 ")</f>
        <v xml:space="preserve">19SDSME01020 </v>
      </c>
      <c r="D1950" s="73">
        <f ca="1">IFERROR(__xludf.DUMMYFUNCTION("""COMPUTED_VALUE"""),44115)</f>
        <v>44115</v>
      </c>
      <c r="E1950" s="74">
        <f ca="1">IFERROR(__xludf.DUMMYFUNCTION("""COMPUTED_VALUE"""),6250)</f>
        <v>6250</v>
      </c>
      <c r="F1950" s="72">
        <f ca="1">IFERROR(__xludf.DUMMYFUNCTION("""COMPUTED_VALUE"""),2500)</f>
        <v>2500</v>
      </c>
      <c r="G1950" s="75"/>
      <c r="H1950" s="59" t="str">
        <f ca="1">IFERROR(__xludf.DUMMYFUNCTION("""COMPUTED_VALUE"""),"UPDATE")</f>
        <v>UPDATE</v>
      </c>
      <c r="I1950" s="76" t="str">
        <f ca="1">IFERROR(__xludf.DUMMYFUNCTION("""COMPUTED_VALUE"""),"https://drive.google.com/open?id=1DIgiJ2Nic3kMdE3Du5dVLQCpkjt38GPO")</f>
        <v>https://drive.google.com/open?id=1DIgiJ2Nic3kMdE3Du5dVLQCpkjt38GPO</v>
      </c>
      <c r="J1950" s="59"/>
      <c r="K1950" s="59"/>
      <c r="L1950" s="59"/>
      <c r="M1950" s="59"/>
      <c r="N1950" s="59"/>
      <c r="O1950" s="59"/>
      <c r="P1950" s="59"/>
    </row>
    <row r="1951" spans="1:16">
      <c r="A1951" s="71">
        <f ca="1">IFERROR(__xludf.DUMMYFUNCTION("""COMPUTED_VALUE"""),44280.5847267824)</f>
        <v>44280.584726782399</v>
      </c>
      <c r="B1951" s="59" t="str">
        <f ca="1">IFERROR(__xludf.DUMMYFUNCTION("""COMPUTED_VALUE"""),"Kava Dhruv Kirtibhai")</f>
        <v>Kava Dhruv Kirtibhai</v>
      </c>
      <c r="C1951" s="72" t="str">
        <f ca="1">IFERROR(__xludf.DUMMYFUNCTION("""COMPUTED_VALUE"""),"19SDSME01011")</f>
        <v>19SDSME01011</v>
      </c>
      <c r="D1951" s="73">
        <f ca="1">IFERROR(__xludf.DUMMYFUNCTION("""COMPUTED_VALUE"""),44217)</f>
        <v>44217</v>
      </c>
      <c r="E1951" s="74">
        <f ca="1">IFERROR(__xludf.DUMMYFUNCTION("""COMPUTED_VALUE"""),25000)</f>
        <v>25000</v>
      </c>
      <c r="F1951" s="72">
        <f ca="1">IFERROR(__xludf.DUMMYFUNCTION("""COMPUTED_VALUE"""),2500)</f>
        <v>2500</v>
      </c>
      <c r="G1951" s="75"/>
      <c r="H1951" s="59" t="str">
        <f ca="1">IFERROR(__xludf.DUMMYFUNCTION("""COMPUTED_VALUE"""),"UPDATE")</f>
        <v>UPDATE</v>
      </c>
      <c r="I1951" s="76" t="str">
        <f ca="1">IFERROR(__xludf.DUMMYFUNCTION("""COMPUTED_VALUE"""),"https://drive.google.com/open?id=1NL1oBgnK-SR_YNMCbNzZzQt0T34pH5Sp")</f>
        <v>https://drive.google.com/open?id=1NL1oBgnK-SR_YNMCbNzZzQt0T34pH5Sp</v>
      </c>
      <c r="J1951" s="59"/>
      <c r="K1951" s="59"/>
      <c r="L1951" s="59"/>
      <c r="M1951" s="59"/>
      <c r="N1951" s="59"/>
      <c r="O1951" s="59"/>
      <c r="P1951" s="59"/>
    </row>
    <row r="1952" spans="1:16">
      <c r="A1952" s="71">
        <f ca="1">IFERROR(__xludf.DUMMYFUNCTION("""COMPUTED_VALUE"""),44280.5769127893)</f>
        <v>44280.5769127893</v>
      </c>
      <c r="B1952" s="59" t="str">
        <f ca="1">IFERROR(__xludf.DUMMYFUNCTION("""COMPUTED_VALUE"""),"RADADIYA YASH RAMESBHAI ")</f>
        <v xml:space="preserve">RADADIYA YASH RAMESBHAI </v>
      </c>
      <c r="C1952" s="72" t="str">
        <f ca="1">IFERROR(__xludf.DUMMYFUNCTION("""COMPUTED_VALUE"""),"18SDSCV01017")</f>
        <v>18SDSCV01017</v>
      </c>
      <c r="D1952" s="73">
        <f ca="1">IFERROR(__xludf.DUMMYFUNCTION("""COMPUTED_VALUE"""),44232)</f>
        <v>44232</v>
      </c>
      <c r="E1952" s="74">
        <f ca="1">IFERROR(__xludf.DUMMYFUNCTION("""COMPUTED_VALUE"""),0)</f>
        <v>0</v>
      </c>
      <c r="F1952" s="72">
        <f ca="1">IFERROR(__xludf.DUMMYFUNCTION("""COMPUTED_VALUE"""),2500)</f>
        <v>2500</v>
      </c>
      <c r="G1952" s="75"/>
      <c r="H1952" s="59" t="str">
        <f ca="1">IFERROR(__xludf.DUMMYFUNCTION("""COMPUTED_VALUE"""),"UPDATE")</f>
        <v>UPDATE</v>
      </c>
      <c r="I1952" s="76" t="str">
        <f ca="1">IFERROR(__xludf.DUMMYFUNCTION("""COMPUTED_VALUE"""),"https://drive.google.com/open?id=11WpVmQDLwgHMrTebA8GG-1U0axjLNT0k")</f>
        <v>https://drive.google.com/open?id=11WpVmQDLwgHMrTebA8GG-1U0axjLNT0k</v>
      </c>
      <c r="J1952" s="59"/>
      <c r="K1952" s="59"/>
      <c r="L1952" s="59"/>
      <c r="M1952" s="59"/>
      <c r="N1952" s="59"/>
      <c r="O1952" s="59"/>
      <c r="P1952" s="59"/>
    </row>
    <row r="1953" spans="1:16">
      <c r="A1953" s="71">
        <f ca="1">IFERROR(__xludf.DUMMYFUNCTION("""COMPUTED_VALUE"""),44280.5526239583)</f>
        <v>44280.552623958298</v>
      </c>
      <c r="B1953" s="59" t="str">
        <f ca="1">IFERROR(__xludf.DUMMYFUNCTION("""COMPUTED_VALUE"""),"Meet Mungalpara")</f>
        <v>Meet Mungalpara</v>
      </c>
      <c r="C1953" s="72" t="str">
        <f ca="1">IFERROR(__xludf.DUMMYFUNCTION("""COMPUTED_VALUE"""),"19SDSME0105")</f>
        <v>19SDSME0105</v>
      </c>
      <c r="D1953" s="73">
        <f ca="1">IFERROR(__xludf.DUMMYFUNCTION("""COMPUTED_VALUE"""),44278)</f>
        <v>44278</v>
      </c>
      <c r="E1953" s="74">
        <f ca="1">IFERROR(__xludf.DUMMYFUNCTION("""COMPUTED_VALUE"""),2500)</f>
        <v>2500</v>
      </c>
      <c r="F1953" s="72"/>
      <c r="G1953" s="75"/>
      <c r="H1953" s="59" t="str">
        <f ca="1">IFERROR(__xludf.DUMMYFUNCTION("""COMPUTED_VALUE"""),"UPDATE")</f>
        <v>UPDATE</v>
      </c>
      <c r="I1953" s="76" t="str">
        <f ca="1">IFERROR(__xludf.DUMMYFUNCTION("""COMPUTED_VALUE"""),"https://drive.google.com/open?id=1FdRRffaxH9iMEnYVasqwiP_fw-vGy-Bq")</f>
        <v>https://drive.google.com/open?id=1FdRRffaxH9iMEnYVasqwiP_fw-vGy-Bq</v>
      </c>
      <c r="J1953" s="59"/>
      <c r="K1953" s="59"/>
      <c r="L1953" s="59"/>
      <c r="M1953" s="59"/>
      <c r="N1953" s="59"/>
      <c r="O1953" s="59"/>
      <c r="P1953" s="59"/>
    </row>
    <row r="1954" spans="1:16">
      <c r="A1954" s="71">
        <f ca="1">IFERROR(__xludf.DUMMYFUNCTION("""COMPUTED_VALUE"""),44280.5413451388)</f>
        <v>44280.541345138801</v>
      </c>
      <c r="B1954" s="59" t="str">
        <f ca="1">IFERROR(__xludf.DUMMYFUNCTION("""COMPUTED_VALUE"""),"Jaymin kantilal rangani ")</f>
        <v xml:space="preserve">Jaymin kantilal rangani </v>
      </c>
      <c r="C1954" s="72" t="str">
        <f ca="1">IFERROR(__xludf.DUMMYFUNCTION("""COMPUTED_VALUE"""),"19SDSME01019 ")</f>
        <v xml:space="preserve">19SDSME01019 </v>
      </c>
      <c r="D1954" s="73">
        <f ca="1">IFERROR(__xludf.DUMMYFUNCTION("""COMPUTED_VALUE"""),44277)</f>
        <v>44277</v>
      </c>
      <c r="E1954" s="72"/>
      <c r="F1954" s="72">
        <f ca="1">IFERROR(__xludf.DUMMYFUNCTION("""COMPUTED_VALUE"""),2500)</f>
        <v>2500</v>
      </c>
      <c r="G1954" s="75"/>
      <c r="H1954" s="59" t="str">
        <f ca="1">IFERROR(__xludf.DUMMYFUNCTION("""COMPUTED_VALUE"""),"UPDATE")</f>
        <v>UPDATE</v>
      </c>
      <c r="I1954" s="76" t="str">
        <f ca="1">IFERROR(__xludf.DUMMYFUNCTION("""COMPUTED_VALUE"""),"https://drive.google.com/open?id=1dJwjSNKKZba-szu5LQneCJ2IsFxH_75b")</f>
        <v>https://drive.google.com/open?id=1dJwjSNKKZba-szu5LQneCJ2IsFxH_75b</v>
      </c>
      <c r="J1954" s="59"/>
      <c r="K1954" s="59"/>
      <c r="L1954" s="59"/>
      <c r="M1954" s="59"/>
      <c r="N1954" s="59"/>
      <c r="O1954" s="59"/>
      <c r="P1954" s="59"/>
    </row>
    <row r="1955" spans="1:16">
      <c r="A1955" s="71">
        <f ca="1">IFERROR(__xludf.DUMMYFUNCTION("""COMPUTED_VALUE"""),44280.4651035416)</f>
        <v>44280.465103541603</v>
      </c>
      <c r="B1955" s="59" t="str">
        <f ca="1">IFERROR(__xludf.DUMMYFUNCTION("""COMPUTED_VALUE"""),"Ramoliya Abhishek dipakbhai")</f>
        <v>Ramoliya Abhishek dipakbhai</v>
      </c>
      <c r="C1955" s="72" t="str">
        <f ca="1">IFERROR(__xludf.DUMMYFUNCTION("""COMPUTED_VALUE"""),"20SDSCV01007")</f>
        <v>20SDSCV01007</v>
      </c>
      <c r="D1955" s="73">
        <f ca="1">IFERROR(__xludf.DUMMYFUNCTION("""COMPUTED_VALUE"""),44256)</f>
        <v>44256</v>
      </c>
      <c r="E1955" s="74">
        <f ca="1">IFERROR(__xludf.DUMMYFUNCTION("""COMPUTED_VALUE"""),18750)</f>
        <v>18750</v>
      </c>
      <c r="F1955" s="72">
        <f ca="1">IFERROR(__xludf.DUMMYFUNCTION("""COMPUTED_VALUE"""),2500)</f>
        <v>2500</v>
      </c>
      <c r="G1955" s="75"/>
      <c r="H1955" s="59" t="str">
        <f ca="1">IFERROR(__xludf.DUMMYFUNCTION("""COMPUTED_VALUE"""),"UPDATE")</f>
        <v>UPDATE</v>
      </c>
      <c r="I1955" s="76" t="str">
        <f ca="1">IFERROR(__xludf.DUMMYFUNCTION("""COMPUTED_VALUE"""),"https://drive.google.com/open?id=1GlB0x8E1MV8T7Ekc9jY4meydNl8SUZya")</f>
        <v>https://drive.google.com/open?id=1GlB0x8E1MV8T7Ekc9jY4meydNl8SUZya</v>
      </c>
      <c r="J1955" s="59"/>
      <c r="K1955" s="59"/>
      <c r="L1955" s="59"/>
      <c r="M1955" s="59"/>
      <c r="N1955" s="59"/>
      <c r="O1955" s="59"/>
      <c r="P1955" s="59"/>
    </row>
    <row r="1956" spans="1:16">
      <c r="A1956" s="71">
        <f ca="1">IFERROR(__xludf.DUMMYFUNCTION("""COMPUTED_VALUE"""),44279.8560236921)</f>
        <v>44279.856023692097</v>
      </c>
      <c r="B1956" s="59" t="str">
        <f ca="1">IFERROR(__xludf.DUMMYFUNCTION("""COMPUTED_VALUE"""),"Pokal shubham manshukhbhai")</f>
        <v>Pokal shubham manshukhbhai</v>
      </c>
      <c r="C1956" s="72" t="str">
        <f ca="1">IFERROR(__xludf.DUMMYFUNCTION("""COMPUTED_VALUE"""),"18sdscv01015")</f>
        <v>18sdscv01015</v>
      </c>
      <c r="D1956" s="73">
        <f ca="1">IFERROR(__xludf.DUMMYFUNCTION("""COMPUTED_VALUE"""),44232)</f>
        <v>44232</v>
      </c>
      <c r="E1956" s="72"/>
      <c r="F1956" s="72"/>
      <c r="G1956" s="75"/>
      <c r="H1956" s="59" t="str">
        <f ca="1">IFERROR(__xludf.DUMMYFUNCTION("""COMPUTED_VALUE"""),"UPDATE")</f>
        <v>UPDATE</v>
      </c>
      <c r="I1956" s="76" t="str">
        <f ca="1">IFERROR(__xludf.DUMMYFUNCTION("""COMPUTED_VALUE"""),"https://drive.google.com/open?id=1AIK4mMRv7a85GmwS0A5H1aMNVOEbTTMM")</f>
        <v>https://drive.google.com/open?id=1AIK4mMRv7a85GmwS0A5H1aMNVOEbTTMM</v>
      </c>
      <c r="J1956" s="59"/>
      <c r="K1956" s="59"/>
      <c r="L1956" s="59"/>
      <c r="M1956" s="59"/>
      <c r="N1956" s="59"/>
      <c r="O1956" s="59"/>
      <c r="P1956" s="59"/>
    </row>
    <row r="1957" spans="1:16">
      <c r="A1957" s="71">
        <f ca="1">IFERROR(__xludf.DUMMYFUNCTION("""COMPUTED_VALUE"""),44279.8422401736)</f>
        <v>44279.842240173602</v>
      </c>
      <c r="B1957" s="59" t="str">
        <f ca="1">IFERROR(__xludf.DUMMYFUNCTION("""COMPUTED_VALUE"""),"Jignesh rabadiya")</f>
        <v>Jignesh rabadiya</v>
      </c>
      <c r="C1957" s="72" t="str">
        <f ca="1">IFERROR(__xludf.DUMMYFUNCTION("""COMPUTED_VALUE"""),"19sdscv01006")</f>
        <v>19sdscv01006</v>
      </c>
      <c r="D1957" s="73">
        <f ca="1">IFERROR(__xludf.DUMMYFUNCTION("""COMPUTED_VALUE"""),44278)</f>
        <v>44278</v>
      </c>
      <c r="E1957" s="74">
        <f ca="1">IFERROR(__xludf.DUMMYFUNCTION("""COMPUTED_VALUE"""),25000)</f>
        <v>25000</v>
      </c>
      <c r="F1957" s="72">
        <f ca="1">IFERROR(__xludf.DUMMYFUNCTION("""COMPUTED_VALUE"""),2500)</f>
        <v>2500</v>
      </c>
      <c r="G1957" s="75"/>
      <c r="H1957" s="59" t="str">
        <f ca="1">IFERROR(__xludf.DUMMYFUNCTION("""COMPUTED_VALUE"""),"UPDATE")</f>
        <v>UPDATE</v>
      </c>
      <c r="I1957" s="76" t="str">
        <f ca="1">IFERROR(__xludf.DUMMYFUNCTION("""COMPUTED_VALUE"""),"https://drive.google.com/open?id=1xF6G4zGzZqwRXQqWMgaxn8U6g_9PtjfT")</f>
        <v>https://drive.google.com/open?id=1xF6G4zGzZqwRXQqWMgaxn8U6g_9PtjfT</v>
      </c>
      <c r="J1957" s="59"/>
      <c r="K1957" s="59"/>
      <c r="L1957" s="59"/>
      <c r="M1957" s="59"/>
      <c r="N1957" s="59"/>
      <c r="O1957" s="59"/>
      <c r="P1957" s="59"/>
    </row>
    <row r="1958" spans="1:16">
      <c r="A1958" s="71">
        <f ca="1">IFERROR(__xludf.DUMMYFUNCTION("""COMPUTED_VALUE"""),44278.8409693055)</f>
        <v>44278.8409693055</v>
      </c>
      <c r="B1958" s="59" t="str">
        <f ca="1">IFERROR(__xludf.DUMMYFUNCTION("""COMPUTED_VALUE"""),"Hirpara Meet")</f>
        <v>Hirpara Meet</v>
      </c>
      <c r="C1958" s="72" t="str">
        <f ca="1">IFERROR(__xludf.DUMMYFUNCTION("""COMPUTED_VALUE"""),"18sdscv01008")</f>
        <v>18sdscv01008</v>
      </c>
      <c r="D1958" s="73">
        <f ca="1">IFERROR(__xludf.DUMMYFUNCTION("""COMPUTED_VALUE"""),44273)</f>
        <v>44273</v>
      </c>
      <c r="E1958" s="74">
        <f ca="1">IFERROR(__xludf.DUMMYFUNCTION("""COMPUTED_VALUE"""),25000)</f>
        <v>25000</v>
      </c>
      <c r="F1958" s="72">
        <f ca="1">IFERROR(__xludf.DUMMYFUNCTION("""COMPUTED_VALUE"""),3500)</f>
        <v>3500</v>
      </c>
      <c r="G1958" s="75"/>
      <c r="H1958" s="59" t="str">
        <f ca="1">IFERROR(__xludf.DUMMYFUNCTION("""COMPUTED_VALUE"""),"UPDATE")</f>
        <v>UPDATE</v>
      </c>
      <c r="I1958" s="76" t="str">
        <f ca="1">IFERROR(__xludf.DUMMYFUNCTION("""COMPUTED_VALUE"""),"https://drive.google.com/open?id=1gZBBhtZDQZHPaIlUKwib652zV7U9x9zh")</f>
        <v>https://drive.google.com/open?id=1gZBBhtZDQZHPaIlUKwib652zV7U9x9zh</v>
      </c>
      <c r="J1958" s="59"/>
      <c r="K1958" s="59"/>
      <c r="L1958" s="59"/>
      <c r="M1958" s="59"/>
      <c r="N1958" s="59"/>
      <c r="O1958" s="59"/>
      <c r="P1958" s="59"/>
    </row>
    <row r="1959" spans="1:16">
      <c r="A1959" s="71">
        <f ca="1">IFERROR(__xludf.DUMMYFUNCTION("""COMPUTED_VALUE"""),44278.8283214004)</f>
        <v>44278.828321400397</v>
      </c>
      <c r="B1959" s="59" t="str">
        <f ca="1">IFERROR(__xludf.DUMMYFUNCTION("""COMPUTED_VALUE"""),"Kaushik chavda")</f>
        <v>Kaushik chavda</v>
      </c>
      <c r="C1959" s="72" t="str">
        <f ca="1">IFERROR(__xludf.DUMMYFUNCTION("""COMPUTED_VALUE"""),"18sdscv01004")</f>
        <v>18sdscv01004</v>
      </c>
      <c r="D1959" s="73">
        <f ca="1">IFERROR(__xludf.DUMMYFUNCTION("""COMPUTED_VALUE"""),44272)</f>
        <v>44272</v>
      </c>
      <c r="E1959" s="74">
        <f ca="1">IFERROR(__xludf.DUMMYFUNCTION("""COMPUTED_VALUE"""),3500)</f>
        <v>3500</v>
      </c>
      <c r="F1959" s="72">
        <f ca="1">IFERROR(__xludf.DUMMYFUNCTION("""COMPUTED_VALUE"""),25000)</f>
        <v>25000</v>
      </c>
      <c r="G1959" s="75"/>
      <c r="H1959" s="59" t="str">
        <f ca="1">IFERROR(__xludf.DUMMYFUNCTION("""COMPUTED_VALUE"""),"UPDATE")</f>
        <v>UPDATE</v>
      </c>
      <c r="I1959" s="76" t="str">
        <f ca="1">IFERROR(__xludf.DUMMYFUNCTION("""COMPUTED_VALUE"""),"https://drive.google.com/open?id=1GA5Wa-Z9eQED0aSKCnvl_eDAiG5kML7f")</f>
        <v>https://drive.google.com/open?id=1GA5Wa-Z9eQED0aSKCnvl_eDAiG5kML7f</v>
      </c>
      <c r="J1959" s="59"/>
      <c r="K1959" s="59"/>
      <c r="L1959" s="59"/>
      <c r="M1959" s="59"/>
      <c r="N1959" s="59"/>
      <c r="O1959" s="59"/>
      <c r="P1959" s="59"/>
    </row>
    <row r="1960" spans="1:16">
      <c r="A1960" s="71">
        <f ca="1">IFERROR(__xludf.DUMMYFUNCTION("""COMPUTED_VALUE"""),44278.8247003472)</f>
        <v>44278.824700347199</v>
      </c>
      <c r="B1960" s="59" t="str">
        <f ca="1">IFERROR(__xludf.DUMMYFUNCTION("""COMPUTED_VALUE"""),"Hirpara Meet")</f>
        <v>Hirpara Meet</v>
      </c>
      <c r="C1960" s="72" t="str">
        <f ca="1">IFERROR(__xludf.DUMMYFUNCTION("""COMPUTED_VALUE"""),"18sdscv01008")</f>
        <v>18sdscv01008</v>
      </c>
      <c r="D1960" s="73">
        <f ca="1">IFERROR(__xludf.DUMMYFUNCTION("""COMPUTED_VALUE"""),44273)</f>
        <v>44273</v>
      </c>
      <c r="E1960" s="74">
        <f ca="1">IFERROR(__xludf.DUMMYFUNCTION("""COMPUTED_VALUE"""),25000)</f>
        <v>25000</v>
      </c>
      <c r="F1960" s="72">
        <f ca="1">IFERROR(__xludf.DUMMYFUNCTION("""COMPUTED_VALUE"""),3500)</f>
        <v>3500</v>
      </c>
      <c r="G1960" s="75"/>
      <c r="H1960" s="59" t="str">
        <f ca="1">IFERROR(__xludf.DUMMYFUNCTION("""COMPUTED_VALUE"""),"UPDATE")</f>
        <v>UPDATE</v>
      </c>
      <c r="I1960" s="76" t="str">
        <f ca="1">IFERROR(__xludf.DUMMYFUNCTION("""COMPUTED_VALUE"""),"https://drive.google.com/open?id=1MPRhszi6akEw0BCHyNrf7s0KkRqgCvvG")</f>
        <v>https://drive.google.com/open?id=1MPRhszi6akEw0BCHyNrf7s0KkRqgCvvG</v>
      </c>
      <c r="J1960" s="59"/>
      <c r="K1960" s="59"/>
      <c r="L1960" s="59"/>
      <c r="M1960" s="59"/>
      <c r="N1960" s="59"/>
      <c r="O1960" s="59"/>
      <c r="P1960" s="59"/>
    </row>
    <row r="1961" spans="1:16">
      <c r="A1961" s="71">
        <f ca="1">IFERROR(__xludf.DUMMYFUNCTION("""COMPUTED_VALUE"""),44277.4767813541)</f>
        <v>44277.476781354097</v>
      </c>
      <c r="B1961" s="59" t="str">
        <f ca="1">IFERROR(__xludf.DUMMYFUNCTION("""COMPUTED_VALUE"""),"Trivedi Hemang Ketanbhai")</f>
        <v>Trivedi Hemang Ketanbhai</v>
      </c>
      <c r="C1961" s="72" t="str">
        <f ca="1">IFERROR(__xludf.DUMMYFUNCTION("""COMPUTED_VALUE"""),"18SDSCE01067")</f>
        <v>18SDSCE01067</v>
      </c>
      <c r="D1961" s="73">
        <f ca="1">IFERROR(__xludf.DUMMYFUNCTION("""COMPUTED_VALUE"""),44230)</f>
        <v>44230</v>
      </c>
      <c r="E1961" s="72"/>
      <c r="F1961" s="72">
        <f ca="1">IFERROR(__xludf.DUMMYFUNCTION("""COMPUTED_VALUE"""),3500)</f>
        <v>3500</v>
      </c>
      <c r="G1961" s="75"/>
      <c r="H1961" s="59" t="str">
        <f ca="1">IFERROR(__xludf.DUMMYFUNCTION("""COMPUTED_VALUE"""),"UPDATE")</f>
        <v>UPDATE</v>
      </c>
      <c r="I1961" s="76" t="str">
        <f ca="1">IFERROR(__xludf.DUMMYFUNCTION("""COMPUTED_VALUE"""),"https://drive.google.com/open?id=1p47mSdcNGxvhVunOAz117I9xhGdQ6oIH")</f>
        <v>https://drive.google.com/open?id=1p47mSdcNGxvhVunOAz117I9xhGdQ6oIH</v>
      </c>
      <c r="J1961" s="59"/>
      <c r="K1961" s="59"/>
      <c r="L1961" s="59"/>
      <c r="M1961" s="59"/>
      <c r="N1961" s="59"/>
      <c r="O1961" s="59"/>
      <c r="P1961" s="59"/>
    </row>
    <row r="1962" spans="1:16">
      <c r="A1962" s="71">
        <f ca="1">IFERROR(__xludf.DUMMYFUNCTION("""COMPUTED_VALUE"""),44277.4766093402)</f>
        <v>44277.4766093402</v>
      </c>
      <c r="B1962" s="59" t="str">
        <f ca="1">IFERROR(__xludf.DUMMYFUNCTION("""COMPUTED_VALUE"""),"Trivedi Hemang Ketanbhai")</f>
        <v>Trivedi Hemang Ketanbhai</v>
      </c>
      <c r="C1962" s="72" t="str">
        <f ca="1">IFERROR(__xludf.DUMMYFUNCTION("""COMPUTED_VALUE"""),"18SDSCE01067")</f>
        <v>18SDSCE01067</v>
      </c>
      <c r="D1962" s="73">
        <f ca="1">IFERROR(__xludf.DUMMYFUNCTION("""COMPUTED_VALUE"""),44230)</f>
        <v>44230</v>
      </c>
      <c r="E1962" s="72"/>
      <c r="F1962" s="72">
        <f ca="1">IFERROR(__xludf.DUMMYFUNCTION("""COMPUTED_VALUE"""),3500)</f>
        <v>3500</v>
      </c>
      <c r="G1962" s="75"/>
      <c r="H1962" s="59" t="str">
        <f ca="1">IFERROR(__xludf.DUMMYFUNCTION("""COMPUTED_VALUE"""),"UPDATE")</f>
        <v>UPDATE</v>
      </c>
      <c r="I1962" s="76" t="str">
        <f ca="1">IFERROR(__xludf.DUMMYFUNCTION("""COMPUTED_VALUE"""),"https://drive.google.com/open?id=1sCNSiQgbrxcePLST2hNpzwfG1jpcdLZu")</f>
        <v>https://drive.google.com/open?id=1sCNSiQgbrxcePLST2hNpzwfG1jpcdLZu</v>
      </c>
      <c r="J1962" s="59"/>
      <c r="K1962" s="59"/>
      <c r="L1962" s="59"/>
      <c r="M1962" s="59"/>
      <c r="N1962" s="59"/>
      <c r="O1962" s="59"/>
      <c r="P1962" s="59"/>
    </row>
    <row r="1963" spans="1:16">
      <c r="A1963" s="71">
        <f ca="1">IFERROR(__xludf.DUMMYFUNCTION("""COMPUTED_VALUE"""),44275.3778731134)</f>
        <v>44275.377873113401</v>
      </c>
      <c r="B1963" s="59" t="str">
        <f ca="1">IFERROR(__xludf.DUMMYFUNCTION("""COMPUTED_VALUE"""),"Riya Rajeshkumar Dave")</f>
        <v>Riya Rajeshkumar Dave</v>
      </c>
      <c r="C1963" s="72" t="str">
        <f ca="1">IFERROR(__xludf.DUMMYFUNCTION("""COMPUTED_VALUE"""),"18SDSCE01011")</f>
        <v>18SDSCE01011</v>
      </c>
      <c r="D1963" s="73">
        <f ca="1">IFERROR(__xludf.DUMMYFUNCTION("""COMPUTED_VALUE"""),44258)</f>
        <v>44258</v>
      </c>
      <c r="E1963" s="72"/>
      <c r="F1963" s="72">
        <f ca="1">IFERROR(__xludf.DUMMYFUNCTION("""COMPUTED_VALUE"""),2500)</f>
        <v>2500</v>
      </c>
      <c r="G1963" s="75"/>
      <c r="H1963" s="59" t="str">
        <f ca="1">IFERROR(__xludf.DUMMYFUNCTION("""COMPUTED_VALUE"""),"UPDATE")</f>
        <v>UPDATE</v>
      </c>
      <c r="I1963" s="76" t="str">
        <f ca="1">IFERROR(__xludf.DUMMYFUNCTION("""COMPUTED_VALUE"""),"https://drive.google.com/open?id=1qlBQsqA5p51Cijn51DJ2L1CIzJf0tyuM")</f>
        <v>https://drive.google.com/open?id=1qlBQsqA5p51Cijn51DJ2L1CIzJf0tyuM</v>
      </c>
      <c r="J1963" s="59"/>
      <c r="K1963" s="59"/>
      <c r="L1963" s="59"/>
      <c r="M1963" s="59"/>
      <c r="N1963" s="59"/>
      <c r="O1963" s="59"/>
      <c r="P1963" s="59"/>
    </row>
    <row r="1964" spans="1:16">
      <c r="A1964" s="71">
        <f ca="1">IFERROR(__xludf.DUMMYFUNCTION("""COMPUTED_VALUE"""),44275.3771426967)</f>
        <v>44275.3771426967</v>
      </c>
      <c r="B1964" s="59" t="str">
        <f ca="1">IFERROR(__xludf.DUMMYFUNCTION("""COMPUTED_VALUE"""),"Riya Rajeshkumar Dave")</f>
        <v>Riya Rajeshkumar Dave</v>
      </c>
      <c r="C1964" s="72" t="str">
        <f ca="1">IFERROR(__xludf.DUMMYFUNCTION("""COMPUTED_VALUE"""),"18SDSCE01011")</f>
        <v>18SDSCE01011</v>
      </c>
      <c r="D1964" s="73">
        <f ca="1">IFERROR(__xludf.DUMMYFUNCTION("""COMPUTED_VALUE"""),44237)</f>
        <v>44237</v>
      </c>
      <c r="E1964" s="74">
        <f ca="1">IFERROR(__xludf.DUMMYFUNCTION("""COMPUTED_VALUE"""),8500)</f>
        <v>8500</v>
      </c>
      <c r="F1964" s="72"/>
      <c r="G1964" s="75"/>
      <c r="H1964" s="59" t="str">
        <f ca="1">IFERROR(__xludf.DUMMYFUNCTION("""COMPUTED_VALUE"""),"UPDATE")</f>
        <v>UPDATE</v>
      </c>
      <c r="I1964" s="76" t="str">
        <f ca="1">IFERROR(__xludf.DUMMYFUNCTION("""COMPUTED_VALUE"""),"https://drive.google.com/open?id=1lY9EryccAAW28hGD5ieGkCfrV0ufsZbX")</f>
        <v>https://drive.google.com/open?id=1lY9EryccAAW28hGD5ieGkCfrV0ufsZbX</v>
      </c>
      <c r="J1964" s="59"/>
      <c r="K1964" s="59"/>
      <c r="L1964" s="59"/>
      <c r="M1964" s="59"/>
      <c r="N1964" s="59"/>
      <c r="O1964" s="59"/>
      <c r="P1964" s="59"/>
    </row>
    <row r="1965" spans="1:16">
      <c r="A1965" s="71">
        <f ca="1">IFERROR(__xludf.DUMMYFUNCTION("""COMPUTED_VALUE"""),44275.363116412)</f>
        <v>44275.363116412002</v>
      </c>
      <c r="B1965" s="59" t="str">
        <f ca="1">IFERROR(__xludf.DUMMYFUNCTION("""COMPUTED_VALUE"""),"Meet Rajeshbhai Dave")</f>
        <v>Meet Rajeshbhai Dave</v>
      </c>
      <c r="C1965" s="72" t="str">
        <f ca="1">IFERROR(__xludf.DUMMYFUNCTION("""COMPUTED_VALUE"""),"19SDSCE01010")</f>
        <v>19SDSCE01010</v>
      </c>
      <c r="D1965" s="73">
        <f ca="1">IFERROR(__xludf.DUMMYFUNCTION("""COMPUTED_VALUE"""),44258)</f>
        <v>44258</v>
      </c>
      <c r="E1965" s="72"/>
      <c r="F1965" s="72">
        <f ca="1">IFERROR(__xludf.DUMMYFUNCTION("""COMPUTED_VALUE"""),2500)</f>
        <v>2500</v>
      </c>
      <c r="G1965" s="75"/>
      <c r="H1965" s="59" t="str">
        <f ca="1">IFERROR(__xludf.DUMMYFUNCTION("""COMPUTED_VALUE"""),"UPDATE")</f>
        <v>UPDATE</v>
      </c>
      <c r="I1965" s="76" t="str">
        <f ca="1">IFERROR(__xludf.DUMMYFUNCTION("""COMPUTED_VALUE"""),"https://drive.google.com/open?id=1j36U4cccI_0cIjjV1xcyqn-CnFEUdrLE")</f>
        <v>https://drive.google.com/open?id=1j36U4cccI_0cIjjV1xcyqn-CnFEUdrLE</v>
      </c>
      <c r="J1965" s="59"/>
      <c r="K1965" s="59"/>
      <c r="L1965" s="59"/>
      <c r="M1965" s="59"/>
      <c r="N1965" s="59"/>
      <c r="O1965" s="59"/>
      <c r="P1965" s="59"/>
    </row>
    <row r="1966" spans="1:16">
      <c r="A1966" s="71">
        <f ca="1">IFERROR(__xludf.DUMMYFUNCTION("""COMPUTED_VALUE"""),44271.6105489351)</f>
        <v>44271.610548935103</v>
      </c>
      <c r="B1966" s="59" t="str">
        <f ca="1">IFERROR(__xludf.DUMMYFUNCTION("""COMPUTED_VALUE"""),"Jetani vimaben kiritbhai")</f>
        <v>Jetani vimaben kiritbhai</v>
      </c>
      <c r="C1966" s="72" t="str">
        <f ca="1">IFERROR(__xludf.DUMMYFUNCTION("""COMPUTED_VALUE"""),"20SDSCE01046")</f>
        <v>20SDSCE01046</v>
      </c>
      <c r="D1966" s="73">
        <f ca="1">IFERROR(__xludf.DUMMYFUNCTION("""COMPUTED_VALUE"""),44258)</f>
        <v>44258</v>
      </c>
      <c r="E1966" s="72"/>
      <c r="F1966" s="72"/>
      <c r="G1966" s="75"/>
      <c r="H1966" s="59" t="str">
        <f ca="1">IFERROR(__xludf.DUMMYFUNCTION("""COMPUTED_VALUE"""),"UPDATE")</f>
        <v>UPDATE</v>
      </c>
      <c r="I1966" s="76" t="str">
        <f ca="1">IFERROR(__xludf.DUMMYFUNCTION("""COMPUTED_VALUE"""),"https://drive.google.com/open?id=1vvh9CiZZE7FxBeZabp_mEg_5rVXH3Q-e")</f>
        <v>https://drive.google.com/open?id=1vvh9CiZZE7FxBeZabp_mEg_5rVXH3Q-e</v>
      </c>
      <c r="J1966" s="59"/>
      <c r="K1966" s="59"/>
      <c r="L1966" s="59"/>
      <c r="M1966" s="59"/>
      <c r="N1966" s="59"/>
      <c r="O1966" s="59"/>
      <c r="P1966" s="59"/>
    </row>
    <row r="1967" spans="1:16">
      <c r="A1967" s="71">
        <f ca="1">IFERROR(__xludf.DUMMYFUNCTION("""COMPUTED_VALUE"""),44271.5370018865)</f>
        <v>44271.5370018865</v>
      </c>
      <c r="B1967" s="59" t="str">
        <f ca="1">IFERROR(__xludf.DUMMYFUNCTION("""COMPUTED_VALUE"""),"Dhoriya chandrika somabhai")</f>
        <v>Dhoriya chandrika somabhai</v>
      </c>
      <c r="C1967" s="72" t="str">
        <f ca="1">IFERROR(__xludf.DUMMYFUNCTION("""COMPUTED_VALUE"""),"19SDSCE01011")</f>
        <v>19SDSCE01011</v>
      </c>
      <c r="D1967" s="73">
        <f ca="1">IFERROR(__xludf.DUMMYFUNCTION("""COMPUTED_VALUE"""),44261)</f>
        <v>44261</v>
      </c>
      <c r="E1967" s="74">
        <f ca="1">IFERROR(__xludf.DUMMYFUNCTION("""COMPUTED_VALUE"""),25000)</f>
        <v>25000</v>
      </c>
      <c r="F1967" s="72"/>
      <c r="G1967" s="75"/>
      <c r="H1967" s="59" t="str">
        <f ca="1">IFERROR(__xludf.DUMMYFUNCTION("""COMPUTED_VALUE"""),"UPDATE")</f>
        <v>UPDATE</v>
      </c>
      <c r="I1967" s="76" t="str">
        <f ca="1">IFERROR(__xludf.DUMMYFUNCTION("""COMPUTED_VALUE"""),"https://drive.google.com/open?id=1EK0av8bOb1qw22LovrFEdmqF-JIin-Rf")</f>
        <v>https://drive.google.com/open?id=1EK0av8bOb1qw22LovrFEdmqF-JIin-Rf</v>
      </c>
      <c r="J1967" s="59"/>
      <c r="K1967" s="59"/>
      <c r="L1967" s="59"/>
      <c r="M1967" s="59"/>
      <c r="N1967" s="59"/>
      <c r="O1967" s="59"/>
      <c r="P1967" s="59"/>
    </row>
    <row r="1968" spans="1:16">
      <c r="A1968" s="71">
        <f ca="1">IFERROR(__xludf.DUMMYFUNCTION("""COMPUTED_VALUE"""),44270.7000064583)</f>
        <v>44270.700006458297</v>
      </c>
      <c r="B1968" s="59" t="str">
        <f ca="1">IFERROR(__xludf.DUMMYFUNCTION("""COMPUTED_VALUE"""),"Matang Sanjay Rama bhai")</f>
        <v>Matang Sanjay Rama bhai</v>
      </c>
      <c r="C1968" s="72" t="str">
        <f ca="1">IFERROR(__xludf.DUMMYFUNCTION("""COMPUTED_VALUE"""),"20SDSEE01015")</f>
        <v>20SDSEE01015</v>
      </c>
      <c r="D1968" s="73">
        <f ca="1">IFERROR(__xludf.DUMMYFUNCTION("""COMPUTED_VALUE"""),44254)</f>
        <v>44254</v>
      </c>
      <c r="E1968" s="72"/>
      <c r="F1968" s="72"/>
      <c r="G1968" s="75"/>
      <c r="H1968" s="59" t="str">
        <f ca="1">IFERROR(__xludf.DUMMYFUNCTION("""COMPUTED_VALUE"""),"UPDATE")</f>
        <v>UPDATE</v>
      </c>
      <c r="I1968" s="76" t="str">
        <f ca="1">IFERROR(__xludf.DUMMYFUNCTION("""COMPUTED_VALUE"""),"https://drive.google.com/open?id=1864csch6YSn1_48Dd-Dby7jSLqilo9ac")</f>
        <v>https://drive.google.com/open?id=1864csch6YSn1_48Dd-Dby7jSLqilo9ac</v>
      </c>
      <c r="J1968" s="59"/>
      <c r="K1968" s="59"/>
      <c r="L1968" s="59"/>
      <c r="M1968" s="59"/>
      <c r="N1968" s="59"/>
      <c r="O1968" s="59"/>
      <c r="P1968" s="59"/>
    </row>
    <row r="1969" spans="1:16">
      <c r="A1969" s="71">
        <f ca="1">IFERROR(__xludf.DUMMYFUNCTION("""COMPUTED_VALUE"""),44267.6960434606)</f>
        <v>44267.696043460601</v>
      </c>
      <c r="B1969" s="59" t="str">
        <f ca="1">IFERROR(__xludf.DUMMYFUNCTION("""COMPUTED_VALUE"""),"Asodariya archit suresh")</f>
        <v>Asodariya archit suresh</v>
      </c>
      <c r="C1969" s="72" t="str">
        <f ca="1">IFERROR(__xludf.DUMMYFUNCTION("""COMPUTED_VALUE"""),"20SDSME01002")</f>
        <v>20SDSME01002</v>
      </c>
      <c r="D1969" s="73">
        <f ca="1">IFERROR(__xludf.DUMMYFUNCTION("""COMPUTED_VALUE"""),44267)</f>
        <v>44267</v>
      </c>
      <c r="E1969" s="74">
        <f ca="1">IFERROR(__xludf.DUMMYFUNCTION("""COMPUTED_VALUE"""),0)</f>
        <v>0</v>
      </c>
      <c r="F1969" s="72">
        <f ca="1">IFERROR(__xludf.DUMMYFUNCTION("""COMPUTED_VALUE"""),0)</f>
        <v>0</v>
      </c>
      <c r="G1969" s="75"/>
      <c r="H1969" s="59" t="str">
        <f ca="1">IFERROR(__xludf.DUMMYFUNCTION("""COMPUTED_VALUE"""),"UPDATE")</f>
        <v>UPDATE</v>
      </c>
      <c r="I1969" s="76" t="str">
        <f ca="1">IFERROR(__xludf.DUMMYFUNCTION("""COMPUTED_VALUE"""),"https://drive.google.com/open?id=19XtQNrVI5c7UNEsotIocD2Yd7NyQdFb4")</f>
        <v>https://drive.google.com/open?id=19XtQNrVI5c7UNEsotIocD2Yd7NyQdFb4</v>
      </c>
      <c r="J1969" s="59"/>
      <c r="K1969" s="59"/>
      <c r="L1969" s="59"/>
      <c r="M1969" s="59"/>
      <c r="N1969" s="59"/>
      <c r="O1969" s="59"/>
      <c r="P1969" s="59"/>
    </row>
    <row r="1970" spans="1:16">
      <c r="A1970" s="71">
        <f ca="1">IFERROR(__xludf.DUMMYFUNCTION("""COMPUTED_VALUE"""),44267.6407848611)</f>
        <v>44267.640784861098</v>
      </c>
      <c r="B1970" s="59" t="str">
        <f ca="1">IFERROR(__xludf.DUMMYFUNCTION("""COMPUTED_VALUE"""),"Virani jaydeep sureshbhai")</f>
        <v>Virani jaydeep sureshbhai</v>
      </c>
      <c r="C1970" s="72" t="str">
        <f ca="1">IFERROR(__xludf.DUMMYFUNCTION("""COMPUTED_VALUE"""),"20SDSCE01140")</f>
        <v>20SDSCE01140</v>
      </c>
      <c r="D1970" s="73">
        <f ca="1">IFERROR(__xludf.DUMMYFUNCTION("""COMPUTED_VALUE"""),44267)</f>
        <v>44267</v>
      </c>
      <c r="E1970" s="74">
        <f ca="1">IFERROR(__xludf.DUMMYFUNCTION("""COMPUTED_VALUE"""),12500)</f>
        <v>12500</v>
      </c>
      <c r="F1970" s="72"/>
      <c r="G1970" s="75"/>
      <c r="H1970" s="59" t="str">
        <f ca="1">IFERROR(__xludf.DUMMYFUNCTION("""COMPUTED_VALUE"""),"UPDATE")</f>
        <v>UPDATE</v>
      </c>
      <c r="I1970" s="76" t="str">
        <f ca="1">IFERROR(__xludf.DUMMYFUNCTION("""COMPUTED_VALUE"""),"https://drive.google.com/open?id=15ktUIt8NNORh_j3VhdUzA1TgDRhZZuYe")</f>
        <v>https://drive.google.com/open?id=15ktUIt8NNORh_j3VhdUzA1TgDRhZZuYe</v>
      </c>
      <c r="J1970" s="59"/>
      <c r="K1970" s="59"/>
      <c r="L1970" s="59"/>
      <c r="M1970" s="59"/>
      <c r="N1970" s="59"/>
      <c r="O1970" s="59"/>
      <c r="P1970" s="59"/>
    </row>
    <row r="1971" spans="1:16">
      <c r="A1971" s="71">
        <f ca="1">IFERROR(__xludf.DUMMYFUNCTION("""COMPUTED_VALUE"""),44265.6068375578)</f>
        <v>44265.606837557803</v>
      </c>
      <c r="B1971" s="59" t="str">
        <f ca="1">IFERROR(__xludf.DUMMYFUNCTION("""COMPUTED_VALUE"""),"Mansi nakrani")</f>
        <v>Mansi nakrani</v>
      </c>
      <c r="C1971" s="72" t="str">
        <f ca="1">IFERROR(__xludf.DUMMYFUNCTION("""COMPUTED_VALUE"""),"20sdsce01067")</f>
        <v>20sdsce01067</v>
      </c>
      <c r="D1971" s="73">
        <f ca="1">IFERROR(__xludf.DUMMYFUNCTION("""COMPUTED_VALUE"""),44229)</f>
        <v>44229</v>
      </c>
      <c r="E1971" s="74">
        <f ca="1">IFERROR(__xludf.DUMMYFUNCTION("""COMPUTED_VALUE"""),12500)</f>
        <v>12500</v>
      </c>
      <c r="F1971" s="72">
        <f ca="1">IFERROR(__xludf.DUMMYFUNCTION("""COMPUTED_VALUE"""),2500)</f>
        <v>2500</v>
      </c>
      <c r="G1971" s="75"/>
      <c r="H1971" s="59" t="str">
        <f ca="1">IFERROR(__xludf.DUMMYFUNCTION("""COMPUTED_VALUE"""),"UPDATE")</f>
        <v>UPDATE</v>
      </c>
      <c r="I1971" s="59" t="str">
        <f ca="1">IFERROR(__xludf.DUMMYFUNCTION("""COMPUTED_VALUE"""),"https://drive.google.com/open?id=1fkNrlnhV1QGiQ2Z_clksahnG34ZnGIH_, https://drive.google.com/open?id=192Mr6VNww2vcyKJKOHadFTBl-wNwkQxi")</f>
        <v>https://drive.google.com/open?id=1fkNrlnhV1QGiQ2Z_clksahnG34ZnGIH_, https://drive.google.com/open?id=192Mr6VNww2vcyKJKOHadFTBl-wNwkQxi</v>
      </c>
      <c r="J1971" s="59"/>
      <c r="K1971" s="59"/>
      <c r="L1971" s="59"/>
      <c r="M1971" s="59"/>
      <c r="N1971" s="59"/>
      <c r="O1971" s="59"/>
      <c r="P1971" s="59"/>
    </row>
    <row r="1972" spans="1:16">
      <c r="A1972" s="71">
        <f ca="1">IFERROR(__xludf.DUMMYFUNCTION("""COMPUTED_VALUE"""),44265.5158940972)</f>
        <v>44265.515894097203</v>
      </c>
      <c r="B1972" s="59" t="str">
        <f ca="1">IFERROR(__xludf.DUMMYFUNCTION("""COMPUTED_VALUE"""),"Mansi Nakrani")</f>
        <v>Mansi Nakrani</v>
      </c>
      <c r="C1972" s="72" t="str">
        <f ca="1">IFERROR(__xludf.DUMMYFUNCTION("""COMPUTED_VALUE"""),"20sdsce01067")</f>
        <v>20sdsce01067</v>
      </c>
      <c r="D1972" s="73">
        <f ca="1">IFERROR(__xludf.DUMMYFUNCTION("""COMPUTED_VALUE"""),44230)</f>
        <v>44230</v>
      </c>
      <c r="E1972" s="74">
        <f ca="1">IFERROR(__xludf.DUMMYFUNCTION("""COMPUTED_VALUE"""),12500)</f>
        <v>12500</v>
      </c>
      <c r="F1972" s="72">
        <f ca="1">IFERROR(__xludf.DUMMYFUNCTION("""COMPUTED_VALUE"""),2500)</f>
        <v>2500</v>
      </c>
      <c r="G1972" s="75"/>
      <c r="H1972" s="59" t="str">
        <f ca="1">IFERROR(__xludf.DUMMYFUNCTION("""COMPUTED_VALUE"""),"UPDATE")</f>
        <v>UPDATE</v>
      </c>
      <c r="I1972" s="59" t="str">
        <f ca="1">IFERROR(__xludf.DUMMYFUNCTION("""COMPUTED_VALUE"""),"https://drive.google.com/open?id=19_5L2wOK0hMGCoZVloSaVTGpO3tu8MBv https://drive.google.com/open?id=1a7EOnINCvFNmJAUwLvIrj4ujaaLxgt-l ")</f>
        <v xml:space="preserve">https://drive.google.com/open?id=19_5L2wOK0hMGCoZVloSaVTGpO3tu8MBv https://drive.google.com/open?id=1a7EOnINCvFNmJAUwLvIrj4ujaaLxgt-l </v>
      </c>
      <c r="J1972" s="59"/>
      <c r="K1972" s="59"/>
      <c r="L1972" s="59"/>
      <c r="M1972" s="59"/>
      <c r="N1972" s="59"/>
      <c r="O1972" s="59"/>
      <c r="P1972" s="59"/>
    </row>
    <row r="1973" spans="1:16">
      <c r="A1973" s="71">
        <f ca="1">IFERROR(__xludf.DUMMYFUNCTION("""COMPUTED_VALUE"""),44265.4568302314)</f>
        <v>44265.4568302314</v>
      </c>
      <c r="B1973" s="59" t="str">
        <f ca="1">IFERROR(__xludf.DUMMYFUNCTION("""COMPUTED_VALUE"""),"Varshal Vekariya")</f>
        <v>Varshal Vekariya</v>
      </c>
      <c r="C1973" s="72" t="str">
        <f ca="1">IFERROR(__xludf.DUMMYFUNCTION("""COMPUTED_VALUE"""),"18sdscv01022")</f>
        <v>18sdscv01022</v>
      </c>
      <c r="D1973" s="73">
        <f ca="1">IFERROR(__xludf.DUMMYFUNCTION("""COMPUTED_VALUE"""),44233)</f>
        <v>44233</v>
      </c>
      <c r="E1973" s="74">
        <f ca="1">IFERROR(__xludf.DUMMYFUNCTION("""COMPUTED_VALUE"""),25000)</f>
        <v>25000</v>
      </c>
      <c r="F1973" s="72">
        <f ca="1">IFERROR(__xludf.DUMMYFUNCTION("""COMPUTED_VALUE"""),3500)</f>
        <v>3500</v>
      </c>
      <c r="G1973" s="75"/>
      <c r="H1973" s="59" t="str">
        <f ca="1">IFERROR(__xludf.DUMMYFUNCTION("""COMPUTED_VALUE"""),"UPDATE")</f>
        <v>UPDATE</v>
      </c>
      <c r="I1973" s="59" t="str">
        <f ca="1">IFERROR(__xludf.DUMMYFUNCTION("""COMPUTED_VALUE"""),"https://drive.google.com/open?id=1kmk8ob5Ri7rwVBK7WVnuuKKgZOc-azK8 https://drive.google.com/open?id=1ttmeyUKq1lir6Pvjdf53UKWWJ7ecL3Mv https://drive.google.com/open?id=1a6MNatYZnKQf9wDO3Hp8kjnKFcBZvNip ")</f>
        <v xml:space="preserve">https://drive.google.com/open?id=1kmk8ob5Ri7rwVBK7WVnuuKKgZOc-azK8 https://drive.google.com/open?id=1ttmeyUKq1lir6Pvjdf53UKWWJ7ecL3Mv https://drive.google.com/open?id=1a6MNatYZnKQf9wDO3Hp8kjnKFcBZvNip </v>
      </c>
      <c r="J1973" s="59"/>
      <c r="K1973" s="59"/>
      <c r="L1973" s="59"/>
      <c r="M1973" s="59"/>
      <c r="N1973" s="59"/>
      <c r="O1973" s="59"/>
      <c r="P1973" s="59"/>
    </row>
    <row r="1974" spans="1:16">
      <c r="A1974" s="71">
        <f ca="1">IFERROR(__xludf.DUMMYFUNCTION("""COMPUTED_VALUE"""),44265.4564020833)</f>
        <v>44265.456402083299</v>
      </c>
      <c r="B1974" s="59" t="str">
        <f ca="1">IFERROR(__xludf.DUMMYFUNCTION("""COMPUTED_VALUE"""),"THORIYA SHAKTI DINESHBHAI ")</f>
        <v xml:space="preserve">THORIYA SHAKTI DINESHBHAI </v>
      </c>
      <c r="C1974" s="72" t="str">
        <f ca="1">IFERROR(__xludf.DUMMYFUNCTION("""COMPUTED_VALUE"""),"18SDSCV01021")</f>
        <v>18SDSCV01021</v>
      </c>
      <c r="D1974" s="73">
        <f ca="1">IFERROR(__xludf.DUMMYFUNCTION("""COMPUTED_VALUE"""),44187)</f>
        <v>44187</v>
      </c>
      <c r="E1974" s="72"/>
      <c r="F1974" s="72">
        <f ca="1">IFERROR(__xludf.DUMMYFUNCTION("""COMPUTED_VALUE"""),2500)</f>
        <v>2500</v>
      </c>
      <c r="G1974" s="75"/>
      <c r="H1974" s="59" t="str">
        <f ca="1">IFERROR(__xludf.DUMMYFUNCTION("""COMPUTED_VALUE"""),"UPDATE")</f>
        <v>UPDATE</v>
      </c>
      <c r="I1974" s="76" t="str">
        <f ca="1">IFERROR(__xludf.DUMMYFUNCTION("""COMPUTED_VALUE"""),"https://drive.google.com/open?id=1EzY4pyqYPvgBQQdVP-SnuULoK7AqEnnb")</f>
        <v>https://drive.google.com/open?id=1EzY4pyqYPvgBQQdVP-SnuULoK7AqEnnb</v>
      </c>
      <c r="J1974" s="59"/>
      <c r="K1974" s="59"/>
      <c r="L1974" s="59"/>
      <c r="M1974" s="59"/>
      <c r="N1974" s="59"/>
      <c r="O1974" s="59"/>
      <c r="P1974" s="59"/>
    </row>
    <row r="1975" spans="1:16">
      <c r="A1975" s="71">
        <f ca="1">IFERROR(__xludf.DUMMYFUNCTION("""COMPUTED_VALUE"""),44263.7879284374)</f>
        <v>44263.787928437399</v>
      </c>
      <c r="B1975" s="59" t="str">
        <f ca="1">IFERROR(__xludf.DUMMYFUNCTION("""COMPUTED_VALUE"""),"Hadiyal harshil maheshbhai")</f>
        <v>Hadiyal harshil maheshbhai</v>
      </c>
      <c r="C1975" s="72" t="str">
        <f ca="1">IFERROR(__xludf.DUMMYFUNCTION("""COMPUTED_VALUE"""),"20SDSCE01041")</f>
        <v>20SDSCE01041</v>
      </c>
      <c r="D1975" s="73">
        <f ca="1">IFERROR(__xludf.DUMMYFUNCTION("""COMPUTED_VALUE"""),44263)</f>
        <v>44263</v>
      </c>
      <c r="E1975" s="74">
        <f ca="1">IFERROR(__xludf.DUMMYFUNCTION("""COMPUTED_VALUE"""),25000)</f>
        <v>25000</v>
      </c>
      <c r="F1975" s="72"/>
      <c r="G1975" s="75"/>
      <c r="H1975" s="59" t="str">
        <f ca="1">IFERROR(__xludf.DUMMYFUNCTION("""COMPUTED_VALUE"""),"UPDATE")</f>
        <v>UPDATE</v>
      </c>
      <c r="I1975" s="59" t="str">
        <f ca="1">IFERROR(__xludf.DUMMYFUNCTION("""COMPUTED_VALUE"""),"https://drive.google.com/open?id=1rS54EucP_Zx6kAoviUKZmlSeNnRo_6Tq https://drive.google.com/open?id=1pEEUFJV8cBPEISG_ulhOqsWGdoQnDjn3")</f>
        <v>https://drive.google.com/open?id=1rS54EucP_Zx6kAoviUKZmlSeNnRo_6Tq https://drive.google.com/open?id=1pEEUFJV8cBPEISG_ulhOqsWGdoQnDjn3</v>
      </c>
      <c r="J1975" s="59"/>
      <c r="K1975" s="59"/>
      <c r="L1975" s="59"/>
      <c r="M1975" s="59"/>
      <c r="N1975" s="59"/>
      <c r="O1975" s="59"/>
      <c r="P1975" s="59"/>
    </row>
    <row r="1976" spans="1:16">
      <c r="A1976" s="71">
        <f ca="1">IFERROR(__xludf.DUMMYFUNCTION("""COMPUTED_VALUE"""),44263.5183484143)</f>
        <v>44263.518348414298</v>
      </c>
      <c r="B1976" s="59" t="str">
        <f ca="1">IFERROR(__xludf.DUMMYFUNCTION("""COMPUTED_VALUE"""),"Yash Bhatti JITESHBHAI ")</f>
        <v xml:space="preserve">Yash Bhatti JITESHBHAI </v>
      </c>
      <c r="C1976" s="72" t="str">
        <f ca="1">IFERROR(__xludf.DUMMYFUNCTION("""COMPUTED_VALUE"""),"20SDSCE01009")</f>
        <v>20SDSCE01009</v>
      </c>
      <c r="D1976" s="73">
        <f ca="1">IFERROR(__xludf.DUMMYFUNCTION("""COMPUTED_VALUE"""),44258)</f>
        <v>44258</v>
      </c>
      <c r="E1976" s="74">
        <f ca="1">IFERROR(__xludf.DUMMYFUNCTION("""COMPUTED_VALUE"""),50000)</f>
        <v>50000</v>
      </c>
      <c r="F1976" s="72">
        <f ca="1">IFERROR(__xludf.DUMMYFUNCTION("""COMPUTED_VALUE"""),2500)</f>
        <v>2500</v>
      </c>
      <c r="G1976" s="75"/>
      <c r="H1976" s="59" t="str">
        <f ca="1">IFERROR(__xludf.DUMMYFUNCTION("""COMPUTED_VALUE"""),"UPDATE")</f>
        <v>UPDATE</v>
      </c>
      <c r="I1976" s="59" t="str">
        <f ca="1">IFERROR(__xludf.DUMMYFUNCTION("""COMPUTED_VALUE"""),"https://drive.google.com/open?id=1XKDbIBS8-L7RutyV9Am5zwaKHSwVxm39 https://drive.google.com/open?id=1cyB-y4TmcpSnGLWDCLn2NmUv2Gi0WwDy")</f>
        <v>https://drive.google.com/open?id=1XKDbIBS8-L7RutyV9Am5zwaKHSwVxm39 https://drive.google.com/open?id=1cyB-y4TmcpSnGLWDCLn2NmUv2Gi0WwDy</v>
      </c>
      <c r="J1976" s="59"/>
      <c r="K1976" s="59"/>
      <c r="L1976" s="59"/>
      <c r="M1976" s="59"/>
      <c r="N1976" s="59"/>
      <c r="O1976" s="59"/>
      <c r="P1976" s="59"/>
    </row>
    <row r="1977" spans="1:16">
      <c r="A1977" s="71">
        <f ca="1">IFERROR(__xludf.DUMMYFUNCTION("""COMPUTED_VALUE"""),44263.3103209722)</f>
        <v>44263.310320972203</v>
      </c>
      <c r="B1977" s="59" t="str">
        <f ca="1">IFERROR(__xludf.DUMMYFUNCTION("""COMPUTED_VALUE"""),"Rupapara shubh mukeshbhaie")</f>
        <v>Rupapara shubh mukeshbhaie</v>
      </c>
      <c r="C1977" s="72" t="str">
        <f ca="1">IFERROR(__xludf.DUMMYFUNCTION("""COMPUTED_VALUE"""),"20SDSCEO1103")</f>
        <v>20SDSCEO1103</v>
      </c>
      <c r="D1977" s="73">
        <f ca="1">IFERROR(__xludf.DUMMYFUNCTION("""COMPUTED_VALUE"""),44253)</f>
        <v>44253</v>
      </c>
      <c r="E1977" s="72"/>
      <c r="F1977" s="72">
        <f ca="1">IFERROR(__xludf.DUMMYFUNCTION("""COMPUTED_VALUE"""),2500)</f>
        <v>2500</v>
      </c>
      <c r="G1977" s="75"/>
      <c r="H1977" s="59" t="str">
        <f ca="1">IFERROR(__xludf.DUMMYFUNCTION("""COMPUTED_VALUE"""),"UPDATE")</f>
        <v>UPDATE</v>
      </c>
      <c r="I1977" s="76" t="str">
        <f ca="1">IFERROR(__xludf.DUMMYFUNCTION("""COMPUTED_VALUE"""),"https://drive.google.com/open?id=195n2R53qCbwTqR2v86sl57EbCQXGfiDt")</f>
        <v>https://drive.google.com/open?id=195n2R53qCbwTqR2v86sl57EbCQXGfiDt</v>
      </c>
      <c r="J1977" s="59"/>
      <c r="K1977" s="59"/>
      <c r="L1977" s="59"/>
      <c r="M1977" s="59"/>
      <c r="N1977" s="59"/>
      <c r="O1977" s="59"/>
      <c r="P1977" s="59"/>
    </row>
    <row r="1978" spans="1:16">
      <c r="A1978" s="71">
        <f ca="1">IFERROR(__xludf.DUMMYFUNCTION("""COMPUTED_VALUE"""),44261.9093150231)</f>
        <v>44261.909315023098</v>
      </c>
      <c r="B1978" s="59" t="str">
        <f ca="1">IFERROR(__xludf.DUMMYFUNCTION("""COMPUTED_VALUE"""),"Rupapara shubh mukeshbhaie")</f>
        <v>Rupapara shubh mukeshbhaie</v>
      </c>
      <c r="C1978" s="72" t="str">
        <f ca="1">IFERROR(__xludf.DUMMYFUNCTION("""COMPUTED_VALUE"""),"20SDSCE01103")</f>
        <v>20SDSCE01103</v>
      </c>
      <c r="D1978" s="73">
        <f ca="1">IFERROR(__xludf.DUMMYFUNCTION("""COMPUTED_VALUE"""),44253)</f>
        <v>44253</v>
      </c>
      <c r="E1978" s="74">
        <f ca="1">IFERROR(__xludf.DUMMYFUNCTION("""COMPUTED_VALUE"""),15000)</f>
        <v>15000</v>
      </c>
      <c r="F1978" s="72">
        <f ca="1">IFERROR(__xludf.DUMMYFUNCTION("""COMPUTED_VALUE"""),2500)</f>
        <v>2500</v>
      </c>
      <c r="G1978" s="75"/>
      <c r="H1978" s="59" t="str">
        <f ca="1">IFERROR(__xludf.DUMMYFUNCTION("""COMPUTED_VALUE"""),"UPDATE")</f>
        <v>UPDATE</v>
      </c>
      <c r="I1978" s="76" t="str">
        <f ca="1">IFERROR(__xludf.DUMMYFUNCTION("""COMPUTED_VALUE"""),"https://drive.google.com/open?id=1iRkDpKtLkbeQSoIj-i5Cvu8tDtHGhHBz")</f>
        <v>https://drive.google.com/open?id=1iRkDpKtLkbeQSoIj-i5Cvu8tDtHGhHBz</v>
      </c>
      <c r="J1978" s="59"/>
      <c r="K1978" s="59"/>
      <c r="L1978" s="59"/>
      <c r="M1978" s="59"/>
      <c r="N1978" s="59"/>
      <c r="O1978" s="59"/>
      <c r="P1978" s="59"/>
    </row>
    <row r="1979" spans="1:16">
      <c r="A1979" s="71">
        <f ca="1">IFERROR(__xludf.DUMMYFUNCTION("""COMPUTED_VALUE"""),44260.6823572453)</f>
        <v>44260.682357245299</v>
      </c>
      <c r="B1979" s="59" t="str">
        <f ca="1">IFERROR(__xludf.DUMMYFUNCTION("""COMPUTED_VALUE"""),"Adeshara Umang ")</f>
        <v xml:space="preserve">Adeshara Umang </v>
      </c>
      <c r="C1979" s="72" t="str">
        <f ca="1">IFERROR(__xludf.DUMMYFUNCTION("""COMPUTED_VALUE"""),"20SDSCE01001_Umang Adeshara")</f>
        <v>20SDSCE01001_Umang Adeshara</v>
      </c>
      <c r="D1979" s="73">
        <f ca="1">IFERROR(__xludf.DUMMYFUNCTION("""COMPUTED_VALUE"""),44258)</f>
        <v>44258</v>
      </c>
      <c r="E1979" s="74">
        <f ca="1">IFERROR(__xludf.DUMMYFUNCTION("""COMPUTED_VALUE"""),6250)</f>
        <v>6250</v>
      </c>
      <c r="F1979" s="72">
        <f ca="1">IFERROR(__xludf.DUMMYFUNCTION("""COMPUTED_VALUE"""),2500)</f>
        <v>2500</v>
      </c>
      <c r="G1979" s="75"/>
      <c r="H1979" s="59" t="str">
        <f ca="1">IFERROR(__xludf.DUMMYFUNCTION("""COMPUTED_VALUE"""),"UPDATE")</f>
        <v>UPDATE</v>
      </c>
      <c r="I1979" s="59" t="str">
        <f ca="1">IFERROR(__xludf.DUMMYFUNCTION("""COMPUTED_VALUE"""),"https://drive.google.com/open?id=1jHSAWrWkeYTZeSesS7YFSIyivOwhHsSz https://drive.google.com/open?id=1Zk7y4q1VUEw_rdIVgwJwJuuuOvDuKRuj")</f>
        <v>https://drive.google.com/open?id=1jHSAWrWkeYTZeSesS7YFSIyivOwhHsSz https://drive.google.com/open?id=1Zk7y4q1VUEw_rdIVgwJwJuuuOvDuKRuj</v>
      </c>
      <c r="J1979" s="59"/>
      <c r="K1979" s="59"/>
      <c r="L1979" s="59"/>
      <c r="M1979" s="59"/>
      <c r="N1979" s="59"/>
      <c r="O1979" s="59"/>
      <c r="P1979" s="59"/>
    </row>
    <row r="1980" spans="1:16">
      <c r="A1980" s="71">
        <f ca="1">IFERROR(__xludf.DUMMYFUNCTION("""COMPUTED_VALUE"""),44260.6823070717)</f>
        <v>44260.6823070717</v>
      </c>
      <c r="B1980" s="59" t="str">
        <f ca="1">IFERROR(__xludf.DUMMYFUNCTION("""COMPUTED_VALUE"""),"Adeshara Umang ")</f>
        <v xml:space="preserve">Adeshara Umang </v>
      </c>
      <c r="C1980" s="72" t="str">
        <f ca="1">IFERROR(__xludf.DUMMYFUNCTION("""COMPUTED_VALUE"""),"20SDSCE01001_Umang Adeshara")</f>
        <v>20SDSCE01001_Umang Adeshara</v>
      </c>
      <c r="D1980" s="73">
        <f ca="1">IFERROR(__xludf.DUMMYFUNCTION("""COMPUTED_VALUE"""),44258)</f>
        <v>44258</v>
      </c>
      <c r="E1980" s="74">
        <f ca="1">IFERROR(__xludf.DUMMYFUNCTION("""COMPUTED_VALUE"""),6250)</f>
        <v>6250</v>
      </c>
      <c r="F1980" s="72">
        <f ca="1">IFERROR(__xludf.DUMMYFUNCTION("""COMPUTED_VALUE"""),2500)</f>
        <v>2500</v>
      </c>
      <c r="G1980" s="75"/>
      <c r="H1980" s="59" t="str">
        <f ca="1">IFERROR(__xludf.DUMMYFUNCTION("""COMPUTED_VALUE"""),"UPDATE")</f>
        <v>UPDATE</v>
      </c>
      <c r="I1980" s="59" t="str">
        <f ca="1">IFERROR(__xludf.DUMMYFUNCTION("""COMPUTED_VALUE"""),"https://drive.google.com/open?id=1G4CldaUa7fK0QzHW0GhgdY3FZfBvps41 https://drive.google.com/open?id=1AMaUv5Px0q5LpgyXUNWrpmR6lMroqWuU")</f>
        <v>https://drive.google.com/open?id=1G4CldaUa7fK0QzHW0GhgdY3FZfBvps41 https://drive.google.com/open?id=1AMaUv5Px0q5LpgyXUNWrpmR6lMroqWuU</v>
      </c>
      <c r="J1980" s="59"/>
      <c r="K1980" s="59"/>
      <c r="L1980" s="59"/>
      <c r="M1980" s="59"/>
      <c r="N1980" s="59"/>
      <c r="O1980" s="59"/>
      <c r="P1980" s="59"/>
    </row>
    <row r="1981" spans="1:16">
      <c r="A1981" s="71">
        <f ca="1">IFERROR(__xludf.DUMMYFUNCTION("""COMPUTED_VALUE"""),44260.6188458449)</f>
        <v>44260.618845844903</v>
      </c>
      <c r="B1981" s="59" t="str">
        <f ca="1">IFERROR(__xludf.DUMMYFUNCTION("""COMPUTED_VALUE"""),"YAGNIK RUPAPARA MAGANBHAI")</f>
        <v>YAGNIK RUPAPARA MAGANBHAI</v>
      </c>
      <c r="C1981" s="72" t="str">
        <f ca="1">IFERROR(__xludf.DUMMYFUNCTION("""COMPUTED_VALUE"""),"20SDSCE01104")</f>
        <v>20SDSCE01104</v>
      </c>
      <c r="D1981" s="73">
        <f ca="1">IFERROR(__xludf.DUMMYFUNCTION("""COMPUTED_VALUE"""),44257)</f>
        <v>44257</v>
      </c>
      <c r="E1981" s="74">
        <f ca="1">IFERROR(__xludf.DUMMYFUNCTION("""COMPUTED_VALUE"""),0)</f>
        <v>0</v>
      </c>
      <c r="F1981" s="72">
        <f ca="1">IFERROR(__xludf.DUMMYFUNCTION("""COMPUTED_VALUE"""),2500)</f>
        <v>2500</v>
      </c>
      <c r="G1981" s="75"/>
      <c r="H1981" s="59" t="str">
        <f ca="1">IFERROR(__xludf.DUMMYFUNCTION("""COMPUTED_VALUE"""),"UPDATE")</f>
        <v>UPDATE</v>
      </c>
      <c r="I1981" s="76" t="str">
        <f ca="1">IFERROR(__xludf.DUMMYFUNCTION("""COMPUTED_VALUE"""),"https://drive.google.com/open?id=1DhWkaAiRYJHCHC4t0OK-0XVW0zVWPBot")</f>
        <v>https://drive.google.com/open?id=1DhWkaAiRYJHCHC4t0OK-0XVW0zVWPBot</v>
      </c>
      <c r="J1981" s="59"/>
      <c r="K1981" s="59"/>
      <c r="L1981" s="59"/>
      <c r="M1981" s="59"/>
      <c r="N1981" s="59"/>
      <c r="O1981" s="59"/>
      <c r="P1981" s="59"/>
    </row>
    <row r="1982" spans="1:16">
      <c r="A1982" s="71">
        <f ca="1">IFERROR(__xludf.DUMMYFUNCTION("""COMPUTED_VALUE"""),44260.5688546296)</f>
        <v>44260.568854629601</v>
      </c>
      <c r="B1982" s="59" t="str">
        <f ca="1">IFERROR(__xludf.DUMMYFUNCTION("""COMPUTED_VALUE"""),"Raj Mukeshbhai Ramani")</f>
        <v>Raj Mukeshbhai Ramani</v>
      </c>
      <c r="C1982" s="72" t="str">
        <f ca="1">IFERROR(__xludf.DUMMYFUNCTION("""COMPUTED_VALUE"""),"20sdsce01093")</f>
        <v>20sdsce01093</v>
      </c>
      <c r="D1982" s="73">
        <f ca="1">IFERROR(__xludf.DUMMYFUNCTION("""COMPUTED_VALUE"""),44214)</f>
        <v>44214</v>
      </c>
      <c r="E1982" s="74">
        <f ca="1">IFERROR(__xludf.DUMMYFUNCTION("""COMPUTED_VALUE"""),12600)</f>
        <v>12600</v>
      </c>
      <c r="F1982" s="72">
        <f ca="1">IFERROR(__xludf.DUMMYFUNCTION("""COMPUTED_VALUE"""),2500)</f>
        <v>2500</v>
      </c>
      <c r="G1982" s="75"/>
      <c r="H1982" s="59" t="str">
        <f ca="1">IFERROR(__xludf.DUMMYFUNCTION("""COMPUTED_VALUE"""),"UPDATE")</f>
        <v>UPDATE</v>
      </c>
      <c r="I1982" s="59" t="str">
        <f ca="1">IFERROR(__xludf.DUMMYFUNCTION("""COMPUTED_VALUE"""),"https://drive.google.com/open?id=1BgTZzS1QmNcWkT4ntRgGZZpGcyIDtWiv  https://drive.google.com/open?id=185dWGU2BQMJVgWTBC9RO4YMieYsKdRdz")</f>
        <v>https://drive.google.com/open?id=1BgTZzS1QmNcWkT4ntRgGZZpGcyIDtWiv  https://drive.google.com/open?id=185dWGU2BQMJVgWTBC9RO4YMieYsKdRdz</v>
      </c>
      <c r="J1982" s="59"/>
      <c r="K1982" s="59"/>
      <c r="L1982" s="59"/>
      <c r="M1982" s="59"/>
      <c r="N1982" s="59"/>
      <c r="O1982" s="59"/>
      <c r="P1982" s="59"/>
    </row>
    <row r="1983" spans="1:16">
      <c r="A1983" s="71">
        <f ca="1">IFERROR(__xludf.DUMMYFUNCTION("""COMPUTED_VALUE"""),44260.5679617824)</f>
        <v>44260.567961782399</v>
      </c>
      <c r="B1983" s="59" t="str">
        <f ca="1">IFERROR(__xludf.DUMMYFUNCTION("""COMPUTED_VALUE"""),"Parmar Kelvin Balubhai")</f>
        <v>Parmar Kelvin Balubhai</v>
      </c>
      <c r="C1983" s="72" t="str">
        <f ca="1">IFERROR(__xludf.DUMMYFUNCTION("""COMPUTED_VALUE"""),"20SDSCE01152")</f>
        <v>20SDSCE01152</v>
      </c>
      <c r="D1983" s="73">
        <f ca="1">IFERROR(__xludf.DUMMYFUNCTION("""COMPUTED_VALUE"""),44258)</f>
        <v>44258</v>
      </c>
      <c r="E1983" s="74">
        <f ca="1">IFERROR(__xludf.DUMMYFUNCTION("""COMPUTED_VALUE"""),0)</f>
        <v>0</v>
      </c>
      <c r="F1983" s="72">
        <f ca="1">IFERROR(__xludf.DUMMYFUNCTION("""COMPUTED_VALUE"""),2500)</f>
        <v>2500</v>
      </c>
      <c r="G1983" s="75"/>
      <c r="H1983" s="59" t="str">
        <f ca="1">IFERROR(__xludf.DUMMYFUNCTION("""COMPUTED_VALUE"""),"UPDATE")</f>
        <v>UPDATE</v>
      </c>
      <c r="I1983" s="76" t="str">
        <f ca="1">IFERROR(__xludf.DUMMYFUNCTION("""COMPUTED_VALUE"""),"https://drive.google.com/open?id=1_UpCFx7n9TkqoA2Mew2Yugc-fq1kAKsi")</f>
        <v>https://drive.google.com/open?id=1_UpCFx7n9TkqoA2Mew2Yugc-fq1kAKsi</v>
      </c>
      <c r="J1983" s="59"/>
      <c r="K1983" s="59"/>
      <c r="L1983" s="59"/>
      <c r="M1983" s="59"/>
      <c r="N1983" s="59"/>
      <c r="O1983" s="59"/>
      <c r="P1983" s="59"/>
    </row>
    <row r="1984" spans="1:16">
      <c r="A1984" s="71">
        <f ca="1">IFERROR(__xludf.DUMMYFUNCTION("""COMPUTED_VALUE"""),44259.6825478703)</f>
        <v>44259.682547870303</v>
      </c>
      <c r="B1984" s="59" t="str">
        <f ca="1">IFERROR(__xludf.DUMMYFUNCTION("""COMPUTED_VALUE"""),"Dhaduk Sarthak Sanjaybhai")</f>
        <v>Dhaduk Sarthak Sanjaybhai</v>
      </c>
      <c r="C1984" s="72" t="str">
        <f ca="1">IFERROR(__xludf.DUMMYFUNCTION("""COMPUTED_VALUE"""),"20SDSCE01027")</f>
        <v>20SDSCE01027</v>
      </c>
      <c r="D1984" s="73">
        <f ca="1">IFERROR(__xludf.DUMMYFUNCTION("""COMPUTED_VALUE"""),44259)</f>
        <v>44259</v>
      </c>
      <c r="E1984" s="74">
        <f ca="1">IFERROR(__xludf.DUMMYFUNCTION("""COMPUTED_VALUE"""),0)</f>
        <v>0</v>
      </c>
      <c r="F1984" s="72">
        <f ca="1">IFERROR(__xludf.DUMMYFUNCTION("""COMPUTED_VALUE"""),2500)</f>
        <v>2500</v>
      </c>
      <c r="G1984" s="75"/>
      <c r="H1984" s="59" t="str">
        <f ca="1">IFERROR(__xludf.DUMMYFUNCTION("""COMPUTED_VALUE"""),"UPDATE")</f>
        <v>UPDATE</v>
      </c>
      <c r="I1984" s="76" t="str">
        <f ca="1">IFERROR(__xludf.DUMMYFUNCTION("""COMPUTED_VALUE"""),"https://drive.google.com/open?id=1UuP96ETFrVe5Cwxp337HCd55j13N9TBZ")</f>
        <v>https://drive.google.com/open?id=1UuP96ETFrVe5Cwxp337HCd55j13N9TBZ</v>
      </c>
      <c r="J1984" s="59"/>
      <c r="K1984" s="59"/>
      <c r="L1984" s="59"/>
      <c r="M1984" s="59"/>
      <c r="N1984" s="59"/>
      <c r="O1984" s="59"/>
      <c r="P1984" s="59"/>
    </row>
    <row r="1985" spans="1:16">
      <c r="A1985" s="71">
        <f ca="1">IFERROR(__xludf.DUMMYFUNCTION("""COMPUTED_VALUE"""),44259.6823717361)</f>
        <v>44259.682371736097</v>
      </c>
      <c r="B1985" s="59" t="str">
        <f ca="1">IFERROR(__xludf.DUMMYFUNCTION("""COMPUTED_VALUE"""),"Dhaduk Sarthak Sanjaybhai")</f>
        <v>Dhaduk Sarthak Sanjaybhai</v>
      </c>
      <c r="C1985" s="72" t="str">
        <f ca="1">IFERROR(__xludf.DUMMYFUNCTION("""COMPUTED_VALUE"""),"20SDSCE01027")</f>
        <v>20SDSCE01027</v>
      </c>
      <c r="D1985" s="73">
        <f ca="1">IFERROR(__xludf.DUMMYFUNCTION("""COMPUTED_VALUE"""),44259)</f>
        <v>44259</v>
      </c>
      <c r="E1985" s="74">
        <f ca="1">IFERROR(__xludf.DUMMYFUNCTION("""COMPUTED_VALUE"""),0)</f>
        <v>0</v>
      </c>
      <c r="F1985" s="72">
        <f ca="1">IFERROR(__xludf.DUMMYFUNCTION("""COMPUTED_VALUE"""),2500)</f>
        <v>2500</v>
      </c>
      <c r="G1985" s="75"/>
      <c r="H1985" s="59" t="str">
        <f ca="1">IFERROR(__xludf.DUMMYFUNCTION("""COMPUTED_VALUE"""),"UPDATE")</f>
        <v>UPDATE</v>
      </c>
      <c r="I1985" s="76" t="str">
        <f ca="1">IFERROR(__xludf.DUMMYFUNCTION("""COMPUTED_VALUE"""),"https://drive.google.com/open?id=1lOlAeFHbqMjpUR_FReMzY19OMoc2MX25")</f>
        <v>https://drive.google.com/open?id=1lOlAeFHbqMjpUR_FReMzY19OMoc2MX25</v>
      </c>
      <c r="J1985" s="59"/>
      <c r="K1985" s="59"/>
      <c r="L1985" s="59"/>
      <c r="M1985" s="59"/>
      <c r="N1985" s="59"/>
      <c r="O1985" s="59"/>
      <c r="P1985" s="59"/>
    </row>
    <row r="1986" spans="1:16">
      <c r="A1986" s="71">
        <f ca="1">IFERROR(__xludf.DUMMYFUNCTION("""COMPUTED_VALUE"""),44259.6254296527)</f>
        <v>44259.625429652697</v>
      </c>
      <c r="B1986" s="59" t="str">
        <f ca="1">IFERROR(__xludf.DUMMYFUNCTION("""COMPUTED_VALUE"""),"Vadariya ishva nileshbhai")</f>
        <v>Vadariya ishva nileshbhai</v>
      </c>
      <c r="C1986" s="72" t="str">
        <f ca="1">IFERROR(__xludf.DUMMYFUNCTION("""COMPUTED_VALUE"""),"20SDSCE01124")</f>
        <v>20SDSCE01124</v>
      </c>
      <c r="D1986" s="73">
        <f ca="1">IFERROR(__xludf.DUMMYFUNCTION("""COMPUTED_VALUE"""),44258)</f>
        <v>44258</v>
      </c>
      <c r="E1986" s="72"/>
      <c r="F1986" s="72">
        <f ca="1">IFERROR(__xludf.DUMMYFUNCTION("""COMPUTED_VALUE"""),2500)</f>
        <v>2500</v>
      </c>
      <c r="G1986" s="75"/>
      <c r="H1986" s="59" t="str">
        <f ca="1">IFERROR(__xludf.DUMMYFUNCTION("""COMPUTED_VALUE"""),"UPDATE")</f>
        <v>UPDATE</v>
      </c>
      <c r="I1986" s="76" t="str">
        <f ca="1">IFERROR(__xludf.DUMMYFUNCTION("""COMPUTED_VALUE"""),"https://drive.google.com/open?id=1Fi7VmP4Qat2NcLr0pOL0csdkkDo2bjvy")</f>
        <v>https://drive.google.com/open?id=1Fi7VmP4Qat2NcLr0pOL0csdkkDo2bjvy</v>
      </c>
      <c r="J1986" s="59"/>
      <c r="K1986" s="59"/>
      <c r="L1986" s="59"/>
      <c r="M1986" s="59"/>
      <c r="N1986" s="59"/>
      <c r="O1986" s="59"/>
      <c r="P1986" s="59"/>
    </row>
    <row r="1987" spans="1:16">
      <c r="A1987" s="71">
        <f ca="1">IFERROR(__xludf.DUMMYFUNCTION("""COMPUTED_VALUE"""),44259.5745197453)</f>
        <v>44259.5745197453</v>
      </c>
      <c r="B1987" s="59" t="str">
        <f ca="1">IFERROR(__xludf.DUMMYFUNCTION("""COMPUTED_VALUE"""),"TILWANI DHAWAL")</f>
        <v>TILWANI DHAWAL</v>
      </c>
      <c r="C1987" s="72" t="str">
        <f ca="1">IFERROR(__xludf.DUMMYFUNCTION("""COMPUTED_VALUE"""),"20SDSME01038")</f>
        <v>20SDSME01038</v>
      </c>
      <c r="D1987" s="73">
        <f ca="1">IFERROR(__xludf.DUMMYFUNCTION("""COMPUTED_VALUE"""),44258)</f>
        <v>44258</v>
      </c>
      <c r="E1987" s="74">
        <f ca="1">IFERROR(__xludf.DUMMYFUNCTION("""COMPUTED_VALUE"""),0)</f>
        <v>0</v>
      </c>
      <c r="F1987" s="72">
        <f ca="1">IFERROR(__xludf.DUMMYFUNCTION("""COMPUTED_VALUE"""),2500)</f>
        <v>2500</v>
      </c>
      <c r="G1987" s="75"/>
      <c r="H1987" s="59" t="str">
        <f ca="1">IFERROR(__xludf.DUMMYFUNCTION("""COMPUTED_VALUE"""),"UPDATE")</f>
        <v>UPDATE</v>
      </c>
      <c r="I1987" s="76" t="str">
        <f ca="1">IFERROR(__xludf.DUMMYFUNCTION("""COMPUTED_VALUE"""),"https://drive.google.com/open?id=1JTGGBY9C0SwWdmUZ626pIt6-YrFMbtsv")</f>
        <v>https://drive.google.com/open?id=1JTGGBY9C0SwWdmUZ626pIt6-YrFMbtsv</v>
      </c>
      <c r="J1987" s="59"/>
      <c r="K1987" s="59"/>
      <c r="L1987" s="59"/>
      <c r="M1987" s="59"/>
      <c r="N1987" s="59"/>
      <c r="O1987" s="59"/>
      <c r="P1987" s="59"/>
    </row>
    <row r="1988" spans="1:16">
      <c r="A1988" s="71">
        <f ca="1">IFERROR(__xludf.DUMMYFUNCTION("""COMPUTED_VALUE"""),44259.5729336111)</f>
        <v>44259.572933611104</v>
      </c>
      <c r="B1988" s="59" t="str">
        <f ca="1">IFERROR(__xludf.DUMMYFUNCTION("""COMPUTED_VALUE"""),"MAHESHWARI PRINCE")</f>
        <v>MAHESHWARI PRINCE</v>
      </c>
      <c r="C1988" s="72" t="str">
        <f ca="1">IFERROR(__xludf.DUMMYFUNCTION("""COMPUTED_VALUE"""),"20SDSME01023")</f>
        <v>20SDSME01023</v>
      </c>
      <c r="D1988" s="73">
        <f ca="1">IFERROR(__xludf.DUMMYFUNCTION("""COMPUTED_VALUE"""),44258)</f>
        <v>44258</v>
      </c>
      <c r="E1988" s="74">
        <f ca="1">IFERROR(__xludf.DUMMYFUNCTION("""COMPUTED_VALUE"""),15000)</f>
        <v>15000</v>
      </c>
      <c r="F1988" s="72">
        <f ca="1">IFERROR(__xludf.DUMMYFUNCTION("""COMPUTED_VALUE"""),0)</f>
        <v>0</v>
      </c>
      <c r="G1988" s="75"/>
      <c r="H1988" s="59" t="str">
        <f ca="1">IFERROR(__xludf.DUMMYFUNCTION("""COMPUTED_VALUE"""),"UPDATE")</f>
        <v>UPDATE</v>
      </c>
      <c r="I1988" s="76" t="str">
        <f ca="1">IFERROR(__xludf.DUMMYFUNCTION("""COMPUTED_VALUE"""),"https://drive.google.com/open?id=1ikD-kNYxQSA5mgaVItCUIvXVbPXtkQq_")</f>
        <v>https://drive.google.com/open?id=1ikD-kNYxQSA5mgaVItCUIvXVbPXtkQq_</v>
      </c>
      <c r="J1988" s="59"/>
      <c r="K1988" s="59"/>
      <c r="L1988" s="59"/>
      <c r="M1988" s="59"/>
      <c r="N1988" s="59"/>
      <c r="O1988" s="59"/>
      <c r="P1988" s="59"/>
    </row>
    <row r="1989" spans="1:16">
      <c r="A1989" s="71">
        <f ca="1">IFERROR(__xludf.DUMMYFUNCTION("""COMPUTED_VALUE"""),44259.4926089583)</f>
        <v>44259.492608958302</v>
      </c>
      <c r="B1989" s="59" t="str">
        <f ca="1">IFERROR(__xludf.DUMMYFUNCTION("""COMPUTED_VALUE"""),"Koladiya Nirmal Rameshbhai")</f>
        <v>Koladiya Nirmal Rameshbhai</v>
      </c>
      <c r="C1989" s="72" t="str">
        <f ca="1">IFERROR(__xludf.DUMMYFUNCTION("""COMPUTED_VALUE"""),"20SDSCE01057")</f>
        <v>20SDSCE01057</v>
      </c>
      <c r="D1989" s="73">
        <f ca="1">IFERROR(__xludf.DUMMYFUNCTION("""COMPUTED_VALUE"""),44252)</f>
        <v>44252</v>
      </c>
      <c r="E1989" s="74">
        <f ca="1">IFERROR(__xludf.DUMMYFUNCTION("""COMPUTED_VALUE"""),25000)</f>
        <v>25000</v>
      </c>
      <c r="F1989" s="72">
        <f ca="1">IFERROR(__xludf.DUMMYFUNCTION("""COMPUTED_VALUE"""),2500)</f>
        <v>2500</v>
      </c>
      <c r="G1989" s="75"/>
      <c r="H1989" s="59" t="str">
        <f ca="1">IFERROR(__xludf.DUMMYFUNCTION("""COMPUTED_VALUE"""),"UPDATE")</f>
        <v>UPDATE</v>
      </c>
      <c r="I1989" s="59" t="str">
        <f ca="1">IFERROR(__xludf.DUMMYFUNCTION("""COMPUTED_VALUE"""),"https://drive.google.com/open?id=1svcqZPGosydk8gePuCeH7BFn6AxqZHTU https://drive.google.com/open?id=1Jo4wYv6iD43pFkFGVD3Z2R-L6elV-wAX")</f>
        <v>https://drive.google.com/open?id=1svcqZPGosydk8gePuCeH7BFn6AxqZHTU https://drive.google.com/open?id=1Jo4wYv6iD43pFkFGVD3Z2R-L6elV-wAX</v>
      </c>
      <c r="J1989" s="59"/>
      <c r="K1989" s="59"/>
      <c r="L1989" s="59"/>
      <c r="M1989" s="59"/>
      <c r="N1989" s="59"/>
      <c r="O1989" s="59"/>
      <c r="P1989" s="59"/>
    </row>
    <row r="1990" spans="1:16">
      <c r="A1990" s="71">
        <f ca="1">IFERROR(__xludf.DUMMYFUNCTION("""COMPUTED_VALUE"""),44258.8538694907)</f>
        <v>44258.853869490697</v>
      </c>
      <c r="B1990" s="59" t="str">
        <f ca="1">IFERROR(__xludf.DUMMYFUNCTION("""COMPUTED_VALUE"""),"Patadiya Bhargav Mayur Bhai")</f>
        <v>Patadiya Bhargav Mayur Bhai</v>
      </c>
      <c r="C1990" s="72" t="str">
        <f ca="1">IFERROR(__xludf.DUMMYFUNCTION("""COMPUTED_VALUE"""),"20SDSCE01084")</f>
        <v>20SDSCE01084</v>
      </c>
      <c r="D1990" s="73">
        <f ca="1">IFERROR(__xludf.DUMMYFUNCTION("""COMPUTED_VALUE"""),44258)</f>
        <v>44258</v>
      </c>
      <c r="E1990" s="74">
        <f ca="1">IFERROR(__xludf.DUMMYFUNCTION("""COMPUTED_VALUE"""),25000)</f>
        <v>25000</v>
      </c>
      <c r="F1990" s="72">
        <f ca="1">IFERROR(__xludf.DUMMYFUNCTION("""COMPUTED_VALUE"""),2500)</f>
        <v>2500</v>
      </c>
      <c r="G1990" s="75"/>
      <c r="H1990" s="59" t="str">
        <f ca="1">IFERROR(__xludf.DUMMYFUNCTION("""COMPUTED_VALUE"""),"UPDATE")</f>
        <v>UPDATE</v>
      </c>
      <c r="I1990" s="59" t="str">
        <f ca="1">IFERROR(__xludf.DUMMYFUNCTION("""COMPUTED_VALUE"""),"https://drive.google.com/open?id=10c-b_q24a3Sy9hNLscPNJEy3KQiCmN_9 https://drive.google.com/open?id=1ZNzMRPWFlsXuPIn1EWCOpjaMV0V7yqIy")</f>
        <v>https://drive.google.com/open?id=10c-b_q24a3Sy9hNLscPNJEy3KQiCmN_9 https://drive.google.com/open?id=1ZNzMRPWFlsXuPIn1EWCOpjaMV0V7yqIy</v>
      </c>
      <c r="J1990" s="59"/>
      <c r="K1990" s="59"/>
      <c r="L1990" s="59"/>
      <c r="M1990" s="59"/>
      <c r="N1990" s="59"/>
      <c r="O1990" s="59"/>
      <c r="P1990" s="59"/>
    </row>
    <row r="1991" spans="1:16">
      <c r="A1991" s="71">
        <f ca="1">IFERROR(__xludf.DUMMYFUNCTION("""COMPUTED_VALUE"""),44258.5018204861)</f>
        <v>44258.501820486097</v>
      </c>
      <c r="B1991" s="59" t="str">
        <f ca="1">IFERROR(__xludf.DUMMYFUNCTION("""COMPUTED_VALUE"""),"Muliya Devraj Ratilal")</f>
        <v>Muliya Devraj Ratilal</v>
      </c>
      <c r="C1991" s="72" t="str">
        <f ca="1">IFERROR(__xludf.DUMMYFUNCTION("""COMPUTED_VALUE"""),"20SDSCE01065")</f>
        <v>20SDSCE01065</v>
      </c>
      <c r="D1991" s="73">
        <f ca="1">IFERROR(__xludf.DUMMYFUNCTION("""COMPUTED_VALUE"""),44258)</f>
        <v>44258</v>
      </c>
      <c r="E1991" s="72"/>
      <c r="F1991" s="72">
        <f ca="1">IFERROR(__xludf.DUMMYFUNCTION("""COMPUTED_VALUE"""),2500)</f>
        <v>2500</v>
      </c>
      <c r="G1991" s="75"/>
      <c r="H1991" s="59" t="str">
        <f ca="1">IFERROR(__xludf.DUMMYFUNCTION("""COMPUTED_VALUE"""),"UPDATE")</f>
        <v>UPDATE</v>
      </c>
      <c r="I1991" s="59" t="str">
        <f ca="1">IFERROR(__xludf.DUMMYFUNCTION("""COMPUTED_VALUE"""),"https://drive.google.com/open?id=1LeR30Pp_QdGyXwNbwseH3pBTXm1pZjsY  https://drive.google.com/open?id=1LGBfRDBmA9nsjCXXyxpjD2dQLSbMnzy  https://drive.google.com/open?id=1P-PVSM5SAsXLI9kTsOHGHiowd5CXqMdd, https://drive.google.com/open?id=1ZnLUBHEpiNPfhVXu2I"&amp;"4agyfJ3JfhpyqL")</f>
        <v>https://drive.google.com/open?id=1LeR30Pp_QdGyXwNbwseH3pBTXm1pZjsY  https://drive.google.com/open?id=1LGBfRDBmA9nsjCXXyxpjD2dQLSbMnzy  https://drive.google.com/open?id=1P-PVSM5SAsXLI9kTsOHGHiowd5CXqMdd, https://drive.google.com/open?id=1ZnLUBHEpiNPfhVXu2I4agyfJ3JfhpyqL</v>
      </c>
      <c r="J1991" s="59"/>
      <c r="K1991" s="59"/>
      <c r="L1991" s="59"/>
      <c r="M1991" s="59"/>
      <c r="N1991" s="59"/>
      <c r="O1991" s="59"/>
      <c r="P1991" s="59"/>
    </row>
    <row r="1992" spans="1:16">
      <c r="A1992" s="71">
        <f ca="1">IFERROR(__xludf.DUMMYFUNCTION("""COMPUTED_VALUE"""),44257.7234978009)</f>
        <v>44257.7234978009</v>
      </c>
      <c r="B1992" s="59" t="str">
        <f ca="1">IFERROR(__xludf.DUMMYFUNCTION("""COMPUTED_VALUE"""),"Dave Prem Naimishbhai")</f>
        <v>Dave Prem Naimishbhai</v>
      </c>
      <c r="C1992" s="72" t="str">
        <f ca="1">IFERROR(__xludf.DUMMYFUNCTION("""COMPUTED_VALUE"""),"20SDSCE01024 prem dave")</f>
        <v>20SDSCE01024 prem dave</v>
      </c>
      <c r="D1992" s="73">
        <f ca="1">IFERROR(__xludf.DUMMYFUNCTION("""COMPUTED_VALUE"""),44257)</f>
        <v>44257</v>
      </c>
      <c r="E1992" s="74">
        <f ca="1">IFERROR(__xludf.DUMMYFUNCTION("""COMPUTED_VALUE"""),0)</f>
        <v>0</v>
      </c>
      <c r="F1992" s="72">
        <f ca="1">IFERROR(__xludf.DUMMYFUNCTION("""COMPUTED_VALUE"""),2500)</f>
        <v>2500</v>
      </c>
      <c r="G1992" s="75"/>
      <c r="H1992" s="59" t="str">
        <f ca="1">IFERROR(__xludf.DUMMYFUNCTION("""COMPUTED_VALUE"""),"UPDATE")</f>
        <v>UPDATE</v>
      </c>
      <c r="I1992" s="76" t="str">
        <f ca="1">IFERROR(__xludf.DUMMYFUNCTION("""COMPUTED_VALUE"""),"https://drive.google.com/open?id=1sSqagI_w-2D1uSO_qyH3jcuWuFf10kx_")</f>
        <v>https://drive.google.com/open?id=1sSqagI_w-2D1uSO_qyH3jcuWuFf10kx_</v>
      </c>
      <c r="J1992" s="59"/>
      <c r="K1992" s="59"/>
      <c r="L1992" s="59"/>
      <c r="M1992" s="59"/>
      <c r="N1992" s="59"/>
      <c r="O1992" s="59"/>
      <c r="P1992" s="59"/>
    </row>
    <row r="1993" spans="1:16">
      <c r="A1993" s="71">
        <f ca="1">IFERROR(__xludf.DUMMYFUNCTION("""COMPUTED_VALUE"""),44257.674818912)</f>
        <v>44257.674818911997</v>
      </c>
      <c r="B1993" s="59" t="str">
        <f ca="1">IFERROR(__xludf.DUMMYFUNCTION("""COMPUTED_VALUE"""),"Chaniyara Prachi Rashikbhai")</f>
        <v>Chaniyara Prachi Rashikbhai</v>
      </c>
      <c r="C1993" s="72" t="str">
        <f ca="1">IFERROR(__xludf.DUMMYFUNCTION("""COMPUTED_VALUE"""),"20SDSCE01015")</f>
        <v>20SDSCE01015</v>
      </c>
      <c r="D1993" s="73">
        <f ca="1">IFERROR(__xludf.DUMMYFUNCTION("""COMPUTED_VALUE"""),44216)</f>
        <v>44216</v>
      </c>
      <c r="E1993" s="74">
        <f ca="1">IFERROR(__xludf.DUMMYFUNCTION("""COMPUTED_VALUE"""),12500)</f>
        <v>12500</v>
      </c>
      <c r="F1993" s="72">
        <f ca="1">IFERROR(__xludf.DUMMYFUNCTION("""COMPUTED_VALUE"""),2500)</f>
        <v>2500</v>
      </c>
      <c r="G1993" s="75"/>
      <c r="H1993" s="59" t="str">
        <f ca="1">IFERROR(__xludf.DUMMYFUNCTION("""COMPUTED_VALUE"""),"UPDATE")</f>
        <v>UPDATE</v>
      </c>
      <c r="I1993" s="76" t="str">
        <f ca="1">IFERROR(__xludf.DUMMYFUNCTION("""COMPUTED_VALUE"""),"https://drive.google.com/open?id=1NM7pGZ8cseiS_vGqnJAcyDbjuTN5F0pA")</f>
        <v>https://drive.google.com/open?id=1NM7pGZ8cseiS_vGqnJAcyDbjuTN5F0pA</v>
      </c>
      <c r="J1993" s="59"/>
      <c r="K1993" s="59"/>
      <c r="L1993" s="59"/>
      <c r="M1993" s="59"/>
      <c r="N1993" s="59"/>
      <c r="O1993" s="59"/>
      <c r="P1993" s="59"/>
    </row>
    <row r="1994" spans="1:16">
      <c r="A1994" s="71">
        <f ca="1">IFERROR(__xludf.DUMMYFUNCTION("""COMPUTED_VALUE"""),44257.6538701736)</f>
        <v>44257.653870173599</v>
      </c>
      <c r="B1994" s="59" t="str">
        <f ca="1">IFERROR(__xludf.DUMMYFUNCTION("""COMPUTED_VALUE"""),"Nirav Jitendrabhai Nasit")</f>
        <v>Nirav Jitendrabhai Nasit</v>
      </c>
      <c r="C1994" s="72" t="str">
        <f ca="1">IFERROR(__xludf.DUMMYFUNCTION("""COMPUTED_VALUE"""),"20SDSCE01069")</f>
        <v>20SDSCE01069</v>
      </c>
      <c r="D1994" s="73">
        <f ca="1">IFERROR(__xludf.DUMMYFUNCTION("""COMPUTED_VALUE"""),44255)</f>
        <v>44255</v>
      </c>
      <c r="E1994" s="74">
        <f ca="1">IFERROR(__xludf.DUMMYFUNCTION("""COMPUTED_VALUE"""),12500)</f>
        <v>12500</v>
      </c>
      <c r="F1994" s="72">
        <f ca="1">IFERROR(__xludf.DUMMYFUNCTION("""COMPUTED_VALUE"""),2500)</f>
        <v>2500</v>
      </c>
      <c r="G1994" s="75"/>
      <c r="H1994" s="59" t="str">
        <f ca="1">IFERROR(__xludf.DUMMYFUNCTION("""COMPUTED_VALUE"""),"UPDATE")</f>
        <v>UPDATE</v>
      </c>
      <c r="I1994" s="76" t="str">
        <f ca="1">IFERROR(__xludf.DUMMYFUNCTION("""COMPUTED_VALUE"""),"https://drive.google.com/open?id=1TMIyHZo2eQfq06dJPTV9oGx9x8pE2dVI")</f>
        <v>https://drive.google.com/open?id=1TMIyHZo2eQfq06dJPTV9oGx9x8pE2dVI</v>
      </c>
      <c r="J1994" s="59"/>
      <c r="K1994" s="59"/>
      <c r="L1994" s="59"/>
      <c r="M1994" s="59"/>
      <c r="N1994" s="59"/>
      <c r="O1994" s="59"/>
      <c r="P1994" s="59"/>
    </row>
    <row r="1995" spans="1:16">
      <c r="A1995" s="71">
        <f ca="1">IFERROR(__xludf.DUMMYFUNCTION("""COMPUTED_VALUE"""),44257.6469685416)</f>
        <v>44257.646968541601</v>
      </c>
      <c r="B1995" s="59" t="str">
        <f ca="1">IFERROR(__xludf.DUMMYFUNCTION("""COMPUTED_VALUE"""),"CHAVADA KARANSINH HEMRAJSINH")</f>
        <v>CHAVADA KARANSINH HEMRAJSINH</v>
      </c>
      <c r="C1995" s="72" t="str">
        <f ca="1">IFERROR(__xludf.DUMMYFUNCTION("""COMPUTED_VALUE"""),"20SDSCE01016")</f>
        <v>20SDSCE01016</v>
      </c>
      <c r="D1995" s="73">
        <f ca="1">IFERROR(__xludf.DUMMYFUNCTION("""COMPUTED_VALUE"""),44245)</f>
        <v>44245</v>
      </c>
      <c r="E1995" s="74">
        <f ca="1">IFERROR(__xludf.DUMMYFUNCTION("""COMPUTED_VALUE"""),25000)</f>
        <v>25000</v>
      </c>
      <c r="F1995" s="72">
        <f ca="1">IFERROR(__xludf.DUMMYFUNCTION("""COMPUTED_VALUE"""),2500)</f>
        <v>2500</v>
      </c>
      <c r="G1995" s="75"/>
      <c r="H1995" s="59" t="str">
        <f ca="1">IFERROR(__xludf.DUMMYFUNCTION("""COMPUTED_VALUE"""),"UPDATE")</f>
        <v>UPDATE</v>
      </c>
      <c r="I1995" s="59" t="str">
        <f ca="1">IFERROR(__xludf.DUMMYFUNCTION("""COMPUTED_VALUE"""),"https://drive.google.com/open?id=1qSnj_JstcywlCiI-MXEq2GizCFqAR3C_ https://drive.google.com/open?id=1LycYYktUbFpS0BF_BRYohK9-xlUssjes")</f>
        <v>https://drive.google.com/open?id=1qSnj_JstcywlCiI-MXEq2GizCFqAR3C_ https://drive.google.com/open?id=1LycYYktUbFpS0BF_BRYohK9-xlUssjes</v>
      </c>
      <c r="J1995" s="59"/>
      <c r="K1995" s="59"/>
      <c r="L1995" s="59"/>
      <c r="M1995" s="59"/>
      <c r="N1995" s="59"/>
      <c r="O1995" s="59"/>
      <c r="P1995" s="59"/>
    </row>
    <row r="1996" spans="1:16">
      <c r="A1996" s="71">
        <f ca="1">IFERROR(__xludf.DUMMYFUNCTION("""COMPUTED_VALUE"""),44257.6380732407)</f>
        <v>44257.638073240698</v>
      </c>
      <c r="B1996" s="59" t="str">
        <f ca="1">IFERROR(__xludf.DUMMYFUNCTION("""COMPUTED_VALUE"""),"vyas Dev parkashbhai")</f>
        <v>vyas Dev parkashbhai</v>
      </c>
      <c r="C1996" s="72" t="str">
        <f ca="1">IFERROR(__xludf.DUMMYFUNCTION("""COMPUTED_VALUE"""),"20SDSCE01142")</f>
        <v>20SDSCE01142</v>
      </c>
      <c r="D1996" s="73">
        <f ca="1">IFERROR(__xludf.DUMMYFUNCTION("""COMPUTED_VALUE"""),44252)</f>
        <v>44252</v>
      </c>
      <c r="E1996" s="74">
        <f ca="1">IFERROR(__xludf.DUMMYFUNCTION("""COMPUTED_VALUE"""),25000)</f>
        <v>25000</v>
      </c>
      <c r="F1996" s="72">
        <f ca="1">IFERROR(__xludf.DUMMYFUNCTION("""COMPUTED_VALUE"""),2500)</f>
        <v>2500</v>
      </c>
      <c r="G1996" s="75"/>
      <c r="H1996" s="59" t="str">
        <f ca="1">IFERROR(__xludf.DUMMYFUNCTION("""COMPUTED_VALUE"""),"UPDATE")</f>
        <v>UPDATE</v>
      </c>
      <c r="I1996" s="59" t="str">
        <f ca="1">IFERROR(__xludf.DUMMYFUNCTION("""COMPUTED_VALUE"""),"https://drive.google.com/open?id=14XnE4qK30OvaYt-VVJRrqpFjOaBJ1YPJ  https://drive.google.com/open?id=12oRmavg3vi9-AjwWm6RPgrN47a3dF1pb")</f>
        <v>https://drive.google.com/open?id=14XnE4qK30OvaYt-VVJRrqpFjOaBJ1YPJ  https://drive.google.com/open?id=12oRmavg3vi9-AjwWm6RPgrN47a3dF1pb</v>
      </c>
      <c r="J1996" s="59"/>
      <c r="K1996" s="59"/>
      <c r="L1996" s="59"/>
      <c r="M1996" s="59"/>
      <c r="N1996" s="59"/>
      <c r="O1996" s="59"/>
      <c r="P1996" s="59"/>
    </row>
    <row r="1997" spans="1:16">
      <c r="A1997" s="71">
        <f ca="1">IFERROR(__xludf.DUMMYFUNCTION("""COMPUTED_VALUE"""),44257.6221070138)</f>
        <v>44257.622107013798</v>
      </c>
      <c r="B1997" s="59" t="str">
        <f ca="1">IFERROR(__xludf.DUMMYFUNCTION("""COMPUTED_VALUE"""),"Nakum Ravi Pravinbhai")</f>
        <v>Nakum Ravi Pravinbhai</v>
      </c>
      <c r="C1997" s="72" t="str">
        <f ca="1">IFERROR(__xludf.DUMMYFUNCTION("""COMPUTED_VALUE"""),"20SDSCE01068")</f>
        <v>20SDSCE01068</v>
      </c>
      <c r="D1997" s="73">
        <f ca="1">IFERROR(__xludf.DUMMYFUNCTION("""COMPUTED_VALUE"""),44256)</f>
        <v>44256</v>
      </c>
      <c r="E1997" s="74">
        <f ca="1">IFERROR(__xludf.DUMMYFUNCTION("""COMPUTED_VALUE"""),18750)</f>
        <v>18750</v>
      </c>
      <c r="F1997" s="72">
        <f ca="1">IFERROR(__xludf.DUMMYFUNCTION("""COMPUTED_VALUE"""),2500)</f>
        <v>2500</v>
      </c>
      <c r="G1997" s="75"/>
      <c r="H1997" s="59" t="str">
        <f ca="1">IFERROR(__xludf.DUMMYFUNCTION("""COMPUTED_VALUE"""),"UPDATE")</f>
        <v>UPDATE</v>
      </c>
      <c r="I1997" s="59" t="str">
        <f ca="1">IFERROR(__xludf.DUMMYFUNCTION("""COMPUTED_VALUE"""),"https://drive.google.com/open?id=1AANWbqqZpbs3CIlAy_-tPSECPWlbMpi8  https://drive.google.com/open?id=1dAt5Ori3Nh4Ee5hJXe-jhu4Jdyf7uSOE")</f>
        <v>https://drive.google.com/open?id=1AANWbqqZpbs3CIlAy_-tPSECPWlbMpi8  https://drive.google.com/open?id=1dAt5Ori3Nh4Ee5hJXe-jhu4Jdyf7uSOE</v>
      </c>
      <c r="J1997" s="59"/>
      <c r="K1997" s="59"/>
      <c r="L1997" s="59"/>
      <c r="M1997" s="59"/>
      <c r="N1997" s="59"/>
      <c r="O1997" s="59"/>
      <c r="P1997" s="59"/>
    </row>
    <row r="1998" spans="1:16">
      <c r="A1998" s="71">
        <f ca="1">IFERROR(__xludf.DUMMYFUNCTION("""COMPUTED_VALUE"""),44257.6036102777)</f>
        <v>44257.6036102777</v>
      </c>
      <c r="B1998" s="59" t="str">
        <f ca="1">IFERROR(__xludf.DUMMYFUNCTION("""COMPUTED_VALUE"""),"DEEP KATESHIYA")</f>
        <v>DEEP KATESHIYA</v>
      </c>
      <c r="C1998" s="72" t="str">
        <f ca="1">IFERROR(__xludf.DUMMYFUNCTION("""COMPUTED_VALUE"""),"20SDSME01018")</f>
        <v>20SDSME01018</v>
      </c>
      <c r="D1998" s="73">
        <f ca="1">IFERROR(__xludf.DUMMYFUNCTION("""COMPUTED_VALUE"""),44253)</f>
        <v>44253</v>
      </c>
      <c r="E1998" s="74">
        <f ca="1">IFERROR(__xludf.DUMMYFUNCTION("""COMPUTED_VALUE"""),0)</f>
        <v>0</v>
      </c>
      <c r="F1998" s="72">
        <f ca="1">IFERROR(__xludf.DUMMYFUNCTION("""COMPUTED_VALUE"""),2500)</f>
        <v>2500</v>
      </c>
      <c r="G1998" s="75"/>
      <c r="H1998" s="59" t="str">
        <f ca="1">IFERROR(__xludf.DUMMYFUNCTION("""COMPUTED_VALUE"""),"UPDATE")</f>
        <v>UPDATE</v>
      </c>
      <c r="I1998" s="76" t="str">
        <f ca="1">IFERROR(__xludf.DUMMYFUNCTION("""COMPUTED_VALUE"""),"https://drive.google.com/open?id=1Y7A4G3iOOFWoPOM8fFz3E-iuvSuVA9eF")</f>
        <v>https://drive.google.com/open?id=1Y7A4G3iOOFWoPOM8fFz3E-iuvSuVA9eF</v>
      </c>
      <c r="J1998" s="59"/>
      <c r="K1998" s="59"/>
      <c r="L1998" s="59"/>
      <c r="M1998" s="59"/>
      <c r="N1998" s="59"/>
      <c r="O1998" s="59"/>
      <c r="P1998" s="59"/>
    </row>
    <row r="1999" spans="1:16">
      <c r="A1999" s="71">
        <f ca="1">IFERROR(__xludf.DUMMYFUNCTION("""COMPUTED_VALUE"""),44257.6030000347)</f>
        <v>44257.603000034702</v>
      </c>
      <c r="B1999" s="59" t="str">
        <f ca="1">IFERROR(__xludf.DUMMYFUNCTION("""COMPUTED_VALUE"""),"SAVANI RAJAN ")</f>
        <v xml:space="preserve">SAVANI RAJAN </v>
      </c>
      <c r="C1999" s="72" t="str">
        <f ca="1">IFERROR(__xludf.DUMMYFUNCTION("""COMPUTED_VALUE"""),"20SDSME01036")</f>
        <v>20SDSME01036</v>
      </c>
      <c r="D1999" s="73">
        <f ca="1">IFERROR(__xludf.DUMMYFUNCTION("""COMPUTED_VALUE"""),44249)</f>
        <v>44249</v>
      </c>
      <c r="E1999" s="74">
        <f ca="1">IFERROR(__xludf.DUMMYFUNCTION("""COMPUTED_VALUE"""),0)</f>
        <v>0</v>
      </c>
      <c r="F1999" s="72">
        <f ca="1">IFERROR(__xludf.DUMMYFUNCTION("""COMPUTED_VALUE"""),2500)</f>
        <v>2500</v>
      </c>
      <c r="G1999" s="75"/>
      <c r="H1999" s="59" t="str">
        <f ca="1">IFERROR(__xludf.DUMMYFUNCTION("""COMPUTED_VALUE"""),"UPDATE")</f>
        <v>UPDATE</v>
      </c>
      <c r="I1999" s="76" t="str">
        <f ca="1">IFERROR(__xludf.DUMMYFUNCTION("""COMPUTED_VALUE"""),"https://drive.google.com/open?id=1Ee1a-I_RqQ2f4pmDiEc_wXeJ9s0tUkAJ")</f>
        <v>https://drive.google.com/open?id=1Ee1a-I_RqQ2f4pmDiEc_wXeJ9s0tUkAJ</v>
      </c>
      <c r="J1999" s="59"/>
      <c r="K1999" s="59"/>
      <c r="L1999" s="59"/>
      <c r="M1999" s="59"/>
      <c r="N1999" s="59"/>
      <c r="O1999" s="59"/>
      <c r="P1999" s="59"/>
    </row>
    <row r="2000" spans="1:16">
      <c r="A2000" s="71">
        <f ca="1">IFERROR(__xludf.DUMMYFUNCTION("""COMPUTED_VALUE"""),44216.9959514814)</f>
        <v>44216.995951481404</v>
      </c>
      <c r="B2000" s="59" t="str">
        <f ca="1">IFERROR(__xludf.DUMMYFUNCTION("""COMPUTED_VALUE"""),"CHAVADA KARANSINH HEMRAJSINH")</f>
        <v>CHAVADA KARANSINH HEMRAJSINH</v>
      </c>
      <c r="C2000" s="72" t="str">
        <f ca="1">IFERROR(__xludf.DUMMYFUNCTION("""COMPUTED_VALUE"""),"20SDSCE01016")</f>
        <v>20SDSCE01016</v>
      </c>
      <c r="D2000" s="73">
        <f ca="1">IFERROR(__xludf.DUMMYFUNCTION("""COMPUTED_VALUE"""),44208)</f>
        <v>44208</v>
      </c>
      <c r="E2000" s="74">
        <f ca="1">IFERROR(__xludf.DUMMYFUNCTION("""COMPUTED_VALUE"""),25000)</f>
        <v>25000</v>
      </c>
      <c r="F2000" s="72">
        <f ca="1">IFERROR(__xludf.DUMMYFUNCTION("""COMPUTED_VALUE"""),2500)</f>
        <v>2500</v>
      </c>
      <c r="G2000" s="75"/>
      <c r="H2000" s="59" t="str">
        <f ca="1">IFERROR(__xludf.DUMMYFUNCTION("""COMPUTED_VALUE"""),"UPDATE")</f>
        <v>UPDATE</v>
      </c>
      <c r="I2000" s="76" t="str">
        <f ca="1">IFERROR(__xludf.DUMMYFUNCTION("""COMPUTED_VALUE"""),"https://drive.google.com/open?id=1lytq8dHag2jtjDnnP4WcH2ps-qW8i1dx")</f>
        <v>https://drive.google.com/open?id=1lytq8dHag2jtjDnnP4WcH2ps-qW8i1dx</v>
      </c>
      <c r="J2000" s="59"/>
      <c r="K2000" s="59"/>
      <c r="L2000" s="59"/>
      <c r="M2000" s="59"/>
      <c r="N2000" s="59"/>
      <c r="O2000" s="59"/>
      <c r="P2000" s="59"/>
    </row>
    <row r="2001" spans="1:16">
      <c r="A2001" s="71">
        <f ca="1">IFERROR(__xludf.DUMMYFUNCTION("""COMPUTED_VALUE"""),44161.6244552777)</f>
        <v>44161.624455277699</v>
      </c>
      <c r="B2001" s="59" t="str">
        <f ca="1">IFERROR(__xludf.DUMMYFUNCTION("""COMPUTED_VALUE"""),"SARDHARA KARAN PRAVINBHAI")</f>
        <v>SARDHARA KARAN PRAVINBHAI</v>
      </c>
      <c r="C2001" s="72" t="str">
        <f ca="1">IFERROR(__xludf.DUMMYFUNCTION("""COMPUTED_VALUE"""),"18SDSCE01055")</f>
        <v>18SDSCE01055</v>
      </c>
      <c r="D2001" s="73">
        <f ca="1">IFERROR(__xludf.DUMMYFUNCTION("""COMPUTED_VALUE"""),44156)</f>
        <v>44156</v>
      </c>
      <c r="E2001" s="74">
        <f ca="1">IFERROR(__xludf.DUMMYFUNCTION("""COMPUTED_VALUE"""),8000)</f>
        <v>8000</v>
      </c>
      <c r="F2001" s="72"/>
      <c r="G2001" s="75"/>
      <c r="H2001" s="59" t="str">
        <f ca="1">IFERROR(__xludf.DUMMYFUNCTION("""COMPUTED_VALUE"""),"UPDATE")</f>
        <v>UPDATE</v>
      </c>
      <c r="I2001" s="76" t="str">
        <f ca="1">IFERROR(__xludf.DUMMYFUNCTION("""COMPUTED_VALUE"""),"https://drive.google.com/open?id=10m5NAhcTD44sQYlRjlfF-XVfaRDUo_hj")</f>
        <v>https://drive.google.com/open?id=10m5NAhcTD44sQYlRjlfF-XVfaRDUo_hj</v>
      </c>
      <c r="J2001" s="59"/>
      <c r="K2001" s="59"/>
      <c r="L2001" s="59"/>
      <c r="M2001" s="59"/>
      <c r="N2001" s="59"/>
      <c r="O2001" s="59"/>
      <c r="P2001" s="59"/>
    </row>
    <row r="2002" spans="1:16">
      <c r="A2002" s="71">
        <f ca="1">IFERROR(__xludf.DUMMYFUNCTION("""COMPUTED_VALUE"""),44161.6221524537)</f>
        <v>44161.622152453703</v>
      </c>
      <c r="B2002" s="59" t="str">
        <f ca="1">IFERROR(__xludf.DUMMYFUNCTION("""COMPUTED_VALUE"""),"BHALODIYA MAYANK DINESHBHAI")</f>
        <v>BHALODIYA MAYANK DINESHBHAI</v>
      </c>
      <c r="C2002" s="72" t="str">
        <f ca="1">IFERROR(__xludf.DUMMYFUNCTION("""COMPUTED_VALUE"""),"18SDSCE01005")</f>
        <v>18SDSCE01005</v>
      </c>
      <c r="D2002" s="73">
        <f ca="1">IFERROR(__xludf.DUMMYFUNCTION("""COMPUTED_VALUE"""),44153)</f>
        <v>44153</v>
      </c>
      <c r="E2002" s="74">
        <f ca="1">IFERROR(__xludf.DUMMYFUNCTION("""COMPUTED_VALUE"""),8000)</f>
        <v>8000</v>
      </c>
      <c r="F2002" s="72"/>
      <c r="G2002" s="75"/>
      <c r="H2002" s="59" t="str">
        <f ca="1">IFERROR(__xludf.DUMMYFUNCTION("""COMPUTED_VALUE"""),"UPDATE")</f>
        <v>UPDATE</v>
      </c>
      <c r="I2002" s="76" t="str">
        <f ca="1">IFERROR(__xludf.DUMMYFUNCTION("""COMPUTED_VALUE"""),"https://drive.google.com/open?id=1KIuozO0gQZ6nguSZmpjhez5m26r4XQDX")</f>
        <v>https://drive.google.com/open?id=1KIuozO0gQZ6nguSZmpjhez5m26r4XQDX</v>
      </c>
      <c r="J2002" s="59"/>
      <c r="K2002" s="59"/>
      <c r="L2002" s="59"/>
      <c r="M2002" s="59"/>
      <c r="N2002" s="59"/>
      <c r="O2002" s="59"/>
      <c r="P2002" s="59"/>
    </row>
    <row r="2003" spans="1:16">
      <c r="A2003" s="71">
        <f ca="1">IFERROR(__xludf.DUMMYFUNCTION("""COMPUTED_VALUE"""),44161.6205349421)</f>
        <v>44161.6205349421</v>
      </c>
      <c r="B2003" s="59" t="str">
        <f ca="1">IFERROR(__xludf.DUMMYFUNCTION("""COMPUTED_VALUE"""),"BARAIYA JIGAR BHIMABHAI")</f>
        <v>BARAIYA JIGAR BHIMABHAI</v>
      </c>
      <c r="C2003" s="72" t="str">
        <f ca="1">IFERROR(__xludf.DUMMYFUNCTION("""COMPUTED_VALUE"""),"18SDSCE01003")</f>
        <v>18SDSCE01003</v>
      </c>
      <c r="D2003" s="73">
        <f ca="1">IFERROR(__xludf.DUMMYFUNCTION("""COMPUTED_VALUE"""),44151)</f>
        <v>44151</v>
      </c>
      <c r="E2003" s="74">
        <f ca="1">IFERROR(__xludf.DUMMYFUNCTION("""COMPUTED_VALUE"""),8000)</f>
        <v>8000</v>
      </c>
      <c r="F2003" s="72"/>
      <c r="G2003" s="75"/>
      <c r="H2003" s="59" t="str">
        <f ca="1">IFERROR(__xludf.DUMMYFUNCTION("""COMPUTED_VALUE"""),"UPDATE")</f>
        <v>UPDATE</v>
      </c>
      <c r="I2003" s="76" t="str">
        <f ca="1">IFERROR(__xludf.DUMMYFUNCTION("""COMPUTED_VALUE"""),"https://drive.google.com/open?id=1V0auh876WgKHMBryFlMOCEaQyxf2l21n")</f>
        <v>https://drive.google.com/open?id=1V0auh876WgKHMBryFlMOCEaQyxf2l21n</v>
      </c>
      <c r="J2003" s="59"/>
      <c r="K2003" s="59"/>
      <c r="L2003" s="59"/>
      <c r="M2003" s="59"/>
      <c r="N2003" s="59"/>
      <c r="O2003" s="59"/>
      <c r="P2003" s="59"/>
    </row>
    <row r="2004" spans="1:16">
      <c r="A2004" s="71">
        <f ca="1">IFERROR(__xludf.DUMMYFUNCTION("""COMPUTED_VALUE"""),44161.6193948842)</f>
        <v>44161.619394884197</v>
      </c>
      <c r="B2004" s="59" t="str">
        <f ca="1">IFERROR(__xludf.DUMMYFUNCTION("""COMPUTED_VALUE"""),"TRIVEDI HEMANG KETANBHAI")</f>
        <v>TRIVEDI HEMANG KETANBHAI</v>
      </c>
      <c r="C2004" s="72" t="str">
        <f ca="1">IFERROR(__xludf.DUMMYFUNCTION("""COMPUTED_VALUE"""),"18SDSCE01067")</f>
        <v>18SDSCE01067</v>
      </c>
      <c r="D2004" s="73">
        <f ca="1">IFERROR(__xludf.DUMMYFUNCTION("""COMPUTED_VALUE"""),44153)</f>
        <v>44153</v>
      </c>
      <c r="E2004" s="74">
        <f ca="1">IFERROR(__xludf.DUMMYFUNCTION("""COMPUTED_VALUE"""),1500)</f>
        <v>1500</v>
      </c>
      <c r="F2004" s="72"/>
      <c r="G2004" s="75"/>
      <c r="H2004" s="59" t="str">
        <f ca="1">IFERROR(__xludf.DUMMYFUNCTION("""COMPUTED_VALUE"""),"UPDATE")</f>
        <v>UPDATE</v>
      </c>
      <c r="I2004" s="76" t="str">
        <f ca="1">IFERROR(__xludf.DUMMYFUNCTION("""COMPUTED_VALUE"""),"https://drive.google.com/open?id=1cK_llKIuJtKdeALelw5AvpE3mf-z6QAx")</f>
        <v>https://drive.google.com/open?id=1cK_llKIuJtKdeALelw5AvpE3mf-z6QAx</v>
      </c>
      <c r="J2004" s="59"/>
      <c r="K2004" s="59"/>
      <c r="L2004" s="59"/>
      <c r="M2004" s="59"/>
      <c r="N2004" s="59"/>
      <c r="O2004" s="59"/>
      <c r="P2004" s="59"/>
    </row>
    <row r="2005" spans="1:16">
      <c r="A2005" s="71">
        <f ca="1">IFERROR(__xludf.DUMMYFUNCTION("""COMPUTED_VALUE"""),44161.618809074)</f>
        <v>44161.618809074003</v>
      </c>
      <c r="B2005" s="59" t="str">
        <f ca="1">IFERROR(__xludf.DUMMYFUNCTION("""COMPUTED_VALUE"""),"TRIVEDI HEMANG KETANBHAI")</f>
        <v>TRIVEDI HEMANG KETANBHAI</v>
      </c>
      <c r="C2005" s="72" t="str">
        <f ca="1">IFERROR(__xludf.DUMMYFUNCTION("""COMPUTED_VALUE"""),"18SDSCE01067")</f>
        <v>18SDSCE01067</v>
      </c>
      <c r="D2005" s="73">
        <f ca="1">IFERROR(__xludf.DUMMYFUNCTION("""COMPUTED_VALUE"""),44151)</f>
        <v>44151</v>
      </c>
      <c r="E2005" s="74">
        <f ca="1">IFERROR(__xludf.DUMMYFUNCTION("""COMPUTED_VALUE"""),6500)</f>
        <v>6500</v>
      </c>
      <c r="F2005" s="72"/>
      <c r="G2005" s="75"/>
      <c r="H2005" s="59" t="str">
        <f ca="1">IFERROR(__xludf.DUMMYFUNCTION("""COMPUTED_VALUE"""),"UPDATE")</f>
        <v>UPDATE</v>
      </c>
      <c r="I2005" s="76" t="str">
        <f ca="1">IFERROR(__xludf.DUMMYFUNCTION("""COMPUTED_VALUE"""),"https://drive.google.com/open?id=1yw78BcPrHLYPaxAmhYob6F4Gci5pLb9-")</f>
        <v>https://drive.google.com/open?id=1yw78BcPrHLYPaxAmhYob6F4Gci5pLb9-</v>
      </c>
      <c r="J2005" s="59"/>
      <c r="K2005" s="59"/>
      <c r="L2005" s="59"/>
      <c r="M2005" s="59"/>
      <c r="N2005" s="59"/>
      <c r="O2005" s="59"/>
      <c r="P2005" s="59"/>
    </row>
    <row r="2006" spans="1:16">
      <c r="A2006" s="71">
        <f ca="1">IFERROR(__xludf.DUMMYFUNCTION("""COMPUTED_VALUE"""),44161.6174005787)</f>
        <v>44161.617400578703</v>
      </c>
      <c r="B2006" s="59" t="str">
        <f ca="1">IFERROR(__xludf.DUMMYFUNCTION("""COMPUTED_VALUE"""),"TIWARI AMIT SATISHCHANDRA")</f>
        <v>TIWARI AMIT SATISHCHANDRA</v>
      </c>
      <c r="C2006" s="72" t="str">
        <f ca="1">IFERROR(__xludf.DUMMYFUNCTION("""COMPUTED_VALUE"""),"18SDSCE01065")</f>
        <v>18SDSCE01065</v>
      </c>
      <c r="D2006" s="73">
        <f ca="1">IFERROR(__xludf.DUMMYFUNCTION("""COMPUTED_VALUE"""),44154)</f>
        <v>44154</v>
      </c>
      <c r="E2006" s="74">
        <f ca="1">IFERROR(__xludf.DUMMYFUNCTION("""COMPUTED_VALUE"""),8000)</f>
        <v>8000</v>
      </c>
      <c r="F2006" s="72"/>
      <c r="G2006" s="75"/>
      <c r="H2006" s="59" t="str">
        <f ca="1">IFERROR(__xludf.DUMMYFUNCTION("""COMPUTED_VALUE"""),"UPDATE")</f>
        <v>UPDATE</v>
      </c>
      <c r="I2006" s="76" t="str">
        <f ca="1">IFERROR(__xludf.DUMMYFUNCTION("""COMPUTED_VALUE"""),"https://drive.google.com/open?id=186EfHlafPz6a3l3hpD9gOBeCuMiyrliY")</f>
        <v>https://drive.google.com/open?id=186EfHlafPz6a3l3hpD9gOBeCuMiyrliY</v>
      </c>
      <c r="J2006" s="59"/>
      <c r="K2006" s="59"/>
      <c r="L2006" s="59"/>
      <c r="M2006" s="59"/>
      <c r="N2006" s="59"/>
      <c r="O2006" s="59"/>
      <c r="P2006" s="59"/>
    </row>
    <row r="2007" spans="1:16">
      <c r="A2007" s="71">
        <f ca="1">IFERROR(__xludf.DUMMYFUNCTION("""COMPUTED_VALUE"""),44161.6160897569)</f>
        <v>44161.616089756899</v>
      </c>
      <c r="B2007" s="59" t="str">
        <f ca="1">IFERROR(__xludf.DUMMYFUNCTION("""COMPUTED_VALUE"""),"THUMMAR SAGAR GORDHANBHAI")</f>
        <v>THUMMAR SAGAR GORDHANBHAI</v>
      </c>
      <c r="C2007" s="72" t="str">
        <f ca="1">IFERROR(__xludf.DUMMYFUNCTION("""COMPUTED_VALUE"""),"18SDSCE01063")</f>
        <v>18SDSCE01063</v>
      </c>
      <c r="D2007" s="73">
        <f ca="1">IFERROR(__xludf.DUMMYFUNCTION("""COMPUTED_VALUE"""),44158)</f>
        <v>44158</v>
      </c>
      <c r="E2007" s="74">
        <f ca="1">IFERROR(__xludf.DUMMYFUNCTION("""COMPUTED_VALUE"""),8000)</f>
        <v>8000</v>
      </c>
      <c r="F2007" s="72"/>
      <c r="G2007" s="75"/>
      <c r="H2007" s="59" t="str">
        <f ca="1">IFERROR(__xludf.DUMMYFUNCTION("""COMPUTED_VALUE"""),"UPDATE")</f>
        <v>UPDATE</v>
      </c>
      <c r="I2007" s="76" t="str">
        <f ca="1">IFERROR(__xludf.DUMMYFUNCTION("""COMPUTED_VALUE"""),"https://drive.google.com/open?id=1CS3qDs1vt-UCyTdN7w8ANdF0AAMtFw2T")</f>
        <v>https://drive.google.com/open?id=1CS3qDs1vt-UCyTdN7w8ANdF0AAMtFw2T</v>
      </c>
      <c r="J2007" s="59"/>
      <c r="K2007" s="59"/>
      <c r="L2007" s="59"/>
      <c r="M2007" s="59"/>
      <c r="N2007" s="59"/>
      <c r="O2007" s="59"/>
      <c r="P2007" s="59"/>
    </row>
    <row r="2008" spans="1:16">
      <c r="A2008" s="71">
        <f ca="1">IFERROR(__xludf.DUMMYFUNCTION("""COMPUTED_VALUE"""),44155.5898573263)</f>
        <v>44155.589857326297</v>
      </c>
      <c r="B2008" s="59" t="str">
        <f ca="1">IFERROR(__xludf.DUMMYFUNCTION("""COMPUTED_VALUE"""),"JOSHI HARIOM KAMLESHKUMAR")</f>
        <v>JOSHI HARIOM KAMLESHKUMAR</v>
      </c>
      <c r="C2008" s="72" t="str">
        <f ca="1">IFERROR(__xludf.DUMMYFUNCTION("""COMPUTED_VALUE"""),"19SDSCE01017")</f>
        <v>19SDSCE01017</v>
      </c>
      <c r="D2008" s="73">
        <f ca="1">IFERROR(__xludf.DUMMYFUNCTION("""COMPUTED_VALUE"""),44154)</f>
        <v>44154</v>
      </c>
      <c r="E2008" s="74">
        <f ca="1">IFERROR(__xludf.DUMMYFUNCTION("""COMPUTED_VALUE"""),2000)</f>
        <v>2000</v>
      </c>
      <c r="F2008" s="72"/>
      <c r="G2008" s="75"/>
      <c r="H2008" s="59" t="str">
        <f ca="1">IFERROR(__xludf.DUMMYFUNCTION("""COMPUTED_VALUE"""),"UPDATE")</f>
        <v>UPDATE</v>
      </c>
      <c r="I2008" s="76" t="str">
        <f ca="1">IFERROR(__xludf.DUMMYFUNCTION("""COMPUTED_VALUE"""),"https://drive.google.com/open?id=1g-6OFdN36AVN2bToeq0Ukov3-sSNmg2W")</f>
        <v>https://drive.google.com/open?id=1g-6OFdN36AVN2bToeq0Ukov3-sSNmg2W</v>
      </c>
      <c r="J2008" s="59"/>
      <c r="K2008" s="59"/>
      <c r="L2008" s="59"/>
      <c r="M2008" s="59"/>
      <c r="N2008" s="59"/>
      <c r="O2008" s="59"/>
      <c r="P2008" s="59"/>
    </row>
    <row r="2009" spans="1:16">
      <c r="A2009" s="71">
        <f ca="1">IFERROR(__xludf.DUMMYFUNCTION("""COMPUTED_VALUE"""),44155.5886188425)</f>
        <v>44155.588618842499</v>
      </c>
      <c r="B2009" s="59" t="str">
        <f ca="1">IFERROR(__xludf.DUMMYFUNCTION("""COMPUTED_VALUE"""),"KHIMANI FAIZAN YUSUFBHAI")</f>
        <v>KHIMANI FAIZAN YUSUFBHAI</v>
      </c>
      <c r="C2009" s="72" t="str">
        <f ca="1">IFERROR(__xludf.DUMMYFUNCTION("""COMPUTED_VALUE"""),"19SDSCE01025")</f>
        <v>19SDSCE01025</v>
      </c>
      <c r="D2009" s="73">
        <f ca="1">IFERROR(__xludf.DUMMYFUNCTION("""COMPUTED_VALUE"""),44154)</f>
        <v>44154</v>
      </c>
      <c r="E2009" s="74">
        <f ca="1">IFERROR(__xludf.DUMMYFUNCTION("""COMPUTED_VALUE"""),8000)</f>
        <v>8000</v>
      </c>
      <c r="F2009" s="72"/>
      <c r="G2009" s="75"/>
      <c r="H2009" s="59" t="str">
        <f ca="1">IFERROR(__xludf.DUMMYFUNCTION("""COMPUTED_VALUE"""),"UPDATE")</f>
        <v>UPDATE</v>
      </c>
      <c r="I2009" s="59" t="str">
        <f ca="1">IFERROR(__xludf.DUMMYFUNCTION("""COMPUTED_VALUE"""),"https://drive.google.com/open?id=1Sq9IdLgLNgHMomPnmpCHVU4c5Qjpd_Nu, https://drive.google.com/open?id=1VKC3nELTEHp_fzpTdbxHb1Tu088CPkfC")</f>
        <v>https://drive.google.com/open?id=1Sq9IdLgLNgHMomPnmpCHVU4c5Qjpd_Nu, https://drive.google.com/open?id=1VKC3nELTEHp_fzpTdbxHb1Tu088CPkfC</v>
      </c>
      <c r="J2009" s="59"/>
      <c r="K2009" s="59"/>
      <c r="L2009" s="59"/>
      <c r="M2009" s="59"/>
      <c r="N2009" s="59"/>
      <c r="O2009" s="59"/>
      <c r="P2009" s="59"/>
    </row>
    <row r="2010" spans="1:16">
      <c r="A2010" s="71">
        <f ca="1">IFERROR(__xludf.DUMMYFUNCTION("""COMPUTED_VALUE"""),44155.5874126967)</f>
        <v>44155.587412696703</v>
      </c>
      <c r="B2010" s="59" t="str">
        <f ca="1">IFERROR(__xludf.DUMMYFUNCTION("""COMPUTED_VALUE"""),"PADALIYA RICHAKUMARI MANOJKUMAR ")</f>
        <v xml:space="preserve">PADALIYA RICHAKUMARI MANOJKUMAR </v>
      </c>
      <c r="C2010" s="72" t="str">
        <f ca="1">IFERROR(__xludf.DUMMYFUNCTION("""COMPUTED_VALUE"""),"19SDSCE01034")</f>
        <v>19SDSCE01034</v>
      </c>
      <c r="D2010" s="73">
        <f ca="1">IFERROR(__xludf.DUMMYFUNCTION("""COMPUTED_VALUE"""),44155)</f>
        <v>44155</v>
      </c>
      <c r="E2010" s="74">
        <f ca="1">IFERROR(__xludf.DUMMYFUNCTION("""COMPUTED_VALUE"""),8000)</f>
        <v>8000</v>
      </c>
      <c r="F2010" s="72"/>
      <c r="G2010" s="75"/>
      <c r="H2010" s="59" t="str">
        <f ca="1">IFERROR(__xludf.DUMMYFUNCTION("""COMPUTED_VALUE"""),"UPDATE")</f>
        <v>UPDATE</v>
      </c>
      <c r="I2010" s="76" t="str">
        <f ca="1">IFERROR(__xludf.DUMMYFUNCTION("""COMPUTED_VALUE"""),"https://drive.google.com/open?id=1c5y6kFN2c8JQj6nMmTjCQG57i5DzrKQc")</f>
        <v>https://drive.google.com/open?id=1c5y6kFN2c8JQj6nMmTjCQG57i5DzrKQc</v>
      </c>
      <c r="J2010" s="59"/>
      <c r="K2010" s="59"/>
      <c r="L2010" s="59"/>
      <c r="M2010" s="59"/>
      <c r="N2010" s="59"/>
      <c r="O2010" s="59"/>
      <c r="P2010" s="59"/>
    </row>
    <row r="2011" spans="1:16">
      <c r="A2011" s="71">
        <f ca="1">IFERROR(__xludf.DUMMYFUNCTION("""COMPUTED_VALUE"""),44155.5807476157)</f>
        <v>44155.580747615699</v>
      </c>
      <c r="B2011" s="59" t="str">
        <f ca="1">IFERROR(__xludf.DUMMYFUNCTION("""COMPUTED_VALUE"""),"VEKARIYA KHUSHALI NATUBHAI ")</f>
        <v xml:space="preserve">VEKARIYA KHUSHALI NATUBHAI </v>
      </c>
      <c r="C2011" s="72" t="str">
        <f ca="1">IFERROR(__xludf.DUMMYFUNCTION("""COMPUTED_VALUE"""),"19SDSCE01061")</f>
        <v>19SDSCE01061</v>
      </c>
      <c r="D2011" s="73">
        <f ca="1">IFERROR(__xludf.DUMMYFUNCTION("""COMPUTED_VALUE"""),44155)</f>
        <v>44155</v>
      </c>
      <c r="E2011" s="74">
        <f ca="1">IFERROR(__xludf.DUMMYFUNCTION("""COMPUTED_VALUE"""),8000)</f>
        <v>8000</v>
      </c>
      <c r="F2011" s="72"/>
      <c r="G2011" s="75"/>
      <c r="H2011" s="59" t="str">
        <f ca="1">IFERROR(__xludf.DUMMYFUNCTION("""COMPUTED_VALUE"""),"UPDATE")</f>
        <v>UPDATE</v>
      </c>
      <c r="I2011" s="59" t="str">
        <f ca="1">IFERROR(__xludf.DUMMYFUNCTION("""COMPUTED_VALUE"""),"https://drive.google.com/open?id=1BlZtQWPv5flXDcANrQXmqBijli0OnFT0, https://drive.google.com/open?id=1WCmSqBO4-Yzbg6w9Zn2s-OS_u3H4MTMV")</f>
        <v>https://drive.google.com/open?id=1BlZtQWPv5flXDcANrQXmqBijli0OnFT0, https://drive.google.com/open?id=1WCmSqBO4-Yzbg6w9Zn2s-OS_u3H4MTMV</v>
      </c>
      <c r="J2011" s="59"/>
      <c r="K2011" s="59"/>
      <c r="L2011" s="59"/>
      <c r="M2011" s="59"/>
      <c r="N2011" s="59"/>
      <c r="O2011" s="59"/>
      <c r="P2011" s="59"/>
    </row>
    <row r="2012" spans="1:16">
      <c r="A2012" s="71">
        <f ca="1">IFERROR(__xludf.DUMMYFUNCTION("""COMPUTED_VALUE"""),44155.5788472337)</f>
        <v>44155.578847233701</v>
      </c>
      <c r="B2012" s="59" t="str">
        <f ca="1">IFERROR(__xludf.DUMMYFUNCTION("""COMPUTED_VALUE"""),"RATANGHAIDA VANSH KETANBHA")</f>
        <v>RATANGHAIDA VANSH KETANBHA</v>
      </c>
      <c r="C2012" s="72" t="str">
        <f ca="1">IFERROR(__xludf.DUMMYFUNCTION("""COMPUTED_VALUE"""),"19SDSCE02901")</f>
        <v>19SDSCE02901</v>
      </c>
      <c r="D2012" s="73">
        <f ca="1">IFERROR(__xludf.DUMMYFUNCTION("""COMPUTED_VALUE"""),44152)</f>
        <v>44152</v>
      </c>
      <c r="E2012" s="74">
        <f ca="1">IFERROR(__xludf.DUMMYFUNCTION("""COMPUTED_VALUE"""),8000)</f>
        <v>8000</v>
      </c>
      <c r="F2012" s="72"/>
      <c r="G2012" s="75"/>
      <c r="H2012" s="59" t="str">
        <f ca="1">IFERROR(__xludf.DUMMYFUNCTION("""COMPUTED_VALUE"""),"UPDATE")</f>
        <v>UPDATE</v>
      </c>
      <c r="I2012" s="76" t="str">
        <f ca="1">IFERROR(__xludf.DUMMYFUNCTION("""COMPUTED_VALUE"""),"https://drive.google.com/open?id=1uEy7aSQ095YqbzV_qgIBpTDm1H8GJoZi")</f>
        <v>https://drive.google.com/open?id=1uEy7aSQ095YqbzV_qgIBpTDm1H8GJoZi</v>
      </c>
      <c r="J2012" s="59"/>
      <c r="K2012" s="59"/>
      <c r="L2012" s="59"/>
      <c r="M2012" s="59"/>
      <c r="N2012" s="59"/>
      <c r="O2012" s="59"/>
      <c r="P2012" s="59"/>
    </row>
    <row r="2013" spans="1:16">
      <c r="A2013" s="71">
        <f ca="1">IFERROR(__xludf.DUMMYFUNCTION("""COMPUTED_VALUE"""),44155.577988287)</f>
        <v>44155.577988286997</v>
      </c>
      <c r="B2013" s="59" t="str">
        <f ca="1">IFERROR(__xludf.DUMMYFUNCTION("""COMPUTED_VALUE"""),"KHANPARA MADHAVI VIJAYBHAI")</f>
        <v>KHANPARA MADHAVI VIJAYBHAI</v>
      </c>
      <c r="C2013" s="72" t="str">
        <f ca="1">IFERROR(__xludf.DUMMYFUNCTION("""COMPUTED_VALUE"""),"19SDSCE01023")</f>
        <v>19SDSCE01023</v>
      </c>
      <c r="D2013" s="73">
        <f ca="1">IFERROR(__xludf.DUMMYFUNCTION("""COMPUTED_VALUE"""),44154)</f>
        <v>44154</v>
      </c>
      <c r="E2013" s="74">
        <f ca="1">IFERROR(__xludf.DUMMYFUNCTION("""COMPUTED_VALUE"""),8000)</f>
        <v>8000</v>
      </c>
      <c r="F2013" s="72"/>
      <c r="G2013" s="75"/>
      <c r="H2013" s="59" t="str">
        <f ca="1">IFERROR(__xludf.DUMMYFUNCTION("""COMPUTED_VALUE"""),"UPDATE")</f>
        <v>UPDATE</v>
      </c>
      <c r="I2013" s="76" t="str">
        <f ca="1">IFERROR(__xludf.DUMMYFUNCTION("""COMPUTED_VALUE"""),"https://drive.google.com/open?id=1lwIh_PqrU18PIOxNlarjRB_ltcPqZOfo")</f>
        <v>https://drive.google.com/open?id=1lwIh_PqrU18PIOxNlarjRB_ltcPqZOfo</v>
      </c>
      <c r="J2013" s="59"/>
      <c r="K2013" s="59"/>
      <c r="L2013" s="59"/>
      <c r="M2013" s="59"/>
      <c r="N2013" s="59"/>
      <c r="O2013" s="59"/>
      <c r="P2013" s="59"/>
    </row>
    <row r="2014" spans="1:16">
      <c r="A2014" s="71">
        <f ca="1">IFERROR(__xludf.DUMMYFUNCTION("""COMPUTED_VALUE"""),44155.5759165972)</f>
        <v>44155.575916597198</v>
      </c>
      <c r="B2014" s="59" t="str">
        <f ca="1">IFERROR(__xludf.DUMMYFUNCTION("""COMPUTED_VALUE"""),"LODHIYA PARTH VIPULBHAI")</f>
        <v>LODHIYA PARTH VIPULBHAI</v>
      </c>
      <c r="C2014" s="72" t="str">
        <f ca="1">IFERROR(__xludf.DUMMYFUNCTION("""COMPUTED_VALUE"""),"19SDSCE01028")</f>
        <v>19SDSCE01028</v>
      </c>
      <c r="D2014" s="73">
        <f ca="1">IFERROR(__xludf.DUMMYFUNCTION("""COMPUTED_VALUE"""),44155)</f>
        <v>44155</v>
      </c>
      <c r="E2014" s="74">
        <f ca="1">IFERROR(__xludf.DUMMYFUNCTION("""COMPUTED_VALUE"""),8000)</f>
        <v>8000</v>
      </c>
      <c r="F2014" s="72"/>
      <c r="G2014" s="75"/>
      <c r="H2014" s="59" t="str">
        <f ca="1">IFERROR(__xludf.DUMMYFUNCTION("""COMPUTED_VALUE"""),"UPDATE")</f>
        <v>UPDATE</v>
      </c>
      <c r="I2014" s="76" t="str">
        <f ca="1">IFERROR(__xludf.DUMMYFUNCTION("""COMPUTED_VALUE"""),"https://drive.google.com/open?id=1T-HJ_lGt37BUlHswDCOYlPbj84Q5AiTC")</f>
        <v>https://drive.google.com/open?id=1T-HJ_lGt37BUlHswDCOYlPbj84Q5AiTC</v>
      </c>
      <c r="J2014" s="59"/>
      <c r="K2014" s="59"/>
      <c r="L2014" s="59"/>
      <c r="M2014" s="59"/>
      <c r="N2014" s="59"/>
      <c r="O2014" s="59"/>
      <c r="P2014" s="59"/>
    </row>
    <row r="2015" spans="1:16">
      <c r="A2015" s="71">
        <f ca="1">IFERROR(__xludf.DUMMYFUNCTION("""COMPUTED_VALUE"""),44139.7354171875)</f>
        <v>44139.735417187498</v>
      </c>
      <c r="B2015" s="59" t="str">
        <f ca="1">IFERROR(__xludf.DUMMYFUNCTION("""COMPUTED_VALUE"""),"Ambaliya malhar sureshbhai")</f>
        <v>Ambaliya malhar sureshbhai</v>
      </c>
      <c r="C2015" s="72" t="str">
        <f ca="1">IFERROR(__xludf.DUMMYFUNCTION("""COMPUTED_VALUE"""),"20SDSME01033")</f>
        <v>20SDSME01033</v>
      </c>
      <c r="D2015" s="73">
        <f ca="1">IFERROR(__xludf.DUMMYFUNCTION("""COMPUTED_VALUE"""),44076)</f>
        <v>44076</v>
      </c>
      <c r="E2015" s="74">
        <f ca="1">IFERROR(__xludf.DUMMYFUNCTION("""COMPUTED_VALUE"""),10500)</f>
        <v>10500</v>
      </c>
      <c r="F2015" s="72"/>
      <c r="G2015" s="75"/>
      <c r="H2015" s="59" t="str">
        <f ca="1">IFERROR(__xludf.DUMMYFUNCTION("""COMPUTED_VALUE"""),"UPDATE")</f>
        <v>UPDATE</v>
      </c>
      <c r="I2015" s="76" t="str">
        <f ca="1">IFERROR(__xludf.DUMMYFUNCTION("""COMPUTED_VALUE"""),"https://drive.google.com/open?id=1KtEuqlEBy5mkeuqGTVFZHefpYbAzOJtJ")</f>
        <v>https://drive.google.com/open?id=1KtEuqlEBy5mkeuqGTVFZHefpYbAzOJtJ</v>
      </c>
      <c r="J2015" s="59"/>
      <c r="K2015" s="59"/>
      <c r="L2015" s="59"/>
      <c r="M2015" s="59"/>
      <c r="N2015" s="59"/>
      <c r="O2015" s="59"/>
      <c r="P2015" s="59"/>
    </row>
    <row r="2016" spans="1:16">
      <c r="A2016" s="71">
        <f ca="1">IFERROR(__xludf.DUMMYFUNCTION("""COMPUTED_VALUE"""),44138.3486905902)</f>
        <v>44138.348690590203</v>
      </c>
      <c r="B2016" s="59" t="str">
        <f ca="1">IFERROR(__xludf.DUMMYFUNCTION("""COMPUTED_VALUE"""),"SHUKLA DHAVAL HITESHBHAI")</f>
        <v>SHUKLA DHAVAL HITESHBHAI</v>
      </c>
      <c r="C2016" s="72" t="str">
        <f ca="1">IFERROR(__xludf.DUMMYFUNCTION("""COMPUTED_VALUE"""),"18SDSCE01060")</f>
        <v>18SDSCE01060</v>
      </c>
      <c r="D2016" s="73">
        <f ca="1">IFERROR(__xludf.DUMMYFUNCTION("""COMPUTED_VALUE"""),44162)</f>
        <v>44162</v>
      </c>
      <c r="E2016" s="74">
        <f ca="1">IFERROR(__xludf.DUMMYFUNCTION("""COMPUTED_VALUE"""),8500)</f>
        <v>8500</v>
      </c>
      <c r="F2016" s="72"/>
      <c r="G2016" s="75"/>
      <c r="H2016" s="59" t="str">
        <f ca="1">IFERROR(__xludf.DUMMYFUNCTION("""COMPUTED_VALUE"""),"UPDATE")</f>
        <v>UPDATE</v>
      </c>
      <c r="I2016" s="76" t="str">
        <f ca="1">IFERROR(__xludf.DUMMYFUNCTION("""COMPUTED_VALUE"""),"https://drive.google.com/open?id=1dDaWE-PWDHw9zlDxUQsebYrk-QCK9xbg")</f>
        <v>https://drive.google.com/open?id=1dDaWE-PWDHw9zlDxUQsebYrk-QCK9xbg</v>
      </c>
      <c r="J2016" s="59"/>
      <c r="K2016" s="59"/>
      <c r="L2016" s="59"/>
      <c r="M2016" s="59"/>
      <c r="N2016" s="59"/>
      <c r="O2016" s="59"/>
      <c r="P2016" s="59"/>
    </row>
    <row r="2017" spans="1:16">
      <c r="A2017" s="71">
        <f ca="1">IFERROR(__xludf.DUMMYFUNCTION("""COMPUTED_VALUE"""),44137.4691887268)</f>
        <v>44137.469188726798</v>
      </c>
      <c r="B2017" s="59" t="str">
        <f ca="1">IFERROR(__xludf.DUMMYFUNCTION("""COMPUTED_VALUE"""),"HARDIK MORI")</f>
        <v>HARDIK MORI</v>
      </c>
      <c r="C2017" s="72" t="str">
        <f ca="1">IFERROR(__xludf.DUMMYFUNCTION("""COMPUTED_VALUE"""),"18SDSCE01039")</f>
        <v>18SDSCE01039</v>
      </c>
      <c r="D2017" s="73">
        <f ca="1">IFERROR(__xludf.DUMMYFUNCTION("""COMPUTED_VALUE"""),44136)</f>
        <v>44136</v>
      </c>
      <c r="E2017" s="74">
        <f ca="1">IFERROR(__xludf.DUMMYFUNCTION("""COMPUTED_VALUE"""),8500)</f>
        <v>8500</v>
      </c>
      <c r="F2017" s="72"/>
      <c r="G2017" s="75"/>
      <c r="H2017" s="59" t="str">
        <f ca="1">IFERROR(__xludf.DUMMYFUNCTION("""COMPUTED_VALUE"""),"UPDATE")</f>
        <v>UPDATE</v>
      </c>
      <c r="I2017" s="76" t="str">
        <f ca="1">IFERROR(__xludf.DUMMYFUNCTION("""COMPUTED_VALUE"""),"https://drive.google.com/open?id=1S8SBYwExvRivT8YWbX4cQruUljh0zdGD")</f>
        <v>https://drive.google.com/open?id=1S8SBYwExvRivT8YWbX4cQruUljh0zdGD</v>
      </c>
      <c r="J2017" s="59"/>
      <c r="K2017" s="59"/>
      <c r="L2017" s="59"/>
      <c r="M2017" s="59"/>
      <c r="N2017" s="59"/>
      <c r="O2017" s="59"/>
      <c r="P2017" s="59"/>
    </row>
    <row r="2018" spans="1:16">
      <c r="A2018" s="71">
        <f ca="1">IFERROR(__xludf.DUMMYFUNCTION("""COMPUTED_VALUE"""),44135.3679333796)</f>
        <v>44135.367933379603</v>
      </c>
      <c r="B2018" s="59" t="str">
        <f ca="1">IFERROR(__xludf.DUMMYFUNCTION("""COMPUTED_VALUE"""),"VIRADIYA KAUSHIK JAYSUKHBHAI")</f>
        <v>VIRADIYA KAUSHIK JAYSUKHBHAI</v>
      </c>
      <c r="C2018" s="72" t="str">
        <f ca="1">IFERROR(__xludf.DUMMYFUNCTION("""COMPUTED_VALUE"""),"18SDSCE01072")</f>
        <v>18SDSCE01072</v>
      </c>
      <c r="D2018" s="73">
        <f ca="1">IFERROR(__xludf.DUMMYFUNCTION("""COMPUTED_VALUE"""),44133)</f>
        <v>44133</v>
      </c>
      <c r="E2018" s="74">
        <f ca="1">IFERROR(__xludf.DUMMYFUNCTION("""COMPUTED_VALUE"""),8000)</f>
        <v>8000</v>
      </c>
      <c r="F2018" s="72"/>
      <c r="G2018" s="75"/>
      <c r="H2018" s="59" t="str">
        <f ca="1">IFERROR(__xludf.DUMMYFUNCTION("""COMPUTED_VALUE"""),"UPDATE")</f>
        <v>UPDATE</v>
      </c>
      <c r="I2018" s="76" t="str">
        <f ca="1">IFERROR(__xludf.DUMMYFUNCTION("""COMPUTED_VALUE"""),"https://drive.google.com/open?id=1CrRbGI4gVnuTu0FGKWFrKbINCTfg2lq6")</f>
        <v>https://drive.google.com/open?id=1CrRbGI4gVnuTu0FGKWFrKbINCTfg2lq6</v>
      </c>
      <c r="J2018" s="59"/>
      <c r="K2018" s="59"/>
      <c r="L2018" s="59"/>
      <c r="M2018" s="59"/>
      <c r="N2018" s="59"/>
      <c r="O2018" s="59"/>
      <c r="P2018" s="59"/>
    </row>
    <row r="2019" spans="1:16">
      <c r="A2019" s="71">
        <f ca="1">IFERROR(__xludf.DUMMYFUNCTION("""COMPUTED_VALUE"""),44132.4184798611)</f>
        <v>44132.418479861102</v>
      </c>
      <c r="B2019" s="59" t="str">
        <f ca="1">IFERROR(__xludf.DUMMYFUNCTION("""COMPUTED_VALUE"""),"Krunal Movalia")</f>
        <v>Krunal Movalia</v>
      </c>
      <c r="C2019" s="72" t="str">
        <f ca="1">IFERROR(__xludf.DUMMYFUNCTION("""COMPUTED_VALUE"""),"18SDSCE01041")</f>
        <v>18SDSCE01041</v>
      </c>
      <c r="D2019" s="73">
        <f ca="1">IFERROR(__xludf.DUMMYFUNCTION("""COMPUTED_VALUE"""),44132)</f>
        <v>44132</v>
      </c>
      <c r="E2019" s="74">
        <f ca="1">IFERROR(__xludf.DUMMYFUNCTION("""COMPUTED_VALUE"""),8000)</f>
        <v>8000</v>
      </c>
      <c r="F2019" s="72"/>
      <c r="G2019" s="75"/>
      <c r="H2019" s="59" t="str">
        <f ca="1">IFERROR(__xludf.DUMMYFUNCTION("""COMPUTED_VALUE"""),"UPDATE")</f>
        <v>UPDATE</v>
      </c>
      <c r="I2019" s="76" t="str">
        <f ca="1">IFERROR(__xludf.DUMMYFUNCTION("""COMPUTED_VALUE"""),"https://drive.google.com/open?id=1n7VW9a0iwKA1oqNsrj7Rlcnv9JFomSjp")</f>
        <v>https://drive.google.com/open?id=1n7VW9a0iwKA1oqNsrj7Rlcnv9JFomSjp</v>
      </c>
      <c r="J2019" s="59"/>
      <c r="K2019" s="59"/>
      <c r="L2019" s="59"/>
      <c r="M2019" s="59"/>
      <c r="N2019" s="59"/>
      <c r="O2019" s="59"/>
      <c r="P2019" s="59"/>
    </row>
    <row r="2020" spans="1:16">
      <c r="A2020" s="71">
        <f ca="1">IFERROR(__xludf.DUMMYFUNCTION("""COMPUTED_VALUE"""),44131.5954115509)</f>
        <v>44131.595411550901</v>
      </c>
      <c r="B2020" s="59" t="str">
        <f ca="1">IFERROR(__xludf.DUMMYFUNCTION("""COMPUTED_VALUE"""),"TIWARI AMIT SATISHCHANDRA")</f>
        <v>TIWARI AMIT SATISHCHANDRA</v>
      </c>
      <c r="C2020" s="72" t="str">
        <f ca="1">IFERROR(__xludf.DUMMYFUNCTION("""COMPUTED_VALUE"""),"18SDSCE01065")</f>
        <v>18SDSCE01065</v>
      </c>
      <c r="D2020" s="73">
        <f ca="1">IFERROR(__xludf.DUMMYFUNCTION("""COMPUTED_VALUE"""),44131)</f>
        <v>44131</v>
      </c>
      <c r="E2020" s="74">
        <f ca="1">IFERROR(__xludf.DUMMYFUNCTION("""COMPUTED_VALUE"""),8500)</f>
        <v>8500</v>
      </c>
      <c r="F2020" s="72"/>
      <c r="G2020" s="75"/>
      <c r="H2020" s="59" t="str">
        <f ca="1">IFERROR(__xludf.DUMMYFUNCTION("""COMPUTED_VALUE"""),"UPDATE")</f>
        <v>UPDATE</v>
      </c>
      <c r="I2020" s="76" t="str">
        <f ca="1">IFERROR(__xludf.DUMMYFUNCTION("""COMPUTED_VALUE"""),"https://drive.google.com/open?id=1UjLjpKOXO_mh4GvFPK4xDQVrc0Z-pRJO")</f>
        <v>https://drive.google.com/open?id=1UjLjpKOXO_mh4GvFPK4xDQVrc0Z-pRJO</v>
      </c>
      <c r="J2020" s="59"/>
      <c r="K2020" s="59"/>
      <c r="L2020" s="59"/>
      <c r="M2020" s="59"/>
      <c r="N2020" s="59"/>
      <c r="O2020" s="59"/>
      <c r="P2020" s="59"/>
    </row>
    <row r="2021" spans="1:16">
      <c r="A2021" s="71">
        <f ca="1">IFERROR(__xludf.DUMMYFUNCTION("""COMPUTED_VALUE"""),44131.575286331)</f>
        <v>44131.575286330997</v>
      </c>
      <c r="B2021" s="59" t="str">
        <f ca="1">IFERROR(__xludf.DUMMYFUNCTION("""COMPUTED_VALUE"""),"GADHETHARIA JAY MUKESH")</f>
        <v>GADHETHARIA JAY MUKESH</v>
      </c>
      <c r="C2021" s="72" t="str">
        <f ca="1">IFERROR(__xludf.DUMMYFUNCTION("""COMPUTED_VALUE"""),"18SDSCE01016")</f>
        <v>18SDSCE01016</v>
      </c>
      <c r="D2021" s="73">
        <f ca="1">IFERROR(__xludf.DUMMYFUNCTION("""COMPUTED_VALUE"""),44128)</f>
        <v>44128</v>
      </c>
      <c r="E2021" s="74">
        <f ca="1">IFERROR(__xludf.DUMMYFUNCTION("""COMPUTED_VALUE"""),8000)</f>
        <v>8000</v>
      </c>
      <c r="F2021" s="72"/>
      <c r="G2021" s="75"/>
      <c r="H2021" s="59" t="str">
        <f ca="1">IFERROR(__xludf.DUMMYFUNCTION("""COMPUTED_VALUE"""),"UPDATE")</f>
        <v>UPDATE</v>
      </c>
      <c r="I2021" s="76" t="str">
        <f ca="1">IFERROR(__xludf.DUMMYFUNCTION("""COMPUTED_VALUE"""),"https://drive.google.com/open?id=1Rvg-3swKNfKIo5ydvGeZuWhQ1RYODnWa")</f>
        <v>https://drive.google.com/open?id=1Rvg-3swKNfKIo5ydvGeZuWhQ1RYODnWa</v>
      </c>
      <c r="J2021" s="59"/>
      <c r="K2021" s="59"/>
      <c r="L2021" s="59"/>
      <c r="M2021" s="59"/>
      <c r="N2021" s="59"/>
      <c r="O2021" s="59"/>
      <c r="P2021" s="59"/>
    </row>
    <row r="2022" spans="1:16">
      <c r="A2022" s="71">
        <f ca="1">IFERROR(__xludf.DUMMYFUNCTION("""COMPUTED_VALUE"""),44131.5661842824)</f>
        <v>44131.566184282397</v>
      </c>
      <c r="B2022" s="59" t="str">
        <f ca="1">IFERROR(__xludf.DUMMYFUNCTION("""COMPUTED_VALUE"""),"Harshil Vadi")</f>
        <v>Harshil Vadi</v>
      </c>
      <c r="C2022" s="72" t="str">
        <f ca="1">IFERROR(__xludf.DUMMYFUNCTION("""COMPUTED_VALUE"""),"18SDSCE01069")</f>
        <v>18SDSCE01069</v>
      </c>
      <c r="D2022" s="73">
        <f ca="1">IFERROR(__xludf.DUMMYFUNCTION("""COMPUTED_VALUE"""),44131)</f>
        <v>44131</v>
      </c>
      <c r="E2022" s="74">
        <f ca="1">IFERROR(__xludf.DUMMYFUNCTION("""COMPUTED_VALUE"""),8000)</f>
        <v>8000</v>
      </c>
      <c r="F2022" s="72"/>
      <c r="G2022" s="75"/>
      <c r="H2022" s="59" t="str">
        <f ca="1">IFERROR(__xludf.DUMMYFUNCTION("""COMPUTED_VALUE"""),"UPDATE")</f>
        <v>UPDATE</v>
      </c>
      <c r="I2022" s="76" t="str">
        <f ca="1">IFERROR(__xludf.DUMMYFUNCTION("""COMPUTED_VALUE"""),"https://drive.google.com/open?id=1fVKmJONTdbB9vF6Tkg2Vr-IPyFikfoZa")</f>
        <v>https://drive.google.com/open?id=1fVKmJONTdbB9vF6Tkg2Vr-IPyFikfoZa</v>
      </c>
      <c r="J2022" s="59"/>
      <c r="K2022" s="59"/>
      <c r="L2022" s="59"/>
      <c r="M2022" s="59"/>
      <c r="N2022" s="59"/>
      <c r="O2022" s="59"/>
      <c r="P2022" s="59"/>
    </row>
    <row r="2023" spans="1:16">
      <c r="A2023" s="71">
        <f ca="1">IFERROR(__xludf.DUMMYFUNCTION("""COMPUTED_VALUE"""),44130.6058385763)</f>
        <v>44130.605838576303</v>
      </c>
      <c r="B2023" s="59" t="str">
        <f ca="1">IFERROR(__xludf.DUMMYFUNCTION("""COMPUTED_VALUE"""),"THUMMAR SAGAR GORDHANBHAI")</f>
        <v>THUMMAR SAGAR GORDHANBHAI</v>
      </c>
      <c r="C2023" s="72" t="str">
        <f ca="1">IFERROR(__xludf.DUMMYFUNCTION("""COMPUTED_VALUE"""),"18SDSCE01063")</f>
        <v>18SDSCE01063</v>
      </c>
      <c r="D2023" s="73">
        <f ca="1">IFERROR(__xludf.DUMMYFUNCTION("""COMPUTED_VALUE"""),44117)</f>
        <v>44117</v>
      </c>
      <c r="E2023" s="74">
        <f ca="1">IFERROR(__xludf.DUMMYFUNCTION("""COMPUTED_VALUE"""),8500)</f>
        <v>8500</v>
      </c>
      <c r="F2023" s="72"/>
      <c r="G2023" s="75"/>
      <c r="H2023" s="59" t="str">
        <f ca="1">IFERROR(__xludf.DUMMYFUNCTION("""COMPUTED_VALUE"""),"UPDATE")</f>
        <v>UPDATE</v>
      </c>
      <c r="I2023" s="76" t="str">
        <f ca="1">IFERROR(__xludf.DUMMYFUNCTION("""COMPUTED_VALUE"""),"https://drive.google.com/open?id=1tXeeKAZI5MwqgJf3RXhcMRHydeNF4-i1")</f>
        <v>https://drive.google.com/open?id=1tXeeKAZI5MwqgJf3RXhcMRHydeNF4-i1</v>
      </c>
      <c r="J2023" s="59"/>
      <c r="K2023" s="59"/>
      <c r="L2023" s="59"/>
      <c r="M2023" s="59"/>
      <c r="N2023" s="59"/>
      <c r="O2023" s="59"/>
      <c r="P2023" s="59"/>
    </row>
    <row r="2024" spans="1:16">
      <c r="A2024" s="71">
        <f ca="1">IFERROR(__xludf.DUMMYFUNCTION("""COMPUTED_VALUE"""),44130.6042238657)</f>
        <v>44130.604223865703</v>
      </c>
      <c r="B2024" s="59" t="str">
        <f ca="1">IFERROR(__xludf.DUMMYFUNCTION("""COMPUTED_VALUE"""),"Dave Riya")</f>
        <v>Dave Riya</v>
      </c>
      <c r="C2024" s="72" t="str">
        <f ca="1">IFERROR(__xludf.DUMMYFUNCTION("""COMPUTED_VALUE"""),"18SDSCE01011")</f>
        <v>18SDSCE01011</v>
      </c>
      <c r="D2024" s="73">
        <f ca="1">IFERROR(__xludf.DUMMYFUNCTION("""COMPUTED_VALUE"""),44130)</f>
        <v>44130</v>
      </c>
      <c r="E2024" s="74">
        <f ca="1">IFERROR(__xludf.DUMMYFUNCTION("""COMPUTED_VALUE"""),16500)</f>
        <v>16500</v>
      </c>
      <c r="F2024" s="72"/>
      <c r="G2024" s="75"/>
      <c r="H2024" s="59" t="str">
        <f ca="1">IFERROR(__xludf.DUMMYFUNCTION("""COMPUTED_VALUE"""),"UPDATE")</f>
        <v>UPDATE</v>
      </c>
      <c r="I2024" s="76" t="str">
        <f ca="1">IFERROR(__xludf.DUMMYFUNCTION("""COMPUTED_VALUE"""),"https://drive.google.com/open?id=1LczyntVKKXGuOCu8H0XZKT3IfDrTjXhH")</f>
        <v>https://drive.google.com/open?id=1LczyntVKKXGuOCu8H0XZKT3IfDrTjXhH</v>
      </c>
      <c r="J2024" s="59"/>
      <c r="K2024" s="59"/>
      <c r="L2024" s="59"/>
      <c r="M2024" s="59"/>
      <c r="N2024" s="59"/>
      <c r="O2024" s="59"/>
      <c r="P2024" s="59"/>
    </row>
    <row r="2025" spans="1:16">
      <c r="A2025" s="71">
        <f ca="1">IFERROR(__xludf.DUMMYFUNCTION("""COMPUTED_VALUE"""),44130.5549274652)</f>
        <v>44130.5549274652</v>
      </c>
      <c r="B2025" s="59" t="str">
        <f ca="1">IFERROR(__xludf.DUMMYFUNCTION("""COMPUTED_VALUE"""),"JOSHI HARIOM KAMLESHKUMAR")</f>
        <v>JOSHI HARIOM KAMLESHKUMAR</v>
      </c>
      <c r="C2025" s="72" t="str">
        <f ca="1">IFERROR(__xludf.DUMMYFUNCTION("""COMPUTED_VALUE"""),"19SDSCE01017")</f>
        <v>19SDSCE01017</v>
      </c>
      <c r="D2025" s="73">
        <f ca="1">IFERROR(__xludf.DUMMYFUNCTION("""COMPUTED_VALUE"""),44130)</f>
        <v>44130</v>
      </c>
      <c r="E2025" s="74">
        <f ca="1">IFERROR(__xludf.DUMMYFUNCTION("""COMPUTED_VALUE"""),15000)</f>
        <v>15000</v>
      </c>
      <c r="F2025" s="72"/>
      <c r="G2025" s="75"/>
      <c r="H2025" s="59" t="str">
        <f ca="1">IFERROR(__xludf.DUMMYFUNCTION("""COMPUTED_VALUE"""),"UPDATE")</f>
        <v>UPDATE</v>
      </c>
      <c r="I2025" s="76" t="str">
        <f ca="1">IFERROR(__xludf.DUMMYFUNCTION("""COMPUTED_VALUE"""),"https://drive.google.com/open?id=1HNPJtcyVbLSsyePKV69DhLHzD8KYB7av")</f>
        <v>https://drive.google.com/open?id=1HNPJtcyVbLSsyePKV69DhLHzD8KYB7av</v>
      </c>
      <c r="J2025" s="59"/>
      <c r="K2025" s="59"/>
      <c r="L2025" s="59"/>
      <c r="M2025" s="59"/>
      <c r="N2025" s="59"/>
      <c r="O2025" s="59"/>
      <c r="P2025" s="59"/>
    </row>
    <row r="2026" spans="1:16">
      <c r="A2026" s="71">
        <f ca="1">IFERROR(__xludf.DUMMYFUNCTION("""COMPUTED_VALUE"""),44130.5521344328)</f>
        <v>44130.552134432801</v>
      </c>
      <c r="B2026" s="59" t="str">
        <f ca="1">IFERROR(__xludf.DUMMYFUNCTION("""COMPUTED_VALUE"""),"VALA PRIYA BHIKHUBHAI")</f>
        <v>VALA PRIYA BHIKHUBHAI</v>
      </c>
      <c r="C2026" s="72" t="str">
        <f ca="1">IFERROR(__xludf.DUMMYFUNCTION("""COMPUTED_VALUE"""),"19SDSCE01059")</f>
        <v>19SDSCE01059</v>
      </c>
      <c r="D2026" s="73">
        <f ca="1">IFERROR(__xludf.DUMMYFUNCTION("""COMPUTED_VALUE"""),44114)</f>
        <v>44114</v>
      </c>
      <c r="E2026" s="74">
        <f ca="1">IFERROR(__xludf.DUMMYFUNCTION("""COMPUTED_VALUE"""),8500)</f>
        <v>8500</v>
      </c>
      <c r="F2026" s="72"/>
      <c r="G2026" s="75"/>
      <c r="H2026" s="59" t="str">
        <f ca="1">IFERROR(__xludf.DUMMYFUNCTION("""COMPUTED_VALUE"""),"UPDATE")</f>
        <v>UPDATE</v>
      </c>
      <c r="I2026" s="76" t="str">
        <f ca="1">IFERROR(__xludf.DUMMYFUNCTION("""COMPUTED_VALUE"""),"https://drive.google.com/open?id=1UnmsjNAuptzDHVuiy62zDnXUCOrQNLe5")</f>
        <v>https://drive.google.com/open?id=1UnmsjNAuptzDHVuiy62zDnXUCOrQNLe5</v>
      </c>
      <c r="J2026" s="59"/>
      <c r="K2026" s="59"/>
      <c r="L2026" s="59"/>
      <c r="M2026" s="59"/>
      <c r="N2026" s="59"/>
      <c r="O2026" s="59"/>
      <c r="P2026" s="59"/>
    </row>
    <row r="2027" spans="1:16">
      <c r="A2027" s="71">
        <f ca="1">IFERROR(__xludf.DUMMYFUNCTION("""COMPUTED_VALUE"""),44130.5492941088)</f>
        <v>44130.549294108801</v>
      </c>
      <c r="B2027" s="59" t="str">
        <f ca="1">IFERROR(__xludf.DUMMYFUNCTION("""COMPUTED_VALUE"""),"KHATRA PALLAVI ARVINDBHAI")</f>
        <v>KHATRA PALLAVI ARVINDBHAI</v>
      </c>
      <c r="C2027" s="72" t="str">
        <f ca="1">IFERROR(__xludf.DUMMYFUNCTION("""COMPUTED_VALUE"""),"19SDSCE01024")</f>
        <v>19SDSCE01024</v>
      </c>
      <c r="D2027" s="73">
        <f ca="1">IFERROR(__xludf.DUMMYFUNCTION("""COMPUTED_VALUE"""),44114)</f>
        <v>44114</v>
      </c>
      <c r="E2027" s="74">
        <f ca="1">IFERROR(__xludf.DUMMYFUNCTION("""COMPUTED_VALUE"""),8500)</f>
        <v>8500</v>
      </c>
      <c r="F2027" s="72"/>
      <c r="G2027" s="75"/>
      <c r="H2027" s="59" t="str">
        <f ca="1">IFERROR(__xludf.DUMMYFUNCTION("""COMPUTED_VALUE"""),"UPDATE")</f>
        <v>UPDATE</v>
      </c>
      <c r="I2027" s="76" t="str">
        <f ca="1">IFERROR(__xludf.DUMMYFUNCTION("""COMPUTED_VALUE"""),"https://drive.google.com/open?id=1iDhaTpT2yX4ObGEjgqN_puYG38hwTByS")</f>
        <v>https://drive.google.com/open?id=1iDhaTpT2yX4ObGEjgqN_puYG38hwTByS</v>
      </c>
      <c r="J2027" s="59"/>
      <c r="K2027" s="59"/>
      <c r="L2027" s="59"/>
      <c r="M2027" s="59"/>
      <c r="N2027" s="59"/>
      <c r="O2027" s="59"/>
      <c r="P2027" s="59"/>
    </row>
    <row r="2028" spans="1:16">
      <c r="A2028" s="71">
        <f ca="1">IFERROR(__xludf.DUMMYFUNCTION("""COMPUTED_VALUE"""),44130.5183984837)</f>
        <v>44130.518398483699</v>
      </c>
      <c r="B2028" s="59" t="str">
        <f ca="1">IFERROR(__xludf.DUMMYFUNCTION("""COMPUTED_VALUE"""),"SHAH DHWAJ PIYUSH")</f>
        <v>SHAH DHWAJ PIYUSH</v>
      </c>
      <c r="C2028" s="72" t="str">
        <f ca="1">IFERROR(__xludf.DUMMYFUNCTION("""COMPUTED_VALUE"""),"19SDSCE01046")</f>
        <v>19SDSCE01046</v>
      </c>
      <c r="D2028" s="73">
        <f ca="1">IFERROR(__xludf.DUMMYFUNCTION("""COMPUTED_VALUE"""),44124)</f>
        <v>44124</v>
      </c>
      <c r="E2028" s="74">
        <f ca="1">IFERROR(__xludf.DUMMYFUNCTION("""COMPUTED_VALUE"""),8000)</f>
        <v>8000</v>
      </c>
      <c r="F2028" s="72"/>
      <c r="G2028" s="75"/>
      <c r="H2028" s="59" t="str">
        <f ca="1">IFERROR(__xludf.DUMMYFUNCTION("""COMPUTED_VALUE"""),"UPDATE")</f>
        <v>UPDATE</v>
      </c>
      <c r="I2028" s="76" t="str">
        <f ca="1">IFERROR(__xludf.DUMMYFUNCTION("""COMPUTED_VALUE"""),"https://drive.google.com/open?id=1YFxeR7HKLhuc_-uiCRmtcBTy6O9IR1qs")</f>
        <v>https://drive.google.com/open?id=1YFxeR7HKLhuc_-uiCRmtcBTy6O9IR1qs</v>
      </c>
      <c r="J2028" s="59"/>
      <c r="K2028" s="59"/>
      <c r="L2028" s="59"/>
      <c r="M2028" s="59"/>
      <c r="N2028" s="59"/>
      <c r="O2028" s="59"/>
      <c r="P2028" s="59"/>
    </row>
    <row r="2029" spans="1:16">
      <c r="A2029" s="71">
        <f ca="1">IFERROR(__xludf.DUMMYFUNCTION("""COMPUTED_VALUE"""),44123.5348821643)</f>
        <v>44123.534882164298</v>
      </c>
      <c r="B2029" s="59" t="str">
        <f ca="1">IFERROR(__xludf.DUMMYFUNCTION("""COMPUTED_VALUE"""),"KATHESIYA VAIBHAV JAGDISHBHAI")</f>
        <v>KATHESIYA VAIBHAV JAGDISHBHAI</v>
      </c>
      <c r="C2029" s="72" t="str">
        <f ca="1">IFERROR(__xludf.DUMMYFUNCTION("""COMPUTED_VALUE"""),"16SDSME01019")</f>
        <v>16SDSME01019</v>
      </c>
      <c r="D2029" s="73">
        <f ca="1">IFERROR(__xludf.DUMMYFUNCTION("""COMPUTED_VALUE"""),44117)</f>
        <v>44117</v>
      </c>
      <c r="E2029" s="74">
        <f ca="1">IFERROR(__xludf.DUMMYFUNCTION("""COMPUTED_VALUE"""),8500)</f>
        <v>8500</v>
      </c>
      <c r="F2029" s="72"/>
      <c r="G2029" s="75"/>
      <c r="H2029" s="59" t="str">
        <f ca="1">IFERROR(__xludf.DUMMYFUNCTION("""COMPUTED_VALUE"""),"UPDATE")</f>
        <v>UPDATE</v>
      </c>
      <c r="I2029" s="76" t="str">
        <f ca="1">IFERROR(__xludf.DUMMYFUNCTION("""COMPUTED_VALUE"""),"https://drive.google.com/open?id=1atJVbWiywYNZEM_VA3-aI5LpXQ_z_QLl")</f>
        <v>https://drive.google.com/open?id=1atJVbWiywYNZEM_VA3-aI5LpXQ_z_QLl</v>
      </c>
      <c r="J2029" s="59"/>
      <c r="K2029" s="59"/>
      <c r="L2029" s="59"/>
      <c r="M2029" s="59"/>
      <c r="N2029" s="59"/>
      <c r="O2029" s="59"/>
      <c r="P2029" s="59"/>
    </row>
    <row r="2030" spans="1:16">
      <c r="A2030" s="71">
        <f ca="1">IFERROR(__xludf.DUMMYFUNCTION("""COMPUTED_VALUE"""),44120.4953809143)</f>
        <v>44120.495380914297</v>
      </c>
      <c r="B2030" s="59" t="str">
        <f ca="1">IFERROR(__xludf.DUMMYFUNCTION("""COMPUTED_VALUE"""),"Thoriya Shakti Dineshbhai")</f>
        <v>Thoriya Shakti Dineshbhai</v>
      </c>
      <c r="C2030" s="72" t="str">
        <f ca="1">IFERROR(__xludf.DUMMYFUNCTION("""COMPUTED_VALUE"""),"18SDSCV01021")</f>
        <v>18SDSCV01021</v>
      </c>
      <c r="D2030" s="73">
        <f ca="1">IFERROR(__xludf.DUMMYFUNCTION("""COMPUTED_VALUE"""),44072)</f>
        <v>44072</v>
      </c>
      <c r="E2030" s="74">
        <f ca="1">IFERROR(__xludf.DUMMYFUNCTION("""COMPUTED_VALUE"""),0)</f>
        <v>0</v>
      </c>
      <c r="F2030" s="72">
        <f ca="1">IFERROR(__xludf.DUMMYFUNCTION("""COMPUTED_VALUE"""),2500)</f>
        <v>2500</v>
      </c>
      <c r="G2030" s="75"/>
      <c r="H2030" s="59" t="str">
        <f ca="1">IFERROR(__xludf.DUMMYFUNCTION("""COMPUTED_VALUE"""),"UPDATE")</f>
        <v>UPDATE</v>
      </c>
      <c r="I2030" s="76" t="str">
        <f ca="1">IFERROR(__xludf.DUMMYFUNCTION("""COMPUTED_VALUE"""),"https://drive.google.com/open?id=14LLcHi17cT1-UzW-reWpXrwqsAbANgkn")</f>
        <v>https://drive.google.com/open?id=14LLcHi17cT1-UzW-reWpXrwqsAbANgkn</v>
      </c>
      <c r="J2030" s="59"/>
      <c r="K2030" s="59"/>
      <c r="L2030" s="59"/>
      <c r="M2030" s="59"/>
      <c r="N2030" s="59"/>
      <c r="O2030" s="59"/>
      <c r="P2030" s="59"/>
    </row>
    <row r="2031" spans="1:16">
      <c r="A2031" s="71">
        <f ca="1">IFERROR(__xludf.DUMMYFUNCTION("""COMPUTED_VALUE"""),44119.4096206481)</f>
        <v>44119.409620648097</v>
      </c>
      <c r="B2031" s="59" t="str">
        <f ca="1">IFERROR(__xludf.DUMMYFUNCTION("""COMPUTED_VALUE"""),"RATANGHAIDA VANSH KETANBHA")</f>
        <v>RATANGHAIDA VANSH KETANBHA</v>
      </c>
      <c r="C2031" s="72" t="str">
        <f ca="1">IFERROR(__xludf.DUMMYFUNCTION("""COMPUTED_VALUE"""),"19SDSCE02901")</f>
        <v>19SDSCE02901</v>
      </c>
      <c r="D2031" s="73">
        <f ca="1">IFERROR(__xludf.DUMMYFUNCTION("""COMPUTED_VALUE"""),44114)</f>
        <v>44114</v>
      </c>
      <c r="E2031" s="74">
        <f ca="1">IFERROR(__xludf.DUMMYFUNCTION("""COMPUTED_VALUE"""),8500)</f>
        <v>8500</v>
      </c>
      <c r="F2031" s="72"/>
      <c r="G2031" s="75"/>
      <c r="H2031" s="59" t="str">
        <f ca="1">IFERROR(__xludf.DUMMYFUNCTION("""COMPUTED_VALUE"""),"UPDATE")</f>
        <v>UPDATE</v>
      </c>
      <c r="I2031" s="76" t="str">
        <f ca="1">IFERROR(__xludf.DUMMYFUNCTION("""COMPUTED_VALUE"""),"https://drive.google.com/open?id=1D_4kks_mMwROYu9gxhHSeL5U_rXoH8CX")</f>
        <v>https://drive.google.com/open?id=1D_4kks_mMwROYu9gxhHSeL5U_rXoH8CX</v>
      </c>
      <c r="J2031" s="59"/>
      <c r="K2031" s="59"/>
      <c r="L2031" s="59"/>
      <c r="M2031" s="59"/>
      <c r="N2031" s="59"/>
      <c r="O2031" s="59"/>
      <c r="P2031" s="59"/>
    </row>
    <row r="2032" spans="1:16">
      <c r="A2032" s="71">
        <f ca="1">IFERROR(__xludf.DUMMYFUNCTION("""COMPUTED_VALUE"""),44119.358095868)</f>
        <v>44119.358095868003</v>
      </c>
      <c r="B2032" s="59" t="str">
        <f ca="1">IFERROR(__xludf.DUMMYFUNCTION("""COMPUTED_VALUE"""),"SHINGALA PRINCE NILESHKUMAR")</f>
        <v>SHINGALA PRINCE NILESHKUMAR</v>
      </c>
      <c r="C2032" s="72" t="str">
        <f ca="1">IFERROR(__xludf.DUMMYFUNCTION("""COMPUTED_VALUE"""),"19SDSME01025")</f>
        <v>19SDSME01025</v>
      </c>
      <c r="D2032" s="73">
        <f ca="1">IFERROR(__xludf.DUMMYFUNCTION("""COMPUTED_VALUE"""),44115)</f>
        <v>44115</v>
      </c>
      <c r="E2032" s="74">
        <f ca="1">IFERROR(__xludf.DUMMYFUNCTION("""COMPUTED_VALUE"""),8500)</f>
        <v>8500</v>
      </c>
      <c r="F2032" s="72"/>
      <c r="G2032" s="75"/>
      <c r="H2032" s="59" t="str">
        <f ca="1">IFERROR(__xludf.DUMMYFUNCTION("""COMPUTED_VALUE"""),"UPDATE")</f>
        <v>UPDATE</v>
      </c>
      <c r="I2032" s="76" t="str">
        <f ca="1">IFERROR(__xludf.DUMMYFUNCTION("""COMPUTED_VALUE"""),"https://drive.google.com/open?id=18EFi9xk2E48f3EHRzmTqGuNoyB2ZpQSj")</f>
        <v>https://drive.google.com/open?id=18EFi9xk2E48f3EHRzmTqGuNoyB2ZpQSj</v>
      </c>
      <c r="J2032" s="59"/>
      <c r="K2032" s="59"/>
      <c r="L2032" s="59"/>
      <c r="M2032" s="59"/>
      <c r="N2032" s="59"/>
      <c r="O2032" s="59"/>
      <c r="P2032" s="59"/>
    </row>
    <row r="2033" spans="1:16">
      <c r="A2033" s="71">
        <f ca="1">IFERROR(__xludf.DUMMYFUNCTION("""COMPUTED_VALUE"""),44119.3572680324)</f>
        <v>44119.3572680324</v>
      </c>
      <c r="B2033" s="59" t="str">
        <f ca="1">IFERROR(__xludf.DUMMYFUNCTION("""COMPUTED_VALUE"""),"RANPARIYA YASH HASMUKHBHAI")</f>
        <v>RANPARIYA YASH HASMUKHBHAI</v>
      </c>
      <c r="C2033" s="72" t="str">
        <f ca="1">IFERROR(__xludf.DUMMYFUNCTION("""COMPUTED_VALUE"""),"19SDSME01020")</f>
        <v>19SDSME01020</v>
      </c>
      <c r="D2033" s="73">
        <f ca="1">IFERROR(__xludf.DUMMYFUNCTION("""COMPUTED_VALUE"""),44115)</f>
        <v>44115</v>
      </c>
      <c r="E2033" s="74">
        <f ca="1">IFERROR(__xludf.DUMMYFUNCTION("""COMPUTED_VALUE"""),6250)</f>
        <v>6250</v>
      </c>
      <c r="F2033" s="72">
        <f ca="1">IFERROR(__xludf.DUMMYFUNCTION("""COMPUTED_VALUE"""),2500)</f>
        <v>2500</v>
      </c>
      <c r="G2033" s="75"/>
      <c r="H2033" s="59" t="str">
        <f ca="1">IFERROR(__xludf.DUMMYFUNCTION("""COMPUTED_VALUE"""),"UPDATE")</f>
        <v>UPDATE</v>
      </c>
      <c r="I2033" s="59" t="str">
        <f ca="1">IFERROR(__xludf.DUMMYFUNCTION("""COMPUTED_VALUE"""),"https://drive.google.com/open?id=18VEmKCiLdiFVd1P2vpRhdOPFVFt66yTw, https://drive.google.com/open?id=17ZHguUF2FBp5m7-Wxki9SdXgrT2oQm8q")</f>
        <v>https://drive.google.com/open?id=18VEmKCiLdiFVd1P2vpRhdOPFVFt66yTw, https://drive.google.com/open?id=17ZHguUF2FBp5m7-Wxki9SdXgrT2oQm8q</v>
      </c>
      <c r="J2033" s="59"/>
      <c r="K2033" s="59"/>
      <c r="L2033" s="59"/>
      <c r="M2033" s="59"/>
      <c r="N2033" s="59"/>
      <c r="O2033" s="59"/>
      <c r="P2033" s="59"/>
    </row>
    <row r="2034" spans="1:16">
      <c r="A2034" s="71">
        <f ca="1">IFERROR(__xludf.DUMMYFUNCTION("""COMPUTED_VALUE"""),44119.3555775926)</f>
        <v>44119.3555775926</v>
      </c>
      <c r="B2034" s="59" t="str">
        <f ca="1">IFERROR(__xludf.DUMMYFUNCTION("""COMPUTED_VALUE"""),"KOTADIYA DEEP MAHESHBHAI")</f>
        <v>KOTADIYA DEEP MAHESHBHAI</v>
      </c>
      <c r="C2034" s="72" t="str">
        <f ca="1">IFERROR(__xludf.DUMMYFUNCTION("""COMPUTED_VALUE"""),"18SDSME01018")</f>
        <v>18SDSME01018</v>
      </c>
      <c r="D2034" s="73">
        <f ca="1">IFERROR(__xludf.DUMMYFUNCTION("""COMPUTED_VALUE"""),44115)</f>
        <v>44115</v>
      </c>
      <c r="E2034" s="74">
        <f ca="1">IFERROR(__xludf.DUMMYFUNCTION("""COMPUTED_VALUE"""),8500)</f>
        <v>8500</v>
      </c>
      <c r="F2034" s="72">
        <f ca="1">IFERROR(__xludf.DUMMYFUNCTION("""COMPUTED_VALUE"""),2500)</f>
        <v>2500</v>
      </c>
      <c r="G2034" s="75"/>
      <c r="H2034" s="59" t="str">
        <f ca="1">IFERROR(__xludf.DUMMYFUNCTION("""COMPUTED_VALUE"""),"UPDATE")</f>
        <v>UPDATE</v>
      </c>
      <c r="I2034" s="59" t="str">
        <f ca="1">IFERROR(__xludf.DUMMYFUNCTION("""COMPUTED_VALUE"""),"https://drive.google.com/open?id=1YjdBK6CJeAquDMxLUb14xN5oIZ-X2rf4, https://drive.google.com/open?id=1HwCYRdWdnT2QakDk4IzOB3wL8ABZbFPR")</f>
        <v>https://drive.google.com/open?id=1YjdBK6CJeAquDMxLUb14xN5oIZ-X2rf4, https://drive.google.com/open?id=1HwCYRdWdnT2QakDk4IzOB3wL8ABZbFPR</v>
      </c>
      <c r="J2034" s="59"/>
      <c r="K2034" s="59"/>
      <c r="L2034" s="59"/>
      <c r="M2034" s="59"/>
      <c r="N2034" s="59"/>
      <c r="O2034" s="59"/>
      <c r="P2034" s="59"/>
    </row>
    <row r="2035" spans="1:16">
      <c r="A2035" s="71">
        <f ca="1">IFERROR(__xludf.DUMMYFUNCTION("""COMPUTED_VALUE"""),44119.3537435185)</f>
        <v>44119.353743518499</v>
      </c>
      <c r="B2035" s="59" t="str">
        <f ca="1">IFERROR(__xludf.DUMMYFUNCTION("""COMPUTED_VALUE"""),"BARASIYA DEEP AMRUTLAL ")</f>
        <v xml:space="preserve">BARASIYA DEEP AMRUTLAL </v>
      </c>
      <c r="C2035" s="72" t="str">
        <f ca="1">IFERROR(__xludf.DUMMYFUNCTION("""COMPUTED_VALUE"""),"19SDSME01001")</f>
        <v>19SDSME01001</v>
      </c>
      <c r="D2035" s="73">
        <f ca="1">IFERROR(__xludf.DUMMYFUNCTION("""COMPUTED_VALUE"""),44115)</f>
        <v>44115</v>
      </c>
      <c r="E2035" s="74">
        <f ca="1">IFERROR(__xludf.DUMMYFUNCTION("""COMPUTED_VALUE"""),8250)</f>
        <v>8250</v>
      </c>
      <c r="F2035" s="72"/>
      <c r="G2035" s="75"/>
      <c r="H2035" s="59" t="str">
        <f ca="1">IFERROR(__xludf.DUMMYFUNCTION("""COMPUTED_VALUE"""),"UPDATE")</f>
        <v>UPDATE</v>
      </c>
      <c r="I2035" s="76" t="str">
        <f ca="1">IFERROR(__xludf.DUMMYFUNCTION("""COMPUTED_VALUE"""),"https://drive.google.com/open?id=1KLqjLq5v9CGAs2KmXqqsNLgWMCiYORA2")</f>
        <v>https://drive.google.com/open?id=1KLqjLq5v9CGAs2KmXqqsNLgWMCiYORA2</v>
      </c>
      <c r="J2035" s="59"/>
      <c r="K2035" s="59"/>
      <c r="L2035" s="59"/>
      <c r="M2035" s="59"/>
      <c r="N2035" s="59"/>
      <c r="O2035" s="59"/>
      <c r="P2035" s="59"/>
    </row>
    <row r="2036" spans="1:16">
      <c r="A2036" s="71">
        <f ca="1">IFERROR(__xludf.DUMMYFUNCTION("""COMPUTED_VALUE"""),44119.3527928587)</f>
        <v>44119.352792858699</v>
      </c>
      <c r="B2036" s="59" t="str">
        <f ca="1">IFERROR(__xludf.DUMMYFUNCTION("""COMPUTED_VALUE"""),"SUKHADIYA DURGESH DAMABHAI")</f>
        <v>SUKHADIYA DURGESH DAMABHAI</v>
      </c>
      <c r="C2036" s="72" t="str">
        <f ca="1">IFERROR(__xludf.DUMMYFUNCTION("""COMPUTED_VALUE"""),"19SDSME01027")</f>
        <v>19SDSME01027</v>
      </c>
      <c r="D2036" s="73">
        <f ca="1">IFERROR(__xludf.DUMMYFUNCTION("""COMPUTED_VALUE"""),44114)</f>
        <v>44114</v>
      </c>
      <c r="E2036" s="74">
        <f ca="1">IFERROR(__xludf.DUMMYFUNCTION("""COMPUTED_VALUE"""),6000)</f>
        <v>6000</v>
      </c>
      <c r="F2036" s="72"/>
      <c r="G2036" s="75"/>
      <c r="H2036" s="59" t="str">
        <f ca="1">IFERROR(__xludf.DUMMYFUNCTION("""COMPUTED_VALUE"""),"UPDATE")</f>
        <v>UPDATE</v>
      </c>
      <c r="I2036" s="76" t="str">
        <f ca="1">IFERROR(__xludf.DUMMYFUNCTION("""COMPUTED_VALUE"""),"https://drive.google.com/open?id=1_KkjWn_SREdPix-PN1E-aV_5kSLYfOGm")</f>
        <v>https://drive.google.com/open?id=1_KkjWn_SREdPix-PN1E-aV_5kSLYfOGm</v>
      </c>
      <c r="J2036" s="59"/>
      <c r="K2036" s="59"/>
      <c r="L2036" s="59"/>
      <c r="M2036" s="59"/>
      <c r="N2036" s="59"/>
      <c r="O2036" s="59"/>
      <c r="P2036" s="59"/>
    </row>
    <row r="2037" spans="1:16">
      <c r="A2037" s="71">
        <f ca="1">IFERROR(__xludf.DUMMYFUNCTION("""COMPUTED_VALUE"""),44119.3520902777)</f>
        <v>44119.352090277702</v>
      </c>
      <c r="B2037" s="59" t="str">
        <f ca="1">IFERROR(__xludf.DUMMYFUNCTION("""COMPUTED_VALUE"""),"SUKHADIYA JASMINBHAI GOPALBHAI ")</f>
        <v xml:space="preserve">SUKHADIYA JASMINBHAI GOPALBHAI </v>
      </c>
      <c r="C2037" s="72" t="str">
        <f ca="1">IFERROR(__xludf.DUMMYFUNCTION("""COMPUTED_VALUE"""),"19SDSME01028")</f>
        <v>19SDSME01028</v>
      </c>
      <c r="D2037" s="73">
        <f ca="1">IFERROR(__xludf.DUMMYFUNCTION("""COMPUTED_VALUE"""),44114)</f>
        <v>44114</v>
      </c>
      <c r="E2037" s="74">
        <f ca="1">IFERROR(__xludf.DUMMYFUNCTION("""COMPUTED_VALUE"""),6000)</f>
        <v>6000</v>
      </c>
      <c r="F2037" s="72"/>
      <c r="G2037" s="75"/>
      <c r="H2037" s="59" t="str">
        <f ca="1">IFERROR(__xludf.DUMMYFUNCTION("""COMPUTED_VALUE"""),"UPDATE")</f>
        <v>UPDATE</v>
      </c>
      <c r="I2037" s="76" t="str">
        <f ca="1">IFERROR(__xludf.DUMMYFUNCTION("""COMPUTED_VALUE"""),"https://drive.google.com/open?id=1ceb_PuWYFQL-R-BcKo_GCc6yy65di_Vg")</f>
        <v>https://drive.google.com/open?id=1ceb_PuWYFQL-R-BcKo_GCc6yy65di_Vg</v>
      </c>
      <c r="J2037" s="59"/>
      <c r="K2037" s="59"/>
      <c r="L2037" s="59"/>
      <c r="M2037" s="59"/>
      <c r="N2037" s="59"/>
      <c r="O2037" s="59"/>
      <c r="P2037" s="59"/>
    </row>
    <row r="2038" spans="1:16">
      <c r="A2038" s="71">
        <f ca="1">IFERROR(__xludf.DUMMYFUNCTION("""COMPUTED_VALUE"""),44119.3507724074)</f>
        <v>44119.350772407401</v>
      </c>
      <c r="B2038" s="59" t="str">
        <f ca="1">IFERROR(__xludf.DUMMYFUNCTION("""COMPUTED_VALUE"""),"KATHESIYA VAIBHAV JAGDISHBHAI")</f>
        <v>KATHESIYA VAIBHAV JAGDISHBHAI</v>
      </c>
      <c r="C2038" s="72" t="str">
        <f ca="1">IFERROR(__xludf.DUMMYFUNCTION("""COMPUTED_VALUE"""),"16SDSME01019")</f>
        <v>16SDSME01019</v>
      </c>
      <c r="D2038" s="73">
        <f ca="1">IFERROR(__xludf.DUMMYFUNCTION("""COMPUTED_VALUE"""),44112)</f>
        <v>44112</v>
      </c>
      <c r="E2038" s="74">
        <f ca="1">IFERROR(__xludf.DUMMYFUNCTION("""COMPUTED_VALUE"""),8500)</f>
        <v>8500</v>
      </c>
      <c r="F2038" s="72"/>
      <c r="G2038" s="75"/>
      <c r="H2038" s="59" t="str">
        <f ca="1">IFERROR(__xludf.DUMMYFUNCTION("""COMPUTED_VALUE"""),"UPDATE")</f>
        <v>UPDATE</v>
      </c>
      <c r="I2038" s="76" t="str">
        <f ca="1">IFERROR(__xludf.DUMMYFUNCTION("""COMPUTED_VALUE"""),"https://drive.google.com/open?id=1qzhLOR9UbuskyN7ZXDIAmaigQyU_ztOC")</f>
        <v>https://drive.google.com/open?id=1qzhLOR9UbuskyN7ZXDIAmaigQyU_ztOC</v>
      </c>
      <c r="J2038" s="59"/>
      <c r="K2038" s="59"/>
      <c r="L2038" s="59"/>
      <c r="M2038" s="59"/>
      <c r="N2038" s="59"/>
      <c r="O2038" s="59"/>
      <c r="P2038" s="59"/>
    </row>
    <row r="2039" spans="1:16">
      <c r="A2039" s="71">
        <f ca="1">IFERROR(__xludf.DUMMYFUNCTION("""COMPUTED_VALUE"""),44118.5049976041)</f>
        <v>44118.504997604097</v>
      </c>
      <c r="B2039" s="59" t="str">
        <f ca="1">IFERROR(__xludf.DUMMYFUNCTION("""COMPUTED_VALUE"""),"THUMMAR SAGAR GORDHANBHAI")</f>
        <v>THUMMAR SAGAR GORDHANBHAI</v>
      </c>
      <c r="C2039" s="72" t="str">
        <f ca="1">IFERROR(__xludf.DUMMYFUNCTION("""COMPUTED_VALUE"""),"18SDSCE01063")</f>
        <v>18SDSCE01063</v>
      </c>
      <c r="D2039" s="73">
        <f ca="1">IFERROR(__xludf.DUMMYFUNCTION("""COMPUTED_VALUE"""),44117)</f>
        <v>44117</v>
      </c>
      <c r="E2039" s="74">
        <f ca="1">IFERROR(__xludf.DUMMYFUNCTION("""COMPUTED_VALUE"""),8500)</f>
        <v>8500</v>
      </c>
      <c r="F2039" s="72"/>
      <c r="G2039" s="75"/>
      <c r="H2039" s="59" t="str">
        <f ca="1">IFERROR(__xludf.DUMMYFUNCTION("""COMPUTED_VALUE"""),"UPDATE")</f>
        <v>UPDATE</v>
      </c>
      <c r="I2039" s="76" t="str">
        <f ca="1">IFERROR(__xludf.DUMMYFUNCTION("""COMPUTED_VALUE"""),"https://drive.google.com/open?id=1nwUtvJLULjoAQHO5dC94RN0gZJXyKBav")</f>
        <v>https://drive.google.com/open?id=1nwUtvJLULjoAQHO5dC94RN0gZJXyKBav</v>
      </c>
      <c r="J2039" s="59"/>
      <c r="K2039" s="59"/>
      <c r="L2039" s="59"/>
      <c r="M2039" s="59"/>
      <c r="N2039" s="59"/>
      <c r="O2039" s="59"/>
      <c r="P2039" s="59"/>
    </row>
    <row r="2040" spans="1:16">
      <c r="A2040" s="71">
        <f ca="1">IFERROR(__xludf.DUMMYFUNCTION("""COMPUTED_VALUE"""),44118.5034392476)</f>
        <v>44118.503439247601</v>
      </c>
      <c r="B2040" s="59" t="str">
        <f ca="1">IFERROR(__xludf.DUMMYFUNCTION("""COMPUTED_VALUE"""),"SARDHARA KARAN PRAVINBHAI")</f>
        <v>SARDHARA KARAN PRAVINBHAI</v>
      </c>
      <c r="C2040" s="72" t="str">
        <f ca="1">IFERROR(__xludf.DUMMYFUNCTION("""COMPUTED_VALUE"""),"18SDSCE01055")</f>
        <v>18SDSCE01055</v>
      </c>
      <c r="D2040" s="73">
        <f ca="1">IFERROR(__xludf.DUMMYFUNCTION("""COMPUTED_VALUE"""),44114)</f>
        <v>44114</v>
      </c>
      <c r="E2040" s="74">
        <f ca="1">IFERROR(__xludf.DUMMYFUNCTION("""COMPUTED_VALUE"""),8500)</f>
        <v>8500</v>
      </c>
      <c r="F2040" s="72"/>
      <c r="G2040" s="75"/>
      <c r="H2040" s="59" t="str">
        <f ca="1">IFERROR(__xludf.DUMMYFUNCTION("""COMPUTED_VALUE"""),"UPDATE")</f>
        <v>UPDATE</v>
      </c>
      <c r="I2040" s="76" t="str">
        <f ca="1">IFERROR(__xludf.DUMMYFUNCTION("""COMPUTED_VALUE"""),"https://drive.google.com/open?id=1bt4GukeATd1gwwZKCtaFBjLJDhFsIkep")</f>
        <v>https://drive.google.com/open?id=1bt4GukeATd1gwwZKCtaFBjLJDhFsIkep</v>
      </c>
      <c r="J2040" s="59"/>
      <c r="K2040" s="59"/>
      <c r="L2040" s="59"/>
      <c r="M2040" s="59"/>
      <c r="N2040" s="59"/>
      <c r="O2040" s="59"/>
      <c r="P2040" s="59"/>
    </row>
    <row r="2041" spans="1:16">
      <c r="A2041" s="71">
        <f ca="1">IFERROR(__xludf.DUMMYFUNCTION("""COMPUTED_VALUE"""),44118.5019519907)</f>
        <v>44118.5019519907</v>
      </c>
      <c r="B2041" s="59" t="str">
        <f ca="1">IFERROR(__xludf.DUMMYFUNCTION("""COMPUTED_VALUE"""),"MORI HARDIK DILIPBHAI")</f>
        <v>MORI HARDIK DILIPBHAI</v>
      </c>
      <c r="C2041" s="72" t="str">
        <f ca="1">IFERROR(__xludf.DUMMYFUNCTION("""COMPUTED_VALUE"""),"18SDSCE01039")</f>
        <v>18SDSCE01039</v>
      </c>
      <c r="D2041" s="73">
        <f ca="1">IFERROR(__xludf.DUMMYFUNCTION("""COMPUTED_VALUE"""),44113)</f>
        <v>44113</v>
      </c>
      <c r="E2041" s="74">
        <f ca="1">IFERROR(__xludf.DUMMYFUNCTION("""COMPUTED_VALUE"""),8500)</f>
        <v>8500</v>
      </c>
      <c r="F2041" s="72"/>
      <c r="G2041" s="75"/>
      <c r="H2041" s="59" t="str">
        <f ca="1">IFERROR(__xludf.DUMMYFUNCTION("""COMPUTED_VALUE"""),"UPDATE")</f>
        <v>UPDATE</v>
      </c>
      <c r="I2041" s="76" t="str">
        <f ca="1">IFERROR(__xludf.DUMMYFUNCTION("""COMPUTED_VALUE"""),"https://drive.google.com/open?id=1xQRfCvFyW6DRG6t6EOaaJrYzy47kWxgb")</f>
        <v>https://drive.google.com/open?id=1xQRfCvFyW6DRG6t6EOaaJrYzy47kWxgb</v>
      </c>
      <c r="J2041" s="59"/>
      <c r="K2041" s="59"/>
      <c r="L2041" s="59"/>
      <c r="M2041" s="59"/>
      <c r="N2041" s="59"/>
      <c r="O2041" s="59"/>
      <c r="P2041" s="59"/>
    </row>
    <row r="2042" spans="1:16">
      <c r="A2042" s="71">
        <f ca="1">IFERROR(__xludf.DUMMYFUNCTION("""COMPUTED_VALUE"""),44118.4962163773)</f>
        <v>44118.496216377302</v>
      </c>
      <c r="B2042" s="59" t="str">
        <f ca="1">IFERROR(__xludf.DUMMYFUNCTION("""COMPUTED_VALUE"""),"Ramani Sahilkumar Rajeshbhai")</f>
        <v>Ramani Sahilkumar Rajeshbhai</v>
      </c>
      <c r="C2042" s="72" t="str">
        <f ca="1">IFERROR(__xludf.DUMMYFUNCTION("""COMPUTED_VALUE"""),"19SDSCV01007")</f>
        <v>19SDSCV01007</v>
      </c>
      <c r="D2042" s="73">
        <f ca="1">IFERROR(__xludf.DUMMYFUNCTION("""COMPUTED_VALUE"""),44114)</f>
        <v>44114</v>
      </c>
      <c r="E2042" s="74">
        <f ca="1">IFERROR(__xludf.DUMMYFUNCTION("""COMPUTED_VALUE"""),10000)</f>
        <v>10000</v>
      </c>
      <c r="F2042" s="72"/>
      <c r="G2042" s="75"/>
      <c r="H2042" s="59" t="str">
        <f ca="1">IFERROR(__xludf.DUMMYFUNCTION("""COMPUTED_VALUE"""),"UPDATE")</f>
        <v>UPDATE</v>
      </c>
      <c r="I2042" s="76" t="str">
        <f ca="1">IFERROR(__xludf.DUMMYFUNCTION("""COMPUTED_VALUE"""),"https://drive.google.com/open?id=1bq1KsHhnfAWfbUzUj14MFDKFXEDp75iA")</f>
        <v>https://drive.google.com/open?id=1bq1KsHhnfAWfbUzUj14MFDKFXEDp75iA</v>
      </c>
      <c r="J2042" s="59"/>
      <c r="K2042" s="59"/>
      <c r="L2042" s="59"/>
      <c r="M2042" s="59"/>
      <c r="N2042" s="59"/>
      <c r="O2042" s="59"/>
      <c r="P2042" s="59"/>
    </row>
    <row r="2043" spans="1:16">
      <c r="A2043" s="71">
        <f ca="1">IFERROR(__xludf.DUMMYFUNCTION("""COMPUTED_VALUE"""),44118.4617333101)</f>
        <v>44118.461733310098</v>
      </c>
      <c r="B2043" s="59" t="str">
        <f ca="1">IFERROR(__xludf.DUMMYFUNCTION("""COMPUTED_VALUE"""),"Thoriya Shakti Dineshbhai")</f>
        <v>Thoriya Shakti Dineshbhai</v>
      </c>
      <c r="C2043" s="72" t="str">
        <f ca="1">IFERROR(__xludf.DUMMYFUNCTION("""COMPUTED_VALUE"""),"18SDSCV01021")</f>
        <v>18SDSCV01021</v>
      </c>
      <c r="D2043" s="73">
        <f ca="1">IFERROR(__xludf.DUMMYFUNCTION("""COMPUTED_VALUE"""),44072)</f>
        <v>44072</v>
      </c>
      <c r="E2043" s="74">
        <f ca="1">IFERROR(__xludf.DUMMYFUNCTION("""COMPUTED_VALUE"""),0)</f>
        <v>0</v>
      </c>
      <c r="F2043" s="72">
        <f ca="1">IFERROR(__xludf.DUMMYFUNCTION("""COMPUTED_VALUE"""),2500)</f>
        <v>2500</v>
      </c>
      <c r="G2043" s="75"/>
      <c r="H2043" s="59" t="str">
        <f ca="1">IFERROR(__xludf.DUMMYFUNCTION("""COMPUTED_VALUE"""),"UPDATE")</f>
        <v>UPDATE</v>
      </c>
      <c r="I2043" s="76" t="str">
        <f ca="1">IFERROR(__xludf.DUMMYFUNCTION("""COMPUTED_VALUE"""),"https://drive.google.com/open?id=1ludqKg0qg06kA_9Cdt4d5p89ZFO9R-QT")</f>
        <v>https://drive.google.com/open?id=1ludqKg0qg06kA_9Cdt4d5p89ZFO9R-QT</v>
      </c>
      <c r="J2043" s="59"/>
      <c r="K2043" s="59"/>
      <c r="L2043" s="59"/>
      <c r="M2043" s="59"/>
      <c r="N2043" s="59"/>
      <c r="O2043" s="59"/>
      <c r="P2043" s="59"/>
    </row>
    <row r="2044" spans="1:16">
      <c r="A2044" s="71">
        <f ca="1">IFERROR(__xludf.DUMMYFUNCTION("""COMPUTED_VALUE"""),44118.4536134259)</f>
        <v>44118.453613425903</v>
      </c>
      <c r="B2044" s="59" t="str">
        <f ca="1">IFERROR(__xludf.DUMMYFUNCTION("""COMPUTED_VALUE"""),"MAKWANA SHREYASH KIRITKUMAR")</f>
        <v>MAKWANA SHREYASH KIRITKUMAR</v>
      </c>
      <c r="C2044" s="72" t="str">
        <f ca="1">IFERROR(__xludf.DUMMYFUNCTION("""COMPUTED_VALUE"""),"18SDSCE01031")</f>
        <v>18SDSCE01031</v>
      </c>
      <c r="D2044" s="73">
        <f ca="1">IFERROR(__xludf.DUMMYFUNCTION("""COMPUTED_VALUE"""),44113)</f>
        <v>44113</v>
      </c>
      <c r="E2044" s="74">
        <f ca="1">IFERROR(__xludf.DUMMYFUNCTION("""COMPUTED_VALUE"""),16500)</f>
        <v>16500</v>
      </c>
      <c r="F2044" s="72"/>
      <c r="G2044" s="75"/>
      <c r="H2044" s="59" t="str">
        <f ca="1">IFERROR(__xludf.DUMMYFUNCTION("""COMPUTED_VALUE"""),"UPDATE")</f>
        <v>UPDATE</v>
      </c>
      <c r="I2044" s="76" t="str">
        <f ca="1">IFERROR(__xludf.DUMMYFUNCTION("""COMPUTED_VALUE"""),"https://drive.google.com/open?id=1eBEvDCxoQaie4B8wvtEyUxwI0G40eKQt")</f>
        <v>https://drive.google.com/open?id=1eBEvDCxoQaie4B8wvtEyUxwI0G40eKQt</v>
      </c>
      <c r="J2044" s="59"/>
      <c r="K2044" s="59"/>
      <c r="L2044" s="59"/>
      <c r="M2044" s="59"/>
      <c r="N2044" s="59"/>
      <c r="O2044" s="59"/>
      <c r="P2044" s="59"/>
    </row>
    <row r="2045" spans="1:16">
      <c r="A2045" s="71">
        <f ca="1">IFERROR(__xludf.DUMMYFUNCTION("""COMPUTED_VALUE"""),44118.4523760416)</f>
        <v>44118.452376041598</v>
      </c>
      <c r="B2045" s="59" t="str">
        <f ca="1">IFERROR(__xludf.DUMMYFUNCTION("""COMPUTED_VALUE"""),"MAKWANA SHREYASH KIRITKUMAR")</f>
        <v>MAKWANA SHREYASH KIRITKUMAR</v>
      </c>
      <c r="C2045" s="72" t="str">
        <f ca="1">IFERROR(__xludf.DUMMYFUNCTION("""COMPUTED_VALUE"""),"18SDSCE01031")</f>
        <v>18SDSCE01031</v>
      </c>
      <c r="D2045" s="73">
        <f ca="1">IFERROR(__xludf.DUMMYFUNCTION("""COMPUTED_VALUE"""),44073)</f>
        <v>44073</v>
      </c>
      <c r="E2045" s="74">
        <f ca="1">IFERROR(__xludf.DUMMYFUNCTION("""COMPUTED_VALUE"""),8500)</f>
        <v>8500</v>
      </c>
      <c r="F2045" s="72">
        <f ca="1">IFERROR(__xludf.DUMMYFUNCTION("""COMPUTED_VALUE"""),2500)</f>
        <v>2500</v>
      </c>
      <c r="G2045" s="75"/>
      <c r="H2045" s="59" t="str">
        <f ca="1">IFERROR(__xludf.DUMMYFUNCTION("""COMPUTED_VALUE"""),"UPDATE")</f>
        <v>UPDATE</v>
      </c>
      <c r="I2045" s="59" t="str">
        <f ca="1">IFERROR(__xludf.DUMMYFUNCTION("""COMPUTED_VALUE"""),"https://drive.google.com/open?id=1mFNRvwHJ8e6RX7405vwxK2skF4P7v_bb, https://drive.google.com/open?id=12oRmnrjTejDjy6HwQHh9TLUMSucbIXbv")</f>
        <v>https://drive.google.com/open?id=1mFNRvwHJ8e6RX7405vwxK2skF4P7v_bb, https://drive.google.com/open?id=12oRmnrjTejDjy6HwQHh9TLUMSucbIXbv</v>
      </c>
      <c r="J2045" s="59"/>
      <c r="K2045" s="59"/>
      <c r="L2045" s="59"/>
      <c r="M2045" s="59"/>
      <c r="N2045" s="59"/>
      <c r="O2045" s="59"/>
      <c r="P2045" s="59"/>
    </row>
    <row r="2046" spans="1:16">
      <c r="A2046" s="71">
        <f ca="1">IFERROR(__xludf.DUMMYFUNCTION("""COMPUTED_VALUE"""),44118.4487883796)</f>
        <v>44118.448788379603</v>
      </c>
      <c r="B2046" s="59" t="str">
        <f ca="1">IFERROR(__xludf.DUMMYFUNCTION("""COMPUTED_VALUE"""),"GONDALIYA OM DHARMENDRABHAI")</f>
        <v>GONDALIYA OM DHARMENDRABHAI</v>
      </c>
      <c r="C2046" s="72" t="str">
        <f ca="1">IFERROR(__xludf.DUMMYFUNCTION("""COMPUTED_VALUE"""),"18SDSCE01021")</f>
        <v>18SDSCE01021</v>
      </c>
      <c r="D2046" s="73">
        <f ca="1">IFERROR(__xludf.DUMMYFUNCTION("""COMPUTED_VALUE"""),44114)</f>
        <v>44114</v>
      </c>
      <c r="E2046" s="74">
        <f ca="1">IFERROR(__xludf.DUMMYFUNCTION("""COMPUTED_VALUE"""),8500)</f>
        <v>8500</v>
      </c>
      <c r="F2046" s="72"/>
      <c r="G2046" s="75"/>
      <c r="H2046" s="59" t="str">
        <f ca="1">IFERROR(__xludf.DUMMYFUNCTION("""COMPUTED_VALUE"""),"UPDATE")</f>
        <v>UPDATE</v>
      </c>
      <c r="I2046" s="76" t="str">
        <f ca="1">IFERROR(__xludf.DUMMYFUNCTION("""COMPUTED_VALUE"""),"https://drive.google.com/open?id=1s4tVOKfNMQCAR7QFytA-lCGFBsE_GyUx")</f>
        <v>https://drive.google.com/open?id=1s4tVOKfNMQCAR7QFytA-lCGFBsE_GyUx</v>
      </c>
      <c r="J2046" s="59"/>
      <c r="K2046" s="59"/>
      <c r="L2046" s="59"/>
      <c r="M2046" s="59"/>
      <c r="N2046" s="59"/>
      <c r="O2046" s="59"/>
      <c r="P2046" s="59"/>
    </row>
    <row r="2047" spans="1:16">
      <c r="A2047" s="71">
        <f ca="1">IFERROR(__xludf.DUMMYFUNCTION("""COMPUTED_VALUE"""),44118.4462889236)</f>
        <v>44118.446288923602</v>
      </c>
      <c r="B2047" s="59" t="str">
        <f ca="1">IFERROR(__xludf.DUMMYFUNCTION("""COMPUTED_VALUE"""),"BHALODIYA MAYANK DINESHBHAI")</f>
        <v>BHALODIYA MAYANK DINESHBHAI</v>
      </c>
      <c r="C2047" s="72" t="str">
        <f ca="1">IFERROR(__xludf.DUMMYFUNCTION("""COMPUTED_VALUE"""),"18SDSCE01005")</f>
        <v>18SDSCE01005</v>
      </c>
      <c r="D2047" s="73">
        <f ca="1">IFERROR(__xludf.DUMMYFUNCTION("""COMPUTED_VALUE"""),44114)</f>
        <v>44114</v>
      </c>
      <c r="E2047" s="74">
        <f ca="1">IFERROR(__xludf.DUMMYFUNCTION("""COMPUTED_VALUE"""),8500)</f>
        <v>8500</v>
      </c>
      <c r="F2047" s="72"/>
      <c r="G2047" s="75"/>
      <c r="H2047" s="59" t="str">
        <f ca="1">IFERROR(__xludf.DUMMYFUNCTION("""COMPUTED_VALUE"""),"UPDATE")</f>
        <v>UPDATE</v>
      </c>
      <c r="I2047" s="76" t="str">
        <f ca="1">IFERROR(__xludf.DUMMYFUNCTION("""COMPUTED_VALUE"""),"https://drive.google.com/open?id=1Lr2c3rQlzvLOe_PXmq-8sGzJ78LnZ7vQ")</f>
        <v>https://drive.google.com/open?id=1Lr2c3rQlzvLOe_PXmq-8sGzJ78LnZ7vQ</v>
      </c>
      <c r="J2047" s="59"/>
      <c r="K2047" s="59"/>
      <c r="L2047" s="59"/>
      <c r="M2047" s="59"/>
      <c r="N2047" s="59"/>
      <c r="O2047" s="59"/>
      <c r="P2047" s="59"/>
    </row>
    <row r="2048" spans="1:16">
      <c r="A2048" s="71">
        <f ca="1">IFERROR(__xludf.DUMMYFUNCTION("""COMPUTED_VALUE"""),44118.4445027662)</f>
        <v>44118.4445027662</v>
      </c>
      <c r="B2048" s="59" t="str">
        <f ca="1">IFERROR(__xludf.DUMMYFUNCTION("""COMPUTED_VALUE"""),"BARAIYA JIGAR BHIMABHAI")</f>
        <v>BARAIYA JIGAR BHIMABHAI</v>
      </c>
      <c r="C2048" s="72" t="str">
        <f ca="1">IFERROR(__xludf.DUMMYFUNCTION("""COMPUTED_VALUE"""),"18SDSCE01003")</f>
        <v>18SDSCE01003</v>
      </c>
      <c r="D2048" s="73">
        <f ca="1">IFERROR(__xludf.DUMMYFUNCTION("""COMPUTED_VALUE"""),44107)</f>
        <v>44107</v>
      </c>
      <c r="E2048" s="74">
        <f ca="1">IFERROR(__xludf.DUMMYFUNCTION("""COMPUTED_VALUE"""),8500)</f>
        <v>8500</v>
      </c>
      <c r="F2048" s="72"/>
      <c r="G2048" s="75" t="str">
        <f ca="1">IFERROR(__xludf.DUMMYFUNCTION("""COMPUTED_VALUE"""),"CHETAN")</f>
        <v>CHETAN</v>
      </c>
      <c r="H2048" s="59" t="str">
        <f ca="1">IFERROR(__xludf.DUMMYFUNCTION("""COMPUTED_VALUE"""),"UPDATE")</f>
        <v>UPDATE</v>
      </c>
      <c r="I2048" s="76" t="str">
        <f ca="1">IFERROR(__xludf.DUMMYFUNCTION("""COMPUTED_VALUE"""),"https://drive.google.com/open?id=1ZYQXHRXsnczr6xjQUZ_wqfys7f6cRvcb")</f>
        <v>https://drive.google.com/open?id=1ZYQXHRXsnczr6xjQUZ_wqfys7f6cRvcb</v>
      </c>
      <c r="J2048" s="59"/>
      <c r="K2048" s="59"/>
      <c r="L2048" s="59"/>
      <c r="M2048" s="59"/>
      <c r="N2048" s="59"/>
      <c r="O2048" s="59"/>
      <c r="P2048" s="59"/>
    </row>
    <row r="2049" spans="1:16">
      <c r="A2049" s="71">
        <f ca="1">IFERROR(__xludf.DUMMYFUNCTION("""COMPUTED_VALUE"""),44117.8932860879)</f>
        <v>44117.893286087899</v>
      </c>
      <c r="B2049" s="59" t="str">
        <f ca="1">IFERROR(__xludf.DUMMYFUNCTION("""COMPUTED_VALUE"""),"Shreyash Kiritkumar Makwana")</f>
        <v>Shreyash Kiritkumar Makwana</v>
      </c>
      <c r="C2049" s="72" t="str">
        <f ca="1">IFERROR(__xludf.DUMMYFUNCTION("""COMPUTED_VALUE"""),"18SDSCE01031 ")</f>
        <v xml:space="preserve">18SDSCE01031 </v>
      </c>
      <c r="D2049" s="73">
        <f ca="1">IFERROR(__xludf.DUMMYFUNCTION("""COMPUTED_VALUE"""),44113)</f>
        <v>44113</v>
      </c>
      <c r="E2049" s="74">
        <f ca="1">IFERROR(__xludf.DUMMYFUNCTION("""COMPUTED_VALUE"""),25000)</f>
        <v>25000</v>
      </c>
      <c r="F2049" s="72">
        <f ca="1">IFERROR(__xludf.DUMMYFUNCTION("""COMPUTED_VALUE"""),2500)</f>
        <v>2500</v>
      </c>
      <c r="G2049" s="75" t="str">
        <f ca="1">IFERROR(__xludf.DUMMYFUNCTION("""COMPUTED_VALUE"""),"CHETAN")</f>
        <v>CHETAN</v>
      </c>
      <c r="H2049" s="59" t="str">
        <f ca="1">IFERROR(__xludf.DUMMYFUNCTION("""COMPUTED_VALUE"""),"UPDATE")</f>
        <v>UPDATE</v>
      </c>
      <c r="I2049" s="59" t="str">
        <f ca="1">IFERROR(__xludf.DUMMYFUNCTION("""COMPUTED_VALUE"""),"https://drive.google.com/open?id=14VjRKmdDXDwQIrL8xcWlIMWfXdA0VVNY, https://drive.google.com/open?id=1GLrm6RKHPB4oaNfc8k8cyVosdtYIWA-d, https://drive.google.com/open?id=1JlQ7ji-xdyyeRNB3N_RJ-xNAKXS8BnKe")</f>
        <v>https://drive.google.com/open?id=14VjRKmdDXDwQIrL8xcWlIMWfXdA0VVNY, https://drive.google.com/open?id=1GLrm6RKHPB4oaNfc8k8cyVosdtYIWA-d, https://drive.google.com/open?id=1JlQ7ji-xdyyeRNB3N_RJ-xNAKXS8BnKe</v>
      </c>
      <c r="J2049" s="59"/>
      <c r="K2049" s="59"/>
      <c r="L2049" s="59"/>
      <c r="M2049" s="59"/>
      <c r="N2049" s="59"/>
      <c r="O2049" s="59"/>
      <c r="P2049" s="59"/>
    </row>
    <row r="2050" spans="1:16">
      <c r="A2050" s="71">
        <f ca="1">IFERROR(__xludf.DUMMYFUNCTION("""COMPUTED_VALUE"""),44117.8668087963)</f>
        <v>44117.866808796301</v>
      </c>
      <c r="B2050" s="59" t="str">
        <f ca="1">IFERROR(__xludf.DUMMYFUNCTION("""COMPUTED_VALUE"""),"Jay Gadhetharia M")</f>
        <v>Jay Gadhetharia M</v>
      </c>
      <c r="C2050" s="72" t="str">
        <f ca="1">IFERROR(__xludf.DUMMYFUNCTION("""COMPUTED_VALUE"""),"18SDSCE01016")</f>
        <v>18SDSCE01016</v>
      </c>
      <c r="D2050" s="73">
        <f ca="1">IFERROR(__xludf.DUMMYFUNCTION("""COMPUTED_VALUE"""),44104)</f>
        <v>44104</v>
      </c>
      <c r="E2050" s="74">
        <f ca="1">IFERROR(__xludf.DUMMYFUNCTION("""COMPUTED_VALUE"""),8500)</f>
        <v>8500</v>
      </c>
      <c r="F2050" s="72"/>
      <c r="G2050" s="75" t="str">
        <f ca="1">IFERROR(__xludf.DUMMYFUNCTION("""COMPUTED_VALUE"""),"CHETAN")</f>
        <v>CHETAN</v>
      </c>
      <c r="H2050" s="59" t="str">
        <f ca="1">IFERROR(__xludf.DUMMYFUNCTION("""COMPUTED_VALUE"""),"UPDATE")</f>
        <v>UPDATE</v>
      </c>
      <c r="I2050" s="76" t="str">
        <f ca="1">IFERROR(__xludf.DUMMYFUNCTION("""COMPUTED_VALUE"""),"https://drive.google.com/open?id=1fOaXQ_LdkPD7sTw36ZxqolTkqUHkfN94")</f>
        <v>https://drive.google.com/open?id=1fOaXQ_LdkPD7sTw36ZxqolTkqUHkfN94</v>
      </c>
      <c r="J2050" s="59"/>
      <c r="K2050" s="59"/>
      <c r="L2050" s="59"/>
      <c r="M2050" s="59"/>
      <c r="N2050" s="59"/>
      <c r="O2050" s="59"/>
      <c r="P2050" s="59"/>
    </row>
    <row r="2051" spans="1:16">
      <c r="A2051" s="71">
        <f ca="1">IFERROR(__xludf.DUMMYFUNCTION("""COMPUTED_VALUE"""),44117.8647831597)</f>
        <v>44117.864783159697</v>
      </c>
      <c r="B2051" s="59" t="str">
        <f ca="1">IFERROR(__xludf.DUMMYFUNCTION("""COMPUTED_VALUE"""),"Jay Gadhetharia M")</f>
        <v>Jay Gadhetharia M</v>
      </c>
      <c r="C2051" s="72" t="str">
        <f ca="1">IFERROR(__xludf.DUMMYFUNCTION("""COMPUTED_VALUE"""),"18SDSCE01016")</f>
        <v>18SDSCE01016</v>
      </c>
      <c r="D2051" s="73">
        <f ca="1">IFERROR(__xludf.DUMMYFUNCTION("""COMPUTED_VALUE"""),44070)</f>
        <v>44070</v>
      </c>
      <c r="E2051" s="74">
        <f ca="1">IFERROR(__xludf.DUMMYFUNCTION("""COMPUTED_VALUE"""),8500)</f>
        <v>8500</v>
      </c>
      <c r="F2051" s="72">
        <f ca="1">IFERROR(__xludf.DUMMYFUNCTION("""COMPUTED_VALUE"""),2500)</f>
        <v>2500</v>
      </c>
      <c r="G2051" s="75" t="str">
        <f ca="1">IFERROR(__xludf.DUMMYFUNCTION("""COMPUTED_VALUE"""),"CHETAN")</f>
        <v>CHETAN</v>
      </c>
      <c r="H2051" s="59" t="str">
        <f ca="1">IFERROR(__xludf.DUMMYFUNCTION("""COMPUTED_VALUE"""),"UPDATE")</f>
        <v>UPDATE</v>
      </c>
      <c r="I2051" s="59" t="str">
        <f ca="1">IFERROR(__xludf.DUMMYFUNCTION("""COMPUTED_VALUE"""),"https://drive.google.com/open?id=1HYeI7FOndc5V5jDX-VWGxXS_R6vhKc4Y, https://drive.google.com/open?id=1c945oK5VGgX9E7x-EJ0_FdEebZf0Fobu")</f>
        <v>https://drive.google.com/open?id=1HYeI7FOndc5V5jDX-VWGxXS_R6vhKc4Y, https://drive.google.com/open?id=1c945oK5VGgX9E7x-EJ0_FdEebZf0Fobu</v>
      </c>
      <c r="J2051" s="59"/>
      <c r="K2051" s="59"/>
      <c r="L2051" s="59"/>
      <c r="M2051" s="59"/>
      <c r="N2051" s="59"/>
      <c r="O2051" s="59"/>
      <c r="P2051" s="59"/>
    </row>
    <row r="2052" spans="1:16">
      <c r="A2052" s="71">
        <f ca="1">IFERROR(__xludf.DUMMYFUNCTION("""COMPUTED_VALUE"""),44117.5376786111)</f>
        <v>44117.537678611101</v>
      </c>
      <c r="B2052" s="59" t="str">
        <f ca="1">IFERROR(__xludf.DUMMYFUNCTION("""COMPUTED_VALUE"""),"Trivedi Hemang Ketanbhai")</f>
        <v>Trivedi Hemang Ketanbhai</v>
      </c>
      <c r="C2052" s="72" t="str">
        <f ca="1">IFERROR(__xludf.DUMMYFUNCTION("""COMPUTED_VALUE"""),"18SDSCE01067")</f>
        <v>18SDSCE01067</v>
      </c>
      <c r="D2052" s="73">
        <f ca="1">IFERROR(__xludf.DUMMYFUNCTION("""COMPUTED_VALUE"""),44112)</f>
        <v>44112</v>
      </c>
      <c r="E2052" s="74">
        <f ca="1">IFERROR(__xludf.DUMMYFUNCTION("""COMPUTED_VALUE"""),8500)</f>
        <v>8500</v>
      </c>
      <c r="F2052" s="72"/>
      <c r="G2052" s="75" t="str">
        <f ca="1">IFERROR(__xludf.DUMMYFUNCTION("""COMPUTED_VALUE"""),"CHETAN")</f>
        <v>CHETAN</v>
      </c>
      <c r="H2052" s="59" t="str">
        <f ca="1">IFERROR(__xludf.DUMMYFUNCTION("""COMPUTED_VALUE"""),"UPDATE")</f>
        <v>UPDATE</v>
      </c>
      <c r="I2052" s="76" t="str">
        <f ca="1">IFERROR(__xludf.DUMMYFUNCTION("""COMPUTED_VALUE"""),"https://drive.google.com/open?id=1d-lfIdG3BIZMB9Z-yUR02Vbbg93khdhp")</f>
        <v>https://drive.google.com/open?id=1d-lfIdG3BIZMB9Z-yUR02Vbbg93khdhp</v>
      </c>
      <c r="J2052" s="59"/>
      <c r="K2052" s="59"/>
      <c r="L2052" s="59"/>
      <c r="M2052" s="59"/>
      <c r="N2052" s="59"/>
      <c r="O2052" s="59"/>
      <c r="P2052" s="59"/>
    </row>
    <row r="2053" spans="1:16">
      <c r="A2053" s="71">
        <f ca="1">IFERROR(__xludf.DUMMYFUNCTION("""COMPUTED_VALUE"""),44117.5360354513)</f>
        <v>44117.536035451303</v>
      </c>
      <c r="B2053" s="59" t="str">
        <f ca="1">IFERROR(__xludf.DUMMYFUNCTION("""COMPUTED_VALUE"""),"Prince shingala 3sem mechanical of diploma")</f>
        <v>Prince shingala 3sem mechanical of diploma</v>
      </c>
      <c r="C2053" s="72" t="str">
        <f ca="1">IFERROR(__xludf.DUMMYFUNCTION("""COMPUTED_VALUE"""),"19SDSME01025")</f>
        <v>19SDSME01025</v>
      </c>
      <c r="D2053" s="73">
        <f ca="1">IFERROR(__xludf.DUMMYFUNCTION("""COMPUTED_VALUE"""),44115)</f>
        <v>44115</v>
      </c>
      <c r="E2053" s="74">
        <f ca="1">IFERROR(__xludf.DUMMYFUNCTION("""COMPUTED_VALUE"""),8500)</f>
        <v>8500</v>
      </c>
      <c r="F2053" s="72"/>
      <c r="G2053" s="75" t="str">
        <f ca="1">IFERROR(__xludf.DUMMYFUNCTION("""COMPUTED_VALUE"""),"CHETAN")</f>
        <v>CHETAN</v>
      </c>
      <c r="H2053" s="59" t="str">
        <f ca="1">IFERROR(__xludf.DUMMYFUNCTION("""COMPUTED_VALUE"""),"UPDATE")</f>
        <v>UPDATE</v>
      </c>
      <c r="I2053" s="76" t="str">
        <f ca="1">IFERROR(__xludf.DUMMYFUNCTION("""COMPUTED_VALUE"""),"https://drive.google.com/open?id=1GO74FFKktw2fZ1D65VxRlLZYRWB-39Ax")</f>
        <v>https://drive.google.com/open?id=1GO74FFKktw2fZ1D65VxRlLZYRWB-39Ax</v>
      </c>
      <c r="J2053" s="59"/>
      <c r="K2053" s="59"/>
      <c r="L2053" s="59"/>
      <c r="M2053" s="59"/>
      <c r="N2053" s="59"/>
      <c r="O2053" s="59"/>
      <c r="P2053" s="59"/>
    </row>
    <row r="2054" spans="1:16">
      <c r="A2054" s="71">
        <f ca="1">IFERROR(__xludf.DUMMYFUNCTION("""COMPUTED_VALUE"""),44117.5348217592)</f>
        <v>44117.534821759204</v>
      </c>
      <c r="B2054" s="59" t="str">
        <f ca="1">IFERROR(__xludf.DUMMYFUNCTION("""COMPUTED_VALUE"""),"Kishan Topiwala")</f>
        <v>Kishan Topiwala</v>
      </c>
      <c r="C2054" s="72" t="str">
        <f ca="1">IFERROR(__xludf.DUMMYFUNCTION("""COMPUTED_VALUE"""),"18SDSCE01066")</f>
        <v>18SDSCE01066</v>
      </c>
      <c r="D2054" s="73">
        <f ca="1">IFERROR(__xludf.DUMMYFUNCTION("""COMPUTED_VALUE"""),44104)</f>
        <v>44104</v>
      </c>
      <c r="E2054" s="74">
        <f ca="1">IFERROR(__xludf.DUMMYFUNCTION("""COMPUTED_VALUE"""),8500)</f>
        <v>8500</v>
      </c>
      <c r="F2054" s="72">
        <f ca="1">IFERROR(__xludf.DUMMYFUNCTION("""COMPUTED_VALUE"""),0)</f>
        <v>0</v>
      </c>
      <c r="G2054" s="75" t="str">
        <f ca="1">IFERROR(__xludf.DUMMYFUNCTION("""COMPUTED_VALUE"""),"CHETAN")</f>
        <v>CHETAN</v>
      </c>
      <c r="H2054" s="59" t="str">
        <f ca="1">IFERROR(__xludf.DUMMYFUNCTION("""COMPUTED_VALUE"""),"UPDATE")</f>
        <v>UPDATE</v>
      </c>
      <c r="I2054" s="76" t="str">
        <f ca="1">IFERROR(__xludf.DUMMYFUNCTION("""COMPUTED_VALUE"""),"https://drive.google.com/open?id=1_sk73KOoKa9ejyuacFXNfoCFPaBIeYYa")</f>
        <v>https://drive.google.com/open?id=1_sk73KOoKa9ejyuacFXNfoCFPaBIeYYa</v>
      </c>
      <c r="J2054" s="59"/>
      <c r="K2054" s="59"/>
      <c r="L2054" s="59"/>
      <c r="M2054" s="59"/>
      <c r="N2054" s="59"/>
      <c r="O2054" s="59"/>
      <c r="P2054" s="59"/>
    </row>
    <row r="2055" spans="1:16">
      <c r="A2055" s="71">
        <f ca="1">IFERROR(__xludf.DUMMYFUNCTION("""COMPUTED_VALUE"""),44117.5289241782)</f>
        <v>44117.528924178201</v>
      </c>
      <c r="B2055" s="59" t="str">
        <f ca="1">IFERROR(__xludf.DUMMYFUNCTION("""COMPUTED_VALUE"""),"KAUSHIK JAYSUKHBHAI VIRADIYA")</f>
        <v>KAUSHIK JAYSUKHBHAI VIRADIYA</v>
      </c>
      <c r="C2055" s="72" t="str">
        <f ca="1">IFERROR(__xludf.DUMMYFUNCTION("""COMPUTED_VALUE"""),"18SDSCE01072")</f>
        <v>18SDSCE01072</v>
      </c>
      <c r="D2055" s="73">
        <f ca="1">IFERROR(__xludf.DUMMYFUNCTION("""COMPUTED_VALUE"""),44102)</f>
        <v>44102</v>
      </c>
      <c r="E2055" s="74">
        <f ca="1">IFERROR(__xludf.DUMMYFUNCTION("""COMPUTED_VALUE"""),8500)</f>
        <v>8500</v>
      </c>
      <c r="F2055" s="72">
        <f ca="1">IFERROR(__xludf.DUMMYFUNCTION("""COMPUTED_VALUE"""),0)</f>
        <v>0</v>
      </c>
      <c r="G2055" s="75" t="str">
        <f ca="1">IFERROR(__xludf.DUMMYFUNCTION("""COMPUTED_VALUE"""),"DIXIT")</f>
        <v>DIXIT</v>
      </c>
      <c r="H2055" s="59" t="str">
        <f ca="1">IFERROR(__xludf.DUMMYFUNCTION("""COMPUTED_VALUE"""),"UPDATE")</f>
        <v>UPDATE</v>
      </c>
      <c r="I2055" s="76" t="str">
        <f ca="1">IFERROR(__xludf.DUMMYFUNCTION("""COMPUTED_VALUE"""),"https://drive.google.com/open?id=1m7Jk-4htVsRk2v8U_w3OSx0ufxh0dbk5")</f>
        <v>https://drive.google.com/open?id=1m7Jk-4htVsRk2v8U_w3OSx0ufxh0dbk5</v>
      </c>
      <c r="J2055" s="59"/>
      <c r="K2055" s="59"/>
      <c r="L2055" s="59"/>
      <c r="M2055" s="59"/>
      <c r="N2055" s="59"/>
      <c r="O2055" s="59"/>
      <c r="P2055" s="59"/>
    </row>
    <row r="2056" spans="1:16">
      <c r="A2056" s="71">
        <f ca="1">IFERROR(__xludf.DUMMYFUNCTION("""COMPUTED_VALUE"""),44117.5281294444)</f>
        <v>44117.528129444399</v>
      </c>
      <c r="B2056" s="59" t="str">
        <f ca="1">IFERROR(__xludf.DUMMYFUNCTION("""COMPUTED_VALUE"""),"KAUSHIUK JAYSUKHBHAI VIRADIYA")</f>
        <v>KAUSHIUK JAYSUKHBHAI VIRADIYA</v>
      </c>
      <c r="C2056" s="72" t="str">
        <f ca="1">IFERROR(__xludf.DUMMYFUNCTION("""COMPUTED_VALUE"""),"18SDSCE01072")</f>
        <v>18SDSCE01072</v>
      </c>
      <c r="D2056" s="73">
        <f ca="1">IFERROR(__xludf.DUMMYFUNCTION("""COMPUTED_VALUE"""),44076)</f>
        <v>44076</v>
      </c>
      <c r="E2056" s="74">
        <f ca="1">IFERROR(__xludf.DUMMYFUNCTION("""COMPUTED_VALUE"""),8500)</f>
        <v>8500</v>
      </c>
      <c r="F2056" s="72">
        <f ca="1">IFERROR(__xludf.DUMMYFUNCTION("""COMPUTED_VALUE"""),0)</f>
        <v>0</v>
      </c>
      <c r="G2056" s="75" t="str">
        <f ca="1">IFERROR(__xludf.DUMMYFUNCTION("""COMPUTED_VALUE"""),"DIXIT")</f>
        <v>DIXIT</v>
      </c>
      <c r="H2056" s="59" t="str">
        <f ca="1">IFERROR(__xludf.DUMMYFUNCTION("""COMPUTED_VALUE"""),"UPDATE")</f>
        <v>UPDATE</v>
      </c>
      <c r="I2056" s="76" t="str">
        <f ca="1">IFERROR(__xludf.DUMMYFUNCTION("""COMPUTED_VALUE"""),"https://drive.google.com/open?id=1KsmefRwwuO3MXR7xDEsOMEHMhpD9Hya5")</f>
        <v>https://drive.google.com/open?id=1KsmefRwwuO3MXR7xDEsOMEHMhpD9Hya5</v>
      </c>
      <c r="J2056" s="59"/>
      <c r="K2056" s="59"/>
      <c r="L2056" s="59"/>
      <c r="M2056" s="59"/>
      <c r="N2056" s="59"/>
      <c r="O2056" s="59"/>
      <c r="P2056" s="59"/>
    </row>
    <row r="2057" spans="1:16">
      <c r="A2057" s="71">
        <f ca="1">IFERROR(__xludf.DUMMYFUNCTION("""COMPUTED_VALUE"""),44117.5273775347)</f>
        <v>44117.527377534701</v>
      </c>
      <c r="B2057" s="59" t="str">
        <f ca="1">IFERROR(__xludf.DUMMYFUNCTION("""COMPUTED_VALUE"""),"KAUSHIK JAYSUKKHBHAI VIRADIYA")</f>
        <v>KAUSHIK JAYSUKKHBHAI VIRADIYA</v>
      </c>
      <c r="C2057" s="72" t="str">
        <f ca="1">IFERROR(__xludf.DUMMYFUNCTION("""COMPUTED_VALUE"""),"18SDSCE01072")</f>
        <v>18SDSCE01072</v>
      </c>
      <c r="D2057" s="73">
        <f ca="1">IFERROR(__xludf.DUMMYFUNCTION("""COMPUTED_VALUE"""),44076)</f>
        <v>44076</v>
      </c>
      <c r="E2057" s="74">
        <f ca="1">IFERROR(__xludf.DUMMYFUNCTION("""COMPUTED_VALUE"""),0)</f>
        <v>0</v>
      </c>
      <c r="F2057" s="72">
        <f ca="1">IFERROR(__xludf.DUMMYFUNCTION("""COMPUTED_VALUE"""),2500)</f>
        <v>2500</v>
      </c>
      <c r="G2057" s="75" t="str">
        <f ca="1">IFERROR(__xludf.DUMMYFUNCTION("""COMPUTED_VALUE"""),"DIXIT")</f>
        <v>DIXIT</v>
      </c>
      <c r="H2057" s="59" t="str">
        <f ca="1">IFERROR(__xludf.DUMMYFUNCTION("""COMPUTED_VALUE"""),"UPDATE")</f>
        <v>UPDATE</v>
      </c>
      <c r="I2057" s="76" t="str">
        <f ca="1">IFERROR(__xludf.DUMMYFUNCTION("""COMPUTED_VALUE"""),"https://drive.google.com/open?id=1nswRgEky3DXrupo7rBz_YsoGZpHeuqSi")</f>
        <v>https://drive.google.com/open?id=1nswRgEky3DXrupo7rBz_YsoGZpHeuqSi</v>
      </c>
      <c r="J2057" s="59"/>
      <c r="K2057" s="59"/>
      <c r="L2057" s="59"/>
      <c r="M2057" s="59"/>
      <c r="N2057" s="59"/>
      <c r="O2057" s="59"/>
      <c r="P2057" s="59"/>
    </row>
    <row r="2058" spans="1:16">
      <c r="A2058" s="59"/>
      <c r="B2058" s="59" t="str">
        <f ca="1">IFERROR(__xludf.DUMMYFUNCTION("""COMPUTED_VALUE"""),"VIDHI suvagiya")</f>
        <v>VIDHI suvagiya</v>
      </c>
      <c r="C2058" s="72" t="str">
        <f ca="1">IFERROR(__xludf.DUMMYFUNCTION("""COMPUTED_VALUE"""),"20SDSCE01116")</f>
        <v>20SDSCE01116</v>
      </c>
      <c r="D2058" s="73">
        <f ca="1">IFERROR(__xludf.DUMMYFUNCTION("""COMPUTED_VALUE"""),44392)</f>
        <v>44392</v>
      </c>
      <c r="E2058" s="72"/>
      <c r="F2058" s="72"/>
      <c r="G2058" s="75"/>
      <c r="H2058" s="59" t="str">
        <f ca="1">IFERROR(__xludf.DUMMYFUNCTION("""COMPUTED_VALUE"""),"UPDATE")</f>
        <v>UPDATE</v>
      </c>
      <c r="I2058" s="76" t="str">
        <f ca="1">IFERROR(__xludf.DUMMYFUNCTION("""COMPUTED_VALUE"""),"https://drive.google.com/open?id=16MYHYS7eVcU_doDwNfMGScqEA4PSFa9y")</f>
        <v>https://drive.google.com/open?id=16MYHYS7eVcU_doDwNfMGScqEA4PSFa9y</v>
      </c>
      <c r="J2058" s="59"/>
      <c r="K2058" s="59"/>
      <c r="L2058" s="59"/>
      <c r="M2058" s="59"/>
      <c r="N2058" s="59"/>
      <c r="O2058" s="59"/>
      <c r="P2058" s="59"/>
    </row>
    <row r="2059" spans="1:16">
      <c r="A2059" s="59"/>
      <c r="B2059" s="59"/>
      <c r="C2059" s="72"/>
      <c r="D2059" s="72"/>
      <c r="E2059" s="72"/>
      <c r="F2059" s="72"/>
      <c r="G2059" s="75"/>
      <c r="H2059" s="59"/>
      <c r="I2059" s="59"/>
      <c r="J2059" s="59"/>
      <c r="K2059" s="59"/>
      <c r="L2059" s="59"/>
      <c r="M2059" s="59"/>
      <c r="N2059" s="59"/>
      <c r="O2059" s="59"/>
      <c r="P2059" s="59"/>
    </row>
    <row r="2060" spans="1:16">
      <c r="A2060" s="59"/>
      <c r="B2060" s="59"/>
      <c r="C2060" s="72"/>
      <c r="D2060" s="72"/>
      <c r="E2060" s="72"/>
      <c r="F2060" s="72"/>
      <c r="G2060" s="75"/>
      <c r="H2060" s="59"/>
      <c r="I2060" s="59"/>
      <c r="J2060" s="59"/>
      <c r="K2060" s="59"/>
      <c r="L2060" s="59"/>
      <c r="M2060" s="59"/>
      <c r="N2060" s="59"/>
      <c r="O2060" s="59"/>
      <c r="P2060" s="59"/>
    </row>
    <row r="2061" spans="1:16">
      <c r="A2061" s="59"/>
      <c r="B2061" s="59"/>
      <c r="C2061" s="72"/>
      <c r="D2061" s="72"/>
      <c r="E2061" s="72"/>
      <c r="F2061" s="72"/>
      <c r="G2061" s="75"/>
      <c r="H2061" s="59"/>
      <c r="I2061" s="59"/>
      <c r="J2061" s="59"/>
      <c r="K2061" s="59"/>
      <c r="L2061" s="59"/>
      <c r="M2061" s="59"/>
      <c r="N2061" s="59"/>
      <c r="O2061" s="59"/>
      <c r="P2061" s="59"/>
    </row>
    <row r="2062" spans="1:16">
      <c r="A2062" s="59"/>
      <c r="B2062" s="59"/>
      <c r="C2062" s="72"/>
      <c r="D2062" s="72"/>
      <c r="E2062" s="72"/>
      <c r="F2062" s="72"/>
      <c r="G2062" s="75"/>
      <c r="H2062" s="59"/>
      <c r="I2062" s="59"/>
      <c r="J2062" s="59"/>
      <c r="K2062" s="59"/>
      <c r="L2062" s="59"/>
      <c r="M2062" s="59"/>
      <c r="N2062" s="59"/>
      <c r="O2062" s="59"/>
      <c r="P2062" s="59"/>
    </row>
    <row r="2063" spans="1:16">
      <c r="A2063" s="59"/>
      <c r="B2063" s="59"/>
      <c r="C2063" s="72"/>
      <c r="D2063" s="72"/>
      <c r="E2063" s="72"/>
      <c r="F2063" s="72"/>
      <c r="G2063" s="75"/>
      <c r="H2063" s="59"/>
      <c r="I2063" s="59"/>
      <c r="J2063" s="59"/>
      <c r="K2063" s="59"/>
      <c r="L2063" s="59"/>
      <c r="M2063" s="59"/>
      <c r="N2063" s="59"/>
      <c r="O2063" s="59"/>
      <c r="P2063" s="59"/>
    </row>
    <row r="2064" spans="1:16">
      <c r="A2064" s="59"/>
      <c r="B2064" s="59"/>
      <c r="C2064" s="72"/>
      <c r="D2064" s="72"/>
      <c r="E2064" s="72"/>
      <c r="F2064" s="72"/>
      <c r="G2064" s="75"/>
      <c r="H2064" s="59"/>
      <c r="I2064" s="59"/>
      <c r="J2064" s="59"/>
      <c r="K2064" s="59"/>
      <c r="L2064" s="59"/>
      <c r="M2064" s="59"/>
      <c r="N2064" s="59"/>
      <c r="O2064" s="59"/>
      <c r="P2064" s="59"/>
    </row>
    <row r="2065" spans="1:16">
      <c r="A2065" s="59"/>
      <c r="B2065" s="59"/>
      <c r="C2065" s="72"/>
      <c r="D2065" s="72"/>
      <c r="E2065" s="72"/>
      <c r="F2065" s="72"/>
      <c r="G2065" s="75"/>
      <c r="H2065" s="59"/>
      <c r="I2065" s="59"/>
      <c r="J2065" s="59"/>
      <c r="K2065" s="59"/>
      <c r="L2065" s="59"/>
      <c r="M2065" s="59"/>
      <c r="N2065" s="59"/>
      <c r="O2065" s="59"/>
      <c r="P2065" s="59"/>
    </row>
    <row r="2066" spans="1:16">
      <c r="A2066" s="59"/>
      <c r="B2066" s="59"/>
      <c r="C2066" s="72"/>
      <c r="D2066" s="72"/>
      <c r="E2066" s="72"/>
      <c r="F2066" s="72"/>
      <c r="G2066" s="75"/>
      <c r="H2066" s="59"/>
      <c r="I2066" s="59"/>
      <c r="J2066" s="59"/>
      <c r="K2066" s="59"/>
      <c r="L2066" s="59"/>
      <c r="M2066" s="59"/>
      <c r="N2066" s="59"/>
      <c r="O2066" s="59"/>
      <c r="P2066" s="59"/>
    </row>
    <row r="2067" spans="1:16">
      <c r="A2067" s="59"/>
      <c r="B2067" s="59"/>
      <c r="C2067" s="72"/>
      <c r="D2067" s="72"/>
      <c r="E2067" s="72"/>
      <c r="F2067" s="72"/>
      <c r="G2067" s="75"/>
      <c r="H2067" s="59"/>
      <c r="I2067" s="59"/>
      <c r="J2067" s="59"/>
      <c r="K2067" s="59"/>
      <c r="L2067" s="59"/>
      <c r="M2067" s="59"/>
      <c r="N2067" s="59"/>
      <c r="O2067" s="59"/>
      <c r="P2067" s="59"/>
    </row>
    <row r="2068" spans="1:16">
      <c r="A2068" s="59"/>
      <c r="B2068" s="59"/>
      <c r="C2068" s="72"/>
      <c r="D2068" s="72"/>
      <c r="E2068" s="72"/>
      <c r="F2068" s="72"/>
      <c r="G2068" s="75"/>
      <c r="H2068" s="59"/>
      <c r="I2068" s="59"/>
      <c r="J2068" s="59"/>
      <c r="K2068" s="59"/>
      <c r="L2068" s="59"/>
      <c r="M2068" s="59"/>
      <c r="N2068" s="59"/>
      <c r="O2068" s="59"/>
      <c r="P2068" s="59"/>
    </row>
    <row r="2069" spans="1:16">
      <c r="A2069" s="59"/>
      <c r="B2069" s="59"/>
      <c r="C2069" s="72"/>
      <c r="D2069" s="72"/>
      <c r="E2069" s="72"/>
      <c r="F2069" s="72"/>
      <c r="G2069" s="75"/>
      <c r="H2069" s="59"/>
      <c r="I2069" s="59"/>
      <c r="J2069" s="59"/>
      <c r="K2069" s="59"/>
      <c r="L2069" s="59"/>
      <c r="M2069" s="59"/>
      <c r="N2069" s="59"/>
      <c r="O2069" s="59"/>
      <c r="P2069" s="59"/>
    </row>
    <row r="2070" spans="1:16">
      <c r="A2070" s="59"/>
      <c r="B2070" s="59"/>
      <c r="C2070" s="72"/>
      <c r="D2070" s="72"/>
      <c r="E2070" s="72"/>
      <c r="F2070" s="72"/>
      <c r="G2070" s="75"/>
      <c r="H2070" s="59"/>
      <c r="I2070" s="59"/>
      <c r="J2070" s="59"/>
      <c r="K2070" s="59"/>
      <c r="L2070" s="59"/>
      <c r="M2070" s="59"/>
      <c r="N2070" s="59"/>
      <c r="O2070" s="59"/>
      <c r="P2070" s="59"/>
    </row>
    <row r="2071" spans="1:16">
      <c r="A2071" s="59"/>
      <c r="B2071" s="59"/>
      <c r="C2071" s="72"/>
      <c r="D2071" s="72"/>
      <c r="E2071" s="72"/>
      <c r="F2071" s="72"/>
      <c r="G2071" s="75"/>
      <c r="H2071" s="59"/>
      <c r="I2071" s="59"/>
      <c r="J2071" s="59"/>
      <c r="K2071" s="59"/>
      <c r="L2071" s="59"/>
      <c r="M2071" s="59"/>
      <c r="N2071" s="59"/>
      <c r="O2071" s="59"/>
      <c r="P2071" s="59"/>
    </row>
    <row r="2072" spans="1:16">
      <c r="A2072" s="59"/>
      <c r="B2072" s="59"/>
      <c r="C2072" s="72"/>
      <c r="D2072" s="72"/>
      <c r="E2072" s="72"/>
      <c r="F2072" s="72"/>
      <c r="G2072" s="75"/>
      <c r="H2072" s="59"/>
      <c r="I2072" s="59"/>
      <c r="J2072" s="59"/>
      <c r="K2072" s="59"/>
      <c r="L2072" s="59"/>
      <c r="M2072" s="59"/>
      <c r="N2072" s="59"/>
      <c r="O2072" s="59"/>
      <c r="P2072" s="59"/>
    </row>
    <row r="2073" spans="1:16">
      <c r="A2073" s="59"/>
      <c r="B2073" s="59"/>
      <c r="C2073" s="72"/>
      <c r="D2073" s="72"/>
      <c r="E2073" s="72"/>
      <c r="F2073" s="72"/>
      <c r="G2073" s="75"/>
      <c r="H2073" s="59"/>
      <c r="I2073" s="59"/>
      <c r="J2073" s="59"/>
      <c r="K2073" s="59"/>
      <c r="L2073" s="59"/>
      <c r="M2073" s="59"/>
      <c r="N2073" s="59"/>
      <c r="O2073" s="59"/>
      <c r="P2073" s="59"/>
    </row>
    <row r="2074" spans="1:16">
      <c r="A2074" s="59"/>
      <c r="B2074" s="59"/>
      <c r="C2074" s="72"/>
      <c r="D2074" s="72"/>
      <c r="E2074" s="72"/>
      <c r="F2074" s="72"/>
      <c r="G2074" s="75"/>
      <c r="H2074" s="59"/>
      <c r="I2074" s="59"/>
      <c r="J2074" s="59"/>
      <c r="K2074" s="59"/>
      <c r="L2074" s="59"/>
      <c r="M2074" s="59"/>
      <c r="N2074" s="59"/>
      <c r="O2074" s="59"/>
      <c r="P2074" s="59"/>
    </row>
    <row r="2075" spans="1:16">
      <c r="A2075" s="59"/>
      <c r="B2075" s="59"/>
      <c r="C2075" s="72"/>
      <c r="D2075" s="72"/>
      <c r="E2075" s="72"/>
      <c r="F2075" s="72"/>
      <c r="G2075" s="75"/>
      <c r="H2075" s="59"/>
      <c r="I2075" s="59"/>
      <c r="J2075" s="59"/>
      <c r="K2075" s="59"/>
      <c r="L2075" s="59"/>
      <c r="M2075" s="59"/>
      <c r="N2075" s="59"/>
      <c r="O2075" s="59"/>
      <c r="P2075" s="59"/>
    </row>
    <row r="2076" spans="1:16">
      <c r="A2076" s="59"/>
      <c r="B2076" s="59"/>
      <c r="C2076" s="72"/>
      <c r="D2076" s="72"/>
      <c r="E2076" s="72"/>
      <c r="F2076" s="72"/>
      <c r="G2076" s="75"/>
      <c r="H2076" s="59"/>
      <c r="I2076" s="59"/>
      <c r="J2076" s="59"/>
      <c r="K2076" s="59"/>
      <c r="L2076" s="59"/>
      <c r="M2076" s="59"/>
      <c r="N2076" s="59"/>
      <c r="O2076" s="59"/>
      <c r="P2076" s="59"/>
    </row>
    <row r="2077" spans="1:16">
      <c r="A2077" s="59"/>
      <c r="B2077" s="59"/>
      <c r="C2077" s="72"/>
      <c r="D2077" s="72"/>
      <c r="E2077" s="72"/>
      <c r="F2077" s="72"/>
      <c r="G2077" s="75"/>
      <c r="H2077" s="59"/>
      <c r="I2077" s="59"/>
      <c r="J2077" s="59"/>
      <c r="K2077" s="59"/>
      <c r="L2077" s="59"/>
      <c r="M2077" s="59"/>
      <c r="N2077" s="59"/>
      <c r="O2077" s="59"/>
      <c r="P2077" s="59"/>
    </row>
    <row r="2078" spans="1:16">
      <c r="A2078" s="59"/>
      <c r="B2078" s="59"/>
      <c r="C2078" s="72"/>
      <c r="D2078" s="72"/>
      <c r="E2078" s="72"/>
      <c r="F2078" s="72"/>
      <c r="G2078" s="75"/>
      <c r="H2078" s="59"/>
      <c r="I2078" s="59"/>
      <c r="J2078" s="59"/>
      <c r="K2078" s="59"/>
      <c r="L2078" s="59"/>
      <c r="M2078" s="59"/>
      <c r="N2078" s="59"/>
      <c r="O2078" s="59"/>
      <c r="P2078" s="59"/>
    </row>
    <row r="2079" spans="1:16">
      <c r="A2079" s="59"/>
      <c r="B2079" s="59"/>
      <c r="C2079" s="72"/>
      <c r="D2079" s="72"/>
      <c r="E2079" s="72"/>
      <c r="F2079" s="72"/>
      <c r="G2079" s="75"/>
      <c r="H2079" s="59"/>
      <c r="I2079" s="59"/>
      <c r="J2079" s="59"/>
      <c r="K2079" s="59"/>
      <c r="L2079" s="59"/>
      <c r="M2079" s="59"/>
      <c r="N2079" s="59"/>
      <c r="O2079" s="59"/>
      <c r="P2079" s="59"/>
    </row>
    <row r="2080" spans="1:16">
      <c r="A2080" s="59"/>
      <c r="B2080" s="59"/>
      <c r="C2080" s="72"/>
      <c r="D2080" s="72"/>
      <c r="E2080" s="72"/>
      <c r="F2080" s="72"/>
      <c r="G2080" s="75"/>
      <c r="H2080" s="59"/>
      <c r="I2080" s="59"/>
      <c r="J2080" s="59"/>
      <c r="K2080" s="59"/>
      <c r="L2080" s="59"/>
      <c r="M2080" s="59"/>
      <c r="N2080" s="59"/>
      <c r="O2080" s="59"/>
      <c r="P2080" s="59"/>
    </row>
    <row r="2081" spans="1:16">
      <c r="A2081" s="59"/>
      <c r="B2081" s="59"/>
      <c r="C2081" s="72"/>
      <c r="D2081" s="72"/>
      <c r="E2081" s="72"/>
      <c r="F2081" s="72"/>
      <c r="G2081" s="75"/>
      <c r="H2081" s="59"/>
      <c r="I2081" s="59"/>
      <c r="J2081" s="59"/>
      <c r="K2081" s="59"/>
      <c r="L2081" s="59"/>
      <c r="M2081" s="59"/>
      <c r="N2081" s="59"/>
      <c r="O2081" s="59"/>
      <c r="P2081" s="59"/>
    </row>
    <row r="2082" spans="1:16">
      <c r="A2082" s="59"/>
      <c r="B2082" s="59"/>
      <c r="C2082" s="72"/>
      <c r="D2082" s="72"/>
      <c r="E2082" s="72"/>
      <c r="F2082" s="72"/>
      <c r="G2082" s="75"/>
      <c r="H2082" s="59"/>
      <c r="I2082" s="59"/>
      <c r="J2082" s="59"/>
      <c r="K2082" s="59"/>
      <c r="L2082" s="59"/>
      <c r="M2082" s="59"/>
      <c r="N2082" s="59"/>
      <c r="O2082" s="59"/>
      <c r="P2082" s="59"/>
    </row>
    <row r="2083" spans="1:16">
      <c r="A2083" s="59"/>
      <c r="B2083" s="59"/>
      <c r="C2083" s="72"/>
      <c r="D2083" s="72"/>
      <c r="E2083" s="72"/>
      <c r="F2083" s="72"/>
      <c r="G2083" s="75"/>
      <c r="H2083" s="59"/>
      <c r="I2083" s="59"/>
      <c r="J2083" s="59"/>
      <c r="K2083" s="59"/>
      <c r="L2083" s="59"/>
      <c r="M2083" s="59"/>
      <c r="N2083" s="59"/>
      <c r="O2083" s="59"/>
      <c r="P2083" s="59"/>
    </row>
    <row r="2084" spans="1:16">
      <c r="A2084" s="59"/>
      <c r="B2084" s="59"/>
      <c r="C2084" s="72"/>
      <c r="D2084" s="72"/>
      <c r="E2084" s="72"/>
      <c r="F2084" s="72"/>
      <c r="G2084" s="75"/>
      <c r="H2084" s="59"/>
      <c r="I2084" s="59"/>
      <c r="J2084" s="59"/>
      <c r="K2084" s="59"/>
      <c r="L2084" s="59"/>
      <c r="M2084" s="59"/>
      <c r="N2084" s="59"/>
      <c r="O2084" s="59"/>
      <c r="P2084" s="59"/>
    </row>
    <row r="2085" spans="1:16">
      <c r="A2085" s="59"/>
      <c r="B2085" s="59"/>
      <c r="C2085" s="72"/>
      <c r="D2085" s="72"/>
      <c r="E2085" s="72"/>
      <c r="F2085" s="72"/>
      <c r="G2085" s="75"/>
      <c r="H2085" s="59"/>
      <c r="I2085" s="59"/>
      <c r="J2085" s="59"/>
      <c r="K2085" s="59"/>
      <c r="L2085" s="59"/>
      <c r="M2085" s="59"/>
      <c r="N2085" s="59"/>
      <c r="O2085" s="59"/>
      <c r="P2085" s="59"/>
    </row>
    <row r="2086" spans="1:16">
      <c r="A2086" s="59"/>
      <c r="B2086" s="59"/>
      <c r="C2086" s="72"/>
      <c r="D2086" s="72"/>
      <c r="E2086" s="72"/>
      <c r="F2086" s="72"/>
      <c r="G2086" s="75"/>
      <c r="H2086" s="59"/>
      <c r="I2086" s="59"/>
      <c r="J2086" s="59"/>
      <c r="K2086" s="59"/>
      <c r="L2086" s="59"/>
      <c r="M2086" s="59"/>
      <c r="N2086" s="59"/>
      <c r="O2086" s="59"/>
      <c r="P2086" s="59"/>
    </row>
    <row r="2087" spans="1:16">
      <c r="A2087" s="59"/>
      <c r="B2087" s="59"/>
      <c r="C2087" s="72"/>
      <c r="D2087" s="72"/>
      <c r="E2087" s="72"/>
      <c r="F2087" s="72"/>
      <c r="G2087" s="75"/>
      <c r="H2087" s="59"/>
      <c r="I2087" s="59"/>
      <c r="J2087" s="59"/>
      <c r="K2087" s="59"/>
      <c r="L2087" s="59"/>
      <c r="M2087" s="59"/>
      <c r="N2087" s="59"/>
      <c r="O2087" s="59"/>
      <c r="P2087" s="59"/>
    </row>
    <row r="2088" spans="1:16">
      <c r="A2088" s="59"/>
      <c r="B2088" s="59"/>
      <c r="C2088" s="72"/>
      <c r="D2088" s="72"/>
      <c r="E2088" s="72"/>
      <c r="F2088" s="72"/>
      <c r="G2088" s="75"/>
      <c r="H2088" s="59"/>
      <c r="I2088" s="59"/>
      <c r="J2088" s="59"/>
      <c r="K2088" s="59"/>
      <c r="L2088" s="59"/>
      <c r="M2088" s="59"/>
      <c r="N2088" s="59"/>
      <c r="O2088" s="59"/>
      <c r="P2088" s="59"/>
    </row>
    <row r="2089" spans="1:16">
      <c r="A2089" s="59"/>
      <c r="B2089" s="59"/>
      <c r="C2089" s="72"/>
      <c r="D2089" s="72"/>
      <c r="E2089" s="72"/>
      <c r="F2089" s="72"/>
      <c r="G2089" s="75"/>
      <c r="H2089" s="59"/>
      <c r="I2089" s="59"/>
      <c r="J2089" s="59"/>
      <c r="K2089" s="59"/>
      <c r="L2089" s="59"/>
      <c r="M2089" s="59"/>
      <c r="N2089" s="59"/>
      <c r="O2089" s="59"/>
      <c r="P2089" s="59"/>
    </row>
    <row r="2090" spans="1:16">
      <c r="A2090" s="59"/>
      <c r="B2090" s="59"/>
      <c r="C2090" s="72"/>
      <c r="D2090" s="72"/>
      <c r="E2090" s="72"/>
      <c r="F2090" s="72"/>
      <c r="G2090" s="75"/>
      <c r="H2090" s="59"/>
      <c r="I2090" s="59"/>
      <c r="J2090" s="59"/>
      <c r="K2090" s="59"/>
      <c r="L2090" s="59"/>
      <c r="M2090" s="59"/>
      <c r="N2090" s="59"/>
      <c r="O2090" s="59"/>
      <c r="P2090" s="59"/>
    </row>
    <row r="2091" spans="1:16">
      <c r="A2091" s="59"/>
      <c r="B2091" s="59"/>
      <c r="C2091" s="72"/>
      <c r="D2091" s="72"/>
      <c r="E2091" s="72"/>
      <c r="F2091" s="72"/>
      <c r="G2091" s="75"/>
      <c r="H2091" s="59"/>
      <c r="I2091" s="59"/>
      <c r="J2091" s="59"/>
      <c r="K2091" s="59"/>
      <c r="L2091" s="59"/>
      <c r="M2091" s="59"/>
      <c r="N2091" s="59"/>
      <c r="O2091" s="59"/>
      <c r="P2091" s="59"/>
    </row>
    <row r="2092" spans="1:16">
      <c r="A2092" s="59"/>
      <c r="B2092" s="59"/>
      <c r="C2092" s="72"/>
      <c r="D2092" s="72"/>
      <c r="E2092" s="72"/>
      <c r="F2092" s="72"/>
      <c r="G2092" s="75"/>
      <c r="H2092" s="59"/>
      <c r="I2092" s="59"/>
      <c r="J2092" s="59"/>
      <c r="K2092" s="59"/>
      <c r="L2092" s="59"/>
      <c r="M2092" s="59"/>
      <c r="N2092" s="59"/>
      <c r="O2092" s="59"/>
      <c r="P2092" s="59"/>
    </row>
    <row r="2093" spans="1:16">
      <c r="A2093" s="59"/>
      <c r="B2093" s="59"/>
      <c r="C2093" s="72"/>
      <c r="D2093" s="72"/>
      <c r="E2093" s="72"/>
      <c r="F2093" s="72"/>
      <c r="G2093" s="75"/>
      <c r="H2093" s="59"/>
      <c r="I2093" s="59"/>
      <c r="J2093" s="59"/>
      <c r="K2093" s="59"/>
      <c r="L2093" s="59"/>
      <c r="M2093" s="59"/>
      <c r="N2093" s="59"/>
      <c r="O2093" s="59"/>
      <c r="P2093" s="59"/>
    </row>
    <row r="2094" spans="1:16">
      <c r="A2094" s="59"/>
      <c r="B2094" s="59"/>
      <c r="C2094" s="72"/>
      <c r="D2094" s="72"/>
      <c r="E2094" s="72"/>
      <c r="F2094" s="72"/>
      <c r="G2094" s="75"/>
      <c r="H2094" s="59"/>
      <c r="I2094" s="59"/>
      <c r="J2094" s="59"/>
      <c r="K2094" s="59"/>
      <c r="L2094" s="59"/>
      <c r="M2094" s="59"/>
      <c r="N2094" s="59"/>
      <c r="O2094" s="59"/>
      <c r="P2094" s="59"/>
    </row>
    <row r="2095" spans="1:16">
      <c r="A2095" s="59"/>
      <c r="B2095" s="59"/>
      <c r="C2095" s="72"/>
      <c r="D2095" s="72"/>
      <c r="E2095" s="72"/>
      <c r="F2095" s="72"/>
      <c r="G2095" s="75"/>
      <c r="H2095" s="59"/>
      <c r="I2095" s="59"/>
      <c r="J2095" s="59"/>
      <c r="K2095" s="59"/>
      <c r="L2095" s="59"/>
      <c r="M2095" s="59"/>
      <c r="N2095" s="59"/>
      <c r="O2095" s="59"/>
      <c r="P2095" s="59"/>
    </row>
    <row r="2096" spans="1:16">
      <c r="A2096" s="59"/>
      <c r="B2096" s="59"/>
      <c r="C2096" s="72"/>
      <c r="D2096" s="72"/>
      <c r="E2096" s="72"/>
      <c r="F2096" s="72"/>
      <c r="G2096" s="75"/>
      <c r="H2096" s="59"/>
      <c r="I2096" s="59"/>
      <c r="J2096" s="59"/>
      <c r="K2096" s="59"/>
      <c r="L2096" s="59"/>
      <c r="M2096" s="59"/>
      <c r="N2096" s="59"/>
      <c r="O2096" s="59"/>
      <c r="P2096" s="59"/>
    </row>
    <row r="2097" spans="1:16">
      <c r="A2097" s="59"/>
      <c r="B2097" s="59"/>
      <c r="C2097" s="72"/>
      <c r="D2097" s="72"/>
      <c r="E2097" s="72"/>
      <c r="F2097" s="72"/>
      <c r="G2097" s="75"/>
      <c r="H2097" s="59"/>
      <c r="I2097" s="59"/>
      <c r="J2097" s="59"/>
      <c r="K2097" s="59"/>
      <c r="L2097" s="59"/>
      <c r="M2097" s="59"/>
      <c r="N2097" s="59"/>
      <c r="O2097" s="59"/>
      <c r="P2097" s="59"/>
    </row>
    <row r="2098" spans="1:16">
      <c r="A2098" s="59"/>
      <c r="B2098" s="59"/>
      <c r="C2098" s="72"/>
      <c r="D2098" s="72"/>
      <c r="E2098" s="72"/>
      <c r="F2098" s="72"/>
      <c r="G2098" s="75"/>
      <c r="H2098" s="59"/>
      <c r="I2098" s="59"/>
      <c r="J2098" s="59"/>
      <c r="K2098" s="59"/>
      <c r="L2098" s="59"/>
      <c r="M2098" s="59"/>
      <c r="N2098" s="59"/>
      <c r="O2098" s="59"/>
      <c r="P2098" s="59"/>
    </row>
    <row r="2099" spans="1:16">
      <c r="A2099" s="59"/>
      <c r="B2099" s="59"/>
      <c r="C2099" s="72"/>
      <c r="D2099" s="72"/>
      <c r="E2099" s="72"/>
      <c r="F2099" s="72"/>
      <c r="G2099" s="75"/>
      <c r="H2099" s="59"/>
      <c r="I2099" s="59"/>
      <c r="J2099" s="59"/>
      <c r="K2099" s="59"/>
      <c r="L2099" s="59"/>
      <c r="M2099" s="59"/>
      <c r="N2099" s="59"/>
      <c r="O2099" s="59"/>
      <c r="P2099" s="59"/>
    </row>
    <row r="2100" spans="1:16">
      <c r="A2100" s="59"/>
      <c r="B2100" s="59"/>
      <c r="C2100" s="72"/>
      <c r="D2100" s="72"/>
      <c r="E2100" s="72"/>
      <c r="F2100" s="72"/>
      <c r="G2100" s="75"/>
      <c r="H2100" s="59"/>
      <c r="I2100" s="59"/>
      <c r="J2100" s="59"/>
      <c r="K2100" s="59"/>
      <c r="L2100" s="59"/>
      <c r="M2100" s="59"/>
      <c r="N2100" s="59"/>
      <c r="O2100" s="59"/>
      <c r="P2100" s="59"/>
    </row>
    <row r="2101" spans="1:16">
      <c r="A2101" s="59"/>
      <c r="B2101" s="59"/>
      <c r="C2101" s="72"/>
      <c r="D2101" s="72"/>
      <c r="E2101" s="72"/>
      <c r="F2101" s="72"/>
      <c r="G2101" s="75"/>
      <c r="H2101" s="59"/>
      <c r="I2101" s="59"/>
      <c r="J2101" s="59"/>
      <c r="K2101" s="59"/>
      <c r="L2101" s="59"/>
      <c r="M2101" s="59"/>
      <c r="N2101" s="59"/>
      <c r="O2101" s="59"/>
      <c r="P2101" s="59"/>
    </row>
    <row r="2102" spans="1:16">
      <c r="A2102" s="59"/>
      <c r="B2102" s="59"/>
      <c r="C2102" s="72"/>
      <c r="D2102" s="72"/>
      <c r="E2102" s="72"/>
      <c r="F2102" s="72"/>
      <c r="G2102" s="75"/>
      <c r="H2102" s="59"/>
      <c r="I2102" s="59"/>
      <c r="J2102" s="59"/>
      <c r="K2102" s="59"/>
      <c r="L2102" s="59"/>
      <c r="M2102" s="59"/>
      <c r="N2102" s="59"/>
      <c r="O2102" s="59"/>
      <c r="P2102" s="59"/>
    </row>
    <row r="2103" spans="1:16">
      <c r="A2103" s="59"/>
      <c r="B2103" s="59"/>
      <c r="C2103" s="72"/>
      <c r="D2103" s="72"/>
      <c r="E2103" s="72"/>
      <c r="F2103" s="72"/>
      <c r="G2103" s="75"/>
      <c r="H2103" s="59"/>
      <c r="I2103" s="59"/>
      <c r="J2103" s="59"/>
      <c r="K2103" s="59"/>
      <c r="L2103" s="59"/>
      <c r="M2103" s="59"/>
      <c r="N2103" s="59"/>
      <c r="O2103" s="59"/>
      <c r="P2103" s="59"/>
    </row>
    <row r="2104" spans="1:16">
      <c r="A2104" s="59"/>
      <c r="B2104" s="59"/>
      <c r="C2104" s="72"/>
      <c r="D2104" s="72"/>
      <c r="E2104" s="72"/>
      <c r="F2104" s="72"/>
      <c r="G2104" s="75"/>
      <c r="H2104" s="59"/>
      <c r="I2104" s="59"/>
      <c r="J2104" s="59"/>
      <c r="K2104" s="59"/>
      <c r="L2104" s="59"/>
      <c r="M2104" s="59"/>
      <c r="N2104" s="59"/>
      <c r="O2104" s="59"/>
      <c r="P2104" s="59"/>
    </row>
    <row r="2105" spans="1:16">
      <c r="A2105" s="59"/>
      <c r="B2105" s="59"/>
      <c r="C2105" s="72"/>
      <c r="D2105" s="72"/>
      <c r="E2105" s="72"/>
      <c r="F2105" s="72"/>
      <c r="G2105" s="75"/>
      <c r="H2105" s="59"/>
      <c r="I2105" s="59"/>
      <c r="J2105" s="59"/>
      <c r="K2105" s="59"/>
      <c r="L2105" s="59"/>
      <c r="M2105" s="59"/>
      <c r="N2105" s="59"/>
      <c r="O2105" s="59"/>
      <c r="P2105" s="59"/>
    </row>
    <row r="2106" spans="1:16">
      <c r="A2106" s="59"/>
      <c r="B2106" s="59"/>
      <c r="C2106" s="72"/>
      <c r="D2106" s="72"/>
      <c r="E2106" s="72"/>
      <c r="F2106" s="72"/>
      <c r="G2106" s="75"/>
      <c r="H2106" s="59"/>
      <c r="I2106" s="59"/>
      <c r="J2106" s="59"/>
      <c r="K2106" s="59"/>
      <c r="L2106" s="59"/>
      <c r="M2106" s="59"/>
      <c r="N2106" s="59"/>
      <c r="O2106" s="59"/>
      <c r="P2106" s="59"/>
    </row>
    <row r="2107" spans="1:16">
      <c r="A2107" s="59"/>
      <c r="B2107" s="59"/>
      <c r="C2107" s="72"/>
      <c r="D2107" s="72"/>
      <c r="E2107" s="72"/>
      <c r="F2107" s="72"/>
      <c r="G2107" s="75"/>
      <c r="H2107" s="59"/>
      <c r="I2107" s="59"/>
      <c r="J2107" s="59"/>
      <c r="K2107" s="59"/>
      <c r="L2107" s="59"/>
      <c r="M2107" s="59"/>
      <c r="N2107" s="59"/>
      <c r="O2107" s="59"/>
      <c r="P2107" s="59"/>
    </row>
    <row r="2108" spans="1:16">
      <c r="A2108" s="59"/>
      <c r="B2108" s="59"/>
      <c r="C2108" s="72"/>
      <c r="D2108" s="72"/>
      <c r="E2108" s="72"/>
      <c r="F2108" s="72"/>
      <c r="G2108" s="75"/>
      <c r="H2108" s="59"/>
      <c r="I2108" s="59"/>
      <c r="J2108" s="59"/>
      <c r="K2108" s="59"/>
      <c r="L2108" s="59"/>
      <c r="M2108" s="59"/>
      <c r="N2108" s="59"/>
      <c r="O2108" s="59"/>
      <c r="P2108" s="59"/>
    </row>
    <row r="2109" spans="1:16">
      <c r="A2109" s="59"/>
      <c r="B2109" s="59"/>
      <c r="C2109" s="72"/>
      <c r="D2109" s="72"/>
      <c r="E2109" s="72"/>
      <c r="F2109" s="72"/>
      <c r="G2109" s="75"/>
      <c r="H2109" s="59"/>
      <c r="I2109" s="59"/>
      <c r="J2109" s="59"/>
      <c r="K2109" s="59"/>
      <c r="L2109" s="59"/>
      <c r="M2109" s="59"/>
      <c r="N2109" s="59"/>
      <c r="O2109" s="59"/>
      <c r="P2109" s="59"/>
    </row>
    <row r="2110" spans="1:16">
      <c r="A2110" s="59"/>
      <c r="B2110" s="59"/>
      <c r="C2110" s="72"/>
      <c r="D2110" s="72"/>
      <c r="E2110" s="72"/>
      <c r="F2110" s="72"/>
      <c r="G2110" s="75"/>
      <c r="H2110" s="59"/>
      <c r="I2110" s="59"/>
      <c r="J2110" s="59"/>
      <c r="K2110" s="59"/>
      <c r="L2110" s="59"/>
      <c r="M2110" s="59"/>
      <c r="N2110" s="59"/>
      <c r="O2110" s="59"/>
      <c r="P2110" s="59"/>
    </row>
    <row r="2111" spans="1:16">
      <c r="A2111" s="59"/>
      <c r="B2111" s="59"/>
      <c r="C2111" s="72"/>
      <c r="D2111" s="72"/>
      <c r="E2111" s="72"/>
      <c r="F2111" s="72"/>
      <c r="G2111" s="75"/>
      <c r="H2111" s="59"/>
      <c r="I2111" s="59"/>
      <c r="J2111" s="59"/>
      <c r="K2111" s="59"/>
      <c r="L2111" s="59"/>
      <c r="M2111" s="59"/>
      <c r="N2111" s="59"/>
      <c r="O2111" s="59"/>
      <c r="P2111" s="59"/>
    </row>
    <row r="2112" spans="1:16">
      <c r="A2112" s="59"/>
      <c r="B2112" s="59"/>
      <c r="C2112" s="72"/>
      <c r="D2112" s="72"/>
      <c r="E2112" s="72"/>
      <c r="F2112" s="72"/>
      <c r="G2112" s="75"/>
      <c r="H2112" s="59"/>
      <c r="I2112" s="59"/>
      <c r="J2112" s="59"/>
      <c r="K2112" s="59"/>
      <c r="L2112" s="59"/>
      <c r="M2112" s="59"/>
      <c r="N2112" s="59"/>
      <c r="O2112" s="59"/>
      <c r="P2112" s="59"/>
    </row>
    <row r="2113" spans="1:16">
      <c r="A2113" s="59"/>
      <c r="B2113" s="59"/>
      <c r="C2113" s="72"/>
      <c r="D2113" s="72"/>
      <c r="E2113" s="72"/>
      <c r="F2113" s="72"/>
      <c r="G2113" s="75"/>
      <c r="H2113" s="59"/>
      <c r="I2113" s="59"/>
      <c r="J2113" s="59"/>
      <c r="K2113" s="59"/>
      <c r="L2113" s="59"/>
      <c r="M2113" s="59"/>
      <c r="N2113" s="59"/>
      <c r="O2113" s="59"/>
      <c r="P2113" s="59"/>
    </row>
    <row r="2114" spans="1:16">
      <c r="A2114" s="59"/>
      <c r="B2114" s="59"/>
      <c r="C2114" s="72"/>
      <c r="D2114" s="72"/>
      <c r="E2114" s="72"/>
      <c r="F2114" s="72"/>
      <c r="G2114" s="75"/>
      <c r="H2114" s="59"/>
      <c r="I2114" s="59"/>
      <c r="J2114" s="59"/>
      <c r="K2114" s="59"/>
      <c r="L2114" s="59"/>
      <c r="M2114" s="59"/>
      <c r="N2114" s="59"/>
      <c r="O2114" s="59"/>
      <c r="P2114" s="59"/>
    </row>
    <row r="2115" spans="1:16">
      <c r="A2115" s="59"/>
      <c r="B2115" s="59"/>
      <c r="C2115" s="72"/>
      <c r="D2115" s="72"/>
      <c r="E2115" s="72"/>
      <c r="F2115" s="72"/>
      <c r="G2115" s="75"/>
      <c r="H2115" s="59"/>
      <c r="I2115" s="59"/>
      <c r="J2115" s="59"/>
      <c r="K2115" s="59"/>
      <c r="L2115" s="59"/>
      <c r="M2115" s="59"/>
      <c r="N2115" s="59"/>
      <c r="O2115" s="59"/>
      <c r="P2115" s="59"/>
    </row>
    <row r="2116" spans="1:16">
      <c r="A2116" s="59"/>
      <c r="B2116" s="59"/>
      <c r="C2116" s="72"/>
      <c r="D2116" s="72"/>
      <c r="E2116" s="72"/>
      <c r="F2116" s="72"/>
      <c r="G2116" s="75"/>
      <c r="H2116" s="59"/>
      <c r="I2116" s="59"/>
      <c r="J2116" s="59"/>
      <c r="K2116" s="59"/>
      <c r="L2116" s="59"/>
      <c r="M2116" s="59"/>
      <c r="N2116" s="59"/>
      <c r="O2116" s="59"/>
      <c r="P2116" s="59"/>
    </row>
    <row r="2117" spans="1:16">
      <c r="A2117" s="59"/>
      <c r="B2117" s="59"/>
      <c r="C2117" s="72"/>
      <c r="D2117" s="72"/>
      <c r="E2117" s="72"/>
      <c r="F2117" s="72"/>
      <c r="G2117" s="75"/>
      <c r="H2117" s="59"/>
      <c r="I2117" s="59"/>
      <c r="J2117" s="59"/>
      <c r="K2117" s="59"/>
      <c r="L2117" s="59"/>
      <c r="M2117" s="59"/>
      <c r="N2117" s="59"/>
      <c r="O2117" s="59"/>
      <c r="P2117" s="59"/>
    </row>
    <row r="2118" spans="1:16">
      <c r="A2118" s="59"/>
      <c r="B2118" s="59"/>
      <c r="C2118" s="72"/>
      <c r="D2118" s="72"/>
      <c r="E2118" s="72"/>
      <c r="F2118" s="72"/>
      <c r="G2118" s="75"/>
      <c r="H2118" s="59"/>
      <c r="I2118" s="59"/>
      <c r="J2118" s="59"/>
      <c r="K2118" s="59"/>
      <c r="L2118" s="59"/>
      <c r="M2118" s="59"/>
      <c r="N2118" s="59"/>
      <c r="O2118" s="59"/>
      <c r="P2118" s="59"/>
    </row>
    <row r="2119" spans="1:16">
      <c r="A2119" s="59"/>
      <c r="B2119" s="59"/>
      <c r="C2119" s="72"/>
      <c r="D2119" s="72"/>
      <c r="E2119" s="72"/>
      <c r="F2119" s="72"/>
      <c r="G2119" s="75"/>
      <c r="H2119" s="59"/>
      <c r="I2119" s="59"/>
      <c r="J2119" s="59"/>
      <c r="K2119" s="59"/>
      <c r="L2119" s="59"/>
      <c r="M2119" s="59"/>
      <c r="N2119" s="59"/>
      <c r="O2119" s="59"/>
      <c r="P2119" s="59"/>
    </row>
    <row r="2120" spans="1:16">
      <c r="A2120" s="59"/>
      <c r="B2120" s="59"/>
      <c r="C2120" s="72"/>
      <c r="D2120" s="72"/>
      <c r="E2120" s="72"/>
      <c r="F2120" s="72"/>
      <c r="G2120" s="75"/>
      <c r="H2120" s="59"/>
      <c r="I2120" s="59"/>
      <c r="J2120" s="59"/>
      <c r="K2120" s="59"/>
      <c r="L2120" s="59"/>
      <c r="M2120" s="59"/>
      <c r="N2120" s="59"/>
      <c r="O2120" s="59"/>
      <c r="P2120" s="59"/>
    </row>
    <row r="2121" spans="1:16">
      <c r="A2121" s="59"/>
      <c r="B2121" s="59"/>
      <c r="C2121" s="72"/>
      <c r="D2121" s="72"/>
      <c r="E2121" s="72"/>
      <c r="F2121" s="72"/>
      <c r="G2121" s="75"/>
      <c r="H2121" s="59"/>
      <c r="I2121" s="59"/>
      <c r="J2121" s="59"/>
      <c r="K2121" s="59"/>
      <c r="L2121" s="59"/>
      <c r="M2121" s="59"/>
      <c r="N2121" s="59"/>
      <c r="O2121" s="59"/>
      <c r="P2121" s="59"/>
    </row>
    <row r="2122" spans="1:16">
      <c r="A2122" s="59"/>
      <c r="B2122" s="59"/>
      <c r="C2122" s="72"/>
      <c r="D2122" s="72"/>
      <c r="E2122" s="72"/>
      <c r="F2122" s="72"/>
      <c r="G2122" s="75"/>
      <c r="H2122" s="59"/>
      <c r="I2122" s="59"/>
      <c r="J2122" s="59"/>
      <c r="K2122" s="59"/>
      <c r="L2122" s="59"/>
      <c r="M2122" s="59"/>
      <c r="N2122" s="59"/>
      <c r="O2122" s="59"/>
      <c r="P2122" s="59"/>
    </row>
    <row r="2123" spans="1:16">
      <c r="A2123" s="59"/>
      <c r="B2123" s="59"/>
      <c r="C2123" s="72"/>
      <c r="D2123" s="72"/>
      <c r="E2123" s="72"/>
      <c r="F2123" s="72"/>
      <c r="G2123" s="75"/>
      <c r="H2123" s="59"/>
      <c r="I2123" s="59"/>
      <c r="J2123" s="59"/>
      <c r="K2123" s="59"/>
      <c r="L2123" s="59"/>
      <c r="M2123" s="59"/>
      <c r="N2123" s="59"/>
      <c r="O2123" s="59"/>
      <c r="P2123" s="59"/>
    </row>
    <row r="2124" spans="1:16">
      <c r="A2124" s="59"/>
      <c r="B2124" s="59"/>
      <c r="C2124" s="72"/>
      <c r="D2124" s="72"/>
      <c r="E2124" s="72"/>
      <c r="F2124" s="72"/>
      <c r="G2124" s="75"/>
      <c r="H2124" s="59"/>
      <c r="I2124" s="59"/>
      <c r="J2124" s="59"/>
      <c r="K2124" s="59"/>
      <c r="L2124" s="59"/>
      <c r="M2124" s="59"/>
      <c r="N2124" s="59"/>
      <c r="O2124" s="59"/>
      <c r="P2124" s="59"/>
    </row>
    <row r="2125" spans="1:16">
      <c r="A2125" s="59"/>
      <c r="B2125" s="59"/>
      <c r="C2125" s="72"/>
      <c r="D2125" s="72"/>
      <c r="E2125" s="72"/>
      <c r="F2125" s="72"/>
      <c r="G2125" s="75"/>
      <c r="H2125" s="59"/>
      <c r="I2125" s="59"/>
      <c r="J2125" s="59"/>
      <c r="K2125" s="59"/>
      <c r="L2125" s="59"/>
      <c r="M2125" s="59"/>
      <c r="N2125" s="59"/>
      <c r="O2125" s="59"/>
      <c r="P2125" s="59"/>
    </row>
    <row r="2126" spans="1:16">
      <c r="A2126" s="59"/>
      <c r="B2126" s="59"/>
      <c r="C2126" s="72"/>
      <c r="D2126" s="72"/>
      <c r="E2126" s="72"/>
      <c r="F2126" s="72"/>
      <c r="G2126" s="75"/>
      <c r="H2126" s="59"/>
      <c r="I2126" s="59"/>
      <c r="J2126" s="59"/>
      <c r="K2126" s="59"/>
      <c r="L2126" s="59"/>
      <c r="M2126" s="59"/>
      <c r="N2126" s="59"/>
      <c r="O2126" s="59"/>
      <c r="P2126" s="59"/>
    </row>
    <row r="2127" spans="1:16">
      <c r="A2127" s="59"/>
      <c r="B2127" s="59"/>
      <c r="C2127" s="72"/>
      <c r="D2127" s="72"/>
      <c r="E2127" s="72"/>
      <c r="F2127" s="72"/>
      <c r="G2127" s="75"/>
      <c r="H2127" s="59"/>
      <c r="I2127" s="59"/>
      <c r="J2127" s="59"/>
      <c r="K2127" s="59"/>
      <c r="L2127" s="59"/>
      <c r="M2127" s="59"/>
      <c r="N2127" s="59"/>
      <c r="O2127" s="59"/>
      <c r="P2127" s="59"/>
    </row>
    <row r="2128" spans="1:16">
      <c r="A2128" s="59"/>
      <c r="B2128" s="59"/>
      <c r="C2128" s="72"/>
      <c r="D2128" s="72"/>
      <c r="E2128" s="72"/>
      <c r="F2128" s="72"/>
      <c r="G2128" s="75"/>
      <c r="H2128" s="59"/>
      <c r="I2128" s="59"/>
      <c r="J2128" s="59"/>
      <c r="K2128" s="59"/>
      <c r="L2128" s="59"/>
      <c r="M2128" s="59"/>
      <c r="N2128" s="59"/>
      <c r="O2128" s="59"/>
      <c r="P2128" s="59"/>
    </row>
    <row r="2129" spans="1:16">
      <c r="A2129" s="59"/>
      <c r="B2129" s="59"/>
      <c r="C2129" s="72"/>
      <c r="D2129" s="72"/>
      <c r="E2129" s="72"/>
      <c r="F2129" s="72"/>
      <c r="G2129" s="75"/>
      <c r="H2129" s="59"/>
      <c r="I2129" s="59"/>
      <c r="J2129" s="59"/>
      <c r="K2129" s="59"/>
      <c r="L2129" s="59"/>
      <c r="M2129" s="59"/>
      <c r="N2129" s="59"/>
      <c r="O2129" s="59"/>
      <c r="P2129" s="59"/>
    </row>
    <row r="2130" spans="1:16">
      <c r="A2130" s="59"/>
      <c r="B2130" s="59"/>
      <c r="C2130" s="72"/>
      <c r="D2130" s="72"/>
      <c r="E2130" s="72"/>
      <c r="F2130" s="72"/>
      <c r="G2130" s="75"/>
      <c r="H2130" s="59"/>
      <c r="I2130" s="59"/>
      <c r="J2130" s="59"/>
      <c r="K2130" s="59"/>
      <c r="L2130" s="59"/>
      <c r="M2130" s="59"/>
      <c r="N2130" s="59"/>
      <c r="O2130" s="59"/>
      <c r="P2130" s="59"/>
    </row>
    <row r="2131" spans="1:16">
      <c r="A2131" s="59"/>
      <c r="B2131" s="59"/>
      <c r="C2131" s="72"/>
      <c r="D2131" s="72"/>
      <c r="E2131" s="72"/>
      <c r="F2131" s="72"/>
      <c r="G2131" s="75"/>
      <c r="H2131" s="59"/>
      <c r="I2131" s="59"/>
      <c r="J2131" s="59"/>
      <c r="K2131" s="59"/>
      <c r="L2131" s="59"/>
      <c r="M2131" s="59"/>
      <c r="N2131" s="59"/>
      <c r="O2131" s="59"/>
      <c r="P2131" s="59"/>
    </row>
    <row r="2132" spans="1:16">
      <c r="A2132" s="59"/>
      <c r="B2132" s="59"/>
      <c r="C2132" s="72"/>
      <c r="D2132" s="72"/>
      <c r="E2132" s="72"/>
      <c r="F2132" s="72"/>
      <c r="G2132" s="75"/>
      <c r="H2132" s="59"/>
      <c r="I2132" s="59"/>
      <c r="J2132" s="59"/>
      <c r="K2132" s="59"/>
      <c r="L2132" s="59"/>
      <c r="M2132" s="59"/>
      <c r="N2132" s="59"/>
      <c r="O2132" s="59"/>
      <c r="P2132" s="59"/>
    </row>
    <row r="2133" spans="1:16">
      <c r="A2133" s="59"/>
      <c r="B2133" s="59"/>
      <c r="C2133" s="72"/>
      <c r="D2133" s="72"/>
      <c r="E2133" s="72"/>
      <c r="F2133" s="72"/>
      <c r="G2133" s="75"/>
      <c r="H2133" s="59"/>
      <c r="I2133" s="59"/>
      <c r="J2133" s="59"/>
      <c r="K2133" s="59"/>
      <c r="L2133" s="59"/>
      <c r="M2133" s="59"/>
      <c r="N2133" s="59"/>
      <c r="O2133" s="59"/>
      <c r="P2133" s="59"/>
    </row>
    <row r="2134" spans="1:16">
      <c r="A2134" s="59"/>
      <c r="B2134" s="59"/>
      <c r="C2134" s="72"/>
      <c r="D2134" s="72"/>
      <c r="E2134" s="72"/>
      <c r="F2134" s="72"/>
      <c r="G2134" s="75"/>
      <c r="H2134" s="59"/>
      <c r="I2134" s="59"/>
      <c r="J2134" s="59"/>
      <c r="K2134" s="59"/>
      <c r="L2134" s="59"/>
      <c r="M2134" s="59"/>
      <c r="N2134" s="59"/>
      <c r="O2134" s="59"/>
      <c r="P2134" s="59"/>
    </row>
    <row r="2135" spans="1:16">
      <c r="A2135" s="59"/>
      <c r="B2135" s="59"/>
      <c r="C2135" s="72"/>
      <c r="D2135" s="72"/>
      <c r="E2135" s="72"/>
      <c r="F2135" s="72"/>
      <c r="G2135" s="75"/>
      <c r="H2135" s="59"/>
      <c r="I2135" s="59"/>
      <c r="J2135" s="59"/>
      <c r="K2135" s="59"/>
      <c r="L2135" s="59"/>
      <c r="M2135" s="59"/>
      <c r="N2135" s="59"/>
      <c r="O2135" s="59"/>
      <c r="P2135" s="59"/>
    </row>
    <row r="2136" spans="1:16">
      <c r="A2136" s="59"/>
      <c r="B2136" s="59"/>
      <c r="C2136" s="72"/>
      <c r="D2136" s="72"/>
      <c r="E2136" s="72"/>
      <c r="F2136" s="72"/>
      <c r="G2136" s="75"/>
      <c r="H2136" s="59"/>
      <c r="I2136" s="59"/>
      <c r="J2136" s="59"/>
      <c r="K2136" s="59"/>
      <c r="L2136" s="59"/>
      <c r="M2136" s="59"/>
      <c r="N2136" s="59"/>
      <c r="O2136" s="59"/>
      <c r="P2136" s="59"/>
    </row>
    <row r="2137" spans="1:16">
      <c r="A2137" s="59"/>
      <c r="B2137" s="59"/>
      <c r="C2137" s="72"/>
      <c r="D2137" s="72"/>
      <c r="E2137" s="72"/>
      <c r="F2137" s="72"/>
      <c r="G2137" s="75"/>
      <c r="H2137" s="59"/>
      <c r="I2137" s="59"/>
      <c r="J2137" s="59"/>
      <c r="K2137" s="59"/>
      <c r="L2137" s="59"/>
      <c r="M2137" s="59"/>
      <c r="N2137" s="59"/>
      <c r="O2137" s="59"/>
      <c r="P2137" s="59"/>
    </row>
    <row r="2138" spans="1:16">
      <c r="A2138" s="59"/>
      <c r="B2138" s="59"/>
      <c r="C2138" s="72"/>
      <c r="D2138" s="72"/>
      <c r="E2138" s="72"/>
      <c r="F2138" s="72"/>
      <c r="G2138" s="75"/>
      <c r="H2138" s="59"/>
      <c r="I2138" s="59"/>
      <c r="J2138" s="59"/>
      <c r="K2138" s="59"/>
      <c r="L2138" s="59"/>
      <c r="M2138" s="59"/>
      <c r="N2138" s="59"/>
      <c r="O2138" s="59"/>
      <c r="P2138" s="59"/>
    </row>
    <row r="2139" spans="1:16">
      <c r="A2139" s="59"/>
      <c r="B2139" s="59"/>
      <c r="C2139" s="72"/>
      <c r="D2139" s="72"/>
      <c r="E2139" s="72"/>
      <c r="F2139" s="72"/>
      <c r="G2139" s="75"/>
      <c r="H2139" s="59"/>
      <c r="I2139" s="59"/>
      <c r="J2139" s="59"/>
      <c r="K2139" s="59"/>
      <c r="L2139" s="59"/>
      <c r="M2139" s="59"/>
      <c r="N2139" s="59"/>
      <c r="O2139" s="59"/>
      <c r="P2139" s="59"/>
    </row>
    <row r="2140" spans="1:16">
      <c r="A2140" s="59"/>
      <c r="B2140" s="59"/>
      <c r="C2140" s="72"/>
      <c r="D2140" s="72"/>
      <c r="E2140" s="72"/>
      <c r="F2140" s="72"/>
      <c r="G2140" s="75"/>
      <c r="H2140" s="59"/>
      <c r="I2140" s="59"/>
      <c r="J2140" s="59"/>
      <c r="K2140" s="59"/>
      <c r="L2140" s="59"/>
      <c r="M2140" s="59"/>
      <c r="N2140" s="59"/>
      <c r="O2140" s="59"/>
      <c r="P2140" s="59"/>
    </row>
    <row r="2141" spans="1:16">
      <c r="A2141" s="59"/>
      <c r="B2141" s="59"/>
      <c r="C2141" s="72"/>
      <c r="D2141" s="72"/>
      <c r="E2141" s="72"/>
      <c r="F2141" s="72"/>
      <c r="G2141" s="75"/>
      <c r="H2141" s="59"/>
      <c r="I2141" s="59"/>
      <c r="J2141" s="59"/>
      <c r="K2141" s="59"/>
      <c r="L2141" s="59"/>
      <c r="M2141" s="59"/>
      <c r="N2141" s="59"/>
      <c r="O2141" s="59"/>
      <c r="P2141" s="59"/>
    </row>
    <row r="2142" spans="1:16">
      <c r="A2142" s="59"/>
      <c r="B2142" s="59"/>
      <c r="C2142" s="72"/>
      <c r="D2142" s="72"/>
      <c r="E2142" s="72"/>
      <c r="F2142" s="72"/>
      <c r="G2142" s="75"/>
      <c r="H2142" s="59"/>
      <c r="I2142" s="59"/>
      <c r="J2142" s="59"/>
      <c r="K2142" s="59"/>
      <c r="L2142" s="59"/>
      <c r="M2142" s="59"/>
      <c r="N2142" s="59"/>
      <c r="O2142" s="59"/>
      <c r="P2142" s="59"/>
    </row>
    <row r="2143" spans="1:16">
      <c r="A2143" s="59"/>
      <c r="B2143" s="59"/>
      <c r="C2143" s="72"/>
      <c r="D2143" s="72"/>
      <c r="E2143" s="72"/>
      <c r="F2143" s="72"/>
      <c r="G2143" s="75"/>
      <c r="H2143" s="59"/>
      <c r="I2143" s="59"/>
      <c r="J2143" s="59"/>
      <c r="K2143" s="59"/>
      <c r="L2143" s="59"/>
      <c r="M2143" s="59"/>
      <c r="N2143" s="59"/>
      <c r="O2143" s="59"/>
      <c r="P2143" s="59"/>
    </row>
    <row r="2144" spans="1:16">
      <c r="A2144" s="59"/>
      <c r="B2144" s="59"/>
      <c r="C2144" s="72"/>
      <c r="D2144" s="72"/>
      <c r="E2144" s="72"/>
      <c r="F2144" s="72"/>
      <c r="G2144" s="75"/>
      <c r="H2144" s="59"/>
      <c r="I2144" s="59"/>
      <c r="J2144" s="59"/>
      <c r="K2144" s="59"/>
      <c r="L2144" s="59"/>
      <c r="M2144" s="59"/>
      <c r="N2144" s="59"/>
      <c r="O2144" s="59"/>
      <c r="P2144" s="59"/>
    </row>
    <row r="2145" spans="1:16">
      <c r="A2145" s="59"/>
      <c r="B2145" s="59"/>
      <c r="C2145" s="72"/>
      <c r="D2145" s="72"/>
      <c r="E2145" s="72"/>
      <c r="F2145" s="72"/>
      <c r="G2145" s="75"/>
      <c r="H2145" s="59"/>
      <c r="I2145" s="59"/>
      <c r="J2145" s="59"/>
      <c r="K2145" s="59"/>
      <c r="L2145" s="59"/>
      <c r="M2145" s="59"/>
      <c r="N2145" s="59"/>
      <c r="O2145" s="59"/>
      <c r="P2145" s="59"/>
    </row>
    <row r="2146" spans="1:16">
      <c r="A2146" s="59"/>
      <c r="B2146" s="59"/>
      <c r="C2146" s="72"/>
      <c r="D2146" s="72"/>
      <c r="E2146" s="72"/>
      <c r="F2146" s="72"/>
      <c r="G2146" s="75"/>
      <c r="H2146" s="59"/>
      <c r="I2146" s="59"/>
      <c r="J2146" s="59"/>
      <c r="K2146" s="59"/>
      <c r="L2146" s="59"/>
      <c r="M2146" s="59"/>
      <c r="N2146" s="59"/>
      <c r="O2146" s="59"/>
      <c r="P2146" s="59"/>
    </row>
    <row r="2147" spans="1:16">
      <c r="A2147" s="59"/>
      <c r="B2147" s="59"/>
      <c r="C2147" s="72"/>
      <c r="D2147" s="72"/>
      <c r="E2147" s="72"/>
      <c r="F2147" s="72"/>
      <c r="G2147" s="75"/>
      <c r="H2147" s="59"/>
      <c r="I2147" s="59"/>
      <c r="J2147" s="59"/>
      <c r="K2147" s="59"/>
      <c r="L2147" s="59"/>
      <c r="M2147" s="59"/>
      <c r="N2147" s="59"/>
      <c r="O2147" s="59"/>
      <c r="P2147" s="59"/>
    </row>
    <row r="2148" spans="1:16">
      <c r="A2148" s="59"/>
      <c r="B2148" s="59"/>
      <c r="C2148" s="72"/>
      <c r="D2148" s="72"/>
      <c r="E2148" s="72"/>
      <c r="F2148" s="72"/>
      <c r="G2148" s="75"/>
      <c r="H2148" s="59"/>
      <c r="I2148" s="59"/>
      <c r="J2148" s="59"/>
      <c r="K2148" s="59"/>
      <c r="L2148" s="59"/>
      <c r="M2148" s="59"/>
      <c r="N2148" s="59"/>
      <c r="O2148" s="59"/>
      <c r="P2148" s="59"/>
    </row>
    <row r="2149" spans="1:16">
      <c r="A2149" s="59"/>
      <c r="B2149" s="59"/>
      <c r="C2149" s="72"/>
      <c r="D2149" s="72"/>
      <c r="E2149" s="72"/>
      <c r="F2149" s="72"/>
      <c r="G2149" s="75"/>
      <c r="H2149" s="59"/>
      <c r="I2149" s="59"/>
      <c r="J2149" s="59"/>
      <c r="K2149" s="59"/>
      <c r="L2149" s="59"/>
      <c r="M2149" s="59"/>
      <c r="N2149" s="59"/>
      <c r="O2149" s="59"/>
      <c r="P2149" s="59"/>
    </row>
    <row r="2150" spans="1:16">
      <c r="A2150" s="59"/>
      <c r="B2150" s="59"/>
      <c r="C2150" s="72"/>
      <c r="D2150" s="72"/>
      <c r="E2150" s="72"/>
      <c r="F2150" s="72"/>
      <c r="G2150" s="75"/>
      <c r="H2150" s="59"/>
      <c r="I2150" s="59"/>
      <c r="J2150" s="59"/>
      <c r="K2150" s="59"/>
      <c r="L2150" s="59"/>
      <c r="M2150" s="59"/>
      <c r="N2150" s="59"/>
      <c r="O2150" s="59"/>
      <c r="P2150" s="59"/>
    </row>
    <row r="2151" spans="1:16">
      <c r="A2151" s="59"/>
      <c r="B2151" s="59"/>
      <c r="C2151" s="72"/>
      <c r="D2151" s="72"/>
      <c r="E2151" s="72"/>
      <c r="F2151" s="72"/>
      <c r="G2151" s="75"/>
      <c r="H2151" s="59"/>
      <c r="I2151" s="59"/>
      <c r="J2151" s="59"/>
      <c r="K2151" s="59"/>
      <c r="L2151" s="59"/>
      <c r="M2151" s="59"/>
      <c r="N2151" s="59"/>
      <c r="O2151" s="59"/>
      <c r="P2151" s="59"/>
    </row>
    <row r="2152" spans="1:16">
      <c r="A2152" s="59"/>
      <c r="B2152" s="59"/>
      <c r="C2152" s="72"/>
      <c r="D2152" s="72"/>
      <c r="E2152" s="72"/>
      <c r="F2152" s="72"/>
      <c r="G2152" s="75"/>
      <c r="H2152" s="59"/>
      <c r="I2152" s="59"/>
      <c r="J2152" s="59"/>
      <c r="K2152" s="59"/>
      <c r="L2152" s="59"/>
      <c r="M2152" s="59"/>
      <c r="N2152" s="59"/>
      <c r="O2152" s="59"/>
      <c r="P2152" s="59"/>
    </row>
    <row r="2153" spans="1:16">
      <c r="A2153" s="59"/>
      <c r="B2153" s="59"/>
      <c r="C2153" s="72"/>
      <c r="D2153" s="72"/>
      <c r="E2153" s="72"/>
      <c r="F2153" s="72"/>
      <c r="G2153" s="75"/>
      <c r="H2153" s="59"/>
      <c r="I2153" s="59"/>
      <c r="J2153" s="59"/>
      <c r="K2153" s="59"/>
      <c r="L2153" s="59"/>
      <c r="M2153" s="59"/>
      <c r="N2153" s="59"/>
      <c r="O2153" s="59"/>
      <c r="P2153" s="59"/>
    </row>
    <row r="2154" spans="1:16">
      <c r="A2154" s="59"/>
      <c r="B2154" s="59"/>
      <c r="C2154" s="72"/>
      <c r="D2154" s="72"/>
      <c r="E2154" s="72"/>
      <c r="F2154" s="72"/>
      <c r="G2154" s="75"/>
      <c r="H2154" s="59"/>
      <c r="I2154" s="59"/>
      <c r="J2154" s="59"/>
      <c r="K2154" s="59"/>
      <c r="L2154" s="59"/>
      <c r="M2154" s="59"/>
      <c r="N2154" s="59"/>
      <c r="O2154" s="59"/>
      <c r="P2154" s="59"/>
    </row>
    <row r="2155" spans="1:16">
      <c r="A2155" s="59"/>
      <c r="B2155" s="59"/>
      <c r="C2155" s="72"/>
      <c r="D2155" s="72"/>
      <c r="E2155" s="72"/>
      <c r="F2155" s="72"/>
      <c r="G2155" s="75"/>
      <c r="H2155" s="59"/>
      <c r="I2155" s="59"/>
      <c r="J2155" s="59"/>
      <c r="K2155" s="59"/>
      <c r="L2155" s="59"/>
      <c r="M2155" s="59"/>
      <c r="N2155" s="59"/>
      <c r="O2155" s="59"/>
      <c r="P2155" s="59"/>
    </row>
    <row r="2156" spans="1:16">
      <c r="A2156" s="59"/>
      <c r="B2156" s="59"/>
      <c r="C2156" s="72"/>
      <c r="D2156" s="72"/>
      <c r="E2156" s="72"/>
      <c r="F2156" s="72"/>
      <c r="G2156" s="75"/>
      <c r="H2156" s="59"/>
      <c r="I2156" s="59"/>
      <c r="J2156" s="59"/>
      <c r="K2156" s="59"/>
      <c r="L2156" s="59"/>
      <c r="M2156" s="59"/>
      <c r="N2156" s="59"/>
      <c r="O2156" s="59"/>
      <c r="P2156" s="59"/>
    </row>
    <row r="2157" spans="1:16">
      <c r="A2157" s="59"/>
      <c r="B2157" s="59"/>
      <c r="C2157" s="72"/>
      <c r="D2157" s="72"/>
      <c r="E2157" s="72"/>
      <c r="F2157" s="72"/>
      <c r="G2157" s="75"/>
      <c r="H2157" s="59"/>
      <c r="I2157" s="59"/>
      <c r="J2157" s="59"/>
      <c r="K2157" s="59"/>
      <c r="L2157" s="59"/>
      <c r="M2157" s="59"/>
      <c r="N2157" s="59"/>
      <c r="O2157" s="59"/>
      <c r="P2157" s="59"/>
    </row>
    <row r="2158" spans="1:16">
      <c r="A2158" s="59"/>
      <c r="B2158" s="59"/>
      <c r="C2158" s="72"/>
      <c r="D2158" s="72"/>
      <c r="E2158" s="72"/>
      <c r="F2158" s="72"/>
      <c r="G2158" s="75"/>
      <c r="H2158" s="59"/>
      <c r="I2158" s="59"/>
      <c r="J2158" s="59"/>
      <c r="K2158" s="59"/>
      <c r="L2158" s="59"/>
      <c r="M2158" s="59"/>
      <c r="N2158" s="59"/>
      <c r="O2158" s="59"/>
      <c r="P2158" s="59"/>
    </row>
    <row r="2159" spans="1:16">
      <c r="A2159" s="59"/>
      <c r="B2159" s="59"/>
      <c r="C2159" s="72"/>
      <c r="D2159" s="72"/>
      <c r="E2159" s="72"/>
      <c r="F2159" s="72"/>
      <c r="G2159" s="75"/>
      <c r="H2159" s="59"/>
      <c r="I2159" s="59"/>
      <c r="J2159" s="59"/>
      <c r="K2159" s="59"/>
      <c r="L2159" s="59"/>
      <c r="M2159" s="59"/>
      <c r="N2159" s="59"/>
      <c r="O2159" s="59"/>
      <c r="P2159" s="59"/>
    </row>
    <row r="2160" spans="1:16">
      <c r="A2160" s="59"/>
      <c r="B2160" s="59"/>
      <c r="C2160" s="72"/>
      <c r="D2160" s="72"/>
      <c r="E2160" s="72"/>
      <c r="F2160" s="72"/>
      <c r="G2160" s="75"/>
      <c r="H2160" s="59"/>
      <c r="I2160" s="59"/>
      <c r="J2160" s="59"/>
      <c r="K2160" s="59"/>
      <c r="L2160" s="59"/>
      <c r="M2160" s="59"/>
      <c r="N2160" s="59"/>
      <c r="O2160" s="59"/>
      <c r="P2160" s="59"/>
    </row>
    <row r="2161" spans="1:16">
      <c r="A2161" s="59"/>
      <c r="B2161" s="59"/>
      <c r="C2161" s="72"/>
      <c r="D2161" s="72"/>
      <c r="E2161" s="72"/>
      <c r="F2161" s="72"/>
      <c r="G2161" s="75"/>
      <c r="H2161" s="59"/>
      <c r="I2161" s="59"/>
      <c r="J2161" s="59"/>
      <c r="K2161" s="59"/>
      <c r="L2161" s="59"/>
      <c r="M2161" s="59"/>
      <c r="N2161" s="59"/>
      <c r="O2161" s="59"/>
      <c r="P2161" s="59"/>
    </row>
    <row r="2162" spans="1:16">
      <c r="A2162" s="59"/>
      <c r="B2162" s="59"/>
      <c r="C2162" s="72"/>
      <c r="D2162" s="72"/>
      <c r="E2162" s="72"/>
      <c r="F2162" s="72"/>
      <c r="G2162" s="75"/>
      <c r="H2162" s="59"/>
      <c r="I2162" s="59"/>
      <c r="J2162" s="59"/>
      <c r="K2162" s="59"/>
      <c r="L2162" s="59"/>
      <c r="M2162" s="59"/>
      <c r="N2162" s="59"/>
      <c r="O2162" s="59"/>
      <c r="P2162" s="59"/>
    </row>
    <row r="2163" spans="1:16">
      <c r="A2163" s="59"/>
      <c r="B2163" s="59"/>
      <c r="C2163" s="72"/>
      <c r="D2163" s="72"/>
      <c r="E2163" s="72"/>
      <c r="F2163" s="72"/>
      <c r="G2163" s="75"/>
      <c r="H2163" s="59"/>
      <c r="I2163" s="59"/>
      <c r="J2163" s="59"/>
      <c r="K2163" s="59"/>
      <c r="L2163" s="59"/>
      <c r="M2163" s="59"/>
      <c r="N2163" s="59"/>
      <c r="O2163" s="59"/>
      <c r="P2163" s="59"/>
    </row>
    <row r="2164" spans="1:16">
      <c r="A2164" s="59"/>
      <c r="B2164" s="59"/>
      <c r="C2164" s="72"/>
      <c r="D2164" s="72"/>
      <c r="E2164" s="72"/>
      <c r="F2164" s="72"/>
      <c r="G2164" s="75"/>
      <c r="H2164" s="59"/>
      <c r="I2164" s="59"/>
      <c r="J2164" s="59"/>
      <c r="K2164" s="59"/>
      <c r="L2164" s="59"/>
      <c r="M2164" s="59"/>
      <c r="N2164" s="59"/>
      <c r="O2164" s="59"/>
      <c r="P2164" s="59"/>
    </row>
    <row r="2165" spans="1:16">
      <c r="A2165" s="59"/>
      <c r="B2165" s="59"/>
      <c r="C2165" s="72"/>
      <c r="D2165" s="72"/>
      <c r="E2165" s="72"/>
      <c r="F2165" s="72"/>
      <c r="G2165" s="75"/>
      <c r="H2165" s="59"/>
      <c r="I2165" s="59"/>
      <c r="J2165" s="59"/>
      <c r="K2165" s="59"/>
      <c r="L2165" s="59"/>
      <c r="M2165" s="59"/>
      <c r="N2165" s="59"/>
      <c r="O2165" s="59"/>
      <c r="P2165" s="59"/>
    </row>
    <row r="2166" spans="1:16">
      <c r="A2166" s="59"/>
      <c r="B2166" s="59"/>
      <c r="C2166" s="72"/>
      <c r="D2166" s="72"/>
      <c r="E2166" s="72"/>
      <c r="F2166" s="72"/>
      <c r="G2166" s="75"/>
      <c r="H2166" s="59"/>
      <c r="I2166" s="59"/>
      <c r="J2166" s="59"/>
      <c r="K2166" s="59"/>
      <c r="L2166" s="59"/>
      <c r="M2166" s="59"/>
      <c r="N2166" s="59"/>
      <c r="O2166" s="59"/>
      <c r="P2166" s="59"/>
    </row>
    <row r="2167" spans="1:16">
      <c r="A2167" s="59"/>
      <c r="B2167" s="59"/>
      <c r="C2167" s="72"/>
      <c r="D2167" s="72"/>
      <c r="E2167" s="72"/>
      <c r="F2167" s="72"/>
      <c r="G2167" s="75"/>
      <c r="H2167" s="59"/>
      <c r="I2167" s="59"/>
      <c r="J2167" s="59"/>
      <c r="K2167" s="59"/>
      <c r="L2167" s="59"/>
      <c r="M2167" s="59"/>
      <c r="N2167" s="59"/>
      <c r="O2167" s="59"/>
      <c r="P2167" s="59"/>
    </row>
    <row r="2168" spans="1:16">
      <c r="A2168" s="59"/>
      <c r="B2168" s="59"/>
      <c r="C2168" s="72"/>
      <c r="D2168" s="72"/>
      <c r="E2168" s="72"/>
      <c r="F2168" s="72"/>
      <c r="G2168" s="75"/>
      <c r="H2168" s="59"/>
      <c r="I2168" s="59"/>
      <c r="J2168" s="59"/>
      <c r="K2168" s="59"/>
      <c r="L2168" s="59"/>
      <c r="M2168" s="59"/>
      <c r="N2168" s="59"/>
      <c r="O2168" s="59"/>
      <c r="P2168" s="59"/>
    </row>
    <row r="2169" spans="1:16">
      <c r="A2169" s="59"/>
      <c r="B2169" s="59"/>
      <c r="C2169" s="72"/>
      <c r="D2169" s="72"/>
      <c r="E2169" s="72"/>
      <c r="F2169" s="72"/>
      <c r="G2169" s="75"/>
      <c r="H2169" s="59"/>
      <c r="I2169" s="59"/>
      <c r="J2169" s="59"/>
      <c r="K2169" s="59"/>
      <c r="L2169" s="59"/>
      <c r="M2169" s="59"/>
      <c r="N2169" s="59"/>
      <c r="O2169" s="59"/>
      <c r="P2169" s="59"/>
    </row>
    <row r="2170" spans="1:16">
      <c r="A2170" s="59"/>
      <c r="B2170" s="59"/>
      <c r="C2170" s="72"/>
      <c r="D2170" s="72"/>
      <c r="E2170" s="72"/>
      <c r="F2170" s="72"/>
      <c r="G2170" s="75"/>
      <c r="H2170" s="59"/>
      <c r="I2170" s="59"/>
      <c r="J2170" s="59"/>
      <c r="K2170" s="59"/>
      <c r="L2170" s="59"/>
      <c r="M2170" s="59"/>
      <c r="N2170" s="59"/>
      <c r="O2170" s="59"/>
      <c r="P2170" s="59"/>
    </row>
    <row r="2171" spans="1:16">
      <c r="A2171" s="59"/>
      <c r="B2171" s="59"/>
      <c r="C2171" s="72"/>
      <c r="D2171" s="72"/>
      <c r="E2171" s="72"/>
      <c r="F2171" s="72"/>
      <c r="G2171" s="75"/>
      <c r="H2171" s="59"/>
      <c r="I2171" s="59"/>
      <c r="J2171" s="59"/>
      <c r="K2171" s="59"/>
      <c r="L2171" s="59"/>
      <c r="M2171" s="59"/>
      <c r="N2171" s="59"/>
      <c r="O2171" s="59"/>
      <c r="P2171" s="59"/>
    </row>
    <row r="2172" spans="1:16">
      <c r="A2172" s="59"/>
      <c r="B2172" s="59"/>
      <c r="C2172" s="72"/>
      <c r="D2172" s="72"/>
      <c r="E2172" s="72"/>
      <c r="F2172" s="72"/>
      <c r="G2172" s="75"/>
      <c r="H2172" s="59"/>
      <c r="I2172" s="59"/>
      <c r="J2172" s="59"/>
      <c r="K2172" s="59"/>
      <c r="L2172" s="59"/>
      <c r="M2172" s="59"/>
      <c r="N2172" s="59"/>
      <c r="O2172" s="59"/>
      <c r="P2172" s="59"/>
    </row>
    <row r="2173" spans="1:16">
      <c r="A2173" s="59"/>
      <c r="B2173" s="59"/>
      <c r="C2173" s="72"/>
      <c r="D2173" s="72"/>
      <c r="E2173" s="72"/>
      <c r="F2173" s="72"/>
      <c r="G2173" s="75"/>
      <c r="H2173" s="59"/>
      <c r="I2173" s="59"/>
      <c r="J2173" s="59"/>
      <c r="K2173" s="59"/>
      <c r="L2173" s="59"/>
      <c r="M2173" s="59"/>
      <c r="N2173" s="59"/>
      <c r="O2173" s="59"/>
      <c r="P2173" s="59"/>
    </row>
    <row r="2174" spans="1:16">
      <c r="A2174" s="59"/>
      <c r="B2174" s="59"/>
      <c r="C2174" s="72"/>
      <c r="D2174" s="72"/>
      <c r="E2174" s="72"/>
      <c r="F2174" s="72"/>
      <c r="G2174" s="75"/>
      <c r="H2174" s="59"/>
      <c r="I2174" s="59"/>
      <c r="J2174" s="59"/>
      <c r="K2174" s="59"/>
      <c r="L2174" s="59"/>
      <c r="M2174" s="59"/>
      <c r="N2174" s="59"/>
      <c r="O2174" s="59"/>
      <c r="P2174" s="59"/>
    </row>
    <row r="2175" spans="1:16">
      <c r="A2175" s="59"/>
      <c r="B2175" s="59"/>
      <c r="C2175" s="72"/>
      <c r="D2175" s="72"/>
      <c r="E2175" s="72"/>
      <c r="F2175" s="72"/>
      <c r="G2175" s="75"/>
      <c r="H2175" s="59"/>
      <c r="I2175" s="59"/>
      <c r="J2175" s="59"/>
      <c r="K2175" s="59"/>
      <c r="L2175" s="59"/>
      <c r="M2175" s="59"/>
      <c r="N2175" s="59"/>
      <c r="O2175" s="59"/>
      <c r="P2175" s="59"/>
    </row>
    <row r="2176" spans="1:16">
      <c r="A2176" s="59"/>
      <c r="B2176" s="59"/>
      <c r="C2176" s="72"/>
      <c r="D2176" s="72"/>
      <c r="E2176" s="72"/>
      <c r="F2176" s="72"/>
      <c r="G2176" s="75"/>
      <c r="H2176" s="59"/>
      <c r="I2176" s="59"/>
      <c r="J2176" s="59"/>
      <c r="K2176" s="59"/>
      <c r="L2176" s="59"/>
      <c r="M2176" s="59"/>
      <c r="N2176" s="59"/>
      <c r="O2176" s="59"/>
      <c r="P2176" s="59"/>
    </row>
    <row r="2177" spans="1:16">
      <c r="A2177" s="59"/>
      <c r="B2177" s="59"/>
      <c r="C2177" s="72"/>
      <c r="D2177" s="72"/>
      <c r="E2177" s="72"/>
      <c r="F2177" s="72"/>
      <c r="G2177" s="75"/>
      <c r="H2177" s="59"/>
      <c r="I2177" s="59"/>
      <c r="J2177" s="59"/>
      <c r="K2177" s="59"/>
      <c r="L2177" s="59"/>
      <c r="M2177" s="59"/>
      <c r="N2177" s="59"/>
      <c r="O2177" s="59"/>
      <c r="P2177" s="59"/>
    </row>
    <row r="2178" spans="1:16">
      <c r="A2178" s="59"/>
      <c r="B2178" s="59"/>
      <c r="C2178" s="72"/>
      <c r="D2178" s="72"/>
      <c r="E2178" s="72"/>
      <c r="F2178" s="72"/>
      <c r="G2178" s="75"/>
      <c r="H2178" s="59"/>
      <c r="I2178" s="59"/>
      <c r="J2178" s="59"/>
      <c r="K2178" s="59"/>
      <c r="L2178" s="59"/>
      <c r="M2178" s="59"/>
      <c r="N2178" s="59"/>
      <c r="O2178" s="59"/>
      <c r="P2178" s="59"/>
    </row>
    <row r="2179" spans="1:16">
      <c r="A2179" s="59"/>
      <c r="B2179" s="59"/>
      <c r="C2179" s="72"/>
      <c r="D2179" s="72"/>
      <c r="E2179" s="72"/>
      <c r="F2179" s="72"/>
      <c r="G2179" s="75"/>
      <c r="H2179" s="59"/>
      <c r="I2179" s="59"/>
      <c r="J2179" s="59"/>
      <c r="K2179" s="59"/>
      <c r="L2179" s="59"/>
      <c r="M2179" s="59"/>
      <c r="N2179" s="59"/>
      <c r="O2179" s="59"/>
      <c r="P2179" s="59"/>
    </row>
    <row r="2180" spans="1:16">
      <c r="A2180" s="59"/>
      <c r="B2180" s="59"/>
      <c r="C2180" s="72"/>
      <c r="D2180" s="72"/>
      <c r="E2180" s="72"/>
      <c r="F2180" s="72"/>
      <c r="G2180" s="75"/>
      <c r="H2180" s="59"/>
      <c r="I2180" s="59"/>
      <c r="J2180" s="59"/>
      <c r="K2180" s="59"/>
      <c r="L2180" s="59"/>
      <c r="M2180" s="59"/>
      <c r="N2180" s="59"/>
      <c r="O2180" s="59"/>
      <c r="P2180" s="59"/>
    </row>
    <row r="2181" spans="1:16">
      <c r="A2181" s="59"/>
      <c r="B2181" s="59"/>
      <c r="C2181" s="72"/>
      <c r="D2181" s="72"/>
      <c r="E2181" s="72"/>
      <c r="F2181" s="72"/>
      <c r="G2181" s="75"/>
      <c r="H2181" s="59"/>
      <c r="I2181" s="59"/>
      <c r="J2181" s="59"/>
      <c r="K2181" s="59"/>
      <c r="L2181" s="59"/>
      <c r="M2181" s="59"/>
      <c r="N2181" s="59"/>
      <c r="O2181" s="59"/>
      <c r="P2181" s="59"/>
    </row>
    <row r="2182" spans="1:16">
      <c r="A2182" s="59"/>
      <c r="B2182" s="59"/>
      <c r="C2182" s="72"/>
      <c r="D2182" s="72"/>
      <c r="E2182" s="72"/>
      <c r="F2182" s="72"/>
      <c r="G2182" s="75"/>
      <c r="H2182" s="59"/>
      <c r="I2182" s="59"/>
      <c r="J2182" s="59"/>
      <c r="K2182" s="59"/>
      <c r="L2182" s="59"/>
      <c r="M2182" s="59"/>
      <c r="N2182" s="59"/>
      <c r="O2182" s="59"/>
      <c r="P2182" s="59"/>
    </row>
    <row r="2183" spans="1:16">
      <c r="A2183" s="59"/>
      <c r="B2183" s="59"/>
      <c r="C2183" s="72"/>
      <c r="D2183" s="72"/>
      <c r="E2183" s="72"/>
      <c r="F2183" s="72"/>
      <c r="G2183" s="75"/>
      <c r="H2183" s="59"/>
      <c r="I2183" s="59"/>
      <c r="J2183" s="59"/>
      <c r="K2183" s="59"/>
      <c r="L2183" s="59"/>
      <c r="M2183" s="59"/>
      <c r="N2183" s="59"/>
      <c r="O2183" s="59"/>
      <c r="P2183" s="59"/>
    </row>
    <row r="2184" spans="1:16">
      <c r="A2184" s="59"/>
      <c r="B2184" s="59"/>
      <c r="C2184" s="72"/>
      <c r="D2184" s="72"/>
      <c r="E2184" s="72"/>
      <c r="F2184" s="72"/>
      <c r="G2184" s="75"/>
      <c r="H2184" s="59"/>
      <c r="I2184" s="59"/>
      <c r="J2184" s="59"/>
      <c r="K2184" s="59"/>
      <c r="L2184" s="59"/>
      <c r="M2184" s="59"/>
      <c r="N2184" s="59"/>
      <c r="O2184" s="59"/>
      <c r="P2184" s="59"/>
    </row>
    <row r="2185" spans="1:16">
      <c r="A2185" s="59"/>
      <c r="B2185" s="59"/>
      <c r="C2185" s="72"/>
      <c r="D2185" s="72"/>
      <c r="E2185" s="72"/>
      <c r="F2185" s="72"/>
      <c r="G2185" s="75"/>
      <c r="H2185" s="59"/>
      <c r="I2185" s="59"/>
      <c r="J2185" s="59"/>
      <c r="K2185" s="59"/>
      <c r="L2185" s="59"/>
      <c r="M2185" s="59"/>
      <c r="N2185" s="59"/>
      <c r="O2185" s="59"/>
      <c r="P2185" s="59"/>
    </row>
    <row r="2186" spans="1:16">
      <c r="A2186" s="59"/>
      <c r="B2186" s="59"/>
      <c r="C2186" s="72"/>
      <c r="D2186" s="72"/>
      <c r="E2186" s="72"/>
      <c r="F2186" s="72"/>
      <c r="G2186" s="75"/>
      <c r="H2186" s="59"/>
      <c r="I2186" s="59"/>
      <c r="J2186" s="59"/>
      <c r="K2186" s="59"/>
      <c r="L2186" s="59"/>
      <c r="M2186" s="59"/>
      <c r="N2186" s="59"/>
      <c r="O2186" s="59"/>
      <c r="P2186" s="59"/>
    </row>
    <row r="2187" spans="1:16">
      <c r="A2187" s="59"/>
      <c r="B2187" s="59"/>
      <c r="C2187" s="72"/>
      <c r="D2187" s="72"/>
      <c r="E2187" s="72"/>
      <c r="F2187" s="72"/>
      <c r="G2187" s="75"/>
      <c r="H2187" s="59"/>
      <c r="I2187" s="59"/>
      <c r="J2187" s="59"/>
      <c r="K2187" s="59"/>
      <c r="L2187" s="59"/>
      <c r="M2187" s="59"/>
      <c r="N2187" s="59"/>
      <c r="O2187" s="59"/>
      <c r="P2187" s="59"/>
    </row>
    <row r="2188" spans="1:16">
      <c r="A2188" s="59"/>
      <c r="B2188" s="59"/>
      <c r="C2188" s="72"/>
      <c r="D2188" s="72"/>
      <c r="E2188" s="72"/>
      <c r="F2188" s="72"/>
      <c r="G2188" s="75"/>
      <c r="H2188" s="59"/>
      <c r="I2188" s="59"/>
      <c r="J2188" s="59"/>
      <c r="K2188" s="59"/>
      <c r="L2188" s="59"/>
      <c r="M2188" s="59"/>
      <c r="N2188" s="59"/>
      <c r="O2188" s="59"/>
      <c r="P2188" s="59"/>
    </row>
    <row r="2189" spans="1:16">
      <c r="A2189" s="59"/>
      <c r="B2189" s="59"/>
      <c r="C2189" s="72"/>
      <c r="D2189" s="72"/>
      <c r="E2189" s="72"/>
      <c r="F2189" s="72"/>
      <c r="G2189" s="75"/>
      <c r="H2189" s="59"/>
      <c r="I2189" s="59"/>
      <c r="J2189" s="59"/>
      <c r="K2189" s="59"/>
      <c r="L2189" s="59"/>
      <c r="M2189" s="59"/>
      <c r="N2189" s="59"/>
      <c r="O2189" s="59"/>
      <c r="P2189" s="59"/>
    </row>
    <row r="2190" spans="1:16">
      <c r="A2190" s="59"/>
      <c r="B2190" s="59"/>
      <c r="C2190" s="72"/>
      <c r="D2190" s="72"/>
      <c r="E2190" s="72"/>
      <c r="F2190" s="72"/>
      <c r="G2190" s="75"/>
      <c r="H2190" s="59"/>
      <c r="I2190" s="59"/>
      <c r="J2190" s="59"/>
      <c r="K2190" s="59"/>
      <c r="L2190" s="59"/>
      <c r="M2190" s="59"/>
      <c r="N2190" s="59"/>
      <c r="O2190" s="59"/>
      <c r="P2190" s="59"/>
    </row>
    <row r="2191" spans="1:16">
      <c r="A2191" s="59"/>
      <c r="B2191" s="59"/>
      <c r="C2191" s="72"/>
      <c r="D2191" s="72"/>
      <c r="E2191" s="72"/>
      <c r="F2191" s="72"/>
      <c r="G2191" s="75"/>
      <c r="H2191" s="59"/>
      <c r="I2191" s="59"/>
      <c r="J2191" s="59"/>
      <c r="K2191" s="59"/>
      <c r="L2191" s="59"/>
      <c r="M2191" s="59"/>
      <c r="N2191" s="59"/>
      <c r="O2191" s="59"/>
      <c r="P2191" s="59"/>
    </row>
    <row r="2192" spans="1:16">
      <c r="A2192" s="59"/>
      <c r="B2192" s="59"/>
      <c r="C2192" s="72"/>
      <c r="D2192" s="72"/>
      <c r="E2192" s="72"/>
      <c r="F2192" s="72"/>
      <c r="G2192" s="75"/>
      <c r="H2192" s="59"/>
      <c r="I2192" s="59"/>
      <c r="J2192" s="59"/>
      <c r="K2192" s="59"/>
      <c r="L2192" s="59"/>
      <c r="M2192" s="59"/>
      <c r="N2192" s="59"/>
      <c r="O2192" s="59"/>
      <c r="P2192" s="59"/>
    </row>
    <row r="2193" spans="1:16">
      <c r="A2193" s="59"/>
      <c r="B2193" s="59"/>
      <c r="C2193" s="72"/>
      <c r="D2193" s="72"/>
      <c r="E2193" s="72"/>
      <c r="F2193" s="72"/>
      <c r="G2193" s="75"/>
      <c r="H2193" s="59"/>
      <c r="I2193" s="59"/>
      <c r="J2193" s="59"/>
      <c r="K2193" s="59"/>
      <c r="L2193" s="59"/>
      <c r="M2193" s="59"/>
      <c r="N2193" s="59"/>
      <c r="O2193" s="59"/>
      <c r="P2193" s="59"/>
    </row>
    <row r="2194" spans="1:16">
      <c r="A2194" s="59"/>
      <c r="B2194" s="59"/>
      <c r="C2194" s="72"/>
      <c r="D2194" s="72"/>
      <c r="E2194" s="72"/>
      <c r="F2194" s="72"/>
      <c r="G2194" s="75"/>
      <c r="H2194" s="59"/>
      <c r="I2194" s="59"/>
      <c r="J2194" s="59"/>
      <c r="K2194" s="59"/>
      <c r="L2194" s="59"/>
      <c r="M2194" s="59"/>
      <c r="N2194" s="59"/>
      <c r="O2194" s="59"/>
      <c r="P2194" s="59"/>
    </row>
    <row r="2195" spans="1:16">
      <c r="A2195" s="59"/>
      <c r="B2195" s="59"/>
      <c r="C2195" s="72"/>
      <c r="D2195" s="72"/>
      <c r="E2195" s="72"/>
      <c r="F2195" s="72"/>
      <c r="G2195" s="75"/>
      <c r="H2195" s="59"/>
      <c r="I2195" s="59"/>
      <c r="J2195" s="59"/>
      <c r="K2195" s="59"/>
      <c r="L2195" s="59"/>
      <c r="M2195" s="59"/>
      <c r="N2195" s="59"/>
      <c r="O2195" s="59"/>
      <c r="P2195" s="59"/>
    </row>
    <row r="2196" spans="1:16">
      <c r="A2196" s="59"/>
      <c r="B2196" s="59"/>
      <c r="C2196" s="72"/>
      <c r="D2196" s="72"/>
      <c r="E2196" s="72"/>
      <c r="F2196" s="72"/>
      <c r="G2196" s="75"/>
      <c r="H2196" s="59"/>
      <c r="I2196" s="59"/>
      <c r="J2196" s="59"/>
      <c r="K2196" s="59"/>
      <c r="L2196" s="59"/>
      <c r="M2196" s="59"/>
      <c r="N2196" s="59"/>
      <c r="O2196" s="59"/>
      <c r="P2196" s="59"/>
    </row>
    <row r="2197" spans="1:16">
      <c r="A2197" s="59"/>
      <c r="B2197" s="59"/>
      <c r="C2197" s="72"/>
      <c r="D2197" s="72"/>
      <c r="E2197" s="72"/>
      <c r="F2197" s="72"/>
      <c r="G2197" s="75"/>
      <c r="H2197" s="59"/>
      <c r="I2197" s="59"/>
      <c r="J2197" s="59"/>
      <c r="K2197" s="59"/>
      <c r="L2197" s="59"/>
      <c r="M2197" s="59"/>
      <c r="N2197" s="59"/>
      <c r="O2197" s="59"/>
      <c r="P2197" s="59"/>
    </row>
    <row r="2198" spans="1:16">
      <c r="A2198" s="59"/>
      <c r="B2198" s="59"/>
      <c r="C2198" s="72"/>
      <c r="D2198" s="72"/>
      <c r="E2198" s="72"/>
      <c r="F2198" s="72"/>
      <c r="G2198" s="75"/>
      <c r="H2198" s="59"/>
      <c r="I2198" s="59"/>
      <c r="J2198" s="59"/>
      <c r="K2198" s="59"/>
      <c r="L2198" s="59"/>
      <c r="M2198" s="59"/>
      <c r="N2198" s="59"/>
      <c r="O2198" s="59"/>
      <c r="P2198" s="59"/>
    </row>
    <row r="2199" spans="1:16">
      <c r="A2199" s="59"/>
      <c r="B2199" s="59"/>
      <c r="C2199" s="72"/>
      <c r="D2199" s="72"/>
      <c r="E2199" s="72"/>
      <c r="F2199" s="72"/>
      <c r="G2199" s="75"/>
      <c r="H2199" s="59"/>
      <c r="I2199" s="59"/>
      <c r="J2199" s="59"/>
      <c r="K2199" s="59"/>
      <c r="L2199" s="59"/>
      <c r="M2199" s="59"/>
      <c r="N2199" s="59"/>
      <c r="O2199" s="59"/>
      <c r="P2199" s="59"/>
    </row>
    <row r="2200" spans="1:16">
      <c r="A2200" s="59"/>
      <c r="B2200" s="59"/>
      <c r="C2200" s="72"/>
      <c r="D2200" s="72"/>
      <c r="E2200" s="72"/>
      <c r="F2200" s="72"/>
      <c r="G2200" s="75"/>
      <c r="H2200" s="59"/>
      <c r="I2200" s="59"/>
      <c r="J2200" s="59"/>
      <c r="K2200" s="59"/>
      <c r="L2200" s="59"/>
      <c r="M2200" s="59"/>
      <c r="N2200" s="59"/>
      <c r="O2200" s="59"/>
      <c r="P2200" s="59"/>
    </row>
    <row r="2201" spans="1:16">
      <c r="A2201" s="59"/>
      <c r="B2201" s="59"/>
      <c r="C2201" s="72"/>
      <c r="D2201" s="72"/>
      <c r="E2201" s="72"/>
      <c r="F2201" s="72"/>
      <c r="G2201" s="75"/>
      <c r="H2201" s="59"/>
      <c r="I2201" s="59"/>
      <c r="J2201" s="59"/>
      <c r="K2201" s="59"/>
      <c r="L2201" s="59"/>
      <c r="M2201" s="59"/>
      <c r="N2201" s="59"/>
      <c r="O2201" s="59"/>
      <c r="P2201" s="59"/>
    </row>
    <row r="2202" spans="1:16">
      <c r="A2202" s="59"/>
      <c r="B2202" s="59"/>
      <c r="C2202" s="72"/>
      <c r="D2202" s="72"/>
      <c r="E2202" s="72"/>
      <c r="F2202" s="72"/>
      <c r="G2202" s="75"/>
      <c r="H2202" s="59"/>
      <c r="I2202" s="59"/>
      <c r="J2202" s="59"/>
      <c r="K2202" s="59"/>
      <c r="L2202" s="59"/>
      <c r="M2202" s="59"/>
      <c r="N2202" s="59"/>
      <c r="O2202" s="59"/>
      <c r="P2202" s="59"/>
    </row>
    <row r="2203" spans="1:16">
      <c r="A2203" s="59"/>
      <c r="B2203" s="59"/>
      <c r="C2203" s="72"/>
      <c r="D2203" s="72"/>
      <c r="E2203" s="72"/>
      <c r="F2203" s="72"/>
      <c r="G2203" s="75"/>
      <c r="H2203" s="59"/>
      <c r="I2203" s="59"/>
      <c r="J2203" s="59"/>
      <c r="K2203" s="59"/>
      <c r="L2203" s="59"/>
      <c r="M2203" s="59"/>
      <c r="N2203" s="59"/>
      <c r="O2203" s="59"/>
      <c r="P2203" s="59"/>
    </row>
    <row r="2204" spans="1:16">
      <c r="A2204" s="59"/>
      <c r="B2204" s="59"/>
      <c r="C2204" s="72"/>
      <c r="D2204" s="72"/>
      <c r="E2204" s="72"/>
      <c r="F2204" s="72"/>
      <c r="G2204" s="75"/>
      <c r="H2204" s="59"/>
      <c r="I2204" s="59"/>
      <c r="J2204" s="59"/>
      <c r="K2204" s="59"/>
      <c r="L2204" s="59"/>
      <c r="M2204" s="59"/>
      <c r="N2204" s="59"/>
      <c r="O2204" s="59"/>
      <c r="P2204" s="59"/>
    </row>
    <row r="2205" spans="1:16">
      <c r="A2205" s="59"/>
      <c r="B2205" s="59"/>
      <c r="C2205" s="72"/>
      <c r="D2205" s="72"/>
      <c r="E2205" s="72"/>
      <c r="F2205" s="72"/>
      <c r="G2205" s="75"/>
      <c r="H2205" s="59"/>
      <c r="I2205" s="59"/>
      <c r="J2205" s="59"/>
      <c r="K2205" s="59"/>
      <c r="L2205" s="59"/>
      <c r="M2205" s="59"/>
      <c r="N2205" s="59"/>
      <c r="O2205" s="59"/>
      <c r="P2205" s="59"/>
    </row>
    <row r="2206" spans="1:16">
      <c r="A2206" s="59"/>
      <c r="B2206" s="59"/>
      <c r="C2206" s="72"/>
      <c r="D2206" s="72"/>
      <c r="E2206" s="72"/>
      <c r="F2206" s="72"/>
      <c r="G2206" s="75"/>
      <c r="H2206" s="59"/>
      <c r="I2206" s="59"/>
      <c r="J2206" s="59"/>
      <c r="K2206" s="59"/>
      <c r="L2206" s="59"/>
      <c r="M2206" s="59"/>
      <c r="N2206" s="59"/>
      <c r="O2206" s="59"/>
      <c r="P2206" s="59"/>
    </row>
    <row r="2207" spans="1:16">
      <c r="A2207" s="59"/>
      <c r="B2207" s="59"/>
      <c r="C2207" s="72"/>
      <c r="D2207" s="72"/>
      <c r="E2207" s="72"/>
      <c r="F2207" s="72"/>
      <c r="G2207" s="75"/>
      <c r="H2207" s="59"/>
      <c r="I2207" s="59"/>
      <c r="J2207" s="59"/>
      <c r="K2207" s="59"/>
      <c r="L2207" s="59"/>
      <c r="M2207" s="59"/>
      <c r="N2207" s="59"/>
      <c r="O2207" s="59"/>
      <c r="P2207" s="59"/>
    </row>
    <row r="2208" spans="1:16">
      <c r="A2208" s="59"/>
      <c r="B2208" s="59"/>
      <c r="C2208" s="72"/>
      <c r="D2208" s="72"/>
      <c r="E2208" s="72"/>
      <c r="F2208" s="72"/>
      <c r="G2208" s="75"/>
      <c r="H2208" s="59"/>
      <c r="I2208" s="59"/>
      <c r="J2208" s="59"/>
      <c r="K2208" s="59"/>
      <c r="L2208" s="59"/>
      <c r="M2208" s="59"/>
      <c r="N2208" s="59"/>
      <c r="O2208" s="59"/>
      <c r="P2208" s="59"/>
    </row>
    <row r="2209" spans="1:16">
      <c r="A2209" s="59"/>
      <c r="B2209" s="59"/>
      <c r="C2209" s="72"/>
      <c r="D2209" s="72"/>
      <c r="E2209" s="72"/>
      <c r="F2209" s="72"/>
      <c r="G2209" s="75"/>
      <c r="H2209" s="59"/>
      <c r="I2209" s="59"/>
      <c r="J2209" s="59"/>
      <c r="K2209" s="59"/>
      <c r="L2209" s="59"/>
      <c r="M2209" s="59"/>
      <c r="N2209" s="59"/>
      <c r="O2209" s="59"/>
      <c r="P2209" s="59"/>
    </row>
    <row r="2210" spans="1:16">
      <c r="A2210" s="59"/>
      <c r="B2210" s="59"/>
      <c r="C2210" s="72"/>
      <c r="D2210" s="72"/>
      <c r="E2210" s="72"/>
      <c r="F2210" s="72"/>
      <c r="G2210" s="75"/>
      <c r="H2210" s="59"/>
      <c r="I2210" s="59"/>
      <c r="J2210" s="59"/>
      <c r="K2210" s="59"/>
      <c r="L2210" s="59"/>
      <c r="M2210" s="59"/>
      <c r="N2210" s="59"/>
      <c r="O2210" s="59"/>
      <c r="P2210" s="59"/>
    </row>
    <row r="2211" spans="1:16">
      <c r="A2211" s="59"/>
      <c r="B2211" s="59"/>
      <c r="C2211" s="72"/>
      <c r="D2211" s="72"/>
      <c r="E2211" s="72"/>
      <c r="F2211" s="72"/>
      <c r="G2211" s="75"/>
      <c r="H2211" s="59"/>
      <c r="I2211" s="59"/>
      <c r="J2211" s="59"/>
      <c r="K2211" s="59"/>
      <c r="L2211" s="59"/>
      <c r="M2211" s="59"/>
      <c r="N2211" s="59"/>
      <c r="O2211" s="59"/>
      <c r="P2211" s="59"/>
    </row>
    <row r="2212" spans="1:16">
      <c r="A2212" s="59"/>
      <c r="B2212" s="59"/>
      <c r="C2212" s="72"/>
      <c r="D2212" s="72"/>
      <c r="E2212" s="72"/>
      <c r="F2212" s="72"/>
      <c r="G2212" s="75"/>
      <c r="H2212" s="59"/>
      <c r="I2212" s="59"/>
      <c r="J2212" s="59"/>
      <c r="K2212" s="59"/>
      <c r="L2212" s="59"/>
      <c r="M2212" s="59"/>
      <c r="N2212" s="59"/>
      <c r="O2212" s="59"/>
      <c r="P2212" s="59"/>
    </row>
    <row r="2213" spans="1:16">
      <c r="A2213" s="59"/>
      <c r="B2213" s="59"/>
      <c r="C2213" s="72"/>
      <c r="D2213" s="72"/>
      <c r="E2213" s="72"/>
      <c r="F2213" s="72"/>
      <c r="G2213" s="75"/>
      <c r="H2213" s="59"/>
      <c r="I2213" s="59"/>
      <c r="J2213" s="59"/>
      <c r="K2213" s="59"/>
      <c r="L2213" s="59"/>
      <c r="M2213" s="59"/>
      <c r="N2213" s="59"/>
      <c r="O2213" s="59"/>
      <c r="P2213" s="59"/>
    </row>
    <row r="2214" spans="1:16">
      <c r="A2214" s="59"/>
      <c r="B2214" s="59"/>
      <c r="C2214" s="72"/>
      <c r="D2214" s="72"/>
      <c r="E2214" s="72"/>
      <c r="F2214" s="72"/>
      <c r="G2214" s="75"/>
      <c r="H2214" s="59"/>
      <c r="I2214" s="59"/>
      <c r="J2214" s="59"/>
      <c r="K2214" s="59"/>
      <c r="L2214" s="59"/>
      <c r="M2214" s="59"/>
      <c r="N2214" s="59"/>
      <c r="O2214" s="59"/>
      <c r="P2214" s="59"/>
    </row>
    <row r="2215" spans="1:16">
      <c r="A2215" s="59"/>
      <c r="B2215" s="59"/>
      <c r="C2215" s="72"/>
      <c r="D2215" s="72"/>
      <c r="E2215" s="72"/>
      <c r="F2215" s="72"/>
      <c r="G2215" s="75"/>
      <c r="H2215" s="59"/>
      <c r="I2215" s="59"/>
      <c r="J2215" s="59"/>
      <c r="K2215" s="59"/>
      <c r="L2215" s="59"/>
      <c r="M2215" s="59"/>
      <c r="N2215" s="59"/>
      <c r="O2215" s="59"/>
      <c r="P2215" s="59"/>
    </row>
    <row r="2216" spans="1:16">
      <c r="A2216" s="59"/>
      <c r="B2216" s="59"/>
      <c r="C2216" s="72"/>
      <c r="D2216" s="72"/>
      <c r="E2216" s="72"/>
      <c r="F2216" s="72"/>
      <c r="G2216" s="75"/>
      <c r="H2216" s="59"/>
      <c r="I2216" s="59"/>
      <c r="J2216" s="59"/>
      <c r="K2216" s="59"/>
      <c r="L2216" s="59"/>
      <c r="M2216" s="59"/>
      <c r="N2216" s="59"/>
      <c r="O2216" s="59"/>
      <c r="P2216" s="59"/>
    </row>
    <row r="2217" spans="1:16">
      <c r="A2217" s="59"/>
      <c r="B2217" s="59"/>
      <c r="C2217" s="72"/>
      <c r="D2217" s="72"/>
      <c r="E2217" s="72"/>
      <c r="F2217" s="72"/>
      <c r="G2217" s="75"/>
      <c r="H2217" s="59"/>
      <c r="I2217" s="59"/>
      <c r="J2217" s="59"/>
      <c r="K2217" s="59"/>
      <c r="L2217" s="59"/>
      <c r="M2217" s="59"/>
      <c r="N2217" s="59"/>
      <c r="O2217" s="59"/>
      <c r="P2217" s="59"/>
    </row>
    <row r="2218" spans="1:16">
      <c r="A2218" s="59"/>
      <c r="B2218" s="59"/>
      <c r="C2218" s="72"/>
      <c r="D2218" s="72"/>
      <c r="E2218" s="72"/>
      <c r="F2218" s="72"/>
      <c r="G2218" s="75"/>
      <c r="H2218" s="59"/>
      <c r="I2218" s="59"/>
      <c r="J2218" s="59"/>
      <c r="K2218" s="59"/>
      <c r="L2218" s="59"/>
      <c r="M2218" s="59"/>
      <c r="N2218" s="59"/>
      <c r="O2218" s="59"/>
      <c r="P2218" s="59"/>
    </row>
    <row r="2219" spans="1:16">
      <c r="A2219" s="59"/>
      <c r="B2219" s="59"/>
      <c r="C2219" s="72"/>
      <c r="D2219" s="72"/>
      <c r="E2219" s="72"/>
      <c r="F2219" s="72"/>
      <c r="G2219" s="75"/>
      <c r="H2219" s="59"/>
      <c r="I2219" s="59"/>
      <c r="J2219" s="59"/>
      <c r="K2219" s="59"/>
      <c r="L2219" s="59"/>
      <c r="M2219" s="59"/>
      <c r="N2219" s="59"/>
      <c r="O2219" s="59"/>
      <c r="P2219" s="59"/>
    </row>
    <row r="2220" spans="1:16">
      <c r="A2220" s="59"/>
      <c r="B2220" s="59"/>
      <c r="C2220" s="72"/>
      <c r="D2220" s="72"/>
      <c r="E2220" s="72"/>
      <c r="F2220" s="72"/>
      <c r="G2220" s="75"/>
      <c r="H2220" s="59"/>
      <c r="I2220" s="59"/>
      <c r="J2220" s="59"/>
      <c r="K2220" s="59"/>
      <c r="L2220" s="59"/>
      <c r="M2220" s="59"/>
      <c r="N2220" s="59"/>
      <c r="O2220" s="59"/>
      <c r="P2220" s="59"/>
    </row>
    <row r="2221" spans="1:16">
      <c r="A2221" s="59"/>
      <c r="B2221" s="59"/>
      <c r="C2221" s="72"/>
      <c r="D2221" s="72"/>
      <c r="E2221" s="72"/>
      <c r="F2221" s="72"/>
      <c r="G2221" s="75"/>
      <c r="H2221" s="59"/>
      <c r="I2221" s="59"/>
      <c r="J2221" s="59"/>
      <c r="K2221" s="59"/>
      <c r="L2221" s="59"/>
      <c r="M2221" s="59"/>
      <c r="N2221" s="59"/>
      <c r="O2221" s="59"/>
      <c r="P2221" s="59"/>
    </row>
    <row r="2222" spans="1:16">
      <c r="A2222" s="59"/>
      <c r="B2222" s="59"/>
      <c r="C2222" s="72"/>
      <c r="D2222" s="72"/>
      <c r="E2222" s="72"/>
      <c r="F2222" s="72"/>
      <c r="G2222" s="75"/>
      <c r="H2222" s="59"/>
      <c r="I2222" s="59"/>
      <c r="J2222" s="59"/>
      <c r="K2222" s="59"/>
      <c r="L2222" s="59"/>
      <c r="M2222" s="59"/>
      <c r="N2222" s="59"/>
      <c r="O2222" s="59"/>
      <c r="P2222" s="59"/>
    </row>
    <row r="2223" spans="1:16">
      <c r="A2223" s="59"/>
      <c r="B2223" s="59"/>
      <c r="C2223" s="72"/>
      <c r="D2223" s="72"/>
      <c r="E2223" s="72"/>
      <c r="F2223" s="72"/>
      <c r="G2223" s="75"/>
      <c r="H2223" s="59"/>
      <c r="I2223" s="59"/>
      <c r="J2223" s="59"/>
      <c r="K2223" s="59"/>
      <c r="L2223" s="59"/>
      <c r="M2223" s="59"/>
      <c r="N2223" s="59"/>
      <c r="O2223" s="59"/>
      <c r="P2223" s="59"/>
    </row>
    <row r="2224" spans="1:16">
      <c r="A2224" s="59"/>
      <c r="B2224" s="59"/>
      <c r="C2224" s="72"/>
      <c r="D2224" s="72"/>
      <c r="E2224" s="72"/>
      <c r="F2224" s="72"/>
      <c r="G2224" s="75"/>
      <c r="H2224" s="59"/>
      <c r="I2224" s="59"/>
      <c r="J2224" s="59"/>
      <c r="K2224" s="59"/>
      <c r="L2224" s="59"/>
      <c r="M2224" s="59"/>
      <c r="N2224" s="59"/>
      <c r="O2224" s="59"/>
      <c r="P2224" s="59"/>
    </row>
    <row r="2225" spans="1:16">
      <c r="A2225" s="59"/>
      <c r="B2225" s="59"/>
      <c r="C2225" s="72"/>
      <c r="D2225" s="72"/>
      <c r="E2225" s="72"/>
      <c r="F2225" s="72"/>
      <c r="G2225" s="75"/>
      <c r="H2225" s="59"/>
      <c r="I2225" s="59"/>
      <c r="J2225" s="59"/>
      <c r="K2225" s="59"/>
      <c r="L2225" s="59"/>
      <c r="M2225" s="59"/>
      <c r="N2225" s="59"/>
      <c r="O2225" s="59"/>
      <c r="P2225" s="59"/>
    </row>
    <row r="2226" spans="1:16">
      <c r="A2226" s="59"/>
      <c r="B2226" s="59"/>
      <c r="C2226" s="72"/>
      <c r="D2226" s="72"/>
      <c r="E2226" s="72"/>
      <c r="F2226" s="72"/>
      <c r="G2226" s="75"/>
      <c r="H2226" s="59"/>
      <c r="I2226" s="59"/>
      <c r="J2226" s="59"/>
      <c r="K2226" s="59"/>
      <c r="L2226" s="59"/>
      <c r="M2226" s="59"/>
      <c r="N2226" s="59"/>
      <c r="O2226" s="59"/>
      <c r="P2226" s="59"/>
    </row>
    <row r="2227" spans="1:16">
      <c r="A2227" s="59"/>
      <c r="B2227" s="59"/>
      <c r="C2227" s="72"/>
      <c r="D2227" s="72"/>
      <c r="E2227" s="72"/>
      <c r="F2227" s="72"/>
      <c r="G2227" s="75"/>
      <c r="H2227" s="59"/>
      <c r="I2227" s="59"/>
      <c r="J2227" s="59"/>
      <c r="K2227" s="59"/>
      <c r="L2227" s="59"/>
      <c r="M2227" s="59"/>
      <c r="N2227" s="59"/>
      <c r="O2227" s="59"/>
      <c r="P2227" s="59"/>
    </row>
    <row r="2228" spans="1:16">
      <c r="A2228" s="59"/>
      <c r="B2228" s="59"/>
      <c r="C2228" s="72"/>
      <c r="D2228" s="72"/>
      <c r="E2228" s="72"/>
      <c r="F2228" s="72"/>
      <c r="G2228" s="75"/>
      <c r="H2228" s="59"/>
      <c r="I2228" s="59"/>
      <c r="J2228" s="59"/>
      <c r="K2228" s="59"/>
      <c r="L2228" s="59"/>
      <c r="M2228" s="59"/>
      <c r="N2228" s="59"/>
      <c r="O2228" s="59"/>
      <c r="P2228" s="59"/>
    </row>
    <row r="2229" spans="1:16">
      <c r="A2229" s="59"/>
      <c r="B2229" s="59"/>
      <c r="C2229" s="72"/>
      <c r="D2229" s="72"/>
      <c r="E2229" s="72"/>
      <c r="F2229" s="72"/>
      <c r="G2229" s="75"/>
      <c r="H2229" s="59"/>
      <c r="I2229" s="59"/>
      <c r="J2229" s="59"/>
      <c r="K2229" s="59"/>
      <c r="L2229" s="59"/>
      <c r="M2229" s="59"/>
      <c r="N2229" s="59"/>
      <c r="O2229" s="59"/>
      <c r="P2229" s="59"/>
    </row>
    <row r="2230" spans="1:16">
      <c r="A2230" s="59"/>
      <c r="B2230" s="59"/>
      <c r="C2230" s="72"/>
      <c r="D2230" s="72"/>
      <c r="E2230" s="72"/>
      <c r="F2230" s="72"/>
      <c r="G2230" s="75"/>
      <c r="H2230" s="59"/>
      <c r="I2230" s="59"/>
      <c r="J2230" s="59"/>
      <c r="K2230" s="59"/>
      <c r="L2230" s="59"/>
      <c r="M2230" s="59"/>
      <c r="N2230" s="59"/>
      <c r="O2230" s="59"/>
      <c r="P2230" s="59"/>
    </row>
    <row r="2231" spans="1:16">
      <c r="A2231" s="59"/>
      <c r="B2231" s="59"/>
      <c r="C2231" s="72"/>
      <c r="D2231" s="72"/>
      <c r="E2231" s="72"/>
      <c r="F2231" s="72"/>
      <c r="G2231" s="75"/>
      <c r="H2231" s="59"/>
      <c r="I2231" s="59"/>
      <c r="J2231" s="59"/>
      <c r="K2231" s="59"/>
      <c r="L2231" s="59"/>
      <c r="M2231" s="59"/>
      <c r="N2231" s="59"/>
      <c r="O2231" s="59"/>
      <c r="P2231" s="59"/>
    </row>
    <row r="2232" spans="1:16">
      <c r="A2232" s="59"/>
      <c r="B2232" s="59"/>
      <c r="C2232" s="72"/>
      <c r="D2232" s="72"/>
      <c r="E2232" s="72"/>
      <c r="F2232" s="72"/>
      <c r="G2232" s="75"/>
      <c r="H2232" s="59"/>
      <c r="I2232" s="59"/>
      <c r="J2232" s="59"/>
      <c r="K2232" s="59"/>
      <c r="L2232" s="59"/>
      <c r="M2232" s="59"/>
      <c r="N2232" s="59"/>
      <c r="O2232" s="59"/>
      <c r="P2232" s="59"/>
    </row>
    <row r="2233" spans="1:16">
      <c r="A2233" s="59"/>
      <c r="B2233" s="59"/>
      <c r="C2233" s="72"/>
      <c r="D2233" s="72"/>
      <c r="E2233" s="72"/>
      <c r="F2233" s="72"/>
      <c r="G2233" s="75"/>
      <c r="H2233" s="59"/>
      <c r="I2233" s="59"/>
      <c r="J2233" s="59"/>
      <c r="K2233" s="59"/>
      <c r="L2233" s="59"/>
      <c r="M2233" s="59"/>
      <c r="N2233" s="59"/>
      <c r="O2233" s="59"/>
      <c r="P2233" s="59"/>
    </row>
    <row r="2234" spans="1:16">
      <c r="A2234" s="59"/>
      <c r="B2234" s="59"/>
      <c r="C2234" s="72"/>
      <c r="D2234" s="72"/>
      <c r="E2234" s="72"/>
      <c r="F2234" s="72"/>
      <c r="G2234" s="75"/>
      <c r="H2234" s="59"/>
      <c r="I2234" s="59"/>
      <c r="J2234" s="59"/>
      <c r="K2234" s="59"/>
      <c r="L2234" s="59"/>
      <c r="M2234" s="59"/>
      <c r="N2234" s="59"/>
      <c r="O2234" s="59"/>
      <c r="P2234" s="59"/>
    </row>
    <row r="2235" spans="1:16">
      <c r="A2235" s="59"/>
      <c r="B2235" s="59"/>
      <c r="C2235" s="72"/>
      <c r="D2235" s="72"/>
      <c r="E2235" s="72"/>
      <c r="F2235" s="72"/>
      <c r="G2235" s="75"/>
      <c r="H2235" s="59"/>
      <c r="I2235" s="59"/>
      <c r="J2235" s="59"/>
      <c r="K2235" s="59"/>
      <c r="L2235" s="59"/>
      <c r="M2235" s="59"/>
      <c r="N2235" s="59"/>
      <c r="O2235" s="59"/>
      <c r="P2235" s="59"/>
    </row>
    <row r="2236" spans="1:16">
      <c r="A2236" s="59"/>
      <c r="B2236" s="59"/>
      <c r="C2236" s="72"/>
      <c r="D2236" s="72"/>
      <c r="E2236" s="72"/>
      <c r="F2236" s="72"/>
      <c r="G2236" s="75"/>
      <c r="H2236" s="59"/>
      <c r="I2236" s="59"/>
      <c r="J2236" s="59"/>
      <c r="K2236" s="59"/>
      <c r="L2236" s="59"/>
      <c r="M2236" s="59"/>
      <c r="N2236" s="59"/>
      <c r="O2236" s="59"/>
      <c r="P2236" s="59"/>
    </row>
    <row r="2237" spans="1:16">
      <c r="A2237" s="59"/>
      <c r="B2237" s="59"/>
      <c r="C2237" s="72"/>
      <c r="D2237" s="72"/>
      <c r="E2237" s="72"/>
      <c r="F2237" s="72"/>
      <c r="G2237" s="75"/>
      <c r="H2237" s="59"/>
      <c r="I2237" s="59"/>
      <c r="J2237" s="59"/>
      <c r="K2237" s="59"/>
      <c r="L2237" s="59"/>
      <c r="M2237" s="59"/>
      <c r="N2237" s="59"/>
      <c r="O2237" s="59"/>
      <c r="P2237" s="59"/>
    </row>
    <row r="2238" spans="1:16">
      <c r="A2238" s="59"/>
      <c r="B2238" s="59"/>
      <c r="C2238" s="72"/>
      <c r="D2238" s="72"/>
      <c r="E2238" s="72"/>
      <c r="F2238" s="72"/>
      <c r="G2238" s="75"/>
      <c r="H2238" s="59"/>
      <c r="I2238" s="59"/>
      <c r="J2238" s="59"/>
      <c r="K2238" s="59"/>
      <c r="L2238" s="59"/>
      <c r="M2238" s="59"/>
      <c r="N2238" s="59"/>
      <c r="O2238" s="59"/>
      <c r="P2238" s="59"/>
    </row>
    <row r="2239" spans="1:16">
      <c r="A2239" s="59"/>
      <c r="B2239" s="59"/>
      <c r="C2239" s="72"/>
      <c r="D2239" s="72"/>
      <c r="E2239" s="72"/>
      <c r="F2239" s="72"/>
      <c r="G2239" s="75"/>
      <c r="H2239" s="59"/>
      <c r="I2239" s="59"/>
      <c r="J2239" s="59"/>
      <c r="K2239" s="59"/>
      <c r="L2239" s="59"/>
      <c r="M2239" s="59"/>
      <c r="N2239" s="59"/>
      <c r="O2239" s="59"/>
      <c r="P2239" s="59"/>
    </row>
    <row r="2240" spans="1:16">
      <c r="A2240" s="59"/>
      <c r="B2240" s="59"/>
      <c r="C2240" s="72"/>
      <c r="D2240" s="72"/>
      <c r="E2240" s="72"/>
      <c r="F2240" s="72"/>
      <c r="G2240" s="75"/>
      <c r="H2240" s="59"/>
      <c r="I2240" s="59"/>
      <c r="J2240" s="59"/>
      <c r="K2240" s="59"/>
      <c r="L2240" s="59"/>
      <c r="M2240" s="59"/>
      <c r="N2240" s="59"/>
      <c r="O2240" s="59"/>
      <c r="P2240" s="59"/>
    </row>
    <row r="2241" spans="1:16">
      <c r="A2241" s="59"/>
      <c r="B2241" s="59"/>
      <c r="C2241" s="72"/>
      <c r="D2241" s="72"/>
      <c r="E2241" s="72"/>
      <c r="F2241" s="72"/>
      <c r="G2241" s="75"/>
      <c r="H2241" s="59"/>
      <c r="I2241" s="59"/>
      <c r="J2241" s="59"/>
      <c r="K2241" s="59"/>
      <c r="L2241" s="59"/>
      <c r="M2241" s="59"/>
      <c r="N2241" s="59"/>
      <c r="O2241" s="59"/>
      <c r="P2241" s="59"/>
    </row>
    <row r="2242" spans="1:16">
      <c r="A2242" s="59"/>
      <c r="B2242" s="59"/>
      <c r="C2242" s="72"/>
      <c r="D2242" s="72"/>
      <c r="E2242" s="72"/>
      <c r="F2242" s="72"/>
      <c r="G2242" s="75"/>
      <c r="H2242" s="59"/>
      <c r="I2242" s="59"/>
      <c r="J2242" s="59"/>
      <c r="K2242" s="59"/>
      <c r="L2242" s="59"/>
      <c r="M2242" s="59"/>
      <c r="N2242" s="59"/>
      <c r="O2242" s="59"/>
      <c r="P2242" s="59"/>
    </row>
    <row r="2243" spans="1:16">
      <c r="A2243" s="59"/>
      <c r="B2243" s="59"/>
      <c r="C2243" s="72"/>
      <c r="D2243" s="72"/>
      <c r="E2243" s="72"/>
      <c r="F2243" s="72"/>
      <c r="G2243" s="75"/>
      <c r="H2243" s="59"/>
      <c r="I2243" s="59"/>
      <c r="J2243" s="59"/>
      <c r="K2243" s="59"/>
      <c r="L2243" s="59"/>
      <c r="M2243" s="59"/>
      <c r="N2243" s="59"/>
      <c r="O2243" s="59"/>
      <c r="P2243" s="59"/>
    </row>
    <row r="2244" spans="1:16">
      <c r="A2244" s="59"/>
      <c r="B2244" s="59"/>
      <c r="C2244" s="72"/>
      <c r="D2244" s="72"/>
      <c r="E2244" s="72"/>
      <c r="F2244" s="72"/>
      <c r="G2244" s="75"/>
      <c r="H2244" s="59"/>
      <c r="I2244" s="59"/>
      <c r="J2244" s="59"/>
      <c r="K2244" s="59"/>
      <c r="L2244" s="59"/>
      <c r="M2244" s="59"/>
      <c r="N2244" s="59"/>
      <c r="O2244" s="59"/>
      <c r="P2244" s="59"/>
    </row>
    <row r="2245" spans="1:16">
      <c r="A2245" s="59"/>
      <c r="B2245" s="59"/>
      <c r="C2245" s="72"/>
      <c r="D2245" s="72"/>
      <c r="E2245" s="72"/>
      <c r="F2245" s="72"/>
      <c r="G2245" s="75"/>
      <c r="H2245" s="59"/>
      <c r="I2245" s="59"/>
      <c r="J2245" s="59"/>
      <c r="K2245" s="59"/>
      <c r="L2245" s="59"/>
      <c r="M2245" s="59"/>
      <c r="N2245" s="59"/>
      <c r="O2245" s="59"/>
      <c r="P2245" s="59"/>
    </row>
    <row r="2246" spans="1:16">
      <c r="A2246" s="59"/>
      <c r="B2246" s="59"/>
      <c r="C2246" s="72"/>
      <c r="D2246" s="72"/>
      <c r="E2246" s="72"/>
      <c r="F2246" s="72"/>
      <c r="G2246" s="75"/>
      <c r="H2246" s="59"/>
      <c r="I2246" s="59"/>
      <c r="J2246" s="59"/>
      <c r="K2246" s="59"/>
      <c r="L2246" s="59"/>
      <c r="M2246" s="59"/>
      <c r="N2246" s="59"/>
      <c r="O2246" s="59"/>
      <c r="P2246" s="59"/>
    </row>
    <row r="2247" spans="1:16">
      <c r="A2247" s="59"/>
      <c r="B2247" s="59"/>
      <c r="C2247" s="72"/>
      <c r="D2247" s="72"/>
      <c r="E2247" s="72"/>
      <c r="F2247" s="72"/>
      <c r="G2247" s="75"/>
      <c r="H2247" s="59"/>
      <c r="I2247" s="59"/>
      <c r="J2247" s="59"/>
      <c r="K2247" s="59"/>
      <c r="L2247" s="59"/>
      <c r="M2247" s="59"/>
      <c r="N2247" s="59"/>
      <c r="O2247" s="59"/>
      <c r="P2247" s="59"/>
    </row>
    <row r="2248" spans="1:16">
      <c r="A2248" s="59"/>
      <c r="B2248" s="59"/>
      <c r="C2248" s="72"/>
      <c r="D2248" s="72"/>
      <c r="E2248" s="72"/>
      <c r="F2248" s="72"/>
      <c r="G2248" s="75"/>
      <c r="H2248" s="59"/>
      <c r="I2248" s="59"/>
      <c r="J2248" s="59"/>
      <c r="K2248" s="59"/>
      <c r="L2248" s="59"/>
      <c r="M2248" s="59"/>
      <c r="N2248" s="59"/>
      <c r="O2248" s="59"/>
      <c r="P2248" s="59"/>
    </row>
    <row r="2249" spans="1:16">
      <c r="A2249" s="59"/>
      <c r="B2249" s="59"/>
      <c r="C2249" s="72"/>
      <c r="D2249" s="72"/>
      <c r="E2249" s="72"/>
      <c r="F2249" s="72"/>
      <c r="G2249" s="75"/>
      <c r="H2249" s="59"/>
      <c r="I2249" s="59"/>
      <c r="J2249" s="59"/>
      <c r="K2249" s="59"/>
      <c r="L2249" s="59"/>
      <c r="M2249" s="59"/>
      <c r="N2249" s="59"/>
      <c r="O2249" s="59"/>
      <c r="P2249" s="59"/>
    </row>
    <row r="2250" spans="1:16">
      <c r="A2250" s="59"/>
      <c r="B2250" s="59"/>
      <c r="C2250" s="72"/>
      <c r="D2250" s="72"/>
      <c r="E2250" s="72"/>
      <c r="F2250" s="72"/>
      <c r="G2250" s="75"/>
      <c r="H2250" s="59"/>
      <c r="I2250" s="59"/>
      <c r="J2250" s="59"/>
      <c r="K2250" s="59"/>
      <c r="L2250" s="59"/>
      <c r="M2250" s="59"/>
      <c r="N2250" s="59"/>
      <c r="O2250" s="59"/>
      <c r="P2250" s="59"/>
    </row>
    <row r="2251" spans="1:16">
      <c r="A2251" s="59"/>
      <c r="B2251" s="59"/>
      <c r="C2251" s="72"/>
      <c r="D2251" s="72"/>
      <c r="E2251" s="72"/>
      <c r="F2251" s="72"/>
      <c r="G2251" s="75"/>
      <c r="H2251" s="59"/>
      <c r="I2251" s="59"/>
      <c r="J2251" s="59"/>
      <c r="K2251" s="59"/>
      <c r="L2251" s="59"/>
      <c r="M2251" s="59"/>
      <c r="N2251" s="59"/>
      <c r="O2251" s="59"/>
      <c r="P2251" s="59"/>
    </row>
    <row r="2252" spans="1:16">
      <c r="A2252" s="59"/>
      <c r="B2252" s="59"/>
      <c r="C2252" s="72"/>
      <c r="D2252" s="72"/>
      <c r="E2252" s="72"/>
      <c r="F2252" s="72"/>
      <c r="G2252" s="75"/>
      <c r="H2252" s="59"/>
      <c r="I2252" s="59"/>
      <c r="J2252" s="59"/>
      <c r="K2252" s="59"/>
      <c r="L2252" s="59"/>
      <c r="M2252" s="59"/>
      <c r="N2252" s="59"/>
      <c r="O2252" s="59"/>
      <c r="P2252" s="59"/>
    </row>
    <row r="2253" spans="1:16">
      <c r="A2253" s="59"/>
      <c r="B2253" s="59"/>
      <c r="C2253" s="72"/>
      <c r="D2253" s="72"/>
      <c r="E2253" s="72"/>
      <c r="F2253" s="72"/>
      <c r="G2253" s="75"/>
      <c r="H2253" s="59"/>
      <c r="I2253" s="59"/>
      <c r="J2253" s="59"/>
      <c r="K2253" s="59"/>
      <c r="L2253" s="59"/>
      <c r="M2253" s="59"/>
      <c r="N2253" s="59"/>
      <c r="O2253" s="59"/>
      <c r="P2253" s="59"/>
    </row>
    <row r="2254" spans="1:16">
      <c r="A2254" s="59"/>
      <c r="B2254" s="59"/>
      <c r="C2254" s="72"/>
      <c r="D2254" s="72"/>
      <c r="E2254" s="72"/>
      <c r="F2254" s="72"/>
      <c r="G2254" s="75"/>
      <c r="H2254" s="59"/>
      <c r="I2254" s="59"/>
      <c r="J2254" s="59"/>
      <c r="K2254" s="59"/>
      <c r="L2254" s="59"/>
      <c r="M2254" s="59"/>
      <c r="N2254" s="59"/>
      <c r="O2254" s="59"/>
      <c r="P2254" s="59"/>
    </row>
    <row r="2255" spans="1:16">
      <c r="A2255" s="59"/>
      <c r="B2255" s="59"/>
      <c r="C2255" s="72"/>
      <c r="D2255" s="72"/>
      <c r="E2255" s="72"/>
      <c r="F2255" s="72"/>
      <c r="G2255" s="75"/>
      <c r="H2255" s="59"/>
      <c r="I2255" s="59"/>
      <c r="J2255" s="59"/>
      <c r="K2255" s="59"/>
      <c r="L2255" s="59"/>
      <c r="M2255" s="59"/>
      <c r="N2255" s="59"/>
      <c r="O2255" s="59"/>
      <c r="P2255" s="59"/>
    </row>
    <row r="2256" spans="1:16">
      <c r="A2256" s="59"/>
      <c r="B2256" s="59"/>
      <c r="C2256" s="72"/>
      <c r="D2256" s="72"/>
      <c r="E2256" s="72"/>
      <c r="F2256" s="72"/>
      <c r="G2256" s="75"/>
      <c r="H2256" s="59"/>
      <c r="I2256" s="59"/>
      <c r="J2256" s="59"/>
      <c r="K2256" s="59"/>
      <c r="L2256" s="59"/>
      <c r="M2256" s="59"/>
      <c r="N2256" s="59"/>
      <c r="O2256" s="59"/>
      <c r="P2256" s="59"/>
    </row>
    <row r="2257" spans="1:16">
      <c r="A2257" s="59"/>
      <c r="B2257" s="59"/>
      <c r="C2257" s="72"/>
      <c r="D2257" s="72"/>
      <c r="E2257" s="72"/>
      <c r="F2257" s="72"/>
      <c r="G2257" s="75"/>
      <c r="H2257" s="59"/>
      <c r="I2257" s="59"/>
      <c r="J2257" s="59"/>
      <c r="K2257" s="59"/>
      <c r="L2257" s="59"/>
      <c r="M2257" s="59"/>
      <c r="N2257" s="59"/>
      <c r="O2257" s="59"/>
      <c r="P2257" s="59"/>
    </row>
    <row r="2258" spans="1:16">
      <c r="A2258" s="59"/>
      <c r="B2258" s="59"/>
      <c r="C2258" s="72"/>
      <c r="D2258" s="72"/>
      <c r="E2258" s="72"/>
      <c r="F2258" s="72"/>
      <c r="G2258" s="75"/>
      <c r="H2258" s="59"/>
      <c r="I2258" s="59"/>
      <c r="J2258" s="59"/>
      <c r="K2258" s="59"/>
      <c r="L2258" s="59"/>
      <c r="M2258" s="59"/>
      <c r="N2258" s="59"/>
      <c r="O2258" s="59"/>
      <c r="P2258" s="59"/>
    </row>
    <row r="2259" spans="1:16">
      <c r="A2259" s="59"/>
      <c r="B2259" s="59"/>
      <c r="C2259" s="72"/>
      <c r="D2259" s="72"/>
      <c r="E2259" s="72"/>
      <c r="F2259" s="72"/>
      <c r="G2259" s="75"/>
      <c r="H2259" s="59"/>
      <c r="I2259" s="59"/>
      <c r="J2259" s="59"/>
      <c r="K2259" s="59"/>
      <c r="L2259" s="59"/>
      <c r="M2259" s="59"/>
      <c r="N2259" s="59"/>
      <c r="O2259" s="59"/>
      <c r="P2259" s="59"/>
    </row>
    <row r="2260" spans="1:16">
      <c r="A2260" s="59"/>
      <c r="B2260" s="59"/>
      <c r="C2260" s="72"/>
      <c r="D2260" s="72"/>
      <c r="E2260" s="72"/>
      <c r="F2260" s="72"/>
      <c r="G2260" s="75"/>
      <c r="H2260" s="59"/>
      <c r="I2260" s="59"/>
      <c r="J2260" s="59"/>
      <c r="K2260" s="59"/>
      <c r="L2260" s="59"/>
      <c r="M2260" s="59"/>
      <c r="N2260" s="59"/>
      <c r="O2260" s="59"/>
      <c r="P2260" s="59"/>
    </row>
    <row r="2261" spans="1:16">
      <c r="A2261" s="59"/>
      <c r="B2261" s="59"/>
      <c r="C2261" s="72"/>
      <c r="D2261" s="72"/>
      <c r="E2261" s="72"/>
      <c r="F2261" s="72"/>
      <c r="G2261" s="75"/>
      <c r="H2261" s="59"/>
      <c r="I2261" s="59"/>
      <c r="J2261" s="59"/>
      <c r="K2261" s="59"/>
      <c r="L2261" s="59"/>
      <c r="M2261" s="59"/>
      <c r="N2261" s="59"/>
      <c r="O2261" s="59"/>
      <c r="P2261" s="59"/>
    </row>
    <row r="2262" spans="1:16">
      <c r="A2262" s="59"/>
      <c r="B2262" s="59"/>
      <c r="C2262" s="72"/>
      <c r="D2262" s="72"/>
      <c r="E2262" s="72"/>
      <c r="F2262" s="72"/>
      <c r="G2262" s="75"/>
      <c r="H2262" s="59"/>
      <c r="I2262" s="59"/>
      <c r="J2262" s="59"/>
      <c r="K2262" s="59"/>
      <c r="L2262" s="59"/>
      <c r="M2262" s="59"/>
      <c r="N2262" s="59"/>
      <c r="O2262" s="59"/>
      <c r="P2262" s="59"/>
    </row>
    <row r="2263" spans="1:16">
      <c r="A2263" s="59"/>
      <c r="B2263" s="59"/>
      <c r="C2263" s="72"/>
      <c r="D2263" s="72"/>
      <c r="E2263" s="72"/>
      <c r="F2263" s="72"/>
      <c r="G2263" s="75"/>
      <c r="H2263" s="59"/>
      <c r="I2263" s="59"/>
      <c r="J2263" s="59"/>
      <c r="K2263" s="59"/>
      <c r="L2263" s="59"/>
      <c r="M2263" s="59"/>
      <c r="N2263" s="59"/>
      <c r="O2263" s="59"/>
      <c r="P2263" s="59"/>
    </row>
    <row r="2264" spans="1:16">
      <c r="A2264" s="59"/>
      <c r="B2264" s="59"/>
      <c r="C2264" s="72"/>
      <c r="D2264" s="72"/>
      <c r="E2264" s="72"/>
      <c r="F2264" s="72"/>
      <c r="G2264" s="75"/>
      <c r="H2264" s="59"/>
      <c r="I2264" s="59"/>
      <c r="J2264" s="59"/>
      <c r="K2264" s="59"/>
      <c r="L2264" s="59"/>
      <c r="M2264" s="59"/>
      <c r="N2264" s="59"/>
      <c r="O2264" s="59"/>
      <c r="P2264" s="59"/>
    </row>
    <row r="2265" spans="1:16">
      <c r="A2265" s="59"/>
      <c r="B2265" s="59"/>
      <c r="C2265" s="72"/>
      <c r="D2265" s="72"/>
      <c r="E2265" s="72"/>
      <c r="F2265" s="72"/>
      <c r="G2265" s="75"/>
      <c r="H2265" s="59"/>
      <c r="I2265" s="59"/>
      <c r="J2265" s="59"/>
      <c r="K2265" s="59"/>
      <c r="L2265" s="59"/>
      <c r="M2265" s="59"/>
      <c r="N2265" s="59"/>
      <c r="O2265" s="59"/>
      <c r="P2265" s="59"/>
    </row>
    <row r="2266" spans="1:16">
      <c r="A2266" s="59"/>
      <c r="B2266" s="59"/>
      <c r="C2266" s="72"/>
      <c r="D2266" s="72"/>
      <c r="E2266" s="72"/>
      <c r="F2266" s="72"/>
      <c r="G2266" s="75"/>
      <c r="H2266" s="59"/>
      <c r="I2266" s="59"/>
      <c r="J2266" s="59"/>
      <c r="K2266" s="59"/>
      <c r="L2266" s="59"/>
      <c r="M2266" s="59"/>
      <c r="N2266" s="59"/>
      <c r="O2266" s="59"/>
      <c r="P2266" s="59"/>
    </row>
    <row r="2267" spans="1:16">
      <c r="A2267" s="59"/>
      <c r="B2267" s="59"/>
      <c r="C2267" s="72"/>
      <c r="D2267" s="72"/>
      <c r="E2267" s="72"/>
      <c r="F2267" s="72"/>
      <c r="G2267" s="75"/>
      <c r="H2267" s="59"/>
      <c r="I2267" s="59"/>
      <c r="J2267" s="59"/>
      <c r="K2267" s="59"/>
      <c r="L2267" s="59"/>
      <c r="M2267" s="59"/>
      <c r="N2267" s="59"/>
      <c r="O2267" s="59"/>
      <c r="P2267" s="59"/>
    </row>
    <row r="2268" spans="1:16">
      <c r="A2268" s="59"/>
      <c r="B2268" s="59"/>
      <c r="C2268" s="72"/>
      <c r="D2268" s="72"/>
      <c r="E2268" s="72"/>
      <c r="F2268" s="72"/>
      <c r="G2268" s="75"/>
      <c r="H2268" s="59"/>
      <c r="I2268" s="59"/>
      <c r="J2268" s="59"/>
      <c r="K2268" s="59"/>
      <c r="L2268" s="59"/>
      <c r="M2268" s="59"/>
      <c r="N2268" s="59"/>
      <c r="O2268" s="59"/>
      <c r="P2268" s="59"/>
    </row>
    <row r="2269" spans="1:16">
      <c r="A2269" s="59"/>
      <c r="B2269" s="59"/>
      <c r="C2269" s="72"/>
      <c r="D2269" s="72"/>
      <c r="E2269" s="72"/>
      <c r="F2269" s="72"/>
      <c r="G2269" s="75"/>
      <c r="H2269" s="59"/>
      <c r="I2269" s="59"/>
      <c r="J2269" s="59"/>
      <c r="K2269" s="59"/>
      <c r="L2269" s="59"/>
      <c r="M2269" s="59"/>
      <c r="N2269" s="59"/>
      <c r="O2269" s="59"/>
      <c r="P2269" s="59"/>
    </row>
    <row r="2270" spans="1:16">
      <c r="A2270" s="59"/>
      <c r="B2270" s="59"/>
      <c r="C2270" s="72"/>
      <c r="D2270" s="72"/>
      <c r="E2270" s="72"/>
      <c r="F2270" s="72"/>
      <c r="G2270" s="75"/>
      <c r="H2270" s="59"/>
      <c r="I2270" s="59"/>
      <c r="J2270" s="59"/>
      <c r="K2270" s="59"/>
      <c r="L2270" s="59"/>
      <c r="M2270" s="59"/>
      <c r="N2270" s="59"/>
      <c r="O2270" s="59"/>
      <c r="P2270" s="59"/>
    </row>
    <row r="2271" spans="1:16">
      <c r="A2271" s="59"/>
      <c r="B2271" s="59"/>
      <c r="C2271" s="72"/>
      <c r="D2271" s="72"/>
      <c r="E2271" s="72"/>
      <c r="F2271" s="72"/>
      <c r="G2271" s="75"/>
      <c r="H2271" s="59"/>
      <c r="I2271" s="59"/>
      <c r="J2271" s="59"/>
      <c r="K2271" s="59"/>
      <c r="L2271" s="59"/>
      <c r="M2271" s="59"/>
      <c r="N2271" s="59"/>
      <c r="O2271" s="59"/>
      <c r="P2271" s="59"/>
    </row>
    <row r="2272" spans="1:16">
      <c r="A2272" s="59"/>
      <c r="B2272" s="59"/>
      <c r="C2272" s="72"/>
      <c r="D2272" s="72"/>
      <c r="E2272" s="72"/>
      <c r="F2272" s="72"/>
      <c r="G2272" s="75"/>
      <c r="H2272" s="59"/>
      <c r="I2272" s="59"/>
      <c r="J2272" s="59"/>
      <c r="K2272" s="59"/>
      <c r="L2272" s="59"/>
      <c r="M2272" s="59"/>
      <c r="N2272" s="59"/>
      <c r="O2272" s="59"/>
      <c r="P2272" s="59"/>
    </row>
    <row r="2273" spans="1:16">
      <c r="A2273" s="59"/>
      <c r="B2273" s="59"/>
      <c r="C2273" s="72"/>
      <c r="D2273" s="72"/>
      <c r="E2273" s="72"/>
      <c r="F2273" s="72"/>
      <c r="G2273" s="75"/>
      <c r="H2273" s="59"/>
      <c r="I2273" s="59"/>
      <c r="J2273" s="59"/>
      <c r="K2273" s="59"/>
      <c r="L2273" s="59"/>
      <c r="M2273" s="59"/>
      <c r="N2273" s="59"/>
      <c r="O2273" s="59"/>
      <c r="P2273" s="59"/>
    </row>
    <row r="2274" spans="1:16">
      <c r="A2274" s="59"/>
      <c r="B2274" s="59"/>
      <c r="C2274" s="72"/>
      <c r="D2274" s="72"/>
      <c r="E2274" s="72"/>
      <c r="F2274" s="72"/>
      <c r="G2274" s="75"/>
      <c r="H2274" s="59"/>
      <c r="I2274" s="59"/>
      <c r="J2274" s="59"/>
      <c r="K2274" s="59"/>
      <c r="L2274" s="59"/>
      <c r="M2274" s="59"/>
      <c r="N2274" s="59"/>
      <c r="O2274" s="59"/>
      <c r="P2274" s="59"/>
    </row>
    <row r="2275" spans="1:16">
      <c r="A2275" s="59"/>
      <c r="B2275" s="59"/>
      <c r="C2275" s="72"/>
      <c r="D2275" s="72"/>
      <c r="E2275" s="72"/>
      <c r="F2275" s="72"/>
      <c r="G2275" s="75"/>
      <c r="H2275" s="59"/>
      <c r="I2275" s="59"/>
      <c r="J2275" s="59"/>
      <c r="K2275" s="59"/>
      <c r="L2275" s="59"/>
      <c r="M2275" s="59"/>
      <c r="N2275" s="59"/>
      <c r="O2275" s="59"/>
      <c r="P2275" s="59"/>
    </row>
    <row r="2276" spans="1:16">
      <c r="A2276" s="59"/>
      <c r="B2276" s="59"/>
      <c r="C2276" s="72"/>
      <c r="D2276" s="72"/>
      <c r="E2276" s="72"/>
      <c r="F2276" s="72"/>
      <c r="G2276" s="75"/>
      <c r="H2276" s="59"/>
      <c r="I2276" s="59"/>
      <c r="J2276" s="59"/>
      <c r="K2276" s="59"/>
      <c r="L2276" s="59"/>
      <c r="M2276" s="59"/>
      <c r="N2276" s="59"/>
      <c r="O2276" s="59"/>
      <c r="P2276" s="59"/>
    </row>
    <row r="2277" spans="1:16">
      <c r="A2277" s="59"/>
      <c r="B2277" s="59"/>
      <c r="C2277" s="72"/>
      <c r="D2277" s="72"/>
      <c r="E2277" s="72"/>
      <c r="F2277" s="72"/>
      <c r="G2277" s="75"/>
      <c r="H2277" s="59"/>
      <c r="I2277" s="59"/>
      <c r="J2277" s="59"/>
      <c r="K2277" s="59"/>
      <c r="L2277" s="59"/>
      <c r="M2277" s="59"/>
      <c r="N2277" s="59"/>
      <c r="O2277" s="59"/>
      <c r="P2277" s="59"/>
    </row>
    <row r="2278" spans="1:16">
      <c r="A2278" s="59"/>
      <c r="B2278" s="59"/>
      <c r="C2278" s="72"/>
      <c r="D2278" s="72"/>
      <c r="E2278" s="72"/>
      <c r="F2278" s="72"/>
      <c r="G2278" s="75"/>
      <c r="H2278" s="59"/>
      <c r="I2278" s="59"/>
      <c r="J2278" s="59"/>
      <c r="K2278" s="59"/>
      <c r="L2278" s="59"/>
      <c r="M2278" s="59"/>
      <c r="N2278" s="59"/>
      <c r="O2278" s="59"/>
      <c r="P2278" s="59"/>
    </row>
    <row r="2279" spans="1:16">
      <c r="A2279" s="59"/>
      <c r="B2279" s="59"/>
      <c r="C2279" s="72"/>
      <c r="D2279" s="72"/>
      <c r="E2279" s="72"/>
      <c r="F2279" s="72"/>
      <c r="G2279" s="75"/>
      <c r="H2279" s="59"/>
      <c r="I2279" s="59"/>
      <c r="J2279" s="59"/>
      <c r="K2279" s="59"/>
      <c r="L2279" s="59"/>
      <c r="M2279" s="59"/>
      <c r="N2279" s="59"/>
      <c r="O2279" s="59"/>
      <c r="P2279" s="59"/>
    </row>
    <row r="2280" spans="1:16">
      <c r="A2280" s="59"/>
      <c r="B2280" s="59"/>
      <c r="C2280" s="72"/>
      <c r="D2280" s="72"/>
      <c r="E2280" s="72"/>
      <c r="F2280" s="72"/>
      <c r="G2280" s="75"/>
      <c r="H2280" s="59"/>
      <c r="I2280" s="59"/>
      <c r="J2280" s="59"/>
      <c r="K2280" s="59"/>
      <c r="L2280" s="59"/>
      <c r="M2280" s="59"/>
      <c r="N2280" s="59"/>
      <c r="O2280" s="59"/>
      <c r="P2280" s="59"/>
    </row>
    <row r="2281" spans="1:16">
      <c r="A2281" s="59"/>
      <c r="B2281" s="59"/>
      <c r="C2281" s="72"/>
      <c r="D2281" s="72"/>
      <c r="E2281" s="72"/>
      <c r="F2281" s="72"/>
      <c r="G2281" s="75"/>
      <c r="H2281" s="59"/>
      <c r="I2281" s="59"/>
      <c r="J2281" s="59"/>
      <c r="K2281" s="59"/>
      <c r="L2281" s="59"/>
      <c r="M2281" s="59"/>
      <c r="N2281" s="59"/>
      <c r="O2281" s="59"/>
      <c r="P2281" s="59"/>
    </row>
    <row r="2282" spans="1:16">
      <c r="A2282" s="59"/>
      <c r="B2282" s="59"/>
      <c r="C2282" s="72"/>
      <c r="D2282" s="72"/>
      <c r="E2282" s="72"/>
      <c r="F2282" s="72"/>
      <c r="G2282" s="75"/>
      <c r="H2282" s="59"/>
      <c r="I2282" s="59"/>
      <c r="J2282" s="59"/>
      <c r="K2282" s="59"/>
      <c r="L2282" s="59"/>
      <c r="M2282" s="59"/>
      <c r="N2282" s="59"/>
      <c r="O2282" s="59"/>
      <c r="P2282" s="59"/>
    </row>
    <row r="2283" spans="1:16">
      <c r="A2283" s="59"/>
      <c r="B2283" s="59"/>
      <c r="C2283" s="72"/>
      <c r="D2283" s="72"/>
      <c r="E2283" s="72"/>
      <c r="F2283" s="72"/>
      <c r="G2283" s="75"/>
      <c r="H2283" s="59"/>
      <c r="I2283" s="59"/>
      <c r="J2283" s="59"/>
      <c r="K2283" s="59"/>
      <c r="L2283" s="59"/>
      <c r="M2283" s="59"/>
      <c r="N2283" s="59"/>
      <c r="O2283" s="59"/>
      <c r="P2283" s="59"/>
    </row>
    <row r="2284" spans="1:16">
      <c r="A2284" s="59"/>
      <c r="B2284" s="59"/>
      <c r="C2284" s="72"/>
      <c r="D2284" s="72"/>
      <c r="E2284" s="72"/>
      <c r="F2284" s="72"/>
      <c r="G2284" s="75"/>
      <c r="H2284" s="59"/>
      <c r="I2284" s="59"/>
      <c r="J2284" s="59"/>
      <c r="K2284" s="59"/>
      <c r="L2284" s="59"/>
      <c r="M2284" s="59"/>
      <c r="N2284" s="59"/>
      <c r="O2284" s="59"/>
      <c r="P2284" s="59"/>
    </row>
    <row r="2285" spans="1:16">
      <c r="A2285" s="59"/>
      <c r="B2285" s="59"/>
      <c r="C2285" s="72"/>
      <c r="D2285" s="72"/>
      <c r="E2285" s="72"/>
      <c r="F2285" s="72"/>
      <c r="G2285" s="75"/>
      <c r="H2285" s="59"/>
      <c r="I2285" s="59"/>
      <c r="J2285" s="59"/>
      <c r="K2285" s="59"/>
      <c r="L2285" s="59"/>
      <c r="M2285" s="59"/>
      <c r="N2285" s="59"/>
      <c r="O2285" s="59"/>
      <c r="P2285" s="59"/>
    </row>
    <row r="2286" spans="1:16">
      <c r="A2286" s="59"/>
      <c r="B2286" s="59"/>
      <c r="C2286" s="72"/>
      <c r="D2286" s="72"/>
      <c r="E2286" s="72"/>
      <c r="F2286" s="72"/>
      <c r="G2286" s="75"/>
      <c r="H2286" s="59"/>
      <c r="I2286" s="59"/>
      <c r="J2286" s="59"/>
      <c r="K2286" s="59"/>
      <c r="L2286" s="59"/>
      <c r="M2286" s="59"/>
      <c r="N2286" s="59"/>
      <c r="O2286" s="59"/>
      <c r="P2286" s="59"/>
    </row>
    <row r="2287" spans="1:16">
      <c r="A2287" s="59"/>
      <c r="B2287" s="59"/>
      <c r="C2287" s="72"/>
      <c r="D2287" s="72"/>
      <c r="E2287" s="72"/>
      <c r="F2287" s="72"/>
      <c r="G2287" s="75"/>
      <c r="H2287" s="59"/>
      <c r="I2287" s="59"/>
      <c r="J2287" s="59"/>
      <c r="K2287" s="59"/>
      <c r="L2287" s="59"/>
      <c r="M2287" s="59"/>
      <c r="N2287" s="59"/>
      <c r="O2287" s="59"/>
      <c r="P2287" s="59"/>
    </row>
    <row r="2288" spans="1:16">
      <c r="A2288" s="59"/>
      <c r="B2288" s="59"/>
      <c r="C2288" s="72"/>
      <c r="D2288" s="72"/>
      <c r="E2288" s="72"/>
      <c r="F2288" s="72"/>
      <c r="G2288" s="75"/>
      <c r="H2288" s="59"/>
      <c r="I2288" s="59"/>
      <c r="J2288" s="59"/>
      <c r="K2288" s="59"/>
      <c r="L2288" s="59"/>
      <c r="M2288" s="59"/>
      <c r="N2288" s="59"/>
      <c r="O2288" s="59"/>
      <c r="P2288" s="59"/>
    </row>
    <row r="2289" spans="1:16">
      <c r="A2289" s="59"/>
      <c r="B2289" s="59"/>
      <c r="C2289" s="72"/>
      <c r="D2289" s="72"/>
      <c r="E2289" s="72"/>
      <c r="F2289" s="72"/>
      <c r="G2289" s="75"/>
      <c r="H2289" s="59"/>
      <c r="I2289" s="59"/>
      <c r="J2289" s="59"/>
      <c r="K2289" s="59"/>
      <c r="L2289" s="59"/>
      <c r="M2289" s="59"/>
      <c r="N2289" s="59"/>
      <c r="O2289" s="59"/>
      <c r="P2289" s="59"/>
    </row>
    <row r="2290" spans="1:16">
      <c r="A2290" s="59"/>
      <c r="B2290" s="59"/>
      <c r="C2290" s="72"/>
      <c r="D2290" s="72"/>
      <c r="E2290" s="72"/>
      <c r="F2290" s="72"/>
      <c r="G2290" s="75"/>
      <c r="H2290" s="59"/>
      <c r="I2290" s="59"/>
      <c r="J2290" s="59"/>
      <c r="K2290" s="59"/>
      <c r="L2290" s="59"/>
      <c r="M2290" s="59"/>
      <c r="N2290" s="59"/>
      <c r="O2290" s="59"/>
      <c r="P2290" s="59"/>
    </row>
    <row r="2291" spans="1:16">
      <c r="A2291" s="59"/>
      <c r="B2291" s="59"/>
      <c r="C2291" s="72"/>
      <c r="D2291" s="72"/>
      <c r="E2291" s="72"/>
      <c r="F2291" s="72"/>
      <c r="G2291" s="75"/>
      <c r="H2291" s="59"/>
      <c r="I2291" s="59"/>
      <c r="J2291" s="59"/>
      <c r="K2291" s="59"/>
      <c r="L2291" s="59"/>
      <c r="M2291" s="59"/>
      <c r="N2291" s="59"/>
      <c r="O2291" s="59"/>
      <c r="P2291" s="59"/>
    </row>
    <row r="2292" spans="1:16">
      <c r="A2292" s="59"/>
      <c r="B2292" s="59"/>
      <c r="C2292" s="72"/>
      <c r="D2292" s="72"/>
      <c r="E2292" s="72"/>
      <c r="F2292" s="72"/>
      <c r="G2292" s="75"/>
      <c r="H2292" s="59"/>
      <c r="I2292" s="59"/>
      <c r="J2292" s="59"/>
      <c r="K2292" s="59"/>
      <c r="L2292" s="59"/>
      <c r="M2292" s="59"/>
      <c r="N2292" s="59"/>
      <c r="O2292" s="59"/>
      <c r="P2292" s="59"/>
    </row>
    <row r="2293" spans="1:16">
      <c r="A2293" s="59"/>
      <c r="B2293" s="59"/>
      <c r="C2293" s="72"/>
      <c r="D2293" s="72"/>
      <c r="E2293" s="72"/>
      <c r="F2293" s="72"/>
      <c r="G2293" s="75"/>
      <c r="H2293" s="59"/>
      <c r="I2293" s="59"/>
      <c r="J2293" s="59"/>
      <c r="K2293" s="59"/>
      <c r="L2293" s="59"/>
      <c r="M2293" s="59"/>
      <c r="N2293" s="59"/>
      <c r="O2293" s="59"/>
      <c r="P2293" s="59"/>
    </row>
    <row r="2294" spans="1:16">
      <c r="A2294" s="59"/>
      <c r="B2294" s="59"/>
      <c r="C2294" s="72"/>
      <c r="D2294" s="72"/>
      <c r="E2294" s="72"/>
      <c r="F2294" s="72"/>
      <c r="G2294" s="75"/>
      <c r="H2294" s="59"/>
      <c r="I2294" s="59"/>
      <c r="J2294" s="59"/>
      <c r="K2294" s="59"/>
      <c r="L2294" s="59"/>
      <c r="M2294" s="59"/>
      <c r="N2294" s="59"/>
      <c r="O2294" s="59"/>
      <c r="P2294" s="59"/>
    </row>
    <row r="2295" spans="1:16">
      <c r="A2295" s="59"/>
      <c r="B2295" s="59"/>
      <c r="C2295" s="72"/>
      <c r="D2295" s="72"/>
      <c r="E2295" s="72"/>
      <c r="F2295" s="72"/>
      <c r="G2295" s="75"/>
      <c r="H2295" s="59"/>
      <c r="I2295" s="59"/>
      <c r="J2295" s="59"/>
      <c r="K2295" s="59"/>
      <c r="L2295" s="59"/>
      <c r="M2295" s="59"/>
      <c r="N2295" s="59"/>
      <c r="O2295" s="59"/>
      <c r="P2295" s="59"/>
    </row>
    <row r="2296" spans="1:16">
      <c r="A2296" s="59"/>
      <c r="B2296" s="59"/>
      <c r="C2296" s="72"/>
      <c r="D2296" s="72"/>
      <c r="E2296" s="72"/>
      <c r="F2296" s="72"/>
      <c r="G2296" s="75"/>
      <c r="H2296" s="59"/>
      <c r="I2296" s="59"/>
      <c r="J2296" s="59"/>
      <c r="K2296" s="59"/>
      <c r="L2296" s="59"/>
      <c r="M2296" s="59"/>
      <c r="N2296" s="59"/>
      <c r="O2296" s="59"/>
      <c r="P2296" s="59"/>
    </row>
    <row r="2297" spans="1:16">
      <c r="A2297" s="59"/>
      <c r="B2297" s="59"/>
      <c r="C2297" s="72"/>
      <c r="D2297" s="72"/>
      <c r="E2297" s="72"/>
      <c r="F2297" s="72"/>
      <c r="G2297" s="75"/>
      <c r="H2297" s="59"/>
      <c r="I2297" s="59"/>
      <c r="J2297" s="59"/>
      <c r="K2297" s="59"/>
      <c r="L2297" s="59"/>
      <c r="M2297" s="59"/>
      <c r="N2297" s="59"/>
      <c r="O2297" s="59"/>
      <c r="P2297" s="59"/>
    </row>
    <row r="2298" spans="1:16">
      <c r="A2298" s="59"/>
      <c r="B2298" s="59"/>
      <c r="C2298" s="72"/>
      <c r="D2298" s="72"/>
      <c r="E2298" s="72"/>
      <c r="F2298" s="72"/>
      <c r="G2298" s="75"/>
      <c r="H2298" s="59"/>
      <c r="I2298" s="59"/>
      <c r="J2298" s="59"/>
      <c r="K2298" s="59"/>
      <c r="L2298" s="59"/>
      <c r="M2298" s="59"/>
      <c r="N2298" s="59"/>
      <c r="O2298" s="59"/>
      <c r="P2298" s="59"/>
    </row>
    <row r="2299" spans="1:16">
      <c r="A2299" s="59"/>
      <c r="B2299" s="59"/>
      <c r="C2299" s="72"/>
      <c r="D2299" s="72"/>
      <c r="E2299" s="72"/>
      <c r="F2299" s="72"/>
      <c r="G2299" s="75"/>
      <c r="H2299" s="59"/>
      <c r="I2299" s="59"/>
      <c r="J2299" s="59"/>
      <c r="K2299" s="59"/>
      <c r="L2299" s="59"/>
      <c r="M2299" s="59"/>
      <c r="N2299" s="59"/>
      <c r="O2299" s="59"/>
      <c r="P2299" s="59"/>
    </row>
    <row r="2300" spans="1:16">
      <c r="A2300" s="59"/>
      <c r="B2300" s="59"/>
      <c r="C2300" s="72"/>
      <c r="D2300" s="72"/>
      <c r="E2300" s="72"/>
      <c r="F2300" s="72"/>
      <c r="G2300" s="75"/>
      <c r="H2300" s="59"/>
      <c r="I2300" s="59"/>
      <c r="J2300" s="59"/>
      <c r="K2300" s="59"/>
      <c r="L2300" s="59"/>
      <c r="M2300" s="59"/>
      <c r="N2300" s="59"/>
      <c r="O2300" s="59"/>
      <c r="P2300" s="59"/>
    </row>
    <row r="2301" spans="1:16">
      <c r="A2301" s="59"/>
      <c r="B2301" s="59"/>
      <c r="C2301" s="72"/>
      <c r="D2301" s="72"/>
      <c r="E2301" s="72"/>
      <c r="F2301" s="72"/>
      <c r="G2301" s="75"/>
      <c r="H2301" s="59"/>
      <c r="I2301" s="59"/>
      <c r="J2301" s="59"/>
      <c r="K2301" s="59"/>
      <c r="L2301" s="59"/>
      <c r="M2301" s="59"/>
      <c r="N2301" s="59"/>
      <c r="O2301" s="59"/>
      <c r="P2301" s="59"/>
    </row>
    <row r="2302" spans="1:16">
      <c r="A2302" s="59"/>
      <c r="B2302" s="59"/>
      <c r="C2302" s="72"/>
      <c r="D2302" s="72"/>
      <c r="E2302" s="72"/>
      <c r="F2302" s="72"/>
      <c r="G2302" s="75"/>
      <c r="H2302" s="59"/>
      <c r="I2302" s="59"/>
      <c r="J2302" s="59"/>
      <c r="K2302" s="59"/>
      <c r="L2302" s="59"/>
      <c r="M2302" s="59"/>
      <c r="N2302" s="59"/>
      <c r="O2302" s="59"/>
      <c r="P2302" s="59"/>
    </row>
    <row r="2303" spans="1:16">
      <c r="A2303" s="59"/>
      <c r="B2303" s="59"/>
      <c r="C2303" s="72"/>
      <c r="D2303" s="72"/>
      <c r="E2303" s="72"/>
      <c r="F2303" s="72"/>
      <c r="G2303" s="75"/>
      <c r="H2303" s="59"/>
      <c r="I2303" s="59"/>
      <c r="J2303" s="59"/>
      <c r="K2303" s="59"/>
      <c r="L2303" s="59"/>
      <c r="M2303" s="59"/>
      <c r="N2303" s="59"/>
      <c r="O2303" s="59"/>
      <c r="P2303" s="59"/>
    </row>
    <row r="2304" spans="1:16">
      <c r="A2304" s="59"/>
      <c r="B2304" s="59"/>
      <c r="C2304" s="72"/>
      <c r="D2304" s="72"/>
      <c r="E2304" s="72"/>
      <c r="F2304" s="72"/>
      <c r="G2304" s="75"/>
      <c r="H2304" s="59"/>
      <c r="I2304" s="59"/>
      <c r="J2304" s="59"/>
      <c r="K2304" s="59"/>
      <c r="L2304" s="59"/>
      <c r="M2304" s="59"/>
      <c r="N2304" s="59"/>
      <c r="O2304" s="59"/>
      <c r="P2304" s="59"/>
    </row>
    <row r="2305" spans="1:16">
      <c r="A2305" s="59"/>
      <c r="B2305" s="59"/>
      <c r="C2305" s="72"/>
      <c r="D2305" s="72"/>
      <c r="E2305" s="72"/>
      <c r="F2305" s="72"/>
      <c r="G2305" s="75"/>
      <c r="H2305" s="59"/>
      <c r="I2305" s="59"/>
      <c r="J2305" s="59"/>
      <c r="K2305" s="59"/>
      <c r="L2305" s="59"/>
      <c r="M2305" s="59"/>
      <c r="N2305" s="59"/>
      <c r="O2305" s="59"/>
      <c r="P2305" s="59"/>
    </row>
    <row r="2306" spans="1:16">
      <c r="A2306" s="59"/>
      <c r="B2306" s="59"/>
      <c r="C2306" s="72"/>
      <c r="D2306" s="72"/>
      <c r="E2306" s="72"/>
      <c r="F2306" s="72"/>
      <c r="G2306" s="75"/>
      <c r="H2306" s="59"/>
      <c r="I2306" s="59"/>
      <c r="J2306" s="59"/>
      <c r="K2306" s="59"/>
      <c r="L2306" s="59"/>
      <c r="M2306" s="59"/>
      <c r="N2306" s="59"/>
      <c r="O2306" s="59"/>
      <c r="P2306" s="59"/>
    </row>
    <row r="2307" spans="1:16">
      <c r="A2307" s="59"/>
      <c r="B2307" s="59"/>
      <c r="C2307" s="72"/>
      <c r="D2307" s="72"/>
      <c r="E2307" s="72"/>
      <c r="F2307" s="72"/>
      <c r="G2307" s="75"/>
      <c r="H2307" s="59"/>
      <c r="I2307" s="59"/>
      <c r="J2307" s="59"/>
      <c r="K2307" s="59"/>
      <c r="L2307" s="59"/>
      <c r="M2307" s="59"/>
      <c r="N2307" s="59"/>
      <c r="O2307" s="59"/>
      <c r="P2307" s="59"/>
    </row>
    <row r="2308" spans="1:16">
      <c r="A2308" s="59"/>
      <c r="B2308" s="59"/>
      <c r="C2308" s="72"/>
      <c r="D2308" s="72"/>
      <c r="E2308" s="72"/>
      <c r="F2308" s="72"/>
      <c r="G2308" s="75"/>
      <c r="H2308" s="59"/>
      <c r="I2308" s="59"/>
      <c r="J2308" s="59"/>
      <c r="K2308" s="59"/>
      <c r="L2308" s="59"/>
      <c r="M2308" s="59"/>
      <c r="N2308" s="59"/>
      <c r="O2308" s="59"/>
      <c r="P2308" s="59"/>
    </row>
    <row r="2309" spans="1:16">
      <c r="A2309" s="59"/>
      <c r="B2309" s="59"/>
      <c r="C2309" s="72"/>
      <c r="D2309" s="72"/>
      <c r="E2309" s="72"/>
      <c r="F2309" s="72"/>
      <c r="G2309" s="75"/>
      <c r="H2309" s="59"/>
      <c r="I2309" s="59"/>
      <c r="J2309" s="59"/>
      <c r="K2309" s="59"/>
      <c r="L2309" s="59"/>
      <c r="M2309" s="59"/>
      <c r="N2309" s="59"/>
      <c r="O2309" s="59"/>
      <c r="P2309" s="59"/>
    </row>
    <row r="2310" spans="1:16">
      <c r="A2310" s="59"/>
      <c r="B2310" s="59"/>
      <c r="C2310" s="72"/>
      <c r="D2310" s="72"/>
      <c r="E2310" s="72"/>
      <c r="F2310" s="72"/>
      <c r="G2310" s="75"/>
      <c r="H2310" s="59"/>
      <c r="I2310" s="59"/>
      <c r="J2310" s="59"/>
      <c r="K2310" s="59"/>
      <c r="L2310" s="59"/>
      <c r="M2310" s="59"/>
      <c r="N2310" s="59"/>
      <c r="O2310" s="59"/>
      <c r="P2310" s="59"/>
    </row>
    <row r="2311" spans="1:16">
      <c r="A2311" s="59"/>
      <c r="B2311" s="59"/>
      <c r="C2311" s="72"/>
      <c r="D2311" s="72"/>
      <c r="E2311" s="72"/>
      <c r="F2311" s="72"/>
      <c r="G2311" s="75"/>
      <c r="H2311" s="59"/>
      <c r="I2311" s="59"/>
      <c r="J2311" s="59"/>
      <c r="K2311" s="59"/>
      <c r="L2311" s="59"/>
      <c r="M2311" s="59"/>
      <c r="N2311" s="59"/>
      <c r="O2311" s="59"/>
      <c r="P2311" s="59"/>
    </row>
    <row r="2312" spans="1:16">
      <c r="A2312" s="59"/>
      <c r="B2312" s="59"/>
      <c r="C2312" s="72"/>
      <c r="D2312" s="72"/>
      <c r="E2312" s="72"/>
      <c r="F2312" s="72"/>
      <c r="G2312" s="75"/>
      <c r="H2312" s="59"/>
      <c r="I2312" s="59"/>
      <c r="J2312" s="59"/>
      <c r="K2312" s="59"/>
      <c r="L2312" s="59"/>
      <c r="M2312" s="59"/>
      <c r="N2312" s="59"/>
      <c r="O2312" s="59"/>
      <c r="P2312" s="59"/>
    </row>
    <row r="2313" spans="1:16">
      <c r="A2313" s="59"/>
      <c r="B2313" s="59"/>
      <c r="C2313" s="72"/>
      <c r="D2313" s="72"/>
      <c r="E2313" s="72"/>
      <c r="F2313" s="72"/>
      <c r="G2313" s="75"/>
      <c r="H2313" s="59"/>
      <c r="I2313" s="59"/>
      <c r="J2313" s="59"/>
      <c r="K2313" s="59"/>
      <c r="L2313" s="59"/>
      <c r="M2313" s="59"/>
      <c r="N2313" s="59"/>
      <c r="O2313" s="59"/>
      <c r="P2313" s="59"/>
    </row>
    <row r="2314" spans="1:16">
      <c r="A2314" s="59"/>
      <c r="B2314" s="59"/>
      <c r="C2314" s="72"/>
      <c r="D2314" s="72"/>
      <c r="E2314" s="72"/>
      <c r="F2314" s="72"/>
      <c r="G2314" s="75"/>
      <c r="H2314" s="59"/>
      <c r="I2314" s="59"/>
      <c r="J2314" s="59"/>
      <c r="K2314" s="59"/>
      <c r="L2314" s="59"/>
      <c r="M2314" s="59"/>
      <c r="N2314" s="59"/>
      <c r="O2314" s="59"/>
      <c r="P2314" s="59"/>
    </row>
    <row r="2315" spans="1:16">
      <c r="A2315" s="59"/>
      <c r="B2315" s="59"/>
      <c r="C2315" s="72"/>
      <c r="D2315" s="72"/>
      <c r="E2315" s="72"/>
      <c r="F2315" s="72"/>
      <c r="G2315" s="75"/>
      <c r="H2315" s="59"/>
      <c r="I2315" s="59"/>
      <c r="J2315" s="59"/>
      <c r="K2315" s="59"/>
      <c r="L2315" s="59"/>
      <c r="M2315" s="59"/>
      <c r="N2315" s="59"/>
      <c r="O2315" s="59"/>
      <c r="P2315" s="59"/>
    </row>
    <row r="2316" spans="1:16">
      <c r="A2316" s="59"/>
      <c r="B2316" s="59"/>
      <c r="C2316" s="72"/>
      <c r="D2316" s="72"/>
      <c r="E2316" s="72"/>
      <c r="F2316" s="72"/>
      <c r="G2316" s="75"/>
      <c r="H2316" s="59"/>
      <c r="I2316" s="59"/>
      <c r="J2316" s="59"/>
      <c r="K2316" s="59"/>
      <c r="L2316" s="59"/>
      <c r="M2316" s="59"/>
      <c r="N2316" s="59"/>
      <c r="O2316" s="59"/>
      <c r="P2316" s="59"/>
    </row>
    <row r="2317" spans="1:16">
      <c r="A2317" s="59"/>
      <c r="B2317" s="59"/>
      <c r="C2317" s="72"/>
      <c r="D2317" s="72"/>
      <c r="E2317" s="72"/>
      <c r="F2317" s="72"/>
      <c r="G2317" s="75"/>
      <c r="H2317" s="59"/>
      <c r="I2317" s="59"/>
      <c r="J2317" s="59"/>
      <c r="K2317" s="59"/>
      <c r="L2317" s="59"/>
      <c r="M2317" s="59"/>
      <c r="N2317" s="59"/>
      <c r="O2317" s="59"/>
      <c r="P2317" s="59"/>
    </row>
    <row r="2318" spans="1:16">
      <c r="A2318" s="59"/>
      <c r="B2318" s="59"/>
      <c r="C2318" s="72"/>
      <c r="D2318" s="72"/>
      <c r="E2318" s="72"/>
      <c r="F2318" s="72"/>
      <c r="G2318" s="75"/>
      <c r="H2318" s="59"/>
      <c r="I2318" s="59"/>
      <c r="J2318" s="59"/>
      <c r="K2318" s="59"/>
      <c r="L2318" s="59"/>
      <c r="M2318" s="59"/>
      <c r="N2318" s="59"/>
      <c r="O2318" s="59"/>
      <c r="P2318" s="59"/>
    </row>
    <row r="2319" spans="1:16">
      <c r="A2319" s="59"/>
      <c r="B2319" s="59"/>
      <c r="C2319" s="72"/>
      <c r="D2319" s="72"/>
      <c r="E2319" s="72"/>
      <c r="F2319" s="72"/>
      <c r="G2319" s="75"/>
      <c r="H2319" s="59"/>
      <c r="I2319" s="59"/>
      <c r="J2319" s="59"/>
      <c r="K2319" s="59"/>
      <c r="L2319" s="59"/>
      <c r="M2319" s="59"/>
      <c r="N2319" s="59"/>
      <c r="O2319" s="59"/>
      <c r="P2319" s="59"/>
    </row>
    <row r="2320" spans="1:16">
      <c r="A2320" s="59"/>
      <c r="B2320" s="59"/>
      <c r="C2320" s="72"/>
      <c r="D2320" s="72"/>
      <c r="E2320" s="72"/>
      <c r="F2320" s="72"/>
      <c r="G2320" s="75"/>
      <c r="H2320" s="59"/>
      <c r="I2320" s="59"/>
      <c r="J2320" s="59"/>
      <c r="K2320" s="59"/>
      <c r="L2320" s="59"/>
      <c r="M2320" s="59"/>
      <c r="N2320" s="59"/>
      <c r="O2320" s="59"/>
      <c r="P2320" s="59"/>
    </row>
    <row r="2321" spans="1:16">
      <c r="A2321" s="59"/>
      <c r="B2321" s="59"/>
      <c r="C2321" s="72"/>
      <c r="D2321" s="72"/>
      <c r="E2321" s="72"/>
      <c r="F2321" s="72"/>
      <c r="G2321" s="75"/>
      <c r="H2321" s="59"/>
      <c r="I2321" s="59"/>
      <c r="J2321" s="59"/>
      <c r="K2321" s="59"/>
      <c r="L2321" s="59"/>
      <c r="M2321" s="59"/>
      <c r="N2321" s="59"/>
      <c r="O2321" s="59"/>
      <c r="P2321" s="59"/>
    </row>
    <row r="2322" spans="1:16">
      <c r="A2322" s="59"/>
      <c r="B2322" s="59"/>
      <c r="C2322" s="72"/>
      <c r="D2322" s="72"/>
      <c r="E2322" s="72"/>
      <c r="F2322" s="72"/>
      <c r="G2322" s="75"/>
      <c r="H2322" s="59"/>
      <c r="I2322" s="59"/>
      <c r="J2322" s="59"/>
      <c r="K2322" s="59"/>
      <c r="L2322" s="59"/>
      <c r="M2322" s="59"/>
      <c r="N2322" s="59"/>
      <c r="O2322" s="59"/>
      <c r="P2322" s="59"/>
    </row>
    <row r="2323" spans="1:16">
      <c r="A2323" s="59"/>
      <c r="B2323" s="59"/>
      <c r="C2323" s="72"/>
      <c r="D2323" s="72"/>
      <c r="E2323" s="72"/>
      <c r="F2323" s="72"/>
      <c r="G2323" s="75"/>
      <c r="H2323" s="59"/>
      <c r="I2323" s="59"/>
      <c r="J2323" s="59"/>
      <c r="K2323" s="59"/>
      <c r="L2323" s="59"/>
      <c r="M2323" s="59"/>
      <c r="N2323" s="59"/>
      <c r="O2323" s="59"/>
      <c r="P2323" s="59"/>
    </row>
    <row r="2324" spans="1:16">
      <c r="A2324" s="59"/>
      <c r="B2324" s="59"/>
      <c r="C2324" s="72"/>
      <c r="D2324" s="72"/>
      <c r="E2324" s="72"/>
      <c r="F2324" s="72"/>
      <c r="G2324" s="75"/>
      <c r="H2324" s="59"/>
      <c r="I2324" s="59"/>
      <c r="J2324" s="59"/>
      <c r="K2324" s="59"/>
      <c r="L2324" s="59"/>
      <c r="M2324" s="59"/>
      <c r="N2324" s="59"/>
      <c r="O2324" s="59"/>
      <c r="P2324" s="59"/>
    </row>
    <row r="2325" spans="1:16">
      <c r="A2325" s="59"/>
      <c r="B2325" s="59"/>
      <c r="C2325" s="72"/>
      <c r="D2325" s="72"/>
      <c r="E2325" s="72"/>
      <c r="F2325" s="72"/>
      <c r="G2325" s="75"/>
      <c r="H2325" s="59"/>
      <c r="I2325" s="59"/>
      <c r="J2325" s="59"/>
      <c r="K2325" s="59"/>
      <c r="L2325" s="59"/>
      <c r="M2325" s="59"/>
      <c r="N2325" s="59"/>
      <c r="O2325" s="59"/>
      <c r="P2325" s="59"/>
    </row>
    <row r="2326" spans="1:16">
      <c r="A2326" s="59"/>
      <c r="B2326" s="59"/>
      <c r="C2326" s="72"/>
      <c r="D2326" s="72"/>
      <c r="E2326" s="72"/>
      <c r="F2326" s="72"/>
      <c r="G2326" s="75"/>
      <c r="H2326" s="59"/>
      <c r="I2326" s="59"/>
      <c r="J2326" s="59"/>
      <c r="K2326" s="59"/>
      <c r="L2326" s="59"/>
      <c r="M2326" s="59"/>
      <c r="N2326" s="59"/>
      <c r="O2326" s="59"/>
      <c r="P2326" s="59"/>
    </row>
    <row r="2327" spans="1:16">
      <c r="A2327" s="59"/>
      <c r="B2327" s="59"/>
      <c r="C2327" s="72"/>
      <c r="D2327" s="72"/>
      <c r="E2327" s="72"/>
      <c r="F2327" s="72"/>
      <c r="G2327" s="75"/>
      <c r="H2327" s="59"/>
      <c r="I2327" s="59"/>
      <c r="J2327" s="59"/>
      <c r="K2327" s="59"/>
      <c r="L2327" s="59"/>
      <c r="M2327" s="59"/>
      <c r="N2327" s="59"/>
      <c r="O2327" s="59"/>
      <c r="P2327" s="59"/>
    </row>
    <row r="2328" spans="1:16">
      <c r="A2328" s="59"/>
      <c r="B2328" s="59"/>
      <c r="C2328" s="72"/>
      <c r="D2328" s="72"/>
      <c r="E2328" s="72"/>
      <c r="F2328" s="72"/>
      <c r="G2328" s="75"/>
      <c r="H2328" s="59"/>
      <c r="I2328" s="59"/>
      <c r="J2328" s="59"/>
      <c r="K2328" s="59"/>
      <c r="L2328" s="59"/>
      <c r="M2328" s="59"/>
      <c r="N2328" s="59"/>
      <c r="O2328" s="59"/>
      <c r="P2328" s="59"/>
    </row>
    <row r="2329" spans="1:16">
      <c r="A2329" s="59"/>
      <c r="B2329" s="59"/>
      <c r="C2329" s="72"/>
      <c r="D2329" s="72"/>
      <c r="E2329" s="72"/>
      <c r="F2329" s="72"/>
      <c r="G2329" s="75"/>
      <c r="H2329" s="59"/>
      <c r="I2329" s="59"/>
      <c r="J2329" s="59"/>
      <c r="K2329" s="59"/>
      <c r="L2329" s="59"/>
      <c r="M2329" s="59"/>
      <c r="N2329" s="59"/>
      <c r="O2329" s="59"/>
      <c r="P2329" s="59"/>
    </row>
    <row r="2330" spans="1:16">
      <c r="A2330" s="59"/>
      <c r="B2330" s="59"/>
      <c r="C2330" s="72"/>
      <c r="D2330" s="72"/>
      <c r="E2330" s="72"/>
      <c r="F2330" s="72"/>
      <c r="G2330" s="75"/>
      <c r="H2330" s="59"/>
      <c r="I2330" s="59"/>
      <c r="J2330" s="59"/>
      <c r="K2330" s="59"/>
      <c r="L2330" s="59"/>
      <c r="M2330" s="59"/>
      <c r="N2330" s="59"/>
      <c r="O2330" s="59"/>
      <c r="P2330" s="59"/>
    </row>
    <row r="2331" spans="1:16">
      <c r="A2331" s="59"/>
      <c r="B2331" s="59"/>
      <c r="C2331" s="72"/>
      <c r="D2331" s="72"/>
      <c r="E2331" s="72"/>
      <c r="F2331" s="72"/>
      <c r="G2331" s="75"/>
      <c r="H2331" s="59"/>
      <c r="I2331" s="59"/>
      <c r="J2331" s="59"/>
      <c r="K2331" s="59"/>
      <c r="L2331" s="59"/>
      <c r="M2331" s="59"/>
      <c r="N2331" s="59"/>
      <c r="O2331" s="59"/>
      <c r="P2331" s="59"/>
    </row>
    <row r="2332" spans="1:16">
      <c r="A2332" s="59"/>
      <c r="B2332" s="59"/>
      <c r="C2332" s="72"/>
      <c r="D2332" s="72"/>
      <c r="E2332" s="72"/>
      <c r="F2332" s="72"/>
      <c r="G2332" s="75"/>
      <c r="H2332" s="59"/>
      <c r="I2332" s="59"/>
      <c r="J2332" s="59"/>
      <c r="K2332" s="59"/>
      <c r="L2332" s="59"/>
      <c r="M2332" s="59"/>
      <c r="N2332" s="59"/>
      <c r="O2332" s="59"/>
      <c r="P2332" s="59"/>
    </row>
    <row r="2333" spans="1:16">
      <c r="A2333" s="59"/>
      <c r="B2333" s="59"/>
      <c r="C2333" s="72"/>
      <c r="D2333" s="72"/>
      <c r="E2333" s="72"/>
      <c r="F2333" s="72"/>
      <c r="G2333" s="75"/>
      <c r="H2333" s="59"/>
      <c r="I2333" s="59"/>
      <c r="J2333" s="59"/>
      <c r="K2333" s="59"/>
      <c r="L2333" s="59"/>
      <c r="M2333" s="59"/>
      <c r="N2333" s="59"/>
      <c r="O2333" s="59"/>
      <c r="P2333" s="59"/>
    </row>
    <row r="2334" spans="1:16">
      <c r="A2334" s="59"/>
      <c r="B2334" s="59"/>
      <c r="C2334" s="72"/>
      <c r="D2334" s="72"/>
      <c r="E2334" s="72"/>
      <c r="F2334" s="72"/>
      <c r="G2334" s="75"/>
      <c r="H2334" s="59"/>
      <c r="I2334" s="59"/>
      <c r="J2334" s="59"/>
      <c r="K2334" s="59"/>
      <c r="L2334" s="59"/>
      <c r="M2334" s="59"/>
      <c r="N2334" s="59"/>
      <c r="O2334" s="59"/>
      <c r="P2334" s="59"/>
    </row>
    <row r="2335" spans="1:16">
      <c r="A2335" s="59"/>
      <c r="B2335" s="59"/>
      <c r="C2335" s="72"/>
      <c r="D2335" s="72"/>
      <c r="E2335" s="72"/>
      <c r="F2335" s="72"/>
      <c r="G2335" s="75"/>
      <c r="H2335" s="59"/>
      <c r="I2335" s="59"/>
      <c r="J2335" s="59"/>
      <c r="K2335" s="59"/>
      <c r="L2335" s="59"/>
      <c r="M2335" s="59"/>
      <c r="N2335" s="59"/>
      <c r="O2335" s="59"/>
      <c r="P2335" s="59"/>
    </row>
    <row r="2336" spans="1:16">
      <c r="A2336" s="59"/>
      <c r="B2336" s="59"/>
      <c r="C2336" s="72"/>
      <c r="D2336" s="72"/>
      <c r="E2336" s="72"/>
      <c r="F2336" s="72"/>
      <c r="G2336" s="75"/>
      <c r="H2336" s="59"/>
      <c r="I2336" s="59"/>
      <c r="J2336" s="59"/>
      <c r="K2336" s="59"/>
      <c r="L2336" s="59"/>
      <c r="M2336" s="59"/>
      <c r="N2336" s="59"/>
      <c r="O2336" s="59"/>
      <c r="P2336" s="59"/>
    </row>
    <row r="2337" spans="1:16">
      <c r="A2337" s="59"/>
      <c r="B2337" s="59"/>
      <c r="C2337" s="72"/>
      <c r="D2337" s="72"/>
      <c r="E2337" s="72"/>
      <c r="F2337" s="72"/>
      <c r="G2337" s="75"/>
      <c r="H2337" s="59"/>
      <c r="I2337" s="59"/>
      <c r="J2337" s="59"/>
      <c r="K2337" s="59"/>
      <c r="L2337" s="59"/>
      <c r="M2337" s="59"/>
      <c r="N2337" s="59"/>
      <c r="O2337" s="59"/>
      <c r="P2337" s="59"/>
    </row>
    <row r="2338" spans="1:16">
      <c r="A2338" s="59"/>
      <c r="B2338" s="59"/>
      <c r="C2338" s="72"/>
      <c r="D2338" s="72"/>
      <c r="E2338" s="72"/>
      <c r="F2338" s="72"/>
      <c r="G2338" s="75"/>
      <c r="H2338" s="59"/>
      <c r="I2338" s="59"/>
      <c r="J2338" s="59"/>
      <c r="K2338" s="59"/>
      <c r="L2338" s="59"/>
      <c r="M2338" s="59"/>
      <c r="N2338" s="59"/>
      <c r="O2338" s="59"/>
      <c r="P2338" s="59"/>
    </row>
    <row r="2339" spans="1:16">
      <c r="A2339" s="59"/>
      <c r="B2339" s="59"/>
      <c r="C2339" s="72"/>
      <c r="D2339" s="72"/>
      <c r="E2339" s="72"/>
      <c r="F2339" s="72"/>
      <c r="G2339" s="75"/>
      <c r="H2339" s="59"/>
      <c r="I2339" s="59"/>
      <c r="J2339" s="59"/>
      <c r="K2339" s="59"/>
      <c r="L2339" s="59"/>
      <c r="M2339" s="59"/>
      <c r="N2339" s="59"/>
      <c r="O2339" s="59"/>
      <c r="P2339" s="59"/>
    </row>
    <row r="2340" spans="1:16">
      <c r="A2340" s="59"/>
      <c r="B2340" s="59"/>
      <c r="C2340" s="72"/>
      <c r="D2340" s="72"/>
      <c r="E2340" s="72"/>
      <c r="F2340" s="72"/>
      <c r="G2340" s="75"/>
      <c r="H2340" s="59"/>
      <c r="I2340" s="59"/>
      <c r="J2340" s="59"/>
      <c r="K2340" s="59"/>
      <c r="L2340" s="59"/>
      <c r="M2340" s="59"/>
      <c r="N2340" s="59"/>
      <c r="O2340" s="59"/>
      <c r="P2340" s="59"/>
    </row>
    <row r="2341" spans="1:16">
      <c r="A2341" s="59"/>
      <c r="B2341" s="59"/>
      <c r="C2341" s="72"/>
      <c r="D2341" s="72"/>
      <c r="E2341" s="72"/>
      <c r="F2341" s="72"/>
      <c r="G2341" s="75"/>
      <c r="H2341" s="59"/>
      <c r="I2341" s="59"/>
      <c r="J2341" s="59"/>
      <c r="K2341" s="59"/>
      <c r="L2341" s="59"/>
      <c r="M2341" s="59"/>
      <c r="N2341" s="59"/>
      <c r="O2341" s="59"/>
      <c r="P2341" s="59"/>
    </row>
    <row r="2342" spans="1:16">
      <c r="A2342" s="59"/>
      <c r="B2342" s="59"/>
      <c r="C2342" s="72"/>
      <c r="D2342" s="72"/>
      <c r="E2342" s="72"/>
      <c r="F2342" s="72"/>
      <c r="G2342" s="75"/>
      <c r="H2342" s="59"/>
      <c r="I2342" s="59"/>
      <c r="J2342" s="59"/>
      <c r="K2342" s="59"/>
      <c r="L2342" s="59"/>
      <c r="M2342" s="59"/>
      <c r="N2342" s="59"/>
      <c r="O2342" s="59"/>
      <c r="P2342" s="59"/>
    </row>
    <row r="2343" spans="1:16">
      <c r="A2343" s="59"/>
      <c r="B2343" s="59"/>
      <c r="C2343" s="72"/>
      <c r="D2343" s="72"/>
      <c r="E2343" s="72"/>
      <c r="F2343" s="72"/>
      <c r="G2343" s="75"/>
      <c r="H2343" s="59"/>
      <c r="I2343" s="59"/>
      <c r="J2343" s="59"/>
      <c r="K2343" s="59"/>
      <c r="L2343" s="59"/>
      <c r="M2343" s="59"/>
      <c r="N2343" s="59"/>
      <c r="O2343" s="59"/>
      <c r="P2343" s="59"/>
    </row>
    <row r="2344" spans="1:16">
      <c r="A2344" s="59"/>
      <c r="B2344" s="59"/>
      <c r="C2344" s="72"/>
      <c r="D2344" s="72"/>
      <c r="E2344" s="72"/>
      <c r="F2344" s="72"/>
      <c r="G2344" s="75"/>
      <c r="H2344" s="59"/>
      <c r="I2344" s="59"/>
      <c r="J2344" s="59"/>
      <c r="K2344" s="59"/>
      <c r="L2344" s="59"/>
      <c r="M2344" s="59"/>
      <c r="N2344" s="59"/>
      <c r="O2344" s="59"/>
      <c r="P2344" s="59"/>
    </row>
    <row r="2345" spans="1:16">
      <c r="A2345" s="59"/>
      <c r="B2345" s="59"/>
      <c r="C2345" s="72"/>
      <c r="D2345" s="72"/>
      <c r="E2345" s="72"/>
      <c r="F2345" s="72"/>
      <c r="G2345" s="75"/>
      <c r="H2345" s="59"/>
      <c r="I2345" s="59"/>
      <c r="J2345" s="59"/>
      <c r="K2345" s="59"/>
      <c r="L2345" s="59"/>
      <c r="M2345" s="59"/>
      <c r="N2345" s="59"/>
      <c r="O2345" s="59"/>
      <c r="P2345" s="59"/>
    </row>
    <row r="2346" spans="1:16">
      <c r="A2346" s="59"/>
      <c r="B2346" s="59"/>
      <c r="C2346" s="72"/>
      <c r="D2346" s="72"/>
      <c r="E2346" s="72"/>
      <c r="F2346" s="72"/>
      <c r="G2346" s="75"/>
      <c r="H2346" s="59"/>
      <c r="I2346" s="59"/>
      <c r="J2346" s="59"/>
      <c r="K2346" s="59"/>
      <c r="L2346" s="59"/>
      <c r="M2346" s="59"/>
      <c r="N2346" s="59"/>
      <c r="O2346" s="59"/>
      <c r="P2346" s="59"/>
    </row>
    <row r="2347" spans="1:16">
      <c r="A2347" s="59"/>
      <c r="B2347" s="59"/>
      <c r="C2347" s="72"/>
      <c r="D2347" s="72"/>
      <c r="E2347" s="72"/>
      <c r="F2347" s="72"/>
      <c r="G2347" s="75"/>
      <c r="H2347" s="59"/>
      <c r="I2347" s="59"/>
      <c r="J2347" s="59"/>
      <c r="K2347" s="59"/>
      <c r="L2347" s="59"/>
      <c r="M2347" s="59"/>
      <c r="N2347" s="59"/>
      <c r="O2347" s="59"/>
      <c r="P2347" s="59"/>
    </row>
    <row r="2348" spans="1:16">
      <c r="A2348" s="59"/>
      <c r="B2348" s="59"/>
      <c r="C2348" s="72"/>
      <c r="D2348" s="72"/>
      <c r="E2348" s="72"/>
      <c r="F2348" s="72"/>
      <c r="G2348" s="75"/>
      <c r="H2348" s="59"/>
      <c r="I2348" s="59"/>
      <c r="J2348" s="59"/>
      <c r="K2348" s="59"/>
      <c r="L2348" s="59"/>
      <c r="M2348" s="59"/>
      <c r="N2348" s="59"/>
      <c r="O2348" s="59"/>
      <c r="P2348" s="59"/>
    </row>
    <row r="2349" spans="1:16">
      <c r="A2349" s="59"/>
      <c r="B2349" s="59"/>
      <c r="C2349" s="72"/>
      <c r="D2349" s="72"/>
      <c r="E2349" s="72"/>
      <c r="F2349" s="72"/>
      <c r="G2349" s="75"/>
      <c r="H2349" s="59"/>
      <c r="I2349" s="59"/>
      <c r="J2349" s="59"/>
      <c r="K2349" s="59"/>
      <c r="L2349" s="59"/>
      <c r="M2349" s="59"/>
      <c r="N2349" s="59"/>
      <c r="O2349" s="59"/>
      <c r="P2349" s="59"/>
    </row>
    <row r="2350" spans="1:16">
      <c r="A2350" s="59"/>
      <c r="B2350" s="59"/>
      <c r="C2350" s="72"/>
      <c r="D2350" s="72"/>
      <c r="E2350" s="72"/>
      <c r="F2350" s="72"/>
      <c r="G2350" s="75"/>
      <c r="H2350" s="59"/>
      <c r="I2350" s="59"/>
      <c r="J2350" s="59"/>
      <c r="K2350" s="59"/>
      <c r="L2350" s="59"/>
      <c r="M2350" s="59"/>
      <c r="N2350" s="59"/>
      <c r="O2350" s="59"/>
      <c r="P2350" s="59"/>
    </row>
    <row r="2351" spans="1:16">
      <c r="A2351" s="59"/>
      <c r="B2351" s="59"/>
      <c r="C2351" s="72"/>
      <c r="D2351" s="72"/>
      <c r="E2351" s="72"/>
      <c r="F2351" s="72"/>
      <c r="G2351" s="75"/>
      <c r="H2351" s="59"/>
      <c r="I2351" s="59"/>
      <c r="J2351" s="59"/>
      <c r="K2351" s="59"/>
      <c r="L2351" s="59"/>
      <c r="M2351" s="59"/>
      <c r="N2351" s="59"/>
      <c r="O2351" s="59"/>
      <c r="P2351" s="59"/>
    </row>
    <row r="2352" spans="1:16">
      <c r="A2352" s="59"/>
      <c r="B2352" s="59"/>
      <c r="C2352" s="72"/>
      <c r="D2352" s="72"/>
      <c r="E2352" s="72"/>
      <c r="F2352" s="72"/>
      <c r="G2352" s="75"/>
      <c r="H2352" s="59"/>
      <c r="I2352" s="59"/>
      <c r="J2352" s="59"/>
      <c r="K2352" s="59"/>
      <c r="L2352" s="59"/>
      <c r="M2352" s="59"/>
      <c r="N2352" s="59"/>
      <c r="O2352" s="59"/>
      <c r="P2352" s="59"/>
    </row>
    <row r="2353" spans="1:16">
      <c r="A2353" s="59"/>
      <c r="B2353" s="59"/>
      <c r="C2353" s="72"/>
      <c r="D2353" s="72"/>
      <c r="E2353" s="72"/>
      <c r="F2353" s="72"/>
      <c r="G2353" s="75"/>
      <c r="H2353" s="59"/>
      <c r="I2353" s="59"/>
      <c r="J2353" s="59"/>
      <c r="K2353" s="59"/>
      <c r="L2353" s="59"/>
      <c r="M2353" s="59"/>
      <c r="N2353" s="59"/>
      <c r="O2353" s="59"/>
      <c r="P2353" s="59"/>
    </row>
    <row r="2354" spans="1:16">
      <c r="A2354" s="59"/>
      <c r="B2354" s="59"/>
      <c r="C2354" s="72"/>
      <c r="D2354" s="72"/>
      <c r="E2354" s="72"/>
      <c r="F2354" s="72"/>
      <c r="G2354" s="75"/>
      <c r="H2354" s="59"/>
      <c r="I2354" s="59"/>
      <c r="J2354" s="59"/>
      <c r="K2354" s="59"/>
      <c r="L2354" s="59"/>
      <c r="M2354" s="59"/>
      <c r="N2354" s="59"/>
      <c r="O2354" s="59"/>
      <c r="P2354" s="59"/>
    </row>
    <row r="2355" spans="1:16">
      <c r="A2355" s="59"/>
      <c r="B2355" s="59"/>
      <c r="C2355" s="72"/>
      <c r="D2355" s="72"/>
      <c r="E2355" s="72"/>
      <c r="F2355" s="72"/>
      <c r="G2355" s="75"/>
      <c r="H2355" s="59"/>
      <c r="I2355" s="59"/>
      <c r="J2355" s="59"/>
      <c r="K2355" s="59"/>
      <c r="L2355" s="59"/>
      <c r="M2355" s="59"/>
      <c r="N2355" s="59"/>
      <c r="O2355" s="59"/>
      <c r="P2355" s="59"/>
    </row>
    <row r="2356" spans="1:16">
      <c r="A2356" s="59"/>
      <c r="B2356" s="59"/>
      <c r="C2356" s="72"/>
      <c r="D2356" s="72"/>
      <c r="E2356" s="72"/>
      <c r="F2356" s="72"/>
      <c r="G2356" s="75"/>
      <c r="H2356" s="59"/>
      <c r="I2356" s="59"/>
      <c r="J2356" s="59"/>
      <c r="K2356" s="59"/>
      <c r="L2356" s="59"/>
      <c r="M2356" s="59"/>
      <c r="N2356" s="59"/>
      <c r="O2356" s="59"/>
      <c r="P2356" s="59"/>
    </row>
    <row r="2357" spans="1:16">
      <c r="A2357" s="59"/>
      <c r="B2357" s="59"/>
      <c r="C2357" s="72"/>
      <c r="D2357" s="72"/>
      <c r="E2357" s="72"/>
      <c r="F2357" s="72"/>
      <c r="G2357" s="75"/>
      <c r="H2357" s="59"/>
      <c r="I2357" s="59"/>
      <c r="J2357" s="59"/>
      <c r="K2357" s="59"/>
      <c r="L2357" s="59"/>
      <c r="M2357" s="59"/>
      <c r="N2357" s="59"/>
      <c r="O2357" s="59"/>
      <c r="P2357" s="59"/>
    </row>
    <row r="2358" spans="1:16">
      <c r="A2358" s="59"/>
      <c r="B2358" s="59"/>
      <c r="C2358" s="72"/>
      <c r="D2358" s="72"/>
      <c r="E2358" s="72"/>
      <c r="F2358" s="72"/>
      <c r="G2358" s="75"/>
      <c r="H2358" s="59"/>
      <c r="I2358" s="59"/>
      <c r="J2358" s="59"/>
      <c r="K2358" s="59"/>
      <c r="L2358" s="59"/>
      <c r="M2358" s="59"/>
      <c r="N2358" s="59"/>
      <c r="O2358" s="59"/>
      <c r="P2358" s="59"/>
    </row>
    <row r="2359" spans="1:16">
      <c r="A2359" s="59"/>
      <c r="B2359" s="59"/>
      <c r="C2359" s="72"/>
      <c r="D2359" s="72"/>
      <c r="E2359" s="72"/>
      <c r="F2359" s="72"/>
      <c r="G2359" s="75"/>
      <c r="H2359" s="59"/>
      <c r="I2359" s="59"/>
      <c r="J2359" s="59"/>
      <c r="K2359" s="59"/>
      <c r="L2359" s="59"/>
      <c r="M2359" s="59"/>
      <c r="N2359" s="59"/>
      <c r="O2359" s="59"/>
      <c r="P2359" s="59"/>
    </row>
    <row r="2360" spans="1:16">
      <c r="A2360" s="59"/>
      <c r="B2360" s="59"/>
      <c r="C2360" s="72"/>
      <c r="D2360" s="72"/>
      <c r="E2360" s="72"/>
      <c r="F2360" s="72"/>
      <c r="G2360" s="75"/>
      <c r="H2360" s="59"/>
      <c r="I2360" s="59"/>
      <c r="J2360" s="59"/>
      <c r="K2360" s="59"/>
      <c r="L2360" s="59"/>
      <c r="M2360" s="59"/>
      <c r="N2360" s="59"/>
      <c r="O2360" s="59"/>
      <c r="P2360" s="59"/>
    </row>
    <row r="2361" spans="1:16">
      <c r="A2361" s="59"/>
      <c r="B2361" s="59"/>
      <c r="C2361" s="72"/>
      <c r="D2361" s="72"/>
      <c r="E2361" s="72"/>
      <c r="F2361" s="72"/>
      <c r="G2361" s="75"/>
      <c r="H2361" s="59"/>
      <c r="I2361" s="59"/>
      <c r="J2361" s="59"/>
      <c r="K2361" s="59"/>
      <c r="L2361" s="59"/>
      <c r="M2361" s="59"/>
      <c r="N2361" s="59"/>
      <c r="O2361" s="59"/>
      <c r="P2361" s="59"/>
    </row>
    <row r="2362" spans="1:16">
      <c r="A2362" s="59"/>
      <c r="B2362" s="59"/>
      <c r="C2362" s="72"/>
      <c r="D2362" s="72"/>
      <c r="E2362" s="72"/>
      <c r="F2362" s="72"/>
      <c r="G2362" s="75"/>
      <c r="H2362" s="59"/>
      <c r="I2362" s="59"/>
      <c r="J2362" s="59"/>
      <c r="K2362" s="59"/>
      <c r="L2362" s="59"/>
      <c r="M2362" s="59"/>
      <c r="N2362" s="59"/>
      <c r="O2362" s="59"/>
      <c r="P2362" s="59"/>
    </row>
    <row r="2363" spans="1:16">
      <c r="A2363" s="59"/>
      <c r="B2363" s="59"/>
      <c r="C2363" s="72"/>
      <c r="D2363" s="72"/>
      <c r="E2363" s="72"/>
      <c r="F2363" s="72"/>
      <c r="G2363" s="75"/>
      <c r="H2363" s="59"/>
      <c r="I2363" s="59"/>
      <c r="J2363" s="59"/>
      <c r="K2363" s="59"/>
      <c r="L2363" s="59"/>
      <c r="M2363" s="59"/>
      <c r="N2363" s="59"/>
      <c r="O2363" s="59"/>
      <c r="P2363" s="59"/>
    </row>
    <row r="2364" spans="1:16">
      <c r="A2364" s="59"/>
      <c r="B2364" s="59"/>
      <c r="C2364" s="72"/>
      <c r="D2364" s="72"/>
      <c r="E2364" s="72"/>
      <c r="F2364" s="72"/>
      <c r="G2364" s="75"/>
      <c r="H2364" s="59"/>
      <c r="I2364" s="59"/>
      <c r="J2364" s="59"/>
      <c r="K2364" s="59"/>
      <c r="L2364" s="59"/>
      <c r="M2364" s="59"/>
      <c r="N2364" s="59"/>
      <c r="O2364" s="59"/>
      <c r="P2364" s="59"/>
    </row>
    <row r="2365" spans="1:16">
      <c r="A2365" s="59"/>
      <c r="B2365" s="59"/>
      <c r="C2365" s="72"/>
      <c r="D2365" s="72"/>
      <c r="E2365" s="72"/>
      <c r="F2365" s="72"/>
      <c r="G2365" s="75"/>
      <c r="H2365" s="59"/>
      <c r="I2365" s="59"/>
      <c r="J2365" s="59"/>
      <c r="K2365" s="59"/>
      <c r="L2365" s="59"/>
      <c r="M2365" s="59"/>
      <c r="N2365" s="59"/>
      <c r="O2365" s="59"/>
      <c r="P2365" s="59"/>
    </row>
    <row r="2366" spans="1:16">
      <c r="A2366" s="59"/>
      <c r="B2366" s="59"/>
      <c r="C2366" s="72"/>
      <c r="D2366" s="72"/>
      <c r="E2366" s="72"/>
      <c r="F2366" s="72"/>
      <c r="G2366" s="75"/>
      <c r="H2366" s="59"/>
      <c r="I2366" s="59"/>
      <c r="J2366" s="59"/>
      <c r="K2366" s="59"/>
      <c r="L2366" s="59"/>
      <c r="M2366" s="59"/>
      <c r="N2366" s="59"/>
      <c r="O2366" s="59"/>
      <c r="P2366" s="59"/>
    </row>
    <row r="2367" spans="1:16">
      <c r="A2367" s="59"/>
      <c r="B2367" s="59"/>
      <c r="C2367" s="72"/>
      <c r="D2367" s="72"/>
      <c r="E2367" s="72"/>
      <c r="F2367" s="72"/>
      <c r="G2367" s="75"/>
      <c r="H2367" s="59"/>
      <c r="I2367" s="59"/>
      <c r="J2367" s="59"/>
      <c r="K2367" s="59"/>
      <c r="L2367" s="59"/>
      <c r="M2367" s="59"/>
      <c r="N2367" s="59"/>
      <c r="O2367" s="59"/>
      <c r="P2367" s="59"/>
    </row>
    <row r="2368" spans="1:16">
      <c r="A2368" s="59"/>
      <c r="B2368" s="59"/>
      <c r="C2368" s="72"/>
      <c r="D2368" s="72"/>
      <c r="E2368" s="72"/>
      <c r="F2368" s="72"/>
      <c r="G2368" s="75"/>
      <c r="H2368" s="59"/>
      <c r="I2368" s="59"/>
      <c r="J2368" s="59"/>
      <c r="K2368" s="59"/>
      <c r="L2368" s="59"/>
      <c r="M2368" s="59"/>
      <c r="N2368" s="59"/>
      <c r="O2368" s="59"/>
      <c r="P2368" s="59"/>
    </row>
    <row r="2369" spans="1:16">
      <c r="A2369" s="59"/>
      <c r="B2369" s="59"/>
      <c r="C2369" s="72"/>
      <c r="D2369" s="72"/>
      <c r="E2369" s="72"/>
      <c r="F2369" s="72"/>
      <c r="G2369" s="75"/>
      <c r="H2369" s="59"/>
      <c r="I2369" s="59"/>
      <c r="J2369" s="59"/>
      <c r="K2369" s="59"/>
      <c r="L2369" s="59"/>
      <c r="M2369" s="59"/>
      <c r="N2369" s="59"/>
      <c r="O2369" s="59"/>
      <c r="P2369" s="59"/>
    </row>
    <row r="2370" spans="1:16">
      <c r="A2370" s="59"/>
      <c r="B2370" s="59"/>
      <c r="C2370" s="72"/>
      <c r="D2370" s="72"/>
      <c r="E2370" s="72"/>
      <c r="F2370" s="72"/>
      <c r="G2370" s="75"/>
      <c r="H2370" s="59"/>
      <c r="I2370" s="59"/>
      <c r="J2370" s="59"/>
      <c r="K2370" s="59"/>
      <c r="L2370" s="59"/>
      <c r="M2370" s="59"/>
      <c r="N2370" s="59"/>
      <c r="O2370" s="59"/>
      <c r="P2370" s="59"/>
    </row>
    <row r="2371" spans="1:16">
      <c r="A2371" s="59"/>
      <c r="B2371" s="59"/>
      <c r="C2371" s="72"/>
      <c r="D2371" s="72"/>
      <c r="E2371" s="72"/>
      <c r="F2371" s="72"/>
      <c r="G2371" s="75"/>
      <c r="H2371" s="59"/>
      <c r="I2371" s="59"/>
      <c r="J2371" s="59"/>
      <c r="K2371" s="59"/>
      <c r="L2371" s="59"/>
      <c r="M2371" s="59"/>
      <c r="N2371" s="59"/>
      <c r="O2371" s="59"/>
      <c r="P2371" s="59"/>
    </row>
    <row r="2372" spans="1:16">
      <c r="A2372" s="59"/>
      <c r="B2372" s="59"/>
      <c r="C2372" s="72"/>
      <c r="D2372" s="72"/>
      <c r="E2372" s="72"/>
      <c r="F2372" s="72"/>
      <c r="G2372" s="75"/>
      <c r="H2372" s="59"/>
      <c r="I2372" s="59"/>
      <c r="J2372" s="59"/>
      <c r="K2372" s="59"/>
      <c r="L2372" s="59"/>
      <c r="M2372" s="59"/>
      <c r="N2372" s="59"/>
      <c r="O2372" s="59"/>
      <c r="P2372" s="59"/>
    </row>
    <row r="2373" spans="1:16">
      <c r="A2373" s="59"/>
      <c r="B2373" s="59"/>
      <c r="C2373" s="72"/>
      <c r="D2373" s="72"/>
      <c r="E2373" s="72"/>
      <c r="F2373" s="72"/>
      <c r="G2373" s="75"/>
      <c r="H2373" s="59"/>
      <c r="I2373" s="59"/>
      <c r="J2373" s="59"/>
      <c r="K2373" s="59"/>
      <c r="L2373" s="59"/>
      <c r="M2373" s="59"/>
      <c r="N2373" s="59"/>
      <c r="O2373" s="59"/>
      <c r="P2373" s="59"/>
    </row>
    <row r="2374" spans="1:16">
      <c r="A2374" s="59"/>
      <c r="B2374" s="59"/>
      <c r="C2374" s="72"/>
      <c r="D2374" s="72"/>
      <c r="E2374" s="72"/>
      <c r="F2374" s="72"/>
      <c r="G2374" s="75"/>
      <c r="H2374" s="59"/>
      <c r="I2374" s="59"/>
      <c r="J2374" s="59"/>
      <c r="K2374" s="59"/>
      <c r="L2374" s="59"/>
      <c r="M2374" s="59"/>
      <c r="N2374" s="59"/>
      <c r="O2374" s="59"/>
      <c r="P2374" s="59"/>
    </row>
    <row r="2375" spans="1:16">
      <c r="A2375" s="59"/>
      <c r="B2375" s="59"/>
      <c r="C2375" s="72"/>
      <c r="D2375" s="72"/>
      <c r="E2375" s="72"/>
      <c r="F2375" s="72"/>
      <c r="G2375" s="75"/>
      <c r="H2375" s="59"/>
      <c r="I2375" s="59"/>
      <c r="J2375" s="59"/>
      <c r="K2375" s="59"/>
      <c r="L2375" s="59"/>
      <c r="M2375" s="59"/>
      <c r="N2375" s="59"/>
      <c r="O2375" s="59"/>
      <c r="P2375" s="59"/>
    </row>
    <row r="2376" spans="1:16">
      <c r="A2376" s="59"/>
      <c r="B2376" s="59"/>
      <c r="C2376" s="72"/>
      <c r="D2376" s="72"/>
      <c r="E2376" s="72"/>
      <c r="F2376" s="72"/>
      <c r="G2376" s="75"/>
      <c r="H2376" s="59"/>
      <c r="I2376" s="59"/>
      <c r="J2376" s="59"/>
      <c r="K2376" s="59"/>
      <c r="L2376" s="59"/>
      <c r="M2376" s="59"/>
      <c r="N2376" s="59"/>
      <c r="O2376" s="59"/>
      <c r="P2376" s="59"/>
    </row>
    <row r="2377" spans="1:16">
      <c r="A2377" s="59"/>
      <c r="B2377" s="59"/>
      <c r="C2377" s="72"/>
      <c r="D2377" s="72"/>
      <c r="E2377" s="72"/>
      <c r="F2377" s="72"/>
      <c r="G2377" s="75"/>
      <c r="H2377" s="59"/>
      <c r="I2377" s="59"/>
      <c r="J2377" s="59"/>
      <c r="K2377" s="59"/>
      <c r="L2377" s="59"/>
      <c r="M2377" s="59"/>
      <c r="N2377" s="59"/>
      <c r="O2377" s="59"/>
      <c r="P2377" s="59"/>
    </row>
    <row r="2378" spans="1:16">
      <c r="A2378" s="59"/>
      <c r="B2378" s="59"/>
      <c r="C2378" s="72"/>
      <c r="D2378" s="72"/>
      <c r="E2378" s="72"/>
      <c r="F2378" s="72"/>
      <c r="G2378" s="75"/>
      <c r="H2378" s="59"/>
      <c r="I2378" s="59"/>
      <c r="J2378" s="59"/>
      <c r="K2378" s="59"/>
      <c r="L2378" s="59"/>
      <c r="M2378" s="59"/>
      <c r="N2378" s="59"/>
      <c r="O2378" s="59"/>
      <c r="P2378" s="59"/>
    </row>
    <row r="2379" spans="1:16">
      <c r="A2379" s="59"/>
      <c r="B2379" s="59"/>
      <c r="C2379" s="72"/>
      <c r="D2379" s="72"/>
      <c r="E2379" s="72"/>
      <c r="F2379" s="72"/>
      <c r="G2379" s="75"/>
      <c r="H2379" s="59"/>
      <c r="I2379" s="59"/>
      <c r="J2379" s="59"/>
      <c r="K2379" s="59"/>
      <c r="L2379" s="59"/>
      <c r="M2379" s="59"/>
      <c r="N2379" s="59"/>
      <c r="O2379" s="59"/>
      <c r="P2379" s="59"/>
    </row>
    <row r="2380" spans="1:16">
      <c r="A2380" s="59"/>
      <c r="B2380" s="59"/>
      <c r="C2380" s="72"/>
      <c r="D2380" s="72"/>
      <c r="E2380" s="72"/>
      <c r="F2380" s="72"/>
      <c r="G2380" s="75"/>
      <c r="H2380" s="59"/>
      <c r="I2380" s="59"/>
      <c r="J2380" s="59"/>
      <c r="K2380" s="59"/>
      <c r="L2380" s="59"/>
      <c r="M2380" s="59"/>
      <c r="N2380" s="59"/>
      <c r="O2380" s="59"/>
      <c r="P2380" s="59"/>
    </row>
    <row r="2381" spans="1:16">
      <c r="A2381" s="59"/>
      <c r="B2381" s="59"/>
      <c r="C2381" s="72"/>
      <c r="D2381" s="72"/>
      <c r="E2381" s="72"/>
      <c r="F2381" s="72"/>
      <c r="G2381" s="75"/>
      <c r="H2381" s="59"/>
      <c r="I2381" s="59"/>
      <c r="J2381" s="59"/>
      <c r="K2381" s="59"/>
      <c r="L2381" s="59"/>
      <c r="M2381" s="59"/>
      <c r="N2381" s="59"/>
      <c r="O2381" s="59"/>
      <c r="P2381" s="59"/>
    </row>
    <row r="2382" spans="1:16">
      <c r="A2382" s="59"/>
      <c r="B2382" s="59"/>
      <c r="C2382" s="72"/>
      <c r="D2382" s="72"/>
      <c r="E2382" s="72"/>
      <c r="F2382" s="72"/>
      <c r="G2382" s="75"/>
      <c r="H2382" s="59"/>
      <c r="I2382" s="59"/>
      <c r="J2382" s="59"/>
      <c r="K2382" s="59"/>
      <c r="L2382" s="59"/>
      <c r="M2382" s="59"/>
      <c r="N2382" s="59"/>
      <c r="O2382" s="59"/>
      <c r="P2382" s="59"/>
    </row>
    <row r="2383" spans="1:16">
      <c r="A2383" s="59"/>
      <c r="B2383" s="59"/>
      <c r="C2383" s="72"/>
      <c r="D2383" s="72"/>
      <c r="E2383" s="72"/>
      <c r="F2383" s="72"/>
      <c r="G2383" s="75"/>
      <c r="H2383" s="59"/>
      <c r="I2383" s="59"/>
      <c r="J2383" s="59"/>
      <c r="K2383" s="59"/>
      <c r="L2383" s="59"/>
      <c r="M2383" s="59"/>
      <c r="N2383" s="59"/>
      <c r="O2383" s="59"/>
      <c r="P2383" s="59"/>
    </row>
    <row r="2384" spans="1:16">
      <c r="A2384" s="59"/>
      <c r="B2384" s="59"/>
      <c r="C2384" s="72"/>
      <c r="D2384" s="72"/>
      <c r="E2384" s="72"/>
      <c r="F2384" s="72"/>
      <c r="G2384" s="75"/>
      <c r="H2384" s="59"/>
      <c r="I2384" s="59"/>
      <c r="J2384" s="59"/>
      <c r="K2384" s="59"/>
      <c r="L2384" s="59"/>
      <c r="M2384" s="59"/>
      <c r="N2384" s="59"/>
      <c r="O2384" s="59"/>
      <c r="P2384" s="59"/>
    </row>
    <row r="2385" spans="1:16">
      <c r="A2385" s="59"/>
      <c r="B2385" s="59"/>
      <c r="C2385" s="72"/>
      <c r="D2385" s="72"/>
      <c r="E2385" s="72"/>
      <c r="F2385" s="72"/>
      <c r="G2385" s="75"/>
      <c r="H2385" s="59"/>
      <c r="I2385" s="59"/>
      <c r="J2385" s="59"/>
      <c r="K2385" s="59"/>
      <c r="L2385" s="59"/>
      <c r="M2385" s="59"/>
      <c r="N2385" s="59"/>
      <c r="O2385" s="59"/>
      <c r="P2385" s="59"/>
    </row>
    <row r="2386" spans="1:16">
      <c r="A2386" s="59"/>
      <c r="B2386" s="59"/>
      <c r="C2386" s="72"/>
      <c r="D2386" s="72"/>
      <c r="E2386" s="72"/>
      <c r="F2386" s="72"/>
      <c r="G2386" s="75"/>
      <c r="H2386" s="59"/>
      <c r="I2386" s="59"/>
      <c r="J2386" s="59"/>
      <c r="K2386" s="59"/>
      <c r="L2386" s="59"/>
      <c r="M2386" s="59"/>
      <c r="N2386" s="59"/>
      <c r="O2386" s="59"/>
      <c r="P2386" s="59"/>
    </row>
    <row r="2387" spans="1:16">
      <c r="A2387" s="59"/>
      <c r="B2387" s="59"/>
      <c r="C2387" s="72"/>
      <c r="D2387" s="72"/>
      <c r="E2387" s="72"/>
      <c r="F2387" s="72"/>
      <c r="G2387" s="75"/>
      <c r="H2387" s="59"/>
      <c r="I2387" s="59"/>
      <c r="J2387" s="59"/>
      <c r="K2387" s="59"/>
      <c r="L2387" s="59"/>
      <c r="M2387" s="59"/>
      <c r="N2387" s="59"/>
      <c r="O2387" s="59"/>
      <c r="P2387" s="59"/>
    </row>
    <row r="2388" spans="1:16">
      <c r="A2388" s="59"/>
      <c r="B2388" s="59"/>
      <c r="C2388" s="72"/>
      <c r="D2388" s="72"/>
      <c r="E2388" s="72"/>
      <c r="F2388" s="72"/>
      <c r="G2388" s="75"/>
      <c r="H2388" s="59"/>
      <c r="I2388" s="59"/>
      <c r="J2388" s="59"/>
      <c r="K2388" s="59"/>
      <c r="L2388" s="59"/>
      <c r="M2388" s="59"/>
      <c r="N2388" s="59"/>
      <c r="O2388" s="59"/>
      <c r="P2388" s="59"/>
    </row>
    <row r="2389" spans="1:16">
      <c r="A2389" s="59"/>
      <c r="B2389" s="59"/>
      <c r="C2389" s="72"/>
      <c r="D2389" s="72"/>
      <c r="E2389" s="72"/>
      <c r="F2389" s="72"/>
      <c r="G2389" s="75"/>
      <c r="H2389" s="59"/>
      <c r="I2389" s="59"/>
      <c r="J2389" s="59"/>
      <c r="K2389" s="59"/>
      <c r="L2389" s="59"/>
      <c r="M2389" s="59"/>
      <c r="N2389" s="59"/>
      <c r="O2389" s="59"/>
      <c r="P2389" s="59"/>
    </row>
    <row r="2390" spans="1:16">
      <c r="A2390" s="59"/>
      <c r="B2390" s="59"/>
      <c r="C2390" s="72"/>
      <c r="D2390" s="72"/>
      <c r="E2390" s="72"/>
      <c r="F2390" s="72"/>
      <c r="G2390" s="75"/>
      <c r="H2390" s="59"/>
      <c r="I2390" s="59"/>
      <c r="J2390" s="59"/>
      <c r="K2390" s="59"/>
      <c r="L2390" s="59"/>
      <c r="M2390" s="59"/>
      <c r="N2390" s="59"/>
      <c r="O2390" s="59"/>
      <c r="P2390" s="59"/>
    </row>
    <row r="2391" spans="1:16">
      <c r="A2391" s="59"/>
      <c r="B2391" s="59"/>
      <c r="C2391" s="72"/>
      <c r="D2391" s="72"/>
      <c r="E2391" s="72"/>
      <c r="F2391" s="72"/>
      <c r="G2391" s="75"/>
      <c r="H2391" s="59"/>
      <c r="I2391" s="59"/>
      <c r="J2391" s="59"/>
      <c r="K2391" s="59"/>
      <c r="L2391" s="59"/>
      <c r="M2391" s="59"/>
      <c r="N2391" s="59"/>
      <c r="O2391" s="59"/>
      <c r="P2391" s="59"/>
    </row>
    <row r="2392" spans="1:16">
      <c r="A2392" s="59"/>
      <c r="B2392" s="59"/>
      <c r="C2392" s="72"/>
      <c r="D2392" s="72"/>
      <c r="E2392" s="72"/>
      <c r="F2392" s="72"/>
      <c r="G2392" s="75"/>
      <c r="H2392" s="59"/>
      <c r="I2392" s="59"/>
      <c r="J2392" s="59"/>
      <c r="K2392" s="59"/>
      <c r="L2392" s="59"/>
      <c r="M2392" s="59"/>
      <c r="N2392" s="59"/>
      <c r="O2392" s="59"/>
      <c r="P2392" s="59"/>
    </row>
    <row r="2393" spans="1:16">
      <c r="A2393" s="59"/>
      <c r="B2393" s="59"/>
      <c r="C2393" s="72"/>
      <c r="D2393" s="72"/>
      <c r="E2393" s="72"/>
      <c r="F2393" s="72"/>
      <c r="G2393" s="75"/>
      <c r="H2393" s="59"/>
      <c r="I2393" s="59"/>
      <c r="J2393" s="59"/>
      <c r="K2393" s="59"/>
      <c r="L2393" s="59"/>
      <c r="M2393" s="59"/>
      <c r="N2393" s="59"/>
      <c r="O2393" s="59"/>
      <c r="P2393" s="59"/>
    </row>
    <row r="2394" spans="1:16">
      <c r="A2394" s="59"/>
      <c r="B2394" s="59"/>
      <c r="C2394" s="72"/>
      <c r="D2394" s="72"/>
      <c r="E2394" s="72"/>
      <c r="F2394" s="72"/>
      <c r="G2394" s="75"/>
      <c r="H2394" s="59"/>
      <c r="I2394" s="59"/>
      <c r="J2394" s="59"/>
      <c r="K2394" s="59"/>
      <c r="L2394" s="59"/>
      <c r="M2394" s="59"/>
      <c r="N2394" s="59"/>
      <c r="O2394" s="59"/>
      <c r="P2394" s="59"/>
    </row>
    <row r="2395" spans="1:16">
      <c r="A2395" s="59"/>
      <c r="B2395" s="59"/>
      <c r="C2395" s="72"/>
      <c r="D2395" s="72"/>
      <c r="E2395" s="72"/>
      <c r="F2395" s="72"/>
      <c r="G2395" s="75"/>
      <c r="H2395" s="59"/>
      <c r="I2395" s="59"/>
      <c r="J2395" s="59"/>
      <c r="K2395" s="59"/>
      <c r="L2395" s="59"/>
      <c r="M2395" s="59"/>
      <c r="N2395" s="59"/>
      <c r="O2395" s="59"/>
      <c r="P2395" s="59"/>
    </row>
    <row r="2396" spans="1:16">
      <c r="A2396" s="59"/>
      <c r="B2396" s="59"/>
      <c r="C2396" s="72"/>
      <c r="D2396" s="72"/>
      <c r="E2396" s="72"/>
      <c r="F2396" s="72"/>
      <c r="G2396" s="75"/>
      <c r="H2396" s="59"/>
      <c r="I2396" s="59"/>
      <c r="J2396" s="59"/>
      <c r="K2396" s="59"/>
      <c r="L2396" s="59"/>
      <c r="M2396" s="59"/>
      <c r="N2396" s="59"/>
      <c r="O2396" s="59"/>
      <c r="P2396" s="59"/>
    </row>
    <row r="2397" spans="1:16">
      <c r="A2397" s="59"/>
      <c r="B2397" s="59"/>
      <c r="C2397" s="72"/>
      <c r="D2397" s="72"/>
      <c r="E2397" s="72"/>
      <c r="F2397" s="72"/>
      <c r="G2397" s="75"/>
      <c r="H2397" s="59"/>
      <c r="I2397" s="59"/>
      <c r="J2397" s="59"/>
      <c r="K2397" s="59"/>
      <c r="L2397" s="59"/>
      <c r="M2397" s="59"/>
      <c r="N2397" s="59"/>
      <c r="O2397" s="59"/>
      <c r="P2397" s="59"/>
    </row>
    <row r="2398" spans="1:16">
      <c r="A2398" s="59"/>
      <c r="B2398" s="59"/>
      <c r="C2398" s="72"/>
      <c r="D2398" s="72"/>
      <c r="E2398" s="72"/>
      <c r="F2398" s="72"/>
      <c r="G2398" s="75"/>
      <c r="H2398" s="59"/>
      <c r="I2398" s="59"/>
      <c r="J2398" s="59"/>
      <c r="K2398" s="59"/>
      <c r="L2398" s="59"/>
      <c r="M2398" s="59"/>
      <c r="N2398" s="59"/>
      <c r="O2398" s="59"/>
      <c r="P2398" s="59"/>
    </row>
    <row r="2399" spans="1:16">
      <c r="A2399" s="59"/>
      <c r="B2399" s="59"/>
      <c r="C2399" s="72"/>
      <c r="D2399" s="72"/>
      <c r="E2399" s="72"/>
      <c r="F2399" s="72"/>
      <c r="G2399" s="75"/>
      <c r="H2399" s="59"/>
      <c r="I2399" s="59"/>
      <c r="J2399" s="59"/>
      <c r="K2399" s="59"/>
      <c r="L2399" s="59"/>
      <c r="M2399" s="59"/>
      <c r="N2399" s="59"/>
      <c r="O2399" s="59"/>
      <c r="P2399" s="59"/>
    </row>
    <row r="2400" spans="1:16">
      <c r="A2400" s="59"/>
      <c r="B2400" s="59"/>
      <c r="C2400" s="72"/>
      <c r="D2400" s="72"/>
      <c r="E2400" s="72"/>
      <c r="F2400" s="72"/>
      <c r="G2400" s="75"/>
      <c r="H2400" s="59"/>
      <c r="I2400" s="59"/>
      <c r="J2400" s="59"/>
      <c r="K2400" s="59"/>
      <c r="L2400" s="59"/>
      <c r="M2400" s="59"/>
      <c r="N2400" s="59"/>
      <c r="O2400" s="59"/>
      <c r="P2400" s="59"/>
    </row>
    <row r="2401" spans="1:16">
      <c r="A2401" s="59"/>
      <c r="B2401" s="59"/>
      <c r="C2401" s="72"/>
      <c r="D2401" s="72"/>
      <c r="E2401" s="72"/>
      <c r="F2401" s="72"/>
      <c r="G2401" s="75"/>
      <c r="H2401" s="59"/>
      <c r="I2401" s="59"/>
      <c r="J2401" s="59"/>
      <c r="K2401" s="59"/>
      <c r="L2401" s="59"/>
      <c r="M2401" s="59"/>
      <c r="N2401" s="59"/>
      <c r="O2401" s="59"/>
      <c r="P2401" s="59"/>
    </row>
    <row r="2402" spans="1:16">
      <c r="A2402" s="59"/>
      <c r="B2402" s="59"/>
      <c r="C2402" s="72"/>
      <c r="D2402" s="72"/>
      <c r="E2402" s="72"/>
      <c r="F2402" s="72"/>
      <c r="G2402" s="75"/>
      <c r="H2402" s="59"/>
      <c r="I2402" s="59"/>
      <c r="J2402" s="59"/>
      <c r="K2402" s="59"/>
      <c r="L2402" s="59"/>
      <c r="M2402" s="59"/>
      <c r="N2402" s="59"/>
      <c r="O2402" s="59"/>
      <c r="P2402" s="59"/>
    </row>
    <row r="2403" spans="1:16">
      <c r="A2403" s="59"/>
      <c r="B2403" s="59"/>
      <c r="C2403" s="72"/>
      <c r="D2403" s="72"/>
      <c r="E2403" s="72"/>
      <c r="F2403" s="72"/>
      <c r="G2403" s="75"/>
      <c r="H2403" s="59"/>
      <c r="I2403" s="59"/>
      <c r="J2403" s="59"/>
      <c r="K2403" s="59"/>
      <c r="L2403" s="59"/>
      <c r="M2403" s="59"/>
      <c r="N2403" s="59"/>
      <c r="O2403" s="59"/>
      <c r="P2403" s="59"/>
    </row>
    <row r="2404" spans="1:16">
      <c r="A2404" s="59"/>
      <c r="B2404" s="59"/>
      <c r="C2404" s="72"/>
      <c r="D2404" s="72"/>
      <c r="E2404" s="72"/>
      <c r="F2404" s="72"/>
      <c r="G2404" s="75"/>
      <c r="H2404" s="59"/>
      <c r="I2404" s="59"/>
      <c r="J2404" s="59"/>
      <c r="K2404" s="59"/>
      <c r="L2404" s="59"/>
      <c r="M2404" s="59"/>
      <c r="N2404" s="59"/>
      <c r="O2404" s="59"/>
      <c r="P2404" s="59"/>
    </row>
    <row r="2405" spans="1:16">
      <c r="A2405" s="59"/>
      <c r="B2405" s="59"/>
      <c r="C2405" s="72"/>
      <c r="D2405" s="72"/>
      <c r="E2405" s="72"/>
      <c r="F2405" s="72"/>
      <c r="G2405" s="75"/>
      <c r="H2405" s="59"/>
      <c r="I2405" s="59"/>
      <c r="J2405" s="59"/>
      <c r="K2405" s="59"/>
      <c r="L2405" s="59"/>
      <c r="M2405" s="59"/>
      <c r="N2405" s="59"/>
      <c r="O2405" s="59"/>
      <c r="P2405" s="59"/>
    </row>
    <row r="2406" spans="1:16">
      <c r="A2406" s="59"/>
      <c r="B2406" s="59"/>
      <c r="C2406" s="72"/>
      <c r="D2406" s="72"/>
      <c r="E2406" s="72"/>
      <c r="F2406" s="72"/>
      <c r="G2406" s="75"/>
      <c r="H2406" s="59"/>
      <c r="I2406" s="59"/>
      <c r="J2406" s="59"/>
      <c r="K2406" s="59"/>
      <c r="L2406" s="59"/>
      <c r="M2406" s="59"/>
      <c r="N2406" s="59"/>
      <c r="O2406" s="59"/>
      <c r="P2406" s="59"/>
    </row>
    <row r="2407" spans="1:16">
      <c r="A2407" s="59"/>
      <c r="B2407" s="59"/>
      <c r="C2407" s="72"/>
      <c r="D2407" s="72"/>
      <c r="E2407" s="72"/>
      <c r="F2407" s="72"/>
      <c r="G2407" s="75"/>
      <c r="H2407" s="59"/>
      <c r="I2407" s="59"/>
      <c r="J2407" s="59"/>
      <c r="K2407" s="59"/>
      <c r="L2407" s="59"/>
      <c r="M2407" s="59"/>
      <c r="N2407" s="59"/>
      <c r="O2407" s="59"/>
      <c r="P2407" s="59"/>
    </row>
    <row r="2408" spans="1:16">
      <c r="A2408" s="59"/>
      <c r="B2408" s="59"/>
      <c r="C2408" s="72"/>
      <c r="D2408" s="72"/>
      <c r="E2408" s="72"/>
      <c r="F2408" s="72"/>
      <c r="G2408" s="75"/>
      <c r="H2408" s="59"/>
      <c r="I2408" s="59"/>
      <c r="J2408" s="59"/>
      <c r="K2408" s="59"/>
      <c r="L2408" s="59"/>
      <c r="M2408" s="59"/>
      <c r="N2408" s="59"/>
      <c r="O2408" s="59"/>
      <c r="P2408" s="59"/>
    </row>
    <row r="2409" spans="1:16">
      <c r="A2409" s="59"/>
      <c r="B2409" s="59"/>
      <c r="C2409" s="72"/>
      <c r="D2409" s="72"/>
      <c r="E2409" s="72"/>
      <c r="F2409" s="72"/>
      <c r="G2409" s="75"/>
      <c r="H2409" s="59"/>
      <c r="I2409" s="59"/>
      <c r="J2409" s="59"/>
      <c r="K2409" s="59"/>
      <c r="L2409" s="59"/>
      <c r="M2409" s="59"/>
      <c r="N2409" s="59"/>
      <c r="O2409" s="59"/>
      <c r="P2409" s="59"/>
    </row>
    <row r="2410" spans="1:16">
      <c r="A2410" s="59"/>
      <c r="B2410" s="59"/>
      <c r="C2410" s="72"/>
      <c r="D2410" s="72"/>
      <c r="E2410" s="72"/>
      <c r="F2410" s="72"/>
      <c r="G2410" s="75"/>
      <c r="H2410" s="59"/>
      <c r="I2410" s="59"/>
      <c r="J2410" s="59"/>
      <c r="K2410" s="59"/>
      <c r="L2410" s="59"/>
      <c r="M2410" s="59"/>
      <c r="N2410" s="59"/>
      <c r="O2410" s="59"/>
      <c r="P2410" s="59"/>
    </row>
    <row r="2411" spans="1:16">
      <c r="A2411" s="59"/>
      <c r="B2411" s="59"/>
      <c r="C2411" s="72"/>
      <c r="D2411" s="72"/>
      <c r="E2411" s="72"/>
      <c r="F2411" s="72"/>
      <c r="G2411" s="75"/>
      <c r="H2411" s="59"/>
      <c r="I2411" s="59"/>
      <c r="J2411" s="59"/>
      <c r="K2411" s="59"/>
      <c r="L2411" s="59"/>
      <c r="M2411" s="59"/>
      <c r="N2411" s="59"/>
      <c r="O2411" s="59"/>
      <c r="P2411" s="59"/>
    </row>
    <row r="2412" spans="1:16">
      <c r="A2412" s="59"/>
      <c r="B2412" s="59"/>
      <c r="C2412" s="72"/>
      <c r="D2412" s="72"/>
      <c r="E2412" s="72"/>
      <c r="F2412" s="72"/>
      <c r="G2412" s="75"/>
      <c r="H2412" s="59"/>
      <c r="I2412" s="59"/>
      <c r="J2412" s="59"/>
      <c r="K2412" s="59"/>
      <c r="L2412" s="59"/>
      <c r="M2412" s="59"/>
      <c r="N2412" s="59"/>
      <c r="O2412" s="59"/>
      <c r="P2412" s="59"/>
    </row>
    <row r="2413" spans="1:16">
      <c r="A2413" s="59"/>
      <c r="B2413" s="59"/>
      <c r="C2413" s="72"/>
      <c r="D2413" s="72"/>
      <c r="E2413" s="72"/>
      <c r="F2413" s="72"/>
      <c r="G2413" s="75"/>
      <c r="H2413" s="59"/>
      <c r="I2413" s="59"/>
      <c r="J2413" s="59"/>
      <c r="K2413" s="59"/>
      <c r="L2413" s="59"/>
      <c r="M2413" s="59"/>
      <c r="N2413" s="59"/>
      <c r="O2413" s="59"/>
      <c r="P2413" s="59"/>
    </row>
    <row r="2414" spans="1:16">
      <c r="A2414" s="59"/>
      <c r="B2414" s="59"/>
      <c r="C2414" s="72"/>
      <c r="D2414" s="72"/>
      <c r="E2414" s="72"/>
      <c r="F2414" s="72"/>
      <c r="G2414" s="75"/>
      <c r="H2414" s="59"/>
      <c r="I2414" s="59"/>
      <c r="J2414" s="59"/>
      <c r="K2414" s="59"/>
      <c r="L2414" s="59"/>
      <c r="M2414" s="59"/>
      <c r="N2414" s="59"/>
      <c r="O2414" s="59"/>
      <c r="P2414" s="59"/>
    </row>
    <row r="2415" spans="1:16">
      <c r="A2415" s="59"/>
      <c r="B2415" s="59"/>
      <c r="C2415" s="72"/>
      <c r="D2415" s="72"/>
      <c r="E2415" s="72"/>
      <c r="F2415" s="72"/>
      <c r="G2415" s="75"/>
      <c r="H2415" s="59"/>
      <c r="I2415" s="59"/>
      <c r="J2415" s="59"/>
      <c r="K2415" s="59"/>
      <c r="L2415" s="59"/>
      <c r="M2415" s="59"/>
      <c r="N2415" s="59"/>
      <c r="O2415" s="59"/>
      <c r="P2415" s="59"/>
    </row>
    <row r="2416" spans="1:16">
      <c r="A2416" s="59"/>
      <c r="B2416" s="59"/>
      <c r="C2416" s="72"/>
      <c r="D2416" s="72"/>
      <c r="E2416" s="72"/>
      <c r="F2416" s="72"/>
      <c r="G2416" s="75"/>
      <c r="H2416" s="59"/>
      <c r="I2416" s="59"/>
      <c r="J2416" s="59"/>
      <c r="K2416" s="59"/>
      <c r="L2416" s="59"/>
      <c r="M2416" s="59"/>
      <c r="N2416" s="59"/>
      <c r="O2416" s="59"/>
      <c r="P2416" s="59"/>
    </row>
    <row r="2417" spans="1:16">
      <c r="A2417" s="59"/>
      <c r="B2417" s="59"/>
      <c r="C2417" s="72"/>
      <c r="D2417" s="72"/>
      <c r="E2417" s="72"/>
      <c r="F2417" s="72"/>
      <c r="G2417" s="75"/>
      <c r="H2417" s="59"/>
      <c r="I2417" s="59"/>
      <c r="J2417" s="59"/>
      <c r="K2417" s="59"/>
      <c r="L2417" s="59"/>
      <c r="M2417" s="59"/>
      <c r="N2417" s="59"/>
      <c r="O2417" s="59"/>
      <c r="P2417" s="59"/>
    </row>
    <row r="2418" spans="1:16">
      <c r="A2418" s="59"/>
      <c r="B2418" s="59"/>
      <c r="C2418" s="72"/>
      <c r="D2418" s="72"/>
      <c r="E2418" s="72"/>
      <c r="F2418" s="72"/>
      <c r="G2418" s="75"/>
      <c r="H2418" s="59"/>
      <c r="I2418" s="59"/>
      <c r="J2418" s="59"/>
      <c r="K2418" s="59"/>
      <c r="L2418" s="59"/>
      <c r="M2418" s="59"/>
      <c r="N2418" s="59"/>
      <c r="O2418" s="59"/>
      <c r="P2418" s="59"/>
    </row>
    <row r="2419" spans="1:16">
      <c r="A2419" s="59"/>
      <c r="B2419" s="59"/>
      <c r="C2419" s="72"/>
      <c r="D2419" s="72"/>
      <c r="E2419" s="72"/>
      <c r="F2419" s="72"/>
      <c r="G2419" s="75"/>
      <c r="H2419" s="59"/>
      <c r="I2419" s="59"/>
      <c r="J2419" s="59"/>
      <c r="K2419" s="59"/>
      <c r="L2419" s="59"/>
      <c r="M2419" s="59"/>
      <c r="N2419" s="59"/>
      <c r="O2419" s="59"/>
      <c r="P2419" s="59"/>
    </row>
    <row r="2420" spans="1:16">
      <c r="A2420" s="59"/>
      <c r="B2420" s="59"/>
      <c r="C2420" s="72"/>
      <c r="D2420" s="72"/>
      <c r="E2420" s="72"/>
      <c r="F2420" s="72"/>
      <c r="G2420" s="75"/>
      <c r="H2420" s="59"/>
      <c r="I2420" s="59"/>
      <c r="J2420" s="59"/>
      <c r="K2420" s="59"/>
      <c r="L2420" s="59"/>
      <c r="M2420" s="59"/>
      <c r="N2420" s="59"/>
      <c r="O2420" s="59"/>
      <c r="P2420" s="59"/>
    </row>
    <row r="2421" spans="1:16">
      <c r="A2421" s="59"/>
      <c r="B2421" s="59"/>
      <c r="C2421" s="72"/>
      <c r="D2421" s="72"/>
      <c r="E2421" s="72"/>
      <c r="F2421" s="72"/>
      <c r="G2421" s="75"/>
      <c r="H2421" s="59"/>
      <c r="I2421" s="59"/>
      <c r="J2421" s="59"/>
      <c r="K2421" s="59"/>
      <c r="L2421" s="59"/>
      <c r="M2421" s="59"/>
      <c r="N2421" s="59"/>
      <c r="O2421" s="59"/>
      <c r="P2421" s="59"/>
    </row>
    <row r="2422" spans="1:16">
      <c r="A2422" s="59"/>
      <c r="B2422" s="59"/>
      <c r="C2422" s="72"/>
      <c r="D2422" s="72"/>
      <c r="E2422" s="72"/>
      <c r="F2422" s="72"/>
      <c r="G2422" s="75"/>
      <c r="H2422" s="59"/>
      <c r="I2422" s="59"/>
      <c r="J2422" s="59"/>
      <c r="K2422" s="59"/>
      <c r="L2422" s="59"/>
      <c r="M2422" s="59"/>
      <c r="N2422" s="59"/>
      <c r="O2422" s="59"/>
      <c r="P2422" s="59"/>
    </row>
    <row r="2423" spans="1:16">
      <c r="A2423" s="59"/>
      <c r="B2423" s="59"/>
      <c r="C2423" s="72"/>
      <c r="D2423" s="72"/>
      <c r="E2423" s="72"/>
      <c r="F2423" s="72"/>
      <c r="G2423" s="75"/>
      <c r="H2423" s="59"/>
      <c r="I2423" s="59"/>
      <c r="J2423" s="59"/>
      <c r="K2423" s="59"/>
      <c r="L2423" s="59"/>
      <c r="M2423" s="59"/>
      <c r="N2423" s="59"/>
      <c r="O2423" s="59"/>
      <c r="P2423" s="59"/>
    </row>
    <row r="2424" spans="1:16">
      <c r="A2424" s="59"/>
      <c r="B2424" s="59"/>
      <c r="C2424" s="72"/>
      <c r="D2424" s="72"/>
      <c r="E2424" s="72"/>
      <c r="F2424" s="72"/>
      <c r="G2424" s="75"/>
      <c r="H2424" s="59"/>
      <c r="I2424" s="59"/>
      <c r="J2424" s="59"/>
      <c r="K2424" s="59"/>
      <c r="L2424" s="59"/>
      <c r="M2424" s="59"/>
      <c r="N2424" s="59"/>
      <c r="O2424" s="59"/>
      <c r="P2424" s="59"/>
    </row>
    <row r="2425" spans="1:16">
      <c r="A2425" s="59"/>
      <c r="B2425" s="59"/>
      <c r="C2425" s="72"/>
      <c r="D2425" s="72"/>
      <c r="E2425" s="72"/>
      <c r="F2425" s="72"/>
      <c r="G2425" s="75"/>
      <c r="H2425" s="59"/>
      <c r="I2425" s="59"/>
      <c r="J2425" s="59"/>
      <c r="K2425" s="59"/>
      <c r="L2425" s="59"/>
      <c r="M2425" s="59"/>
      <c r="N2425" s="59"/>
      <c r="O2425" s="59"/>
      <c r="P2425" s="59"/>
    </row>
    <row r="2426" spans="1:16">
      <c r="A2426" s="59"/>
      <c r="B2426" s="59"/>
      <c r="C2426" s="72"/>
      <c r="D2426" s="72"/>
      <c r="E2426" s="72"/>
      <c r="F2426" s="72"/>
      <c r="G2426" s="75"/>
      <c r="H2426" s="59"/>
      <c r="I2426" s="59"/>
      <c r="J2426" s="59"/>
      <c r="K2426" s="59"/>
      <c r="L2426" s="59"/>
      <c r="M2426" s="59"/>
      <c r="N2426" s="59"/>
      <c r="O2426" s="59"/>
      <c r="P2426" s="59"/>
    </row>
    <row r="2427" spans="1:16">
      <c r="A2427" s="59"/>
      <c r="B2427" s="59"/>
      <c r="C2427" s="72"/>
      <c r="D2427" s="72"/>
      <c r="E2427" s="72"/>
      <c r="F2427" s="72"/>
      <c r="G2427" s="75"/>
      <c r="H2427" s="59"/>
      <c r="I2427" s="59"/>
      <c r="J2427" s="59"/>
      <c r="K2427" s="59"/>
      <c r="L2427" s="59"/>
      <c r="M2427" s="59"/>
      <c r="N2427" s="59"/>
      <c r="O2427" s="59"/>
      <c r="P2427" s="59"/>
    </row>
    <row r="2428" spans="1:16">
      <c r="A2428" s="59"/>
      <c r="B2428" s="59"/>
      <c r="C2428" s="72"/>
      <c r="D2428" s="72"/>
      <c r="E2428" s="72"/>
      <c r="F2428" s="72"/>
      <c r="G2428" s="75"/>
      <c r="H2428" s="59"/>
      <c r="I2428" s="59"/>
      <c r="J2428" s="59"/>
      <c r="K2428" s="59"/>
      <c r="L2428" s="59"/>
      <c r="M2428" s="59"/>
      <c r="N2428" s="59"/>
      <c r="O2428" s="59"/>
      <c r="P2428" s="59"/>
    </row>
    <row r="2429" spans="1:16">
      <c r="A2429" s="59"/>
      <c r="B2429" s="59"/>
      <c r="C2429" s="72"/>
      <c r="D2429" s="72"/>
      <c r="E2429" s="72"/>
      <c r="F2429" s="72"/>
      <c r="G2429" s="75"/>
      <c r="H2429" s="59"/>
      <c r="I2429" s="59"/>
      <c r="J2429" s="59"/>
      <c r="K2429" s="59"/>
      <c r="L2429" s="59"/>
      <c r="M2429" s="59"/>
      <c r="N2429" s="59"/>
      <c r="O2429" s="59"/>
      <c r="P2429" s="59"/>
    </row>
    <row r="2430" spans="1:16">
      <c r="A2430" s="59"/>
      <c r="B2430" s="59"/>
      <c r="C2430" s="72"/>
      <c r="D2430" s="72"/>
      <c r="E2430" s="72"/>
      <c r="F2430" s="72"/>
      <c r="G2430" s="75"/>
      <c r="H2430" s="59"/>
      <c r="I2430" s="59"/>
      <c r="J2430" s="59"/>
      <c r="K2430" s="59"/>
      <c r="L2430" s="59"/>
      <c r="M2430" s="59"/>
      <c r="N2430" s="59"/>
      <c r="O2430" s="59"/>
      <c r="P2430" s="59"/>
    </row>
    <row r="2431" spans="1:16">
      <c r="A2431" s="59"/>
      <c r="B2431" s="59"/>
      <c r="C2431" s="72"/>
      <c r="D2431" s="72"/>
      <c r="E2431" s="72"/>
      <c r="F2431" s="72"/>
      <c r="G2431" s="75"/>
      <c r="H2431" s="59"/>
      <c r="I2431" s="59"/>
      <c r="J2431" s="59"/>
      <c r="K2431" s="59"/>
      <c r="L2431" s="59"/>
      <c r="M2431" s="59"/>
      <c r="N2431" s="59"/>
      <c r="O2431" s="59"/>
      <c r="P2431" s="59"/>
    </row>
    <row r="2432" spans="1:16">
      <c r="A2432" s="59"/>
      <c r="B2432" s="59"/>
      <c r="C2432" s="72"/>
      <c r="D2432" s="72"/>
      <c r="E2432" s="72"/>
      <c r="F2432" s="72"/>
      <c r="G2432" s="75"/>
      <c r="H2432" s="59"/>
      <c r="I2432" s="59"/>
      <c r="J2432" s="59"/>
      <c r="K2432" s="59"/>
      <c r="L2432" s="59"/>
      <c r="M2432" s="59"/>
      <c r="N2432" s="59"/>
      <c r="O2432" s="59"/>
      <c r="P2432" s="59"/>
    </row>
    <row r="2433" spans="1:16">
      <c r="A2433" s="59"/>
      <c r="B2433" s="59"/>
      <c r="C2433" s="72"/>
      <c r="D2433" s="72"/>
      <c r="E2433" s="72"/>
      <c r="F2433" s="72"/>
      <c r="G2433" s="75"/>
      <c r="H2433" s="59"/>
      <c r="I2433" s="59"/>
      <c r="J2433" s="59"/>
      <c r="K2433" s="59"/>
      <c r="L2433" s="59"/>
      <c r="M2433" s="59"/>
      <c r="N2433" s="59"/>
      <c r="O2433" s="59"/>
      <c r="P2433" s="59"/>
    </row>
    <row r="2434" spans="1:16">
      <c r="A2434" s="59"/>
      <c r="B2434" s="59"/>
      <c r="C2434" s="72"/>
      <c r="D2434" s="72"/>
      <c r="E2434" s="72"/>
      <c r="F2434" s="72"/>
      <c r="G2434" s="75"/>
      <c r="H2434" s="59"/>
      <c r="I2434" s="59"/>
      <c r="J2434" s="59"/>
      <c r="K2434" s="59"/>
      <c r="L2434" s="59"/>
      <c r="M2434" s="59"/>
      <c r="N2434" s="59"/>
      <c r="O2434" s="59"/>
      <c r="P2434" s="59"/>
    </row>
    <row r="2435" spans="1:16">
      <c r="A2435" s="59"/>
      <c r="B2435" s="59"/>
      <c r="C2435" s="72"/>
      <c r="D2435" s="72"/>
      <c r="E2435" s="72"/>
      <c r="F2435" s="72"/>
      <c r="G2435" s="75"/>
      <c r="H2435" s="59"/>
      <c r="I2435" s="59"/>
      <c r="J2435" s="59"/>
      <c r="K2435" s="59"/>
      <c r="L2435" s="59"/>
      <c r="M2435" s="59"/>
      <c r="N2435" s="59"/>
      <c r="O2435" s="59"/>
      <c r="P2435" s="59"/>
    </row>
    <row r="2436" spans="1:16">
      <c r="A2436" s="59"/>
      <c r="B2436" s="59"/>
      <c r="C2436" s="72"/>
      <c r="D2436" s="72"/>
      <c r="E2436" s="72"/>
      <c r="F2436" s="72"/>
      <c r="G2436" s="75"/>
      <c r="H2436" s="59"/>
      <c r="I2436" s="59"/>
      <c r="J2436" s="59"/>
      <c r="K2436" s="59"/>
      <c r="L2436" s="59"/>
      <c r="M2436" s="59"/>
      <c r="N2436" s="59"/>
      <c r="O2436" s="59"/>
      <c r="P2436" s="59"/>
    </row>
    <row r="2437" spans="1:16">
      <c r="A2437" s="59"/>
      <c r="B2437" s="59"/>
      <c r="C2437" s="72"/>
      <c r="D2437" s="72"/>
      <c r="E2437" s="72"/>
      <c r="F2437" s="72"/>
      <c r="G2437" s="75"/>
      <c r="H2437" s="59"/>
      <c r="I2437" s="59"/>
      <c r="J2437" s="59"/>
      <c r="K2437" s="59"/>
      <c r="L2437" s="59"/>
      <c r="M2437" s="59"/>
      <c r="N2437" s="59"/>
      <c r="O2437" s="59"/>
      <c r="P2437" s="59"/>
    </row>
    <row r="2438" spans="1:16">
      <c r="A2438" s="59"/>
      <c r="B2438" s="59"/>
      <c r="C2438" s="72"/>
      <c r="D2438" s="72"/>
      <c r="E2438" s="72"/>
      <c r="F2438" s="72"/>
      <c r="G2438" s="75"/>
      <c r="H2438" s="59"/>
      <c r="I2438" s="59"/>
      <c r="J2438" s="59"/>
      <c r="K2438" s="59"/>
      <c r="L2438" s="59"/>
      <c r="M2438" s="59"/>
      <c r="N2438" s="59"/>
      <c r="O2438" s="59"/>
      <c r="P2438" s="59"/>
    </row>
    <row r="2439" spans="1:16">
      <c r="A2439" s="59"/>
      <c r="B2439" s="59"/>
      <c r="C2439" s="72"/>
      <c r="D2439" s="72"/>
      <c r="E2439" s="72"/>
      <c r="F2439" s="72"/>
      <c r="G2439" s="75"/>
      <c r="H2439" s="59"/>
      <c r="I2439" s="59"/>
      <c r="J2439" s="59"/>
      <c r="K2439" s="59"/>
      <c r="L2439" s="59"/>
      <c r="M2439" s="59"/>
      <c r="N2439" s="59"/>
      <c r="O2439" s="59"/>
      <c r="P2439" s="59"/>
    </row>
    <row r="2440" spans="1:16">
      <c r="A2440" s="59"/>
      <c r="B2440" s="59"/>
      <c r="C2440" s="72"/>
      <c r="D2440" s="72"/>
      <c r="E2440" s="72"/>
      <c r="F2440" s="72"/>
      <c r="G2440" s="75"/>
      <c r="H2440" s="59"/>
      <c r="I2440" s="59"/>
      <c r="J2440" s="59"/>
      <c r="K2440" s="59"/>
      <c r="L2440" s="59"/>
      <c r="M2440" s="59"/>
      <c r="N2440" s="59"/>
      <c r="O2440" s="59"/>
      <c r="P2440" s="59"/>
    </row>
    <row r="2441" spans="1:16">
      <c r="A2441" s="59"/>
      <c r="B2441" s="59"/>
      <c r="C2441" s="72"/>
      <c r="D2441" s="72"/>
      <c r="E2441" s="72"/>
      <c r="F2441" s="72"/>
      <c r="G2441" s="75"/>
      <c r="H2441" s="59"/>
      <c r="I2441" s="59"/>
      <c r="J2441" s="59"/>
      <c r="K2441" s="59"/>
      <c r="L2441" s="59"/>
      <c r="M2441" s="59"/>
      <c r="N2441" s="59"/>
      <c r="O2441" s="59"/>
      <c r="P2441" s="59"/>
    </row>
    <row r="2442" spans="1:16">
      <c r="A2442" s="59"/>
      <c r="B2442" s="59"/>
      <c r="C2442" s="72"/>
      <c r="D2442" s="72"/>
      <c r="E2442" s="72"/>
      <c r="F2442" s="72"/>
      <c r="G2442" s="75"/>
      <c r="H2442" s="59"/>
      <c r="I2442" s="59"/>
      <c r="J2442" s="59"/>
      <c r="K2442" s="59"/>
      <c r="L2442" s="59"/>
      <c r="M2442" s="59"/>
      <c r="N2442" s="59"/>
      <c r="O2442" s="59"/>
      <c r="P2442" s="59"/>
    </row>
    <row r="2443" spans="1:16">
      <c r="A2443" s="59"/>
      <c r="B2443" s="59"/>
      <c r="C2443" s="72"/>
      <c r="D2443" s="72"/>
      <c r="E2443" s="72"/>
      <c r="F2443" s="72"/>
      <c r="G2443" s="75"/>
      <c r="H2443" s="59"/>
      <c r="I2443" s="59"/>
      <c r="J2443" s="59"/>
      <c r="K2443" s="59"/>
      <c r="L2443" s="59"/>
      <c r="M2443" s="59"/>
      <c r="N2443" s="59"/>
      <c r="O2443" s="59"/>
      <c r="P2443" s="59"/>
    </row>
    <row r="2444" spans="1:16">
      <c r="A2444" s="59"/>
      <c r="B2444" s="59"/>
      <c r="C2444" s="72"/>
      <c r="D2444" s="72"/>
      <c r="E2444" s="72"/>
      <c r="F2444" s="72"/>
      <c r="G2444" s="75"/>
      <c r="H2444" s="59"/>
      <c r="I2444" s="59"/>
      <c r="J2444" s="59"/>
      <c r="K2444" s="59"/>
      <c r="L2444" s="59"/>
      <c r="M2444" s="59"/>
      <c r="N2444" s="59"/>
      <c r="O2444" s="59"/>
      <c r="P2444" s="59"/>
    </row>
    <row r="2445" spans="1:16">
      <c r="A2445" s="59"/>
      <c r="B2445" s="59"/>
      <c r="C2445" s="72"/>
      <c r="D2445" s="72"/>
      <c r="E2445" s="72"/>
      <c r="F2445" s="72"/>
      <c r="G2445" s="75"/>
      <c r="H2445" s="59"/>
      <c r="I2445" s="59"/>
      <c r="J2445" s="59"/>
      <c r="K2445" s="59"/>
      <c r="L2445" s="59"/>
      <c r="M2445" s="59"/>
      <c r="N2445" s="59"/>
      <c r="O2445" s="59"/>
      <c r="P2445" s="59"/>
    </row>
    <row r="2446" spans="1:16">
      <c r="A2446" s="59"/>
      <c r="B2446" s="59"/>
      <c r="C2446" s="72"/>
      <c r="D2446" s="72"/>
      <c r="E2446" s="72"/>
      <c r="F2446" s="72"/>
      <c r="G2446" s="75"/>
      <c r="H2446" s="59"/>
      <c r="I2446" s="59"/>
      <c r="J2446" s="59"/>
      <c r="K2446" s="59"/>
      <c r="L2446" s="59"/>
      <c r="M2446" s="59"/>
      <c r="N2446" s="59"/>
      <c r="O2446" s="59"/>
      <c r="P2446" s="59"/>
    </row>
    <row r="2447" spans="1:16">
      <c r="A2447" s="59"/>
      <c r="B2447" s="59"/>
      <c r="C2447" s="72"/>
      <c r="D2447" s="72"/>
      <c r="E2447" s="72"/>
      <c r="F2447" s="72"/>
      <c r="G2447" s="75"/>
      <c r="H2447" s="59"/>
      <c r="I2447" s="59"/>
      <c r="J2447" s="59"/>
      <c r="K2447" s="59"/>
      <c r="L2447" s="59"/>
      <c r="M2447" s="59"/>
      <c r="N2447" s="59"/>
      <c r="O2447" s="59"/>
      <c r="P2447" s="59"/>
    </row>
    <row r="2448" spans="1:16">
      <c r="A2448" s="59"/>
      <c r="B2448" s="59"/>
      <c r="C2448" s="72"/>
      <c r="D2448" s="72"/>
      <c r="E2448" s="72"/>
      <c r="F2448" s="72"/>
      <c r="G2448" s="75"/>
      <c r="H2448" s="59"/>
      <c r="I2448" s="59"/>
      <c r="J2448" s="59"/>
      <c r="K2448" s="59"/>
      <c r="L2448" s="59"/>
      <c r="M2448" s="59"/>
      <c r="N2448" s="59"/>
      <c r="O2448" s="59"/>
      <c r="P2448" s="59"/>
    </row>
    <row r="2449" spans="1:16">
      <c r="A2449" s="59"/>
      <c r="B2449" s="59"/>
      <c r="C2449" s="72"/>
      <c r="D2449" s="72"/>
      <c r="E2449" s="72"/>
      <c r="F2449" s="72"/>
      <c r="G2449" s="75"/>
      <c r="H2449" s="59"/>
      <c r="I2449" s="59"/>
      <c r="J2449" s="59"/>
      <c r="K2449" s="59"/>
      <c r="L2449" s="59"/>
      <c r="M2449" s="59"/>
      <c r="N2449" s="59"/>
      <c r="O2449" s="59"/>
      <c r="P2449" s="59"/>
    </row>
    <row r="2450" spans="1:16">
      <c r="A2450" s="59"/>
      <c r="B2450" s="59"/>
      <c r="C2450" s="72"/>
      <c r="D2450" s="72"/>
      <c r="E2450" s="72"/>
      <c r="F2450" s="72"/>
      <c r="G2450" s="75"/>
      <c r="H2450" s="59"/>
      <c r="I2450" s="59"/>
      <c r="J2450" s="59"/>
      <c r="K2450" s="59"/>
      <c r="L2450" s="59"/>
      <c r="M2450" s="59"/>
      <c r="N2450" s="59"/>
      <c r="O2450" s="59"/>
      <c r="P2450" s="59"/>
    </row>
    <row r="2451" spans="1:16">
      <c r="A2451" s="59"/>
      <c r="B2451" s="59"/>
      <c r="C2451" s="72"/>
      <c r="D2451" s="72"/>
      <c r="E2451" s="72"/>
      <c r="F2451" s="72"/>
      <c r="G2451" s="75"/>
      <c r="H2451" s="59"/>
      <c r="I2451" s="59"/>
      <c r="J2451" s="59"/>
      <c r="K2451" s="59"/>
      <c r="L2451" s="59"/>
      <c r="M2451" s="59"/>
      <c r="N2451" s="59"/>
      <c r="O2451" s="59"/>
      <c r="P2451" s="59"/>
    </row>
    <row r="2452" spans="1:16">
      <c r="A2452" s="59"/>
      <c r="B2452" s="59"/>
      <c r="C2452" s="72"/>
      <c r="D2452" s="72"/>
      <c r="E2452" s="72"/>
      <c r="F2452" s="72"/>
      <c r="G2452" s="75"/>
      <c r="H2452" s="59"/>
      <c r="I2452" s="59"/>
      <c r="J2452" s="59"/>
      <c r="K2452" s="59"/>
      <c r="L2452" s="59"/>
      <c r="M2452" s="59"/>
      <c r="N2452" s="59"/>
      <c r="O2452" s="59"/>
      <c r="P2452" s="59"/>
    </row>
    <row r="2453" spans="1:16">
      <c r="A2453" s="59"/>
      <c r="B2453" s="59"/>
      <c r="C2453" s="72"/>
      <c r="D2453" s="72"/>
      <c r="E2453" s="72"/>
      <c r="F2453" s="72"/>
      <c r="G2453" s="75"/>
      <c r="H2453" s="59"/>
      <c r="I2453" s="59"/>
      <c r="J2453" s="59"/>
      <c r="K2453" s="59"/>
      <c r="L2453" s="59"/>
      <c r="M2453" s="59"/>
      <c r="N2453" s="59"/>
      <c r="O2453" s="59"/>
      <c r="P2453" s="59"/>
    </row>
    <row r="2454" spans="1:16">
      <c r="A2454" s="59"/>
      <c r="B2454" s="59"/>
      <c r="C2454" s="72"/>
      <c r="D2454" s="72"/>
      <c r="E2454" s="72"/>
      <c r="F2454" s="72"/>
      <c r="G2454" s="75"/>
      <c r="H2454" s="59"/>
      <c r="I2454" s="59"/>
      <c r="J2454" s="59"/>
      <c r="K2454" s="59"/>
      <c r="L2454" s="59"/>
      <c r="M2454" s="59"/>
      <c r="N2454" s="59"/>
      <c r="O2454" s="59"/>
      <c r="P2454" s="59"/>
    </row>
    <row r="2455" spans="1:16">
      <c r="A2455" s="59"/>
      <c r="B2455" s="59"/>
      <c r="C2455" s="72"/>
      <c r="D2455" s="72"/>
      <c r="E2455" s="72"/>
      <c r="F2455" s="72"/>
      <c r="G2455" s="75"/>
      <c r="H2455" s="59"/>
      <c r="I2455" s="59"/>
      <c r="J2455" s="59"/>
      <c r="K2455" s="59"/>
      <c r="L2455" s="59"/>
      <c r="M2455" s="59"/>
      <c r="N2455" s="59"/>
      <c r="O2455" s="59"/>
      <c r="P2455" s="59"/>
    </row>
    <row r="2456" spans="1:16">
      <c r="A2456" s="59"/>
      <c r="B2456" s="59"/>
      <c r="C2456" s="72"/>
      <c r="D2456" s="72"/>
      <c r="E2456" s="72"/>
      <c r="F2456" s="72"/>
      <c r="G2456" s="75"/>
      <c r="H2456" s="59"/>
      <c r="I2456" s="59"/>
      <c r="J2456" s="59"/>
      <c r="K2456" s="59"/>
      <c r="L2456" s="59"/>
      <c r="M2456" s="59"/>
      <c r="N2456" s="59"/>
      <c r="O2456" s="59"/>
      <c r="P2456" s="59"/>
    </row>
    <row r="2457" spans="1:16">
      <c r="A2457" s="59"/>
      <c r="B2457" s="59"/>
      <c r="C2457" s="72"/>
      <c r="D2457" s="72"/>
      <c r="E2457" s="72"/>
      <c r="F2457" s="72"/>
      <c r="G2457" s="75"/>
      <c r="H2457" s="59"/>
      <c r="I2457" s="59"/>
      <c r="J2457" s="59"/>
      <c r="K2457" s="59"/>
      <c r="L2457" s="59"/>
      <c r="M2457" s="59"/>
      <c r="N2457" s="59"/>
      <c r="O2457" s="59"/>
      <c r="P2457" s="59"/>
    </row>
    <row r="2458" spans="1:16">
      <c r="A2458" s="59"/>
      <c r="B2458" s="59"/>
      <c r="C2458" s="72"/>
      <c r="D2458" s="72"/>
      <c r="E2458" s="72"/>
      <c r="F2458" s="72"/>
      <c r="G2458" s="75"/>
      <c r="H2458" s="59"/>
      <c r="I2458" s="59"/>
      <c r="J2458" s="59"/>
      <c r="K2458" s="59"/>
      <c r="L2458" s="59"/>
      <c r="M2458" s="59"/>
      <c r="N2458" s="59"/>
      <c r="O2458" s="59"/>
      <c r="P2458" s="59"/>
    </row>
    <row r="2459" spans="1:16">
      <c r="A2459" s="59"/>
      <c r="B2459" s="59"/>
      <c r="C2459" s="72"/>
      <c r="D2459" s="72"/>
      <c r="E2459" s="72"/>
      <c r="F2459" s="72"/>
      <c r="G2459" s="75"/>
      <c r="H2459" s="59"/>
      <c r="I2459" s="59"/>
      <c r="J2459" s="59"/>
      <c r="K2459" s="59"/>
      <c r="L2459" s="59"/>
      <c r="M2459" s="59"/>
      <c r="N2459" s="59"/>
      <c r="O2459" s="59"/>
      <c r="P2459" s="59"/>
    </row>
    <row r="2460" spans="1:16">
      <c r="A2460" s="59"/>
      <c r="B2460" s="59"/>
      <c r="C2460" s="72"/>
      <c r="D2460" s="72"/>
      <c r="E2460" s="72"/>
      <c r="F2460" s="72"/>
      <c r="G2460" s="75"/>
      <c r="H2460" s="59"/>
      <c r="I2460" s="59"/>
      <c r="J2460" s="59"/>
      <c r="K2460" s="59"/>
      <c r="L2460" s="59"/>
      <c r="M2460" s="59"/>
      <c r="N2460" s="59"/>
      <c r="O2460" s="59"/>
      <c r="P2460" s="59"/>
    </row>
    <row r="2461" spans="1:16">
      <c r="A2461" s="59"/>
      <c r="B2461" s="59"/>
      <c r="C2461" s="72"/>
      <c r="D2461" s="72"/>
      <c r="E2461" s="72"/>
      <c r="F2461" s="72"/>
      <c r="G2461" s="75"/>
      <c r="H2461" s="59"/>
      <c r="I2461" s="59"/>
      <c r="J2461" s="59"/>
      <c r="K2461" s="59"/>
      <c r="L2461" s="59"/>
      <c r="M2461" s="59"/>
      <c r="N2461" s="59"/>
      <c r="O2461" s="59"/>
      <c r="P2461" s="59"/>
    </row>
    <row r="2462" spans="1:16">
      <c r="A2462" s="59"/>
      <c r="B2462" s="59"/>
      <c r="C2462" s="72"/>
      <c r="D2462" s="72"/>
      <c r="E2462" s="72"/>
      <c r="F2462" s="72"/>
      <c r="G2462" s="75"/>
      <c r="H2462" s="59"/>
      <c r="I2462" s="59"/>
      <c r="J2462" s="59"/>
      <c r="K2462" s="59"/>
      <c r="L2462" s="59"/>
      <c r="M2462" s="59"/>
      <c r="N2462" s="59"/>
      <c r="O2462" s="59"/>
      <c r="P2462" s="59"/>
    </row>
    <row r="2463" spans="1:16">
      <c r="A2463" s="59"/>
      <c r="B2463" s="59"/>
      <c r="C2463" s="72"/>
      <c r="D2463" s="72"/>
      <c r="E2463" s="72"/>
      <c r="F2463" s="72"/>
      <c r="G2463" s="75"/>
      <c r="H2463" s="59"/>
      <c r="I2463" s="59"/>
      <c r="J2463" s="59"/>
      <c r="K2463" s="59"/>
      <c r="L2463" s="59"/>
      <c r="M2463" s="59"/>
      <c r="N2463" s="59"/>
      <c r="O2463" s="59"/>
      <c r="P2463" s="59"/>
    </row>
    <row r="2464" spans="1:16">
      <c r="A2464" s="59"/>
      <c r="B2464" s="59"/>
      <c r="C2464" s="72"/>
      <c r="D2464" s="72"/>
      <c r="E2464" s="72"/>
      <c r="F2464" s="72"/>
      <c r="G2464" s="75"/>
      <c r="H2464" s="59"/>
      <c r="I2464" s="59"/>
      <c r="J2464" s="59"/>
      <c r="K2464" s="59"/>
      <c r="L2464" s="59"/>
      <c r="M2464" s="59"/>
      <c r="N2464" s="59"/>
      <c r="O2464" s="59"/>
      <c r="P2464" s="59"/>
    </row>
    <row r="2465" spans="1:16">
      <c r="A2465" s="59"/>
      <c r="B2465" s="59"/>
      <c r="C2465" s="72"/>
      <c r="D2465" s="72"/>
      <c r="E2465" s="72"/>
      <c r="F2465" s="72"/>
      <c r="G2465" s="75"/>
      <c r="H2465" s="59"/>
      <c r="I2465" s="59"/>
      <c r="J2465" s="59"/>
      <c r="K2465" s="59"/>
      <c r="L2465" s="59"/>
      <c r="M2465" s="59"/>
      <c r="N2465" s="59"/>
      <c r="O2465" s="59"/>
      <c r="P2465" s="59"/>
    </row>
    <row r="2466" spans="1:16">
      <c r="A2466" s="59"/>
      <c r="B2466" s="59"/>
      <c r="C2466" s="72"/>
      <c r="D2466" s="72"/>
      <c r="E2466" s="72"/>
      <c r="F2466" s="72"/>
      <c r="G2466" s="75"/>
      <c r="H2466" s="59"/>
      <c r="I2466" s="59"/>
      <c r="J2466" s="59"/>
      <c r="K2466" s="59"/>
      <c r="L2466" s="59"/>
      <c r="M2466" s="59"/>
      <c r="N2466" s="59"/>
      <c r="O2466" s="59"/>
      <c r="P2466" s="59"/>
    </row>
    <row r="2467" spans="1:16">
      <c r="A2467" s="59"/>
      <c r="B2467" s="59"/>
      <c r="C2467" s="72"/>
      <c r="D2467" s="72"/>
      <c r="E2467" s="72"/>
      <c r="F2467" s="72"/>
      <c r="G2467" s="75"/>
      <c r="H2467" s="59"/>
      <c r="I2467" s="59"/>
      <c r="J2467" s="59"/>
      <c r="K2467" s="59"/>
      <c r="L2467" s="59"/>
      <c r="M2467" s="59"/>
      <c r="N2467" s="59"/>
      <c r="O2467" s="59"/>
      <c r="P2467" s="59"/>
    </row>
    <row r="2468" spans="1:16">
      <c r="A2468" s="59"/>
      <c r="B2468" s="59"/>
      <c r="C2468" s="72"/>
      <c r="D2468" s="72"/>
      <c r="E2468" s="72"/>
      <c r="F2468" s="72"/>
      <c r="G2468" s="75"/>
      <c r="H2468" s="59"/>
      <c r="I2468" s="59"/>
      <c r="J2468" s="59"/>
      <c r="K2468" s="59"/>
      <c r="L2468" s="59"/>
      <c r="M2468" s="59"/>
      <c r="N2468" s="59"/>
      <c r="O2468" s="59"/>
      <c r="P2468" s="59"/>
    </row>
    <row r="2469" spans="1:16">
      <c r="A2469" s="59"/>
      <c r="B2469" s="59"/>
      <c r="C2469" s="72"/>
      <c r="D2469" s="72"/>
      <c r="E2469" s="72"/>
      <c r="F2469" s="72"/>
      <c r="G2469" s="75"/>
      <c r="H2469" s="59"/>
      <c r="I2469" s="59"/>
      <c r="J2469" s="59"/>
      <c r="K2469" s="59"/>
      <c r="L2469" s="59"/>
      <c r="M2469" s="59"/>
      <c r="N2469" s="59"/>
      <c r="O2469" s="59"/>
      <c r="P2469" s="59"/>
    </row>
    <row r="2470" spans="1:16">
      <c r="A2470" s="59"/>
      <c r="B2470" s="59"/>
      <c r="C2470" s="72"/>
      <c r="D2470" s="72"/>
      <c r="E2470" s="72"/>
      <c r="F2470" s="72"/>
      <c r="G2470" s="75"/>
      <c r="H2470" s="59"/>
      <c r="I2470" s="59"/>
      <c r="J2470" s="59"/>
      <c r="K2470" s="59"/>
      <c r="L2470" s="59"/>
      <c r="M2470" s="59"/>
      <c r="N2470" s="59"/>
      <c r="O2470" s="59"/>
      <c r="P2470" s="59"/>
    </row>
    <row r="2471" spans="1:16">
      <c r="A2471" s="59"/>
      <c r="B2471" s="59"/>
      <c r="C2471" s="72"/>
      <c r="D2471" s="72"/>
      <c r="E2471" s="72"/>
      <c r="F2471" s="72"/>
      <c r="G2471" s="75"/>
      <c r="H2471" s="59"/>
      <c r="I2471" s="59"/>
      <c r="J2471" s="59"/>
      <c r="K2471" s="59"/>
      <c r="L2471" s="59"/>
      <c r="M2471" s="59"/>
      <c r="N2471" s="59"/>
      <c r="O2471" s="59"/>
      <c r="P2471" s="59"/>
    </row>
    <row r="2472" spans="1:16">
      <c r="A2472" s="59"/>
      <c r="B2472" s="59"/>
      <c r="C2472" s="72"/>
      <c r="D2472" s="72"/>
      <c r="E2472" s="72"/>
      <c r="F2472" s="72"/>
      <c r="G2472" s="75"/>
      <c r="H2472" s="59"/>
      <c r="I2472" s="59"/>
      <c r="J2472" s="59"/>
      <c r="K2472" s="59"/>
      <c r="L2472" s="59"/>
      <c r="M2472" s="59"/>
      <c r="N2472" s="59"/>
      <c r="O2472" s="59"/>
      <c r="P2472" s="59"/>
    </row>
    <row r="2473" spans="1:16">
      <c r="A2473" s="59"/>
      <c r="B2473" s="59"/>
      <c r="C2473" s="72"/>
      <c r="D2473" s="72"/>
      <c r="E2473" s="72"/>
      <c r="F2473" s="72"/>
      <c r="G2473" s="75"/>
      <c r="H2473" s="59"/>
      <c r="I2473" s="59"/>
      <c r="J2473" s="59"/>
      <c r="K2473" s="59"/>
      <c r="L2473" s="59"/>
      <c r="M2473" s="59"/>
      <c r="N2473" s="59"/>
      <c r="O2473" s="59"/>
      <c r="P2473" s="59"/>
    </row>
    <row r="2474" spans="1:16">
      <c r="A2474" s="59"/>
      <c r="B2474" s="59"/>
      <c r="C2474" s="72"/>
      <c r="D2474" s="72"/>
      <c r="E2474" s="72"/>
      <c r="F2474" s="72"/>
      <c r="G2474" s="75"/>
      <c r="H2474" s="59"/>
      <c r="I2474" s="59"/>
      <c r="J2474" s="59"/>
      <c r="K2474" s="59"/>
      <c r="L2474" s="59"/>
      <c r="M2474" s="59"/>
      <c r="N2474" s="59"/>
      <c r="O2474" s="59"/>
      <c r="P2474" s="59"/>
    </row>
    <row r="2475" spans="1:16">
      <c r="A2475" s="59"/>
      <c r="B2475" s="59"/>
      <c r="C2475" s="72"/>
      <c r="D2475" s="72"/>
      <c r="E2475" s="72"/>
      <c r="F2475" s="72"/>
      <c r="G2475" s="75"/>
      <c r="H2475" s="59"/>
      <c r="I2475" s="59"/>
      <c r="J2475" s="59"/>
      <c r="K2475" s="59"/>
      <c r="L2475" s="59"/>
      <c r="M2475" s="59"/>
      <c r="N2475" s="59"/>
      <c r="O2475" s="59"/>
      <c r="P2475" s="59"/>
    </row>
    <row r="2476" spans="1:16">
      <c r="A2476" s="59"/>
      <c r="B2476" s="59"/>
      <c r="C2476" s="72"/>
      <c r="D2476" s="72"/>
      <c r="E2476" s="72"/>
      <c r="F2476" s="72"/>
      <c r="G2476" s="75"/>
      <c r="H2476" s="59"/>
      <c r="I2476" s="59"/>
      <c r="J2476" s="59"/>
      <c r="K2476" s="59"/>
      <c r="L2476" s="59"/>
      <c r="M2476" s="59"/>
      <c r="N2476" s="59"/>
      <c r="O2476" s="59"/>
      <c r="P2476" s="59"/>
    </row>
    <row r="2477" spans="1:16">
      <c r="A2477" s="59"/>
      <c r="B2477" s="59"/>
      <c r="C2477" s="72"/>
      <c r="D2477" s="72"/>
      <c r="E2477" s="72"/>
      <c r="F2477" s="72"/>
      <c r="G2477" s="75"/>
      <c r="H2477" s="59"/>
      <c r="I2477" s="59"/>
      <c r="J2477" s="59"/>
      <c r="K2477" s="59"/>
      <c r="L2477" s="59"/>
      <c r="M2477" s="59"/>
      <c r="N2477" s="59"/>
      <c r="O2477" s="59"/>
      <c r="P2477" s="59"/>
    </row>
    <row r="2478" spans="1:16">
      <c r="A2478" s="59"/>
      <c r="B2478" s="59"/>
      <c r="C2478" s="72"/>
      <c r="D2478" s="72"/>
      <c r="E2478" s="72"/>
      <c r="F2478" s="72"/>
      <c r="G2478" s="75"/>
      <c r="H2478" s="59"/>
      <c r="I2478" s="59"/>
      <c r="J2478" s="59"/>
      <c r="K2478" s="59"/>
      <c r="L2478" s="59"/>
      <c r="M2478" s="59"/>
      <c r="N2478" s="59"/>
      <c r="O2478" s="59"/>
      <c r="P2478" s="59"/>
    </row>
    <row r="2479" spans="1:16">
      <c r="A2479" s="59"/>
      <c r="B2479" s="59"/>
      <c r="C2479" s="72"/>
      <c r="D2479" s="72"/>
      <c r="E2479" s="72"/>
      <c r="F2479" s="72"/>
      <c r="G2479" s="75"/>
      <c r="H2479" s="59"/>
      <c r="I2479" s="59"/>
      <c r="J2479" s="59"/>
      <c r="K2479" s="59"/>
      <c r="L2479" s="59"/>
      <c r="M2479" s="59"/>
      <c r="N2479" s="59"/>
      <c r="O2479" s="59"/>
      <c r="P2479" s="59"/>
    </row>
    <row r="2480" spans="1:16">
      <c r="A2480" s="59"/>
      <c r="B2480" s="59"/>
      <c r="C2480" s="72"/>
      <c r="D2480" s="72"/>
      <c r="E2480" s="72"/>
      <c r="F2480" s="72"/>
      <c r="G2480" s="75"/>
      <c r="H2480" s="59"/>
      <c r="I2480" s="59"/>
      <c r="J2480" s="59"/>
      <c r="K2480" s="59"/>
      <c r="L2480" s="59"/>
      <c r="M2480" s="59"/>
      <c r="N2480" s="59"/>
      <c r="O2480" s="59"/>
      <c r="P2480" s="59"/>
    </row>
    <row r="2481" spans="1:16">
      <c r="A2481" s="59"/>
      <c r="B2481" s="59"/>
      <c r="C2481" s="72"/>
      <c r="D2481" s="72"/>
      <c r="E2481" s="72"/>
      <c r="F2481" s="72"/>
      <c r="G2481" s="75"/>
      <c r="H2481" s="59"/>
      <c r="I2481" s="59"/>
      <c r="J2481" s="59"/>
      <c r="K2481" s="59"/>
      <c r="L2481" s="59"/>
      <c r="M2481" s="59"/>
      <c r="N2481" s="59"/>
      <c r="O2481" s="59"/>
      <c r="P2481" s="59"/>
    </row>
    <row r="2482" spans="1:16">
      <c r="A2482" s="59"/>
      <c r="B2482" s="59"/>
      <c r="C2482" s="72"/>
      <c r="D2482" s="72"/>
      <c r="E2482" s="72"/>
      <c r="F2482" s="72"/>
      <c r="G2482" s="75"/>
      <c r="H2482" s="59"/>
      <c r="I2482" s="59"/>
      <c r="J2482" s="59"/>
      <c r="K2482" s="59"/>
      <c r="L2482" s="59"/>
      <c r="M2482" s="59"/>
      <c r="N2482" s="59"/>
      <c r="O2482" s="59"/>
      <c r="P2482" s="59"/>
    </row>
    <row r="2483" spans="1:16">
      <c r="A2483" s="59"/>
      <c r="B2483" s="59"/>
      <c r="C2483" s="72"/>
      <c r="D2483" s="72"/>
      <c r="E2483" s="72"/>
      <c r="F2483" s="72"/>
      <c r="G2483" s="75"/>
      <c r="H2483" s="59"/>
      <c r="I2483" s="59"/>
      <c r="J2483" s="59"/>
      <c r="K2483" s="59"/>
      <c r="L2483" s="59"/>
      <c r="M2483" s="59"/>
      <c r="N2483" s="59"/>
      <c r="O2483" s="59"/>
      <c r="P2483" s="59"/>
    </row>
    <row r="2484" spans="1:16">
      <c r="A2484" s="59"/>
      <c r="B2484" s="59"/>
      <c r="C2484" s="72"/>
      <c r="D2484" s="72"/>
      <c r="E2484" s="72"/>
      <c r="F2484" s="72"/>
      <c r="G2484" s="75"/>
      <c r="H2484" s="59"/>
      <c r="I2484" s="59"/>
      <c r="J2484" s="59"/>
      <c r="K2484" s="59"/>
      <c r="L2484" s="59"/>
      <c r="M2484" s="59"/>
      <c r="N2484" s="59"/>
      <c r="O2484" s="59"/>
      <c r="P2484" s="59"/>
    </row>
    <row r="2485" spans="1:16">
      <c r="A2485" s="59"/>
      <c r="B2485" s="59"/>
      <c r="C2485" s="72"/>
      <c r="D2485" s="72"/>
      <c r="E2485" s="72"/>
      <c r="F2485" s="72"/>
      <c r="G2485" s="75"/>
      <c r="H2485" s="59"/>
      <c r="I2485" s="59"/>
      <c r="J2485" s="59"/>
      <c r="K2485" s="59"/>
      <c r="L2485" s="59"/>
      <c r="M2485" s="59"/>
      <c r="N2485" s="59"/>
      <c r="O2485" s="59"/>
      <c r="P2485" s="59"/>
    </row>
    <row r="2486" spans="1:16">
      <c r="A2486" s="59"/>
      <c r="B2486" s="59"/>
      <c r="C2486" s="72"/>
      <c r="D2486" s="72"/>
      <c r="E2486" s="72"/>
      <c r="F2486" s="72"/>
      <c r="G2486" s="75"/>
      <c r="H2486" s="59"/>
      <c r="I2486" s="59"/>
      <c r="J2486" s="59"/>
      <c r="K2486" s="59"/>
      <c r="L2486" s="59"/>
      <c r="M2486" s="59"/>
      <c r="N2486" s="59"/>
      <c r="O2486" s="59"/>
      <c r="P2486" s="59"/>
    </row>
    <row r="2487" spans="1:16">
      <c r="A2487" s="59"/>
      <c r="B2487" s="59"/>
      <c r="C2487" s="72"/>
      <c r="D2487" s="72"/>
      <c r="E2487" s="72"/>
      <c r="F2487" s="72"/>
      <c r="G2487" s="75"/>
      <c r="H2487" s="59"/>
      <c r="I2487" s="59"/>
      <c r="J2487" s="59"/>
      <c r="K2487" s="59"/>
      <c r="L2487" s="59"/>
      <c r="M2487" s="59"/>
      <c r="N2487" s="59"/>
      <c r="O2487" s="59"/>
      <c r="P2487" s="59"/>
    </row>
    <row r="2488" spans="1:16">
      <c r="A2488" s="59"/>
      <c r="B2488" s="59"/>
      <c r="C2488" s="72"/>
      <c r="D2488" s="72"/>
      <c r="E2488" s="72"/>
      <c r="F2488" s="72"/>
      <c r="G2488" s="75"/>
      <c r="H2488" s="59"/>
      <c r="I2488" s="59"/>
      <c r="J2488" s="59"/>
      <c r="K2488" s="59"/>
      <c r="L2488" s="59"/>
      <c r="M2488" s="59"/>
      <c r="N2488" s="59"/>
      <c r="O2488" s="59"/>
      <c r="P2488" s="59"/>
    </row>
    <row r="2489" spans="1:16">
      <c r="A2489" s="59"/>
      <c r="B2489" s="59"/>
      <c r="C2489" s="72"/>
      <c r="D2489" s="72"/>
      <c r="E2489" s="72"/>
      <c r="F2489" s="72"/>
      <c r="G2489" s="75"/>
      <c r="H2489" s="59"/>
      <c r="I2489" s="59"/>
      <c r="J2489" s="59"/>
      <c r="K2489" s="59"/>
      <c r="L2489" s="59"/>
      <c r="M2489" s="59"/>
      <c r="N2489" s="59"/>
      <c r="O2489" s="59"/>
      <c r="P2489" s="59"/>
    </row>
    <row r="2490" spans="1:16">
      <c r="A2490" s="59"/>
      <c r="B2490" s="59"/>
      <c r="C2490" s="72"/>
      <c r="D2490" s="72"/>
      <c r="E2490" s="72"/>
      <c r="F2490" s="72"/>
      <c r="G2490" s="75"/>
      <c r="H2490" s="59"/>
      <c r="I2490" s="59"/>
      <c r="J2490" s="59"/>
      <c r="K2490" s="59"/>
      <c r="L2490" s="59"/>
      <c r="M2490" s="59"/>
      <c r="N2490" s="59"/>
      <c r="O2490" s="59"/>
      <c r="P2490" s="59"/>
    </row>
    <row r="2491" spans="1:16">
      <c r="A2491" s="59"/>
      <c r="B2491" s="59"/>
      <c r="C2491" s="72"/>
      <c r="D2491" s="72"/>
      <c r="E2491" s="72"/>
      <c r="F2491" s="72"/>
      <c r="G2491" s="75"/>
      <c r="H2491" s="59"/>
      <c r="I2491" s="59"/>
      <c r="J2491" s="59"/>
      <c r="K2491" s="59"/>
      <c r="L2491" s="59"/>
      <c r="M2491" s="59"/>
      <c r="N2491" s="59"/>
      <c r="O2491" s="59"/>
      <c r="P2491" s="59"/>
    </row>
    <row r="2492" spans="1:16">
      <c r="A2492" s="59"/>
      <c r="B2492" s="59"/>
      <c r="C2492" s="72"/>
      <c r="D2492" s="72"/>
      <c r="E2492" s="72"/>
      <c r="F2492" s="72"/>
      <c r="G2492" s="75"/>
      <c r="H2492" s="59"/>
      <c r="I2492" s="59"/>
      <c r="J2492" s="59"/>
      <c r="K2492" s="59"/>
      <c r="L2492" s="59"/>
      <c r="M2492" s="59"/>
      <c r="N2492" s="59"/>
      <c r="O2492" s="59"/>
      <c r="P2492" s="59"/>
    </row>
    <row r="2493" spans="1:16">
      <c r="A2493" s="59"/>
      <c r="B2493" s="59"/>
      <c r="C2493" s="72"/>
      <c r="D2493" s="72"/>
      <c r="E2493" s="72"/>
      <c r="F2493" s="72"/>
      <c r="G2493" s="75"/>
      <c r="H2493" s="59"/>
      <c r="I2493" s="59"/>
      <c r="J2493" s="59"/>
      <c r="K2493" s="59"/>
      <c r="L2493" s="59"/>
      <c r="M2493" s="59"/>
      <c r="N2493" s="59"/>
      <c r="O2493" s="59"/>
      <c r="P2493" s="59"/>
    </row>
    <row r="2494" spans="1:16">
      <c r="A2494" s="59"/>
      <c r="B2494" s="59"/>
      <c r="C2494" s="72"/>
      <c r="D2494" s="72"/>
      <c r="E2494" s="72"/>
      <c r="F2494" s="72"/>
      <c r="G2494" s="75"/>
      <c r="H2494" s="59"/>
      <c r="I2494" s="59"/>
      <c r="J2494" s="59"/>
      <c r="K2494" s="59"/>
      <c r="L2494" s="59"/>
      <c r="M2494" s="59"/>
      <c r="N2494" s="59"/>
      <c r="O2494" s="59"/>
      <c r="P2494" s="59"/>
    </row>
    <row r="2495" spans="1:16">
      <c r="A2495" s="59"/>
      <c r="B2495" s="59"/>
      <c r="C2495" s="72"/>
      <c r="D2495" s="72"/>
      <c r="E2495" s="72"/>
      <c r="F2495" s="72"/>
      <c r="G2495" s="75"/>
      <c r="H2495" s="59"/>
      <c r="I2495" s="59"/>
      <c r="J2495" s="59"/>
      <c r="K2495" s="59"/>
      <c r="L2495" s="59"/>
      <c r="M2495" s="59"/>
      <c r="N2495" s="59"/>
      <c r="O2495" s="59"/>
      <c r="P2495" s="59"/>
    </row>
    <row r="2496" spans="1:16">
      <c r="A2496" s="59"/>
      <c r="B2496" s="59"/>
      <c r="C2496" s="72"/>
      <c r="D2496" s="72"/>
      <c r="E2496" s="72"/>
      <c r="F2496" s="72"/>
      <c r="G2496" s="75"/>
      <c r="H2496" s="59"/>
      <c r="I2496" s="59"/>
      <c r="J2496" s="59"/>
      <c r="K2496" s="59"/>
      <c r="L2496" s="59"/>
      <c r="M2496" s="59"/>
      <c r="N2496" s="59"/>
      <c r="O2496" s="59"/>
      <c r="P2496" s="59"/>
    </row>
    <row r="2497" spans="1:16">
      <c r="A2497" s="59"/>
      <c r="B2497" s="59"/>
      <c r="C2497" s="72"/>
      <c r="D2497" s="72"/>
      <c r="E2497" s="72"/>
      <c r="F2497" s="72"/>
      <c r="G2497" s="75"/>
      <c r="H2497" s="59"/>
      <c r="I2497" s="59"/>
      <c r="J2497" s="59"/>
      <c r="K2497" s="59"/>
      <c r="L2497" s="59"/>
      <c r="M2497" s="59"/>
      <c r="N2497" s="59"/>
      <c r="O2497" s="59"/>
      <c r="P2497" s="59"/>
    </row>
    <row r="2498" spans="1:16">
      <c r="A2498" s="59"/>
      <c r="B2498" s="59"/>
      <c r="C2498" s="72"/>
      <c r="D2498" s="72"/>
      <c r="E2498" s="72"/>
      <c r="F2498" s="72"/>
      <c r="G2498" s="75"/>
      <c r="H2498" s="59"/>
      <c r="I2498" s="59"/>
      <c r="J2498" s="59"/>
      <c r="K2498" s="59"/>
      <c r="L2498" s="59"/>
      <c r="M2498" s="59"/>
      <c r="N2498" s="59"/>
      <c r="O2498" s="59"/>
      <c r="P2498" s="59"/>
    </row>
    <row r="2499" spans="1:16">
      <c r="A2499" s="59"/>
      <c r="B2499" s="59"/>
      <c r="C2499" s="72"/>
      <c r="D2499" s="72"/>
      <c r="E2499" s="72"/>
      <c r="F2499" s="72"/>
      <c r="G2499" s="75"/>
      <c r="H2499" s="59"/>
      <c r="I2499" s="59"/>
      <c r="J2499" s="59"/>
      <c r="K2499" s="59"/>
      <c r="L2499" s="59"/>
      <c r="M2499" s="59"/>
      <c r="N2499" s="59"/>
      <c r="O2499" s="59"/>
      <c r="P2499" s="59"/>
    </row>
    <row r="2500" spans="1:16">
      <c r="A2500" s="59"/>
      <c r="B2500" s="59"/>
      <c r="C2500" s="72"/>
      <c r="D2500" s="72"/>
      <c r="E2500" s="72"/>
      <c r="F2500" s="72"/>
      <c r="G2500" s="75"/>
      <c r="H2500" s="59"/>
      <c r="I2500" s="59"/>
      <c r="J2500" s="59"/>
      <c r="K2500" s="59"/>
      <c r="L2500" s="59"/>
      <c r="M2500" s="59"/>
      <c r="N2500" s="59"/>
      <c r="O2500" s="59"/>
      <c r="P2500" s="59"/>
    </row>
    <row r="2501" spans="1:16">
      <c r="A2501" s="59"/>
      <c r="B2501" s="59"/>
      <c r="C2501" s="72"/>
      <c r="D2501" s="72"/>
      <c r="E2501" s="72"/>
      <c r="F2501" s="72"/>
      <c r="G2501" s="75"/>
      <c r="H2501" s="59"/>
      <c r="I2501" s="59"/>
      <c r="J2501" s="59"/>
      <c r="K2501" s="59"/>
      <c r="L2501" s="59"/>
      <c r="M2501" s="59"/>
      <c r="N2501" s="59"/>
      <c r="O2501" s="59"/>
      <c r="P2501" s="59"/>
    </row>
    <row r="2502" spans="1:16">
      <c r="A2502" s="59"/>
      <c r="B2502" s="59"/>
      <c r="C2502" s="72"/>
      <c r="D2502" s="72"/>
      <c r="E2502" s="72"/>
      <c r="F2502" s="72"/>
      <c r="G2502" s="75"/>
      <c r="H2502" s="59"/>
      <c r="I2502" s="59"/>
      <c r="J2502" s="59"/>
      <c r="K2502" s="59"/>
      <c r="L2502" s="59"/>
      <c r="M2502" s="59"/>
      <c r="N2502" s="59"/>
      <c r="O2502" s="59"/>
      <c r="P2502" s="59"/>
    </row>
    <row r="2503" spans="1:16">
      <c r="A2503" s="59"/>
      <c r="B2503" s="59"/>
      <c r="C2503" s="72"/>
      <c r="D2503" s="72"/>
      <c r="E2503" s="72"/>
      <c r="F2503" s="72"/>
      <c r="G2503" s="75"/>
      <c r="H2503" s="59"/>
      <c r="I2503" s="59"/>
      <c r="J2503" s="59"/>
      <c r="K2503" s="59"/>
      <c r="L2503" s="59"/>
      <c r="M2503" s="59"/>
      <c r="N2503" s="59"/>
      <c r="O2503" s="59"/>
      <c r="P2503" s="59"/>
    </row>
    <row r="2504" spans="1:16">
      <c r="A2504" s="59"/>
      <c r="B2504" s="59"/>
      <c r="C2504" s="72"/>
      <c r="D2504" s="72"/>
      <c r="E2504" s="72"/>
      <c r="F2504" s="72"/>
      <c r="G2504" s="75"/>
      <c r="H2504" s="59"/>
      <c r="I2504" s="59"/>
      <c r="J2504" s="59"/>
      <c r="K2504" s="59"/>
      <c r="L2504" s="59"/>
      <c r="M2504" s="59"/>
      <c r="N2504" s="59"/>
      <c r="O2504" s="59"/>
      <c r="P2504" s="59"/>
    </row>
    <row r="2505" spans="1:16">
      <c r="A2505" s="59"/>
      <c r="B2505" s="59"/>
      <c r="C2505" s="72"/>
      <c r="D2505" s="72"/>
      <c r="E2505" s="72"/>
      <c r="F2505" s="72"/>
      <c r="G2505" s="75"/>
      <c r="H2505" s="59"/>
      <c r="I2505" s="59"/>
      <c r="J2505" s="59"/>
      <c r="K2505" s="59"/>
      <c r="L2505" s="59"/>
      <c r="M2505" s="59"/>
      <c r="N2505" s="59"/>
      <c r="O2505" s="59"/>
      <c r="P2505" s="59"/>
    </row>
    <row r="2506" spans="1:16">
      <c r="A2506" s="59"/>
      <c r="B2506" s="59"/>
      <c r="C2506" s="72"/>
      <c r="D2506" s="72"/>
      <c r="E2506" s="72"/>
      <c r="F2506" s="72"/>
      <c r="G2506" s="75"/>
      <c r="H2506" s="59"/>
      <c r="I2506" s="59"/>
      <c r="J2506" s="59"/>
      <c r="K2506" s="59"/>
      <c r="L2506" s="59"/>
      <c r="M2506" s="59"/>
      <c r="N2506" s="59"/>
      <c r="O2506" s="59"/>
      <c r="P2506" s="59"/>
    </row>
    <row r="2507" spans="1:16">
      <c r="A2507" s="59"/>
      <c r="B2507" s="59"/>
      <c r="C2507" s="72"/>
      <c r="D2507" s="72"/>
      <c r="E2507" s="72"/>
      <c r="F2507" s="72"/>
      <c r="G2507" s="75"/>
      <c r="H2507" s="59"/>
      <c r="I2507" s="59"/>
      <c r="J2507" s="59"/>
      <c r="K2507" s="59"/>
      <c r="L2507" s="59"/>
      <c r="M2507" s="59"/>
      <c r="N2507" s="59"/>
      <c r="O2507" s="59"/>
      <c r="P2507" s="59"/>
    </row>
    <row r="2508" spans="1:16">
      <c r="A2508" s="59"/>
      <c r="B2508" s="59"/>
      <c r="C2508" s="72"/>
      <c r="D2508" s="72"/>
      <c r="E2508" s="72"/>
      <c r="F2508" s="72"/>
      <c r="G2508" s="75"/>
      <c r="H2508" s="59"/>
      <c r="I2508" s="59"/>
      <c r="J2508" s="59"/>
      <c r="K2508" s="59"/>
      <c r="L2508" s="59"/>
      <c r="M2508" s="59"/>
      <c r="N2508" s="59"/>
      <c r="O2508" s="59"/>
      <c r="P2508" s="59"/>
    </row>
    <row r="2509" spans="1:16">
      <c r="A2509" s="59"/>
      <c r="B2509" s="59"/>
      <c r="C2509" s="72"/>
      <c r="D2509" s="72"/>
      <c r="E2509" s="72"/>
      <c r="F2509" s="72"/>
      <c r="G2509" s="75"/>
      <c r="H2509" s="59"/>
      <c r="I2509" s="59"/>
      <c r="J2509" s="59"/>
      <c r="K2509" s="59"/>
      <c r="L2509" s="59"/>
      <c r="M2509" s="59"/>
      <c r="N2509" s="59"/>
      <c r="O2509" s="59"/>
      <c r="P2509" s="59"/>
    </row>
    <row r="2510" spans="1:16">
      <c r="A2510" s="59"/>
      <c r="B2510" s="59"/>
      <c r="C2510" s="72"/>
      <c r="D2510" s="72"/>
      <c r="E2510" s="72"/>
      <c r="F2510" s="72"/>
      <c r="G2510" s="75"/>
      <c r="H2510" s="59"/>
      <c r="I2510" s="59"/>
      <c r="J2510" s="59"/>
      <c r="K2510" s="59"/>
      <c r="L2510" s="59"/>
      <c r="M2510" s="59"/>
      <c r="N2510" s="59"/>
      <c r="O2510" s="59"/>
      <c r="P2510" s="59"/>
    </row>
  </sheetData>
  <hyperlinks>
    <hyperlink ref="I2" r:id="rId1" display="https://drive.google.com/open?id=1AZou6AOvAvsB93SIEALVlG-rqOreJAs8" xr:uid="{00000000-0004-0000-0200-000000000000}"/>
    <hyperlink ref="I3" r:id="rId2" display="https://drive.google.com/open?id=1S66012kS0elfXY0MfiKJ6WGuzGVhC4vC" xr:uid="{00000000-0004-0000-0200-000001000000}"/>
    <hyperlink ref="I4" r:id="rId3" display="https://drive.google.com/open?id=1sOSxMCLkBzze0d40m9EiiMboCvtaEQg_" xr:uid="{00000000-0004-0000-0200-000002000000}"/>
    <hyperlink ref="I5" r:id="rId4" display="https://drive.google.com/open?id=1ivs7moe19O9t1r6DQWbbSsw0BOdQRIVb" xr:uid="{00000000-0004-0000-0200-000003000000}"/>
    <hyperlink ref="I6" r:id="rId5" display="https://drive.google.com/open?id=19nbDcjwmp-QoCnxc68FrVv09VcfLTMeE" xr:uid="{00000000-0004-0000-0200-000004000000}"/>
    <hyperlink ref="I7" r:id="rId6" display="https://drive.google.com/open?id=1K95GuDyzBtdEGRkpHxZ9cHV2Rjrv1ib8" xr:uid="{00000000-0004-0000-0200-000005000000}"/>
    <hyperlink ref="I8" r:id="rId7" display="https://drive.google.com/open?id=1PxLu_UQUKRUVmRnKY0bfYrII17V1BFWN" xr:uid="{00000000-0004-0000-0200-000006000000}"/>
    <hyperlink ref="I9" r:id="rId8" display="https://drive.google.com/open?id=1lkde8AdiIho_eSGpkKXbU0meOT8Aadbb" xr:uid="{00000000-0004-0000-0200-000007000000}"/>
    <hyperlink ref="I10" r:id="rId9" display="https://drive.google.com/open?id=1tQFQQd_XL1IDvRlI512gSeh_D7wegKU8" xr:uid="{00000000-0004-0000-0200-000008000000}"/>
    <hyperlink ref="I11" r:id="rId10" display="https://drive.google.com/open?id=1TcuJEPK_ClHAhm9m65N_bCOlneGmets4" xr:uid="{00000000-0004-0000-0200-000009000000}"/>
    <hyperlink ref="I12" r:id="rId11" display="https://drive.google.com/open?id=1XXFQnA75yiC14kxerpe-GaRaUcqTbGOU" xr:uid="{00000000-0004-0000-0200-00000A000000}"/>
    <hyperlink ref="I13" r:id="rId12" display="https://drive.google.com/open?id=1QdrKJw-h65-yN69h3UQnnt2bAJoQFcgu" xr:uid="{00000000-0004-0000-0200-00000B000000}"/>
    <hyperlink ref="I14" r:id="rId13" display="https://drive.google.com/open?id=1iPA3RU0OaRl2vm7AbipqvrduJ28Dypuj" xr:uid="{00000000-0004-0000-0200-00000C000000}"/>
    <hyperlink ref="I15" r:id="rId14" display="https://drive.google.com/open?id=1jhUmZ30mMICs0htPucc_spK4ptv0W3FY" xr:uid="{00000000-0004-0000-0200-00000D000000}"/>
    <hyperlink ref="I16" r:id="rId15" display="https://drive.google.com/open?id=18S0TuWbAsaSn9j4rjIs7OwD3qgv_CTv1" xr:uid="{00000000-0004-0000-0200-00000E000000}"/>
    <hyperlink ref="I17" r:id="rId16" display="https://drive.google.com/open?id=1kKHMC9NEuXABr12b0iwv9YHNuYk9LEpX" xr:uid="{00000000-0004-0000-0200-00000F000000}"/>
    <hyperlink ref="I18" r:id="rId17" display="https://drive.google.com/open?id=1MLQisLDB6dRr5ve-t25_cqtevIf58Aj3" xr:uid="{00000000-0004-0000-0200-000010000000}"/>
    <hyperlink ref="I19" r:id="rId18" display="https://drive.google.com/open?id=1DwoSKVhAiCTtmhsX9Hp5m-s3IIXKyL2B" xr:uid="{00000000-0004-0000-0200-000011000000}"/>
    <hyperlink ref="I20" r:id="rId19" display="https://drive.google.com/open?id=1jp461rBrfAZWriC4AYTaN1iQG6pa8f5D" xr:uid="{00000000-0004-0000-0200-000012000000}"/>
    <hyperlink ref="I21" r:id="rId20" display="https://drive.google.com/open?id=1N6S6qsEbohzG-sxINuplfD03hZEVYhEl" xr:uid="{00000000-0004-0000-0200-000013000000}"/>
    <hyperlink ref="I22" r:id="rId21" display="https://drive.google.com/open?id=1Z2e4l0a8g1Ww3jM0m55JX_VtAYUlIV3-" xr:uid="{00000000-0004-0000-0200-000014000000}"/>
    <hyperlink ref="I23" r:id="rId22" display="https://drive.google.com/open?id=1-idRHZ_n-rqb3vpAtJeYg1JpsstbZyba" xr:uid="{00000000-0004-0000-0200-000015000000}"/>
    <hyperlink ref="I24" r:id="rId23" display="https://drive.google.com/open?id=1rsqL6YaddBW99Jh_C22WGeCbxcKo1qqq" xr:uid="{00000000-0004-0000-0200-000016000000}"/>
    <hyperlink ref="I25" r:id="rId24" display="https://drive.google.com/open?id=1YUg_omQRRgcXYkVaWYPJ0hpDwQsS_gNq" xr:uid="{00000000-0004-0000-0200-000017000000}"/>
    <hyperlink ref="I26" r:id="rId25" display="https://drive.google.com/open?id=1sTGcVsLSwvpXBh8ClxiFnwf8T94hs5Ha" xr:uid="{00000000-0004-0000-0200-000018000000}"/>
    <hyperlink ref="I27" r:id="rId26" display="https://drive.google.com/open?id=1ev2hzHSiXHae9noJz8jwJGX0zIQuSoM-" xr:uid="{00000000-0004-0000-0200-000019000000}"/>
    <hyperlink ref="I28" r:id="rId27" display="https://drive.google.com/open?id=1sQ52LANgXiZVg-9ua-BlUcgVx5WxyA2t" xr:uid="{00000000-0004-0000-0200-00001A000000}"/>
    <hyperlink ref="I29" r:id="rId28" display="https://drive.google.com/open?id=18hnqtA7WCZ3GHL9pk4jgpB8Pvm7RTidI" xr:uid="{00000000-0004-0000-0200-00001B000000}"/>
    <hyperlink ref="I30" r:id="rId29" display="https://drive.google.com/open?id=1xp0zZXbsTmrOH7G7bKqnwiWByK_17499" xr:uid="{00000000-0004-0000-0200-00001C000000}"/>
    <hyperlink ref="I31" r:id="rId30" display="https://drive.google.com/open?id=1_CFzgo6_z7DOYZ_SDaS6ptmZjS9g_DVt" xr:uid="{00000000-0004-0000-0200-00001D000000}"/>
    <hyperlink ref="I32" r:id="rId31" display="https://drive.google.com/open?id=1L8NObJ0JawoV5IKCcfHJl9n2KD742LZx" xr:uid="{00000000-0004-0000-0200-00001E000000}"/>
    <hyperlink ref="I33" r:id="rId32" display="https://drive.google.com/open?id=13r1Tmbx-OtQ-AYEwsMbcAt2-lwHxo5vh" xr:uid="{00000000-0004-0000-0200-00001F000000}"/>
    <hyperlink ref="I34" r:id="rId33" display="https://drive.google.com/open?id=11edTzuoOe9vvhA_bCMR1V22KuoQysbmh" xr:uid="{00000000-0004-0000-0200-000020000000}"/>
    <hyperlink ref="I35" r:id="rId34" display="https://drive.google.com/open?id=1EMyghZ62IwP-FzdvxX3JVqBFKjDU06A2" xr:uid="{00000000-0004-0000-0200-000021000000}"/>
    <hyperlink ref="I36" r:id="rId35" display="https://drive.google.com/open?id=1I9mew95_jnqYhW4pvGXEDvQNpjUeDj0r" xr:uid="{00000000-0004-0000-0200-000022000000}"/>
    <hyperlink ref="I37" r:id="rId36" display="https://drive.google.com/open?id=1UfyvmWMUSegujIbhWP7gCUqbAoLHHhMB" xr:uid="{00000000-0004-0000-0200-000023000000}"/>
    <hyperlink ref="I38" r:id="rId37" display="https://drive.google.com/open?id=1uP7q6boB1R_h92N-UPgNXTNd60iNFH0b" xr:uid="{00000000-0004-0000-0200-000024000000}"/>
    <hyperlink ref="I39" r:id="rId38" display="https://drive.google.com/open?id=1yA2IU-IYcXqprJm_3fZz9x4E9qSrYVN9" xr:uid="{00000000-0004-0000-0200-000025000000}"/>
    <hyperlink ref="I40" r:id="rId39" display="https://drive.google.com/open?id=1Ur3-DPiTcIoJv5RSjP6_7FymbkZQlpKo" xr:uid="{00000000-0004-0000-0200-000026000000}"/>
    <hyperlink ref="I41" r:id="rId40" display="https://drive.google.com/open?id=1_yBNu84rdo88lqXwNvKv95iZJnlhwGRC" xr:uid="{00000000-0004-0000-0200-000027000000}"/>
    <hyperlink ref="I42" r:id="rId41" display="https://drive.google.com/open?id=1ejheO1DFT_ig9y3MDpTRnaVexmzz9tqs" xr:uid="{00000000-0004-0000-0200-000028000000}"/>
    <hyperlink ref="I43" r:id="rId42" display="https://drive.google.com/open?id=1fWtTDnykqmUBjh97DBGirTGeJaZnayeL" xr:uid="{00000000-0004-0000-0200-000029000000}"/>
    <hyperlink ref="I44" r:id="rId43" display="https://drive.google.com/open?id=1Nd384EA4DA1R8OPsDshgj_S7l2V9ni44" xr:uid="{00000000-0004-0000-0200-00002A000000}"/>
    <hyperlink ref="I45" r:id="rId44" display="https://drive.google.com/open?id=1oQeqkqISIk__M3m-LcqFEHp9MTrBvu-4" xr:uid="{00000000-0004-0000-0200-00002B000000}"/>
    <hyperlink ref="I46" r:id="rId45" display="https://drive.google.com/open?id=1f4g2mRWQ1Xc4EL89FRTGtPdH7_y7L26i" xr:uid="{00000000-0004-0000-0200-00002C000000}"/>
    <hyperlink ref="I47" r:id="rId46" display="https://drive.google.com/open?id=1rVbwhKD1WmJeYnwsGB7Y7AhkauH4ZpiK" xr:uid="{00000000-0004-0000-0200-00002D000000}"/>
    <hyperlink ref="I48" r:id="rId47" display="https://drive.google.com/open?id=1gpMzB_FRNh4fScZzcNIJCxVj8c9pwUKS" xr:uid="{00000000-0004-0000-0200-00002E000000}"/>
    <hyperlink ref="I49" r:id="rId48" display="https://drive.google.com/open?id=1vOpt7CdpRnTwGCglslGeXnmIAlUY_WkO" xr:uid="{00000000-0004-0000-0200-00002F000000}"/>
    <hyperlink ref="I50" r:id="rId49" display="https://drive.google.com/open?id=1_lKSIx0ygDrtOkvXU-saIf2wS15Rjuo-" xr:uid="{00000000-0004-0000-0200-000030000000}"/>
    <hyperlink ref="I51" r:id="rId50" display="https://drive.google.com/open?id=1E9CKMxL7AOlcm3B7Pxq89hd5QkgKmiLI" xr:uid="{00000000-0004-0000-0200-000031000000}"/>
    <hyperlink ref="I52" r:id="rId51" display="https://drive.google.com/open?id=1o97jO6gIsWnhyiMoCBwTxXxgFD1qei2D" xr:uid="{00000000-0004-0000-0200-000032000000}"/>
    <hyperlink ref="I53" r:id="rId52" display="https://drive.google.com/open?id=1MGVf9SjB0h1TDhUmm3RJfJCkG0dQsKl5" xr:uid="{00000000-0004-0000-0200-000033000000}"/>
    <hyperlink ref="I54" r:id="rId53" display="https://drive.google.com/open?id=1jeZBpOKN6Pb8QLqZzXJUwl5DqUyjOgXi" xr:uid="{00000000-0004-0000-0200-000034000000}"/>
    <hyperlink ref="I55" r:id="rId54" display="https://drive.google.com/open?id=1PsJnu2vE0cZCoKHa5jMq6fg0tbZTyB9o" xr:uid="{00000000-0004-0000-0200-000035000000}"/>
    <hyperlink ref="I56" r:id="rId55" display="https://drive.google.com/open?id=15uX4rMTYlaElTmlPQyWh_DgBjG8UwDti" xr:uid="{00000000-0004-0000-0200-000036000000}"/>
    <hyperlink ref="I57" r:id="rId56" display="https://drive.google.com/open?id=1lTgn6pbdOSCZrLE_qJL2BfFAv866hj-o" xr:uid="{00000000-0004-0000-0200-000037000000}"/>
    <hyperlink ref="I58" r:id="rId57" display="https://drive.google.com/open?id=1ibbtppjubJOpFduOe5sj7IQPPfM00CJx" xr:uid="{00000000-0004-0000-0200-000038000000}"/>
    <hyperlink ref="I59" r:id="rId58" display="https://drive.google.com/open?id=121Vyvf5qUrcRZULYaZwjXR132oxQoBeE" xr:uid="{00000000-0004-0000-0200-000039000000}"/>
    <hyperlink ref="I60" r:id="rId59" display="https://drive.google.com/open?id=1HZtMZicwnSms7wo437vwCdtgXSGszatU" xr:uid="{00000000-0004-0000-0200-00003A000000}"/>
    <hyperlink ref="I61" r:id="rId60" display="https://drive.google.com/open?id=1RbQRcED2wQYrojY9BNmdiMNDsmHPPoHI" xr:uid="{00000000-0004-0000-0200-00003B000000}"/>
    <hyperlink ref="I62" r:id="rId61" display="https://drive.google.com/open?id=19d-r6fDfVUMVsoDIbBz6kc1B67occqRI" xr:uid="{00000000-0004-0000-0200-00003C000000}"/>
    <hyperlink ref="I63" r:id="rId62" display="https://drive.google.com/open?id=10uB-n8ODFH6h9cVfBul6e2XqD9l3db0_" xr:uid="{00000000-0004-0000-0200-00003D000000}"/>
    <hyperlink ref="I64" r:id="rId63" display="https://drive.google.com/open?id=1T7nNABslCtl3qJzq4OfnragFhbtepTdv" xr:uid="{00000000-0004-0000-0200-00003E000000}"/>
    <hyperlink ref="I65" r:id="rId64" display="https://drive.google.com/open?id=1qvvvq75c8qY3pLzXP2122dvf3sMhNl8n" xr:uid="{00000000-0004-0000-0200-00003F000000}"/>
    <hyperlink ref="I66" r:id="rId65" display="https://drive.google.com/open?id=1Li8TUcO3lMno8ZOf916Wr7_yQRsiXQSx" xr:uid="{00000000-0004-0000-0200-000040000000}"/>
    <hyperlink ref="I67" r:id="rId66" display="https://drive.google.com/open?id=18sSMJfB7y4i1uqbX_VXftay4nElE-mql" xr:uid="{00000000-0004-0000-0200-000041000000}"/>
    <hyperlink ref="I68" r:id="rId67" display="https://drive.google.com/open?id=1D_VMVR5VSucIkacH7Ef3SaEU6HswSLDU" xr:uid="{00000000-0004-0000-0200-000042000000}"/>
    <hyperlink ref="I69" r:id="rId68" display="https://drive.google.com/open?id=1cqLu53ZIJHq8HZb8RftcXxLtsL_Tr5ZD" xr:uid="{00000000-0004-0000-0200-000043000000}"/>
    <hyperlink ref="I70" r:id="rId69" display="https://drive.google.com/open?id=1nxa6HhNH5KCYAzdSfW0T8I9ZTxiS5a30" xr:uid="{00000000-0004-0000-0200-000044000000}"/>
    <hyperlink ref="I71" r:id="rId70" display="https://drive.google.com/open?id=124Pzavi9aZZ9A6YbAGuZ02TPg3K072tv" xr:uid="{00000000-0004-0000-0200-000045000000}"/>
    <hyperlink ref="I72" r:id="rId71" display="https://drive.google.com/open?id=1aQwiteMm4EXKie1XfdpNawvgBkyeKnKH" xr:uid="{00000000-0004-0000-0200-000046000000}"/>
    <hyperlink ref="I73" r:id="rId72" display="https://drive.google.com/open?id=12k4xzdM31SN4qnJbME9jY0R0tepVbog7" xr:uid="{00000000-0004-0000-0200-000047000000}"/>
    <hyperlink ref="I74" r:id="rId73" display="https://drive.google.com/open?id=1muB_u7l9SPL2tPnHsLrOcaHSdv3ENBnE" xr:uid="{00000000-0004-0000-0200-000048000000}"/>
    <hyperlink ref="I75" r:id="rId74" display="https://drive.google.com/open?id=1O4_AlVamDYzu1voga7oWhJ9nlKFHjCvV" xr:uid="{00000000-0004-0000-0200-000049000000}"/>
    <hyperlink ref="I76" r:id="rId75" display="https://drive.google.com/open?id=13Wo2-SzgoMMO3blLc0c5ghOC-khFjwIS" xr:uid="{00000000-0004-0000-0200-00004A000000}"/>
    <hyperlink ref="I77" r:id="rId76" display="https://drive.google.com/open?id=1Wrc7xRuqXuxGfht4o46RYvgovUQheta7" xr:uid="{00000000-0004-0000-0200-00004B000000}"/>
    <hyperlink ref="I78" r:id="rId77" display="https://drive.google.com/open?id=1NVomb-tiRZM3rNoKHmXNHPBHlXZqiMdj" xr:uid="{00000000-0004-0000-0200-00004C000000}"/>
    <hyperlink ref="I79" r:id="rId78" display="https://drive.google.com/open?id=10Ct6FAZPFK76Ce9gGAzxW9b8ybmLVBqR" xr:uid="{00000000-0004-0000-0200-00004D000000}"/>
    <hyperlink ref="I80" r:id="rId79" display="https://drive.google.com/open?id=1hUR2ayTA_zK8G9ySwqh87C7FbJ0x5C5G" xr:uid="{00000000-0004-0000-0200-00004E000000}"/>
    <hyperlink ref="I81" r:id="rId80" display="https://drive.google.com/open?id=1-32p-9RHHiihlWN6RouIBx2lw6Jogw_u" xr:uid="{00000000-0004-0000-0200-00004F000000}"/>
    <hyperlink ref="I82" r:id="rId81" display="https://drive.google.com/open?id=1IDDCa5WOn6_jlysjwY46ejvsJ5akoQoT" xr:uid="{00000000-0004-0000-0200-000050000000}"/>
    <hyperlink ref="I83" r:id="rId82" display="https://drive.google.com/open?id=1o4WmcveZVxKYPhO2b_8ewVub12f7_Dx_" xr:uid="{00000000-0004-0000-0200-000051000000}"/>
    <hyperlink ref="I84" r:id="rId83" display="https://drive.google.com/open?id=1uYJkUroP0BRkyH12UfDjlowWMA3GN6G9" xr:uid="{00000000-0004-0000-0200-000052000000}"/>
    <hyperlink ref="I85" r:id="rId84" display="https://drive.google.com/open?id=177CmtDRWr83Ncxzsfbyn9aPCbTXBu45b" xr:uid="{00000000-0004-0000-0200-000053000000}"/>
    <hyperlink ref="I86" r:id="rId85" display="https://drive.google.com/open?id=1QO7e3sCfrqcpqHdR0lUFQmJw86gbuJpn" xr:uid="{00000000-0004-0000-0200-000054000000}"/>
    <hyperlink ref="I87" r:id="rId86" display="https://drive.google.com/open?id=1zgLp740Cz_3YILWXutPn6InL6pRJFU2d" xr:uid="{00000000-0004-0000-0200-000055000000}"/>
    <hyperlink ref="I88" r:id="rId87" display="https://drive.google.com/open?id=1h9zNZ6Db4sQoDCzurMpuCtuzndJLyuII" xr:uid="{00000000-0004-0000-0200-000056000000}"/>
    <hyperlink ref="I89" r:id="rId88" display="https://drive.google.com/open?id=15HbCy_-8cdI5SSK2Ry6tkCHcwXv4J1ku" xr:uid="{00000000-0004-0000-0200-000057000000}"/>
    <hyperlink ref="I90" r:id="rId89" display="https://drive.google.com/open?id=1Ibau1cu3GkgRCUS_PqIRKJkcD09p78Hh" xr:uid="{00000000-0004-0000-0200-000058000000}"/>
    <hyperlink ref="I91" r:id="rId90" display="https://drive.google.com/open?id=1kxS-CSUKs_OJ5jWUx0xJrh_H5qx5kJNI" xr:uid="{00000000-0004-0000-0200-000059000000}"/>
    <hyperlink ref="I92" r:id="rId91" display="https://drive.google.com/open?id=1AxuKLaI6Vrq5eDz8a-khKlufkKRinYL9" xr:uid="{00000000-0004-0000-0200-00005A000000}"/>
    <hyperlink ref="I93" r:id="rId92" display="https://drive.google.com/open?id=1m6z5iwDbasjnRn6PhuMP6pxvuqT8NFBX" xr:uid="{00000000-0004-0000-0200-00005B000000}"/>
    <hyperlink ref="I94" r:id="rId93" display="https://drive.google.com/open?id=12bexvZxDUFjyy9j5mYUJIuTMM-jweBDL" xr:uid="{00000000-0004-0000-0200-00005C000000}"/>
    <hyperlink ref="I95" r:id="rId94" display="https://drive.google.com/open?id=1RXwRvWF8p38pm7Fk3Bv5lRybaZp9Aphy" xr:uid="{00000000-0004-0000-0200-00005D000000}"/>
    <hyperlink ref="I96" r:id="rId95" display="https://drive.google.com/open?id=1T9oK5Y78bf0og-TLlI5DjfMCp_DncSsp" xr:uid="{00000000-0004-0000-0200-00005E000000}"/>
    <hyperlink ref="I97" r:id="rId96" display="https://drive.google.com/open?id=1Sj0dcEp5QLDAFBQ57zACgMpXmbam47ML" xr:uid="{00000000-0004-0000-0200-00005F000000}"/>
    <hyperlink ref="I98" r:id="rId97" display="https://drive.google.com/open?id=1sErDAO3aHruP6cWR1ogaJf9EzP1rPIdQ" xr:uid="{00000000-0004-0000-0200-000060000000}"/>
    <hyperlink ref="I99" r:id="rId98" display="https://drive.google.com/open?id=1QQ7tVoGXDOV1ZVZSvCrZ4OZquqw-Hv-b" xr:uid="{00000000-0004-0000-0200-000061000000}"/>
    <hyperlink ref="I100" r:id="rId99" display="https://drive.google.com/open?id=1mgylAbdFaoaFjsH7nXmZRJKauQQuT8r0" xr:uid="{00000000-0004-0000-0200-000062000000}"/>
    <hyperlink ref="I101" r:id="rId100" display="https://drive.google.com/open?id=1owEuttzjnqBj7k8lWo6XGWSAAmfiZt_v" xr:uid="{00000000-0004-0000-0200-000063000000}"/>
    <hyperlink ref="I102" r:id="rId101" display="https://drive.google.com/open?id=1vzCQfWwpx6-wHCZtyaUr5jtII2XqJt9R" xr:uid="{00000000-0004-0000-0200-000064000000}"/>
    <hyperlink ref="I103" r:id="rId102" display="https://drive.google.com/open?id=1Vahkv98GLQiLiMIDEsN7xLmHBl9HFgPi" xr:uid="{00000000-0004-0000-0200-000065000000}"/>
    <hyperlink ref="I104" r:id="rId103" display="https://drive.google.com/open?id=1xhUUhy4YmqrOxAQ1xpVpIoNZfhu9Wtu-" xr:uid="{00000000-0004-0000-0200-000066000000}"/>
    <hyperlink ref="I105" r:id="rId104" display="https://drive.google.com/open?id=16iJ4fsvAEvGkmuklSxwcUW6-kvnu3Otw" xr:uid="{00000000-0004-0000-0200-000067000000}"/>
    <hyperlink ref="I106" r:id="rId105" display="https://drive.google.com/open?id=1sekmtYAsnmKVaQXDiko_6hIN6W5nCqf_" xr:uid="{00000000-0004-0000-0200-000068000000}"/>
    <hyperlink ref="I107" r:id="rId106" display="https://drive.google.com/open?id=1C0ZcyccCLWBxM19i2_XYfRraLAC279Gd" xr:uid="{00000000-0004-0000-0200-000069000000}"/>
    <hyperlink ref="I108" r:id="rId107" display="https://drive.google.com/open?id=1CCwF3PWCpRRz0mbWjN_gNNp5DRJvt4cf" xr:uid="{00000000-0004-0000-0200-00006A000000}"/>
    <hyperlink ref="I109" r:id="rId108" display="https://drive.google.com/open?id=1LzMTN9w07HuExWEb4jApE4vNFVEj_CK7" xr:uid="{00000000-0004-0000-0200-00006B000000}"/>
    <hyperlink ref="I110" r:id="rId109" display="https://drive.google.com/open?id=1SBudd6_xcYRTBj_yoVGOrOKTl3ta2SaF" xr:uid="{00000000-0004-0000-0200-00006C000000}"/>
    <hyperlink ref="I111" r:id="rId110" display="https://drive.google.com/open?id=1Hag9kP68-1ulagUjuSM5TeMCpsl0oXZ-" xr:uid="{00000000-0004-0000-0200-00006D000000}"/>
    <hyperlink ref="I112" r:id="rId111" display="https://drive.google.com/open?id=1H5fiM4cstT7NMyHqCFh68ESKKvhH-dy5" xr:uid="{00000000-0004-0000-0200-00006E000000}"/>
    <hyperlink ref="I113" r:id="rId112" display="https://drive.google.com/open?id=157D9n5r2bFqtq4C6H3Mz8N1io5bFPErn" xr:uid="{00000000-0004-0000-0200-00006F000000}"/>
    <hyperlink ref="I114" r:id="rId113" display="https://drive.google.com/open?id=19dSM9EImr3VLOlzjzWEh7WOu3Gsut-kZ" xr:uid="{00000000-0004-0000-0200-000070000000}"/>
    <hyperlink ref="I115" r:id="rId114" display="https://drive.google.com/open?id=1-KCq71AFOOcii3wBzxuQ-wix9cdH9xAT" xr:uid="{00000000-0004-0000-0200-000071000000}"/>
    <hyperlink ref="I116" r:id="rId115" display="https://drive.google.com/open?id=1N8voVaGNdhoYflJOegiiDjOM8Tpit6xn" xr:uid="{00000000-0004-0000-0200-000072000000}"/>
    <hyperlink ref="I117" r:id="rId116" display="https://drive.google.com/open?id=1Ko0mMhVsJoFFAnVYsbMcrUVEejtkv5Lo" xr:uid="{00000000-0004-0000-0200-000073000000}"/>
    <hyperlink ref="I118" r:id="rId117" display="https://drive.google.com/open?id=18innlZIPvhpa7NSxFp2-kxtg7Xh-CO-q" xr:uid="{00000000-0004-0000-0200-000074000000}"/>
    <hyperlink ref="I119" r:id="rId118" display="https://drive.google.com/open?id=1Ig7_LsAX6rie_gaG8rhxeXT07vtP0f8U" xr:uid="{00000000-0004-0000-0200-000075000000}"/>
    <hyperlink ref="I120" r:id="rId119" display="https://drive.google.com/open?id=17iT2UyE3fvd_C3Af9gwhjtKQOoQaMeSa" xr:uid="{00000000-0004-0000-0200-000076000000}"/>
    <hyperlink ref="I121" r:id="rId120" display="https://drive.google.com/open?id=127EGRNmLrq7dw8-60mYV25m-k6JFUc7v" xr:uid="{00000000-0004-0000-0200-000077000000}"/>
    <hyperlink ref="I122" r:id="rId121" display="https://drive.google.com/open?id=13TauMW-jfBETPFjk3ylSnKjOBF6BYp_h" xr:uid="{00000000-0004-0000-0200-000078000000}"/>
    <hyperlink ref="I123" r:id="rId122" display="https://drive.google.com/open?id=1Ag9Weu-9tM3VO7IkB9mwmcZ0HKQKhaID" xr:uid="{00000000-0004-0000-0200-000079000000}"/>
    <hyperlink ref="I124" r:id="rId123" display="https://drive.google.com/open?id=1BKmgQr_BpK1TybYsPDnsxvb_KQ4gn0X4" xr:uid="{00000000-0004-0000-0200-00007A000000}"/>
    <hyperlink ref="I125" r:id="rId124" display="https://drive.google.com/open?id=1z2e0aMyZg9tzX41KqdWwz9jR2vJ8HD8W" xr:uid="{00000000-0004-0000-0200-00007B000000}"/>
    <hyperlink ref="I126" r:id="rId125" display="https://drive.google.com/open?id=12T5zX68UzQRS8R2ZLhdMML19icwXoIo2" xr:uid="{00000000-0004-0000-0200-00007C000000}"/>
    <hyperlink ref="I127" r:id="rId126" display="https://drive.google.com/open?id=1S2k6Hg5sRot7Oi2MaBpnck4U5p_LjOkm" xr:uid="{00000000-0004-0000-0200-00007D000000}"/>
    <hyperlink ref="I128" r:id="rId127" display="https://drive.google.com/open?id=1_1muZDqLKID8-C9x-W3bVvZTl0zkz2Ae" xr:uid="{00000000-0004-0000-0200-00007E000000}"/>
    <hyperlink ref="I129" r:id="rId128" display="https://drive.google.com/open?id=1VTgKxrsFrS0GzgicmDDi-WWntRhsXBTO" xr:uid="{00000000-0004-0000-0200-00007F000000}"/>
    <hyperlink ref="I130" r:id="rId129" display="https://drive.google.com/open?id=1n8SxVtD2t3cPMxD-I2LV-5yE8VdW9vnA" xr:uid="{00000000-0004-0000-0200-000080000000}"/>
    <hyperlink ref="I131" r:id="rId130" display="https://drive.google.com/open?id=1NL_HHQ4-5M-6of25EsiA6PEODsS3PxV_" xr:uid="{00000000-0004-0000-0200-000081000000}"/>
    <hyperlink ref="I132" r:id="rId131" display="https://drive.google.com/open?id=1DSvj5CFbxLRowp5X2SzrtP_hpSIOnJMi" xr:uid="{00000000-0004-0000-0200-000082000000}"/>
    <hyperlink ref="I133" r:id="rId132" display="https://drive.google.com/open?id=1cw-JKjuiQ2kxr7lhlLclBkvENkXKIAhs" xr:uid="{00000000-0004-0000-0200-000083000000}"/>
    <hyperlink ref="I134" r:id="rId133" display="https://drive.google.com/open?id=1WkNzNGSelJjF7korD72Ywh0VcdhWIGmz" xr:uid="{00000000-0004-0000-0200-000084000000}"/>
    <hyperlink ref="I135" r:id="rId134" display="https://drive.google.com/open?id=1dQF0A8xhghJW3nOiXtA2SNCKb3r2VU7Y" xr:uid="{00000000-0004-0000-0200-000085000000}"/>
    <hyperlink ref="I136" r:id="rId135" display="https://drive.google.com/open?id=12Bsu7-vdtQO-IthIA2gA1XRleCzN-Q8c" xr:uid="{00000000-0004-0000-0200-000086000000}"/>
    <hyperlink ref="I137" r:id="rId136" display="https://drive.google.com/open?id=1_2QECUswFpf0a_xKUbEt6tzWXL0SvZEL" xr:uid="{00000000-0004-0000-0200-000087000000}"/>
    <hyperlink ref="I138" r:id="rId137" display="https://drive.google.com/open?id=1Jgkl2BGT0eAgUuJlmunGnIS7t5RX2PeU" xr:uid="{00000000-0004-0000-0200-000088000000}"/>
    <hyperlink ref="I139" r:id="rId138" display="https://drive.google.com/open?id=1V8npQCqas70Ql1jYcrZcHCvXXSHjBNRx" xr:uid="{00000000-0004-0000-0200-000089000000}"/>
    <hyperlink ref="I140" r:id="rId139" display="https://drive.google.com/open?id=19ABKDY_qBvSp9sF6WmaGLnITANJ78vcU" xr:uid="{00000000-0004-0000-0200-00008A000000}"/>
    <hyperlink ref="I141" r:id="rId140" display="https://drive.google.com/open?id=1GhCw0Lq3z0uYzBXhoU_OaI3pqNNMmeDB" xr:uid="{00000000-0004-0000-0200-00008B000000}"/>
    <hyperlink ref="I142" r:id="rId141" display="https://drive.google.com/open?id=1XxS2ByZGiAGa6J4t4LxOFFCKB19PntMO" xr:uid="{00000000-0004-0000-0200-00008C000000}"/>
    <hyperlink ref="I143" r:id="rId142" display="https://drive.google.com/open?id=15y-tIDlmsZrZ8wFUSJtFzcrzo0Bn-4sA" xr:uid="{00000000-0004-0000-0200-00008D000000}"/>
    <hyperlink ref="I144" r:id="rId143" display="https://drive.google.com/open?id=1wT0XdTVHgNbtfetjHDKP6KWTau0dIhe9" xr:uid="{00000000-0004-0000-0200-00008E000000}"/>
    <hyperlink ref="I145" r:id="rId144" display="https://drive.google.com/open?id=1IUr-YEZS7GGUN4H4n0zQDyvW3WTMOjgQ" xr:uid="{00000000-0004-0000-0200-00008F000000}"/>
    <hyperlink ref="I146" r:id="rId145" display="https://drive.google.com/open?id=1QQmUCk_SkAInyobyZfgCOrd2dhuOdCAK" xr:uid="{00000000-0004-0000-0200-000090000000}"/>
    <hyperlink ref="I147" r:id="rId146" display="https://drive.google.com/open?id=1T6GyD91laBor-7GVnBv_qpHudSDLhHoH" xr:uid="{00000000-0004-0000-0200-000091000000}"/>
    <hyperlink ref="I148" r:id="rId147" display="https://drive.google.com/open?id=1JVzL36ptIN8ED-2sCXGSuZ6J2rywjet-" xr:uid="{00000000-0004-0000-0200-000092000000}"/>
    <hyperlink ref="I149" r:id="rId148" display="https://drive.google.com/open?id=1wXRTJXn8MhxKGZywxpq2FZMP3uuxQDmN" xr:uid="{00000000-0004-0000-0200-000093000000}"/>
    <hyperlink ref="I150" r:id="rId149" display="https://drive.google.com/open?id=1_zPfJbmRqbaC2u3C8_aaV3lOva7fxSaW" xr:uid="{00000000-0004-0000-0200-000094000000}"/>
    <hyperlink ref="I151" r:id="rId150" display="https://drive.google.com/open?id=1jzmzJZ9Z2CjCwr4Vk57ZVHsMbMZ9Po9g" xr:uid="{00000000-0004-0000-0200-000095000000}"/>
    <hyperlink ref="I152" r:id="rId151" display="https://drive.google.com/open?id=1t1KG_oaWOr3C4HuR3fh2VG-AXJ-eSMmi" xr:uid="{00000000-0004-0000-0200-000096000000}"/>
    <hyperlink ref="I153" r:id="rId152" display="https://drive.google.com/open?id=1eUlnZIoZg9_9fJrovSAHusHOmJMoOnrt" xr:uid="{00000000-0004-0000-0200-000097000000}"/>
    <hyperlink ref="I154" r:id="rId153" display="https://drive.google.com/open?id=1Nfj98VIfaUSMFk-f0O7u3rjxpYrj3FOi" xr:uid="{00000000-0004-0000-0200-000098000000}"/>
    <hyperlink ref="I155" r:id="rId154" display="https://drive.google.com/open?id=1nqqGIlYUH09LlI1MSDpNNDT1gMMXlT05" xr:uid="{00000000-0004-0000-0200-000099000000}"/>
    <hyperlink ref="I156" r:id="rId155" display="https://drive.google.com/open?id=1X7Ukgbstf_JkIxhHadtJ1ezLaycP6M05" xr:uid="{00000000-0004-0000-0200-00009A000000}"/>
    <hyperlink ref="I157" r:id="rId156" display="https://drive.google.com/open?id=1NbWAUMsFxHAY-qXRx_y27Cjkm8R4CK8T" xr:uid="{00000000-0004-0000-0200-00009B000000}"/>
    <hyperlink ref="I158" r:id="rId157" display="https://drive.google.com/open?id=1tUArd86NRJx7P7FR51eO0JUda7iBBXGN" xr:uid="{00000000-0004-0000-0200-00009C000000}"/>
    <hyperlink ref="I159" r:id="rId158" display="https://drive.google.com/open?id=1TfeUuNjXK7v7aHz8hAZLzHwy4fxaYHEY" xr:uid="{00000000-0004-0000-0200-00009D000000}"/>
    <hyperlink ref="I160" r:id="rId159" display="https://drive.google.com/open?id=13Q92_2GM2gbIJ9j_X2-rfwiIso4hAL3u" xr:uid="{00000000-0004-0000-0200-00009E000000}"/>
    <hyperlink ref="I161" r:id="rId160" display="https://drive.google.com/open?id=1rndFU2VyTjKp-23qiQqCH0Ef9dUzr5Su" xr:uid="{00000000-0004-0000-0200-00009F000000}"/>
    <hyperlink ref="I162" r:id="rId161" display="https://drive.google.com/open?id=1CBGzv3vcYzf5bZflVr_1MDETfwNuEQ5S" xr:uid="{00000000-0004-0000-0200-0000A0000000}"/>
    <hyperlink ref="I163" r:id="rId162" display="https://drive.google.com/open?id=1UeynmuYmiAYBJz2dkD1FeZXGc9xELr7S" xr:uid="{00000000-0004-0000-0200-0000A1000000}"/>
    <hyperlink ref="I164" r:id="rId163" display="https://drive.google.com/open?id=1Ai_PP1ohsFcl0F_DBgEwzk1zngLpQjgd" xr:uid="{00000000-0004-0000-0200-0000A2000000}"/>
    <hyperlink ref="I165" r:id="rId164" display="https://drive.google.com/open?id=1uQq9fLrSeTgwmBJZVDIhu-t2o_X0-YVH" xr:uid="{00000000-0004-0000-0200-0000A3000000}"/>
    <hyperlink ref="I166" r:id="rId165" display="https://drive.google.com/open?id=1mZ4oFBCbukB3KVL6NSs0jRBbMFwa4nR8" xr:uid="{00000000-0004-0000-0200-0000A4000000}"/>
    <hyperlink ref="I167" r:id="rId166" display="https://drive.google.com/open?id=1A-XetdWRyb8i9ZDR8EqX-2mrbZhmchCw" xr:uid="{00000000-0004-0000-0200-0000A5000000}"/>
    <hyperlink ref="I168" r:id="rId167" display="https://drive.google.com/open?id=17G9TpB1mO0wmh21dp1rN5_3FwIfKOR-n" xr:uid="{00000000-0004-0000-0200-0000A6000000}"/>
    <hyperlink ref="I169" r:id="rId168" display="https://drive.google.com/open?id=1wV29c9xHc5djgJA_yHnvVheA_wfKjhiT" xr:uid="{00000000-0004-0000-0200-0000A7000000}"/>
    <hyperlink ref="I170" r:id="rId169" display="https://drive.google.com/open?id=12B2Kb15W3NKPW_7gcg2lB3DPgt7OYWLp" xr:uid="{00000000-0004-0000-0200-0000A8000000}"/>
    <hyperlink ref="I171" r:id="rId170" display="https://drive.google.com/open?id=1ocbp8e47boS0dKz6r-fDHmD0cXabX-gw" xr:uid="{00000000-0004-0000-0200-0000A9000000}"/>
    <hyperlink ref="I172" r:id="rId171" display="https://drive.google.com/open?id=1yjwhlVGnOUSHk-pJcs26cNXbtepwSnsB" xr:uid="{00000000-0004-0000-0200-0000AA000000}"/>
    <hyperlink ref="I173" r:id="rId172" display="https://drive.google.com/open?id=1Sj5LAV3EAAydFg9kbG_wji5sJMTqQRC3" xr:uid="{00000000-0004-0000-0200-0000AB000000}"/>
    <hyperlink ref="I174" r:id="rId173" display="https://drive.google.com/open?id=1j05fHl2_gkd1zrmswP_gQ5LrFTYI-c6Y" xr:uid="{00000000-0004-0000-0200-0000AC000000}"/>
    <hyperlink ref="I175" r:id="rId174" display="https://drive.google.com/open?id=1_oHoR_UmsF1nMYhxUCZwQFa-HOYy6V3j" xr:uid="{00000000-0004-0000-0200-0000AD000000}"/>
    <hyperlink ref="I176" r:id="rId175" display="https://drive.google.com/open?id=1D19Cw8Krf3fIf5vfCdP8xCbNxe0fdcyp" xr:uid="{00000000-0004-0000-0200-0000AE000000}"/>
    <hyperlink ref="I177" r:id="rId176" display="https://drive.google.com/open?id=1icm5K1nnkGMpU5k_eH9WKoJJ4CMC5arY" xr:uid="{00000000-0004-0000-0200-0000AF000000}"/>
    <hyperlink ref="I178" r:id="rId177" display="https://drive.google.com/open?id=1uYrxXOHNzkzdphk7ykNTM2vF4DItUSm7" xr:uid="{00000000-0004-0000-0200-0000B0000000}"/>
    <hyperlink ref="I179" r:id="rId178" display="https://drive.google.com/open?id=1yDO7-Jb5imhMtZVQyQei6fBcGuXyVEvx" xr:uid="{00000000-0004-0000-0200-0000B1000000}"/>
    <hyperlink ref="I180" r:id="rId179" display="https://drive.google.com/open?id=13Gel_Ik-ilJ7tuetN-K-Pt2L6NQXo7SK" xr:uid="{00000000-0004-0000-0200-0000B2000000}"/>
    <hyperlink ref="I181" r:id="rId180" display="https://drive.google.com/open?id=1r9hyCDngTkX8-DZBPPxcIBYVnmOG9-um" xr:uid="{00000000-0004-0000-0200-0000B3000000}"/>
    <hyperlink ref="I182" r:id="rId181" display="https://drive.google.com/open?id=1iLrNrVWV8mH763cdxfEPasE7mOYiU_2y" xr:uid="{00000000-0004-0000-0200-0000B4000000}"/>
    <hyperlink ref="I183" r:id="rId182" display="https://drive.google.com/open?id=15Pg3-gI5Iwn1og25NoO-00nCewxMUZLk" xr:uid="{00000000-0004-0000-0200-0000B5000000}"/>
    <hyperlink ref="I184" r:id="rId183" display="https://drive.google.com/open?id=1o6axWRF5Gq4EHsPZEzq7Ju4HfugmZvhH" xr:uid="{00000000-0004-0000-0200-0000B6000000}"/>
    <hyperlink ref="I185" r:id="rId184" display="https://drive.google.com/open?id=15wOqXI2K3oUfpHJo4eq5DYFNwSm2CwsC" xr:uid="{00000000-0004-0000-0200-0000B7000000}"/>
    <hyperlink ref="I186" r:id="rId185" display="https://drive.google.com/open?id=15WQ0-UmB64IW8ZXWlwUl8XcDHxm1vIz4" xr:uid="{00000000-0004-0000-0200-0000B8000000}"/>
    <hyperlink ref="I187" r:id="rId186" display="https://drive.google.com/open?id=1oLZlyXCtW5XIQ3xEaKL6Wkqg8uD9q-v4" xr:uid="{00000000-0004-0000-0200-0000B9000000}"/>
    <hyperlink ref="I188" r:id="rId187" display="https://drive.google.com/open?id=1TK9VLgIplIq-CBxmMXPtO2g_3smFGKNm" xr:uid="{00000000-0004-0000-0200-0000BA000000}"/>
    <hyperlink ref="I189" r:id="rId188" display="https://drive.google.com/open?id=1N-SQMMg9RMng5PjuMy9j8uZMtGhd4Tyf" xr:uid="{00000000-0004-0000-0200-0000BB000000}"/>
    <hyperlink ref="I190" r:id="rId189" display="https://drive.google.com/open?id=1LihorQ-EGA0LhdpiaB2ge-61zrHfxGos" xr:uid="{00000000-0004-0000-0200-0000BC000000}"/>
    <hyperlink ref="I191" r:id="rId190" display="https://drive.google.com/open?id=1izziOI9TiItBu6Z8DmR1B0XpxSQqW5JH" xr:uid="{00000000-0004-0000-0200-0000BD000000}"/>
    <hyperlink ref="I192" r:id="rId191" display="https://drive.google.com/open?id=1sCTDJNmDSjUghBPcKRgTsSWkibKbqy5I" xr:uid="{00000000-0004-0000-0200-0000BE000000}"/>
    <hyperlink ref="I193" r:id="rId192" display="https://drive.google.com/open?id=1UQYhyUybKkM7QOEHkr8P7Ud0WDFN3Y85" xr:uid="{00000000-0004-0000-0200-0000BF000000}"/>
    <hyperlink ref="I194" r:id="rId193" display="https://drive.google.com/open?id=1WU1OVuc2zr8y0I2qjvjdEDAEGQSGbhgb" xr:uid="{00000000-0004-0000-0200-0000C0000000}"/>
    <hyperlink ref="I195" r:id="rId194" display="https://drive.google.com/open?id=1smy_vRy8uuzoq6JVDNy8R7bnmp2w5EUq" xr:uid="{00000000-0004-0000-0200-0000C1000000}"/>
    <hyperlink ref="I196" r:id="rId195" display="https://drive.google.com/open?id=1BUxukKovaGortnNHlB-ks77l9_WiQjVH" xr:uid="{00000000-0004-0000-0200-0000C2000000}"/>
    <hyperlink ref="I197" r:id="rId196" display="https://drive.google.com/open?id=1l5ppSG8IYR4xa8mUwbszm5azqbj0838h" xr:uid="{00000000-0004-0000-0200-0000C3000000}"/>
    <hyperlink ref="I198" r:id="rId197" display="https://drive.google.com/open?id=1L91xF9x96FE1dneMQp-5u5l6wtG8WfiF" xr:uid="{00000000-0004-0000-0200-0000C4000000}"/>
    <hyperlink ref="I199" r:id="rId198" display="https://drive.google.com/open?id=1Y4JLsCNaArgcChrihpsfj6hxOBxC44Yn" xr:uid="{00000000-0004-0000-0200-0000C5000000}"/>
    <hyperlink ref="I200" r:id="rId199" display="https://drive.google.com/open?id=1IMg6bNgUifQ08pxqNoU8zw35OXYlJMz2" xr:uid="{00000000-0004-0000-0200-0000C6000000}"/>
    <hyperlink ref="I201" r:id="rId200" display="https://drive.google.com/open?id=1Fko0OkBf7-m8ceX5kZCXkfg29IWt1gwT" xr:uid="{00000000-0004-0000-0200-0000C7000000}"/>
    <hyperlink ref="I202" r:id="rId201" display="https://drive.google.com/open?id=1qmXrEGYNyWRrWbu8CcuAAtOdFpOBUj3i" xr:uid="{00000000-0004-0000-0200-0000C8000000}"/>
    <hyperlink ref="I203" r:id="rId202" display="https://drive.google.com/open?id=17YHR2ALYDuCbTkb1Yx0g4xisbk2t190n" xr:uid="{00000000-0004-0000-0200-0000C9000000}"/>
    <hyperlink ref="I204" r:id="rId203" display="https://drive.google.com/open?id=1tKwrlUUULoD_9Q3GccLMUrV4Ais4GNy2" xr:uid="{00000000-0004-0000-0200-0000CA000000}"/>
    <hyperlink ref="I205" r:id="rId204" display="https://drive.google.com/open?id=1u_xZ3C5dGJVHDO7wYB7dVVvbNNfos--O" xr:uid="{00000000-0004-0000-0200-0000CB000000}"/>
    <hyperlink ref="I206" r:id="rId205" display="https://drive.google.com/open?id=1sDfdZ1MiaPn4ieA9RQOOrvO6fr9jDheK" xr:uid="{00000000-0004-0000-0200-0000CC000000}"/>
    <hyperlink ref="I207" r:id="rId206" display="https://drive.google.com/open?id=1UaAOP60vcQOpM-bbx8fOL3zDVHldvXab" xr:uid="{00000000-0004-0000-0200-0000CD000000}"/>
    <hyperlink ref="I208" r:id="rId207" display="https://drive.google.com/open?id=1Zvwg7HLWM936F1Y8T2gj37cTVqllfmgE" xr:uid="{00000000-0004-0000-0200-0000CE000000}"/>
    <hyperlink ref="I209" r:id="rId208" display="https://drive.google.com/open?id=1Jf1MhfgYcghjUuHy7lWfSJQwhH1_dqsw" xr:uid="{00000000-0004-0000-0200-0000CF000000}"/>
    <hyperlink ref="I210" r:id="rId209" display="https://drive.google.com/open?id=18w9FblZIeC20erzctAFJONuWdzuPfFTm" xr:uid="{00000000-0004-0000-0200-0000D0000000}"/>
    <hyperlink ref="I211" r:id="rId210" display="https://drive.google.com/open?id=1repfuseW3vqcNBDR6PU2rrs4bCHEDNFG" xr:uid="{00000000-0004-0000-0200-0000D1000000}"/>
    <hyperlink ref="I212" r:id="rId211" display="https://drive.google.com/open?id=1l36UkHrfsYwC2q5ArZjNAuzcsOv4gUKd" xr:uid="{00000000-0004-0000-0200-0000D2000000}"/>
    <hyperlink ref="I213" r:id="rId212" display="https://drive.google.com/open?id=14D-sRAIwiyRDkX0KHZ0IU4LiZQJjnW5I" xr:uid="{00000000-0004-0000-0200-0000D3000000}"/>
    <hyperlink ref="I214" r:id="rId213" display="https://drive.google.com/open?id=1tVQ7VD8e-iZujakhmuEFmh6uQwhBvNu1" xr:uid="{00000000-0004-0000-0200-0000D4000000}"/>
    <hyperlink ref="I215" r:id="rId214" display="https://drive.google.com/open?id=1XK0ZfKOel1qegmcFX2qc_xd5tRHMGjVc" xr:uid="{00000000-0004-0000-0200-0000D5000000}"/>
    <hyperlink ref="I216" r:id="rId215" display="https://drive.google.com/open?id=15e2qSRdDXJgqVJGZ1KFsDbHzHZ7S-4Aa" xr:uid="{00000000-0004-0000-0200-0000D6000000}"/>
    <hyperlink ref="I217" r:id="rId216" display="https://drive.google.com/open?id=1wJehkEQK8h4JLXE7Q2cBouXU_NhLxV9s" xr:uid="{00000000-0004-0000-0200-0000D7000000}"/>
    <hyperlink ref="I218" r:id="rId217" display="https://drive.google.com/open?id=1PUyoL842dGd32nnyYVR7mtuVS_1BX3J3" xr:uid="{00000000-0004-0000-0200-0000D8000000}"/>
    <hyperlink ref="I219" r:id="rId218" display="https://drive.google.com/open?id=1eK_siGE6RXIt_zwA5u9BJ_Ua78Tl40oS" xr:uid="{00000000-0004-0000-0200-0000D9000000}"/>
    <hyperlink ref="I220" r:id="rId219" display="https://drive.google.com/open?id=1FFv6QcxbqXayakWeYb-BP5XidrxLTPU_" xr:uid="{00000000-0004-0000-0200-0000DA000000}"/>
    <hyperlink ref="I221" r:id="rId220" display="https://drive.google.com/open?id=1AeutdfA87ZDddpI7akz0fJqbaiWIagXr" xr:uid="{00000000-0004-0000-0200-0000DB000000}"/>
    <hyperlink ref="I222" r:id="rId221" display="https://drive.google.com/open?id=1YiGAJU-rnWoENz29-Z081VXmcAErgOKK" xr:uid="{00000000-0004-0000-0200-0000DC000000}"/>
    <hyperlink ref="I223" r:id="rId222" display="https://drive.google.com/open?id=11U1gwttqKcRxKSN6wmBM8GJDkdx1ZdKh" xr:uid="{00000000-0004-0000-0200-0000DD000000}"/>
    <hyperlink ref="I224" r:id="rId223" display="https://drive.google.com/open?id=1-jjWmlCqjDfI8FiNCD5FE88GXfLXABnO" xr:uid="{00000000-0004-0000-0200-0000DE000000}"/>
    <hyperlink ref="I225" r:id="rId224" display="https://drive.google.com/open?id=10AMv9tuaNnB0zzqa_f9-U77VuvJd9CYt" xr:uid="{00000000-0004-0000-0200-0000DF000000}"/>
    <hyperlink ref="I226" r:id="rId225" display="https://drive.google.com/open?id=1qF35i34sywvSuOOyBmLzv0IiVGjCfZfT" xr:uid="{00000000-0004-0000-0200-0000E0000000}"/>
    <hyperlink ref="I227" r:id="rId226" display="https://drive.google.com/open?id=1mmvZuNHJ0AJ10auWxvKzVZLYlp9KPmRq" xr:uid="{00000000-0004-0000-0200-0000E1000000}"/>
    <hyperlink ref="I228" r:id="rId227" display="https://drive.google.com/open?id=1ZZV8PojorkEPpScRXTeHCyP4DggpRrYn" xr:uid="{00000000-0004-0000-0200-0000E2000000}"/>
    <hyperlink ref="I229" r:id="rId228" display="https://drive.google.com/open?id=1AuQ4hbi-EPLHCCOSqeZLPZCWeLHwRS9A" xr:uid="{00000000-0004-0000-0200-0000E3000000}"/>
    <hyperlink ref="I230" r:id="rId229" display="https://drive.google.com/open?id=1TiAzNFqQ4EsL3yrPscgzDOjt7kHnLAux" xr:uid="{00000000-0004-0000-0200-0000E4000000}"/>
    <hyperlink ref="I231" r:id="rId230" display="https://drive.google.com/open?id=1DW_qFCkvbxI_rD_tLby3R4VlZ6dBZT3K" xr:uid="{00000000-0004-0000-0200-0000E5000000}"/>
    <hyperlink ref="I232" r:id="rId231" display="https://drive.google.com/open?id=1a2jWTcRAREt78ADgwI_uBTBjhQf2VhI9" xr:uid="{00000000-0004-0000-0200-0000E6000000}"/>
    <hyperlink ref="I233" r:id="rId232" display="https://drive.google.com/open?id=1CGM7OJ9zuoIgP5gzk_KDOhT0Pbyaih4O" xr:uid="{00000000-0004-0000-0200-0000E7000000}"/>
    <hyperlink ref="I234" r:id="rId233" display="https://drive.google.com/open?id=1Fu9nrRPg0Kkg6qL0fNnGet1ijPVBGqn_" xr:uid="{00000000-0004-0000-0200-0000E8000000}"/>
    <hyperlink ref="I235" r:id="rId234" display="https://drive.google.com/open?id=1GVd2I9eLbsMyqPLfwO1Ea7TxWr6x_HoE" xr:uid="{00000000-0004-0000-0200-0000E9000000}"/>
    <hyperlink ref="I236" r:id="rId235" display="https://drive.google.com/open?id=1Cx_qjlBPkbA7ICThzh8O8DwSib15hUCR" xr:uid="{00000000-0004-0000-0200-0000EA000000}"/>
    <hyperlink ref="I237" r:id="rId236" display="https://drive.google.com/open?id=1p8BAEgqd42pttv2tbFlcELT5Tbe4h9oU" xr:uid="{00000000-0004-0000-0200-0000EB000000}"/>
    <hyperlink ref="I238" r:id="rId237" display="https://drive.google.com/open?id=1KnAZsJ0sTlBjKOE-jn4w_8BizbyQyZdD" xr:uid="{00000000-0004-0000-0200-0000EC000000}"/>
    <hyperlink ref="I239" r:id="rId238" display="https://drive.google.com/open?id=1qbUAsvvEW_Kqf5ArX57n4-oElGLcCHUv" xr:uid="{00000000-0004-0000-0200-0000ED000000}"/>
    <hyperlink ref="I240" r:id="rId239" display="https://drive.google.com/open?id=1qHX9egru64tkhC0WHGZbYfw4MFbhqeGF" xr:uid="{00000000-0004-0000-0200-0000EE000000}"/>
    <hyperlink ref="I241" r:id="rId240" display="https://drive.google.com/open?id=1U7t6tysCDEXx9K7Bg7kYEL6SKzRs4jfT" xr:uid="{00000000-0004-0000-0200-0000EF000000}"/>
    <hyperlink ref="I242" r:id="rId241" display="https://drive.google.com/open?id=1TY2VfSq4V5QSV7cYMRz_BJ3Hq7kZqIvl" xr:uid="{00000000-0004-0000-0200-0000F0000000}"/>
    <hyperlink ref="I243" r:id="rId242" display="https://drive.google.com/open?id=1j5gNS-v1T4PmzrfD2kSV3Gblh0mfyMeV" xr:uid="{00000000-0004-0000-0200-0000F1000000}"/>
    <hyperlink ref="I244" r:id="rId243" display="https://drive.google.com/open?id=1t6Yo_DTcgkCbq5MPFm9xTiVMOj1Cbjku" xr:uid="{00000000-0004-0000-0200-0000F2000000}"/>
    <hyperlink ref="I245" r:id="rId244" display="https://drive.google.com/open?id=1z6FHwSHcmRL-WlariyT1B2pRxa_CpAMq" xr:uid="{00000000-0004-0000-0200-0000F3000000}"/>
    <hyperlink ref="I246" r:id="rId245" display="https://drive.google.com/open?id=1OkvJaczDNgKvXCaYbOzk4T0HD_gLqeu-" xr:uid="{00000000-0004-0000-0200-0000F4000000}"/>
    <hyperlink ref="I247" r:id="rId246" display="https://drive.google.com/open?id=1vOATjypv_YMUa7uDSBdRdRiI7XXmwLyw" xr:uid="{00000000-0004-0000-0200-0000F5000000}"/>
    <hyperlink ref="I248" r:id="rId247" display="https://drive.google.com/open?id=1wWL8bgdPkgPKhCzMxvRLAm3suXTKH85i" xr:uid="{00000000-0004-0000-0200-0000F6000000}"/>
    <hyperlink ref="I249" r:id="rId248" display="https://drive.google.com/open?id=1oisOWUuEX2jvYJGFkb2AmwqZvLVSj_hq" xr:uid="{00000000-0004-0000-0200-0000F7000000}"/>
    <hyperlink ref="I250" r:id="rId249" display="https://drive.google.com/open?id=1GQ397nQd9QjO15zCQ7LKmGcwqYczqybn" xr:uid="{00000000-0004-0000-0200-0000F8000000}"/>
    <hyperlink ref="I251" r:id="rId250" display="https://drive.google.com/open?id=1lMkTFNlXg1wU7VJt_c7Ye1Sc2HnPdCO2" xr:uid="{00000000-0004-0000-0200-0000F9000000}"/>
    <hyperlink ref="I252" r:id="rId251" display="https://drive.google.com/open?id=1xpoZ6redUuXPp_Zh_WNzON6_hSapGAln" xr:uid="{00000000-0004-0000-0200-0000FA000000}"/>
    <hyperlink ref="I253" r:id="rId252" display="https://drive.google.com/open?id=1a3YB0HYTCd1lPshGkcUPkSQd3IIGgyPM" xr:uid="{00000000-0004-0000-0200-0000FB000000}"/>
    <hyperlink ref="I254" r:id="rId253" display="https://drive.google.com/open?id=1jzmEAVxScnsHx1ufPrXDACgd4OKAPa7h" xr:uid="{00000000-0004-0000-0200-0000FC000000}"/>
    <hyperlink ref="I255" r:id="rId254" display="https://drive.google.com/open?id=1wCopflrBUROdv_ptHCINfrD28QTi3-lR" xr:uid="{00000000-0004-0000-0200-0000FD000000}"/>
    <hyperlink ref="I256" r:id="rId255" display="https://drive.google.com/open?id=11VWHzSFEONUfssxPPsHS_FkRZtGuyhOE" xr:uid="{00000000-0004-0000-0200-0000FE000000}"/>
    <hyperlink ref="I257" r:id="rId256" display="https://drive.google.com/open?id=1K6-omqa9tpRhPXiwcAsO6rDXZzPvWic3" xr:uid="{00000000-0004-0000-0200-0000FF000000}"/>
    <hyperlink ref="I258" r:id="rId257" display="https://drive.google.com/open?id=1YC9B9DBttrx7iW3fji5qXKVPPE77VRM9" xr:uid="{00000000-0004-0000-0200-000000010000}"/>
    <hyperlink ref="I259" r:id="rId258" display="https://drive.google.com/open?id=1Xez0WQqKg2Bp2eSrpAMAgBridXp4i5Ek" xr:uid="{00000000-0004-0000-0200-000001010000}"/>
    <hyperlink ref="I260" r:id="rId259" display="https://drive.google.com/open?id=1AGq_Mn-4nKrKnsZ-bNIEI9s80ApGhzqy" xr:uid="{00000000-0004-0000-0200-000002010000}"/>
    <hyperlink ref="I261" r:id="rId260" display="https://drive.google.com/open?id=19LfdyR7J3D7RZgRPOhYu6MWhCXdPQHXk" xr:uid="{00000000-0004-0000-0200-000003010000}"/>
    <hyperlink ref="I262" r:id="rId261" display="https://drive.google.com/open?id=1mR_MEOChrkelZ2DGhUvX5vmYzPO_1lW2" xr:uid="{00000000-0004-0000-0200-000004010000}"/>
    <hyperlink ref="I263" r:id="rId262" display="https://drive.google.com/open?id=1N-Bpwp5TNLhWD7RnUzpYKm0OCCraLGl4" xr:uid="{00000000-0004-0000-0200-000005010000}"/>
    <hyperlink ref="I264" r:id="rId263" display="https://drive.google.com/open?id=1E16uMicZ-1RR8DKP9gotFBSoStGXiNWj" xr:uid="{00000000-0004-0000-0200-000006010000}"/>
    <hyperlink ref="I265" r:id="rId264" display="https://drive.google.com/open?id=1jOI4U9faSlxMurVjV2pBpK-2kZ-g8HEl" xr:uid="{00000000-0004-0000-0200-000007010000}"/>
    <hyperlink ref="I266" r:id="rId265" display="https://drive.google.com/open?id=1KyEX6oPhKkCe_eKo4cm3IERcBRYaxx2U" xr:uid="{00000000-0004-0000-0200-000008010000}"/>
    <hyperlink ref="I267" r:id="rId266" display="https://drive.google.com/open?id=167lmy4frTipJKcb76eVt2S4rCBZrFkZH" xr:uid="{00000000-0004-0000-0200-000009010000}"/>
    <hyperlink ref="I268" r:id="rId267" display="https://drive.google.com/open?id=1JKbnnhmNB7PZJ6lwbiMMD-cdTIMWzo7A" xr:uid="{00000000-0004-0000-0200-00000A010000}"/>
    <hyperlink ref="I269" r:id="rId268" display="https://drive.google.com/open?id=12PGqoOf-MdGvuOvVFelw8TkTglQwygJ-" xr:uid="{00000000-0004-0000-0200-00000B010000}"/>
    <hyperlink ref="I270" r:id="rId269" display="https://drive.google.com/open?id=1ZD1DANIWQId3v4Fv55sSohs-cyjSZgYN" xr:uid="{00000000-0004-0000-0200-00000C010000}"/>
    <hyperlink ref="I271" r:id="rId270" display="https://drive.google.com/open?id=1qKYpFwWh07P3fmnVCz6t9D8KdJB8N9JQ" xr:uid="{00000000-0004-0000-0200-00000D010000}"/>
    <hyperlink ref="I272" r:id="rId271" display="https://drive.google.com/open?id=1eH7zHVb82wtpZSlE96BexzQmWded12ht" xr:uid="{00000000-0004-0000-0200-00000E010000}"/>
    <hyperlink ref="I273" r:id="rId272" display="https://drive.google.com/open?id=1x9fPSAT_fEBxIOOlGP-Zfpmwi1zcvkKr" xr:uid="{00000000-0004-0000-0200-00000F010000}"/>
    <hyperlink ref="I274" r:id="rId273" display="https://drive.google.com/open?id=1R4alFM21R8bRxD8cNdSq6doLnsYsZk77" xr:uid="{00000000-0004-0000-0200-000010010000}"/>
    <hyperlink ref="I275" r:id="rId274" display="https://drive.google.com/open?id=1RbCSq7jwxt9xB4Tj1TX8zhDxuxLkA0sm" xr:uid="{00000000-0004-0000-0200-000011010000}"/>
    <hyperlink ref="I276" r:id="rId275" display="https://drive.google.com/open?id=14xsVv7lVDmuQgLfzgwyLdge0AEiydQKf" xr:uid="{00000000-0004-0000-0200-000012010000}"/>
    <hyperlink ref="I277" r:id="rId276" display="https://drive.google.com/open?id=1FIm5vANnGbXSKPNO8rucWGMA-2BBmKj-" xr:uid="{00000000-0004-0000-0200-000013010000}"/>
    <hyperlink ref="I278" r:id="rId277" display="https://drive.google.com/open?id=1_KeNwqhOB1iH1BiuZm8zNtXl8c8GLy22" xr:uid="{00000000-0004-0000-0200-000014010000}"/>
    <hyperlink ref="I279" r:id="rId278" display="https://drive.google.com/open?id=1OhS23XZh75V28pP1VZauyElwdt7N12lO" xr:uid="{00000000-0004-0000-0200-000015010000}"/>
    <hyperlink ref="I280" r:id="rId279" display="https://drive.google.com/open?id=1WBAPVPrgQny5jsF6Uhk9aDShpq2K-gew" xr:uid="{00000000-0004-0000-0200-000016010000}"/>
    <hyperlink ref="I281" r:id="rId280" display="https://drive.google.com/open?id=1TghO4Y9lFcDZRO5DwyuG8UC-ha4FYUIH" xr:uid="{00000000-0004-0000-0200-000017010000}"/>
    <hyperlink ref="I282" r:id="rId281" display="https://drive.google.com/open?id=1RCVs7dZW1l-jTV5pslcJulMBEEkgMddE" xr:uid="{00000000-0004-0000-0200-000018010000}"/>
    <hyperlink ref="I283" r:id="rId282" display="https://drive.google.com/open?id=197LqzKy-zBK5gmqCtF9_59nycO4q9bf0" xr:uid="{00000000-0004-0000-0200-000019010000}"/>
    <hyperlink ref="I284" r:id="rId283" display="https://drive.google.com/open?id=13qHgrhjiFaMAzazDJQTYewFh3idE2PIx" xr:uid="{00000000-0004-0000-0200-00001A010000}"/>
    <hyperlink ref="I285" r:id="rId284" display="https://drive.google.com/open?id=1PbQbWYZCfeVu3oBq96Cm_EprRyActOUz" xr:uid="{00000000-0004-0000-0200-00001B010000}"/>
    <hyperlink ref="I286" r:id="rId285" display="https://drive.google.com/open?id=1484eZA58LABUL0DTWQE9ZS4HIz8_N9-O" xr:uid="{00000000-0004-0000-0200-00001C010000}"/>
    <hyperlink ref="I287" r:id="rId286" display="https://drive.google.com/open?id=1Wcx42xS7jtE72mgPUQZXt-iFp61VeVhQ" xr:uid="{00000000-0004-0000-0200-00001D010000}"/>
    <hyperlink ref="I288" r:id="rId287" display="https://drive.google.com/open?id=16BHDIPXi0LGiPCJgiMYos9vd2ugjatJW" xr:uid="{00000000-0004-0000-0200-00001E010000}"/>
    <hyperlink ref="I289" r:id="rId288" display="https://drive.google.com/open?id=1mM42ed4fJ5aDe02hqUUr5CGQZl6k-15b" xr:uid="{00000000-0004-0000-0200-00001F010000}"/>
    <hyperlink ref="I290" r:id="rId289" display="https://drive.google.com/open?id=1aq8dfRfl3UTSZuQdQi_D5GI6bMNcxpgD" xr:uid="{00000000-0004-0000-0200-000020010000}"/>
    <hyperlink ref="I291" r:id="rId290" display="https://drive.google.com/open?id=19hHK3-HL9jD1JnKmxbuB3E5vj3NtqzjH" xr:uid="{00000000-0004-0000-0200-000021010000}"/>
    <hyperlink ref="I292" r:id="rId291" display="https://drive.google.com/open?id=1P62nQ86F9kbfuXTIDo5_CUKob217Uian" xr:uid="{00000000-0004-0000-0200-000022010000}"/>
    <hyperlink ref="I293" r:id="rId292" display="https://drive.google.com/open?id=1KV1COuKdXSOAMhSkw7XMKzB6VU0MD1Ab" xr:uid="{00000000-0004-0000-0200-000023010000}"/>
    <hyperlink ref="I294" r:id="rId293" display="https://drive.google.com/open?id=1BvrrHptMho5MP5PvTzelfV8I5budL3OJ" xr:uid="{00000000-0004-0000-0200-000024010000}"/>
    <hyperlink ref="I295" r:id="rId294" display="https://drive.google.com/open?id=1sGv0duivgqsRgcqZWHrbyfB9BUWx715_" xr:uid="{00000000-0004-0000-0200-000025010000}"/>
    <hyperlink ref="I296" r:id="rId295" display="https://drive.google.com/open?id=1oRm_eBuhm5DSU6t03DXRUbsWXCDWuAxP" xr:uid="{00000000-0004-0000-0200-000026010000}"/>
    <hyperlink ref="I297" r:id="rId296" display="https://drive.google.com/open?id=13ciRRxECr92Cz00WXVa2fitULejwdA6M" xr:uid="{00000000-0004-0000-0200-000027010000}"/>
    <hyperlink ref="I298" r:id="rId297" display="https://drive.google.com/open?id=1oXGkfHgFW3OuTQW0WgOZAvJsABZRwGbQ" xr:uid="{00000000-0004-0000-0200-000028010000}"/>
    <hyperlink ref="I299" r:id="rId298" display="https://drive.google.com/open?id=1Dn-lzwRlBCZ8i8i2a3BIL2EIGbCVpScr" xr:uid="{00000000-0004-0000-0200-000029010000}"/>
    <hyperlink ref="I300" r:id="rId299" display="https://drive.google.com/open?id=14U_7bZ0gHxVEE2znEyO95lnBdFpk9OHx" xr:uid="{00000000-0004-0000-0200-00002A010000}"/>
    <hyperlink ref="I301" r:id="rId300" display="https://drive.google.com/open?id=1sdjflHff6QsDA71wr5UHz9C-QkNpupvW" xr:uid="{00000000-0004-0000-0200-00002B010000}"/>
    <hyperlink ref="I302" r:id="rId301" display="https://drive.google.com/open?id=11-mbe7WA5FSYo5g3pUbC3ehl9sdb-GOs" xr:uid="{00000000-0004-0000-0200-00002C010000}"/>
    <hyperlink ref="I303" r:id="rId302" display="https://drive.google.com/open?id=12ACHLjN_4V2UUHo8-ajlgBeWc2a7sVxY" xr:uid="{00000000-0004-0000-0200-00002D010000}"/>
    <hyperlink ref="I304" r:id="rId303" display="https://drive.google.com/open?id=1GYg8Q-8qTc2yoV-N1PzAfQKVJ7NKGrRR" xr:uid="{00000000-0004-0000-0200-00002E010000}"/>
    <hyperlink ref="I305" r:id="rId304" display="https://drive.google.com/open?id=1tptz649Wvd1DznuWxIwi05xKe7L68egs" xr:uid="{00000000-0004-0000-0200-00002F010000}"/>
    <hyperlink ref="I306" r:id="rId305" display="https://drive.google.com/open?id=1Ssp1i50mSMmiDMF-A3LoOKkZXrq5ugs2" xr:uid="{00000000-0004-0000-0200-000030010000}"/>
    <hyperlink ref="I307" r:id="rId306" display="https://drive.google.com/open?id=1GfonU7M4_Rd0Hp2mvnHNJVuIoIsGikiO" xr:uid="{00000000-0004-0000-0200-000031010000}"/>
    <hyperlink ref="I308" r:id="rId307" display="https://drive.google.com/open?id=1C6E8Wj-SiOHGxI8alRWsv4sW_XY8JaNn" xr:uid="{00000000-0004-0000-0200-000032010000}"/>
    <hyperlink ref="I309" r:id="rId308" display="https://drive.google.com/open?id=1BHpZ1TQsMeaLRTyxjffD7PuEiSUuwO_D" xr:uid="{00000000-0004-0000-0200-000033010000}"/>
    <hyperlink ref="I310" r:id="rId309" display="https://drive.google.com/open?id=1koVyrfHyrPoiz8lXtYbKYPO699Cb3S5Z" xr:uid="{00000000-0004-0000-0200-000034010000}"/>
    <hyperlink ref="I311" r:id="rId310" display="https://drive.google.com/open?id=1v5R89Wsj8241scZ5c4AU6cWdLZKmI5Tb" xr:uid="{00000000-0004-0000-0200-000035010000}"/>
    <hyperlink ref="I312" r:id="rId311" display="https://drive.google.com/open?id=1DU3Hrh_qTvvYEiKXAV8H6921InbfZRAu" xr:uid="{00000000-0004-0000-0200-000036010000}"/>
    <hyperlink ref="I313" r:id="rId312" display="https://drive.google.com/open?id=1-r74F6NrNNQDU5zNMJiefMfdYE1lW5PI" xr:uid="{00000000-0004-0000-0200-000037010000}"/>
    <hyperlink ref="I314" r:id="rId313" display="https://drive.google.com/open?id=1ED3WvsRnt-Wr74eQlANrU6_smT-XkfCs" xr:uid="{00000000-0004-0000-0200-000038010000}"/>
    <hyperlink ref="I315" r:id="rId314" display="https://drive.google.com/open?id=17pjD9ndHreLetq8yH7BrxGkc8D2cpoEo" xr:uid="{00000000-0004-0000-0200-000039010000}"/>
    <hyperlink ref="I316" r:id="rId315" display="https://drive.google.com/open?id=1xZM-HVywSl14jBMxSeL88JCHeRYOrc7I" xr:uid="{00000000-0004-0000-0200-00003A010000}"/>
    <hyperlink ref="I317" r:id="rId316" display="https://drive.google.com/open?id=1zpiR2r2ipKOWypwJ0yvlbsnK6aIosPGi" xr:uid="{00000000-0004-0000-0200-00003B010000}"/>
    <hyperlink ref="I318" r:id="rId317" display="https://drive.google.com/open?id=187DQ-AGboo8RWqbu0ftLAZtNhYMLViOJ" xr:uid="{00000000-0004-0000-0200-00003C010000}"/>
    <hyperlink ref="I319" r:id="rId318" display="https://drive.google.com/open?id=1Ny_QAIWPlChD2kwFAF5fgctomM0DziQI" xr:uid="{00000000-0004-0000-0200-00003D010000}"/>
    <hyperlink ref="I320" r:id="rId319" display="https://drive.google.com/open?id=1yVgVvUhEMP7S3lpbRmAuuhRJMr-skrX7" xr:uid="{00000000-0004-0000-0200-00003E010000}"/>
    <hyperlink ref="I321" r:id="rId320" display="https://drive.google.com/open?id=18Kf2UwU0BCnQeGxSS7FSKcYMi48reH1Z" xr:uid="{00000000-0004-0000-0200-00003F010000}"/>
    <hyperlink ref="I322" r:id="rId321" display="https://drive.google.com/open?id=1n64xDz57A2oeCoZ7rQ9J_7BY4jD7kRR4" xr:uid="{00000000-0004-0000-0200-000040010000}"/>
    <hyperlink ref="I323" r:id="rId322" display="https://drive.google.com/open?id=1bcTa1Nk1rkJZ7hhojsnSzyylD_RI3XOJ" xr:uid="{00000000-0004-0000-0200-000041010000}"/>
    <hyperlink ref="I324" r:id="rId323" display="https://drive.google.com/open?id=1rv41fN6QLcHa9M1Xjqjhq2Nc5mPjSi74" xr:uid="{00000000-0004-0000-0200-000042010000}"/>
    <hyperlink ref="I325" r:id="rId324" display="https://drive.google.com/open?id=1nkHhiUJN_5fjBG3lweA0WGJ6I5yPkMiy" xr:uid="{00000000-0004-0000-0200-000043010000}"/>
    <hyperlink ref="I326" r:id="rId325" display="https://drive.google.com/open?id=15ZCIMchGBEFsktyoLG_QXzQ3LLDob2TZ" xr:uid="{00000000-0004-0000-0200-000044010000}"/>
    <hyperlink ref="I327" r:id="rId326" display="https://drive.google.com/open?id=1tNYF0fV7bOr6uGozOV0zc2cE27KU4xOV" xr:uid="{00000000-0004-0000-0200-000045010000}"/>
    <hyperlink ref="I328" r:id="rId327" display="https://drive.google.com/open?id=1nlcu4AhLSjCYcMb0bNztu5E_btX9fXa9" xr:uid="{00000000-0004-0000-0200-000046010000}"/>
    <hyperlink ref="I329" r:id="rId328" display="https://drive.google.com/open?id=1ylJz9bihFYyw8AzGLfkeNtUXZLyNnoBE" xr:uid="{00000000-0004-0000-0200-000047010000}"/>
    <hyperlink ref="I330" r:id="rId329" display="https://drive.google.com/open?id=15YXd4Bjx-zTQ3TlrsC-pcdB7yMenKMjZ" xr:uid="{00000000-0004-0000-0200-000048010000}"/>
    <hyperlink ref="I331" r:id="rId330" display="https://drive.google.com/open?id=18m0mh5c908rNbYcGk6y5HioRwaK5S_yr" xr:uid="{00000000-0004-0000-0200-000049010000}"/>
    <hyperlink ref="I332" r:id="rId331" display="https://drive.google.com/open?id=1eLiWLHVl6QWh_hV6lBhuBuO0B1jIAskW" xr:uid="{00000000-0004-0000-0200-00004A010000}"/>
    <hyperlink ref="I333" r:id="rId332" display="https://drive.google.com/open?id=1wUkDyv8hNfVZ9NCvcKwqa_h60W_1aAcG" xr:uid="{00000000-0004-0000-0200-00004B010000}"/>
    <hyperlink ref="I334" r:id="rId333" display="https://drive.google.com/open?id=1f3dMIwoQXQY8PM97UBT1jLbleEdfBk30" xr:uid="{00000000-0004-0000-0200-00004C010000}"/>
    <hyperlink ref="I335" r:id="rId334" display="https://drive.google.com/open?id=17HAS26zW80VvuTzYREG_S7Tvh_0Nx3DZ" xr:uid="{00000000-0004-0000-0200-00004D010000}"/>
    <hyperlink ref="I336" r:id="rId335" display="https://drive.google.com/open?id=1-N49FJP7uydEMa9iAx08BJJK6CsS8WQH" xr:uid="{00000000-0004-0000-0200-00004E010000}"/>
    <hyperlink ref="I337" r:id="rId336" display="https://drive.google.com/open?id=1m4SdN4e-OVy7jgY2C_e36mB6Hf1SDiwi" xr:uid="{00000000-0004-0000-0200-00004F010000}"/>
    <hyperlink ref="I338" r:id="rId337" display="https://drive.google.com/open?id=13gfu0-EWacMVddt6GT78I03JYGyk-54t" xr:uid="{00000000-0004-0000-0200-000050010000}"/>
    <hyperlink ref="I339" r:id="rId338" display="https://drive.google.com/open?id=1rJGrlTTxHowUP0zTbu12E2xr-4bt3NbU" xr:uid="{00000000-0004-0000-0200-000051010000}"/>
    <hyperlink ref="I340" r:id="rId339" display="https://drive.google.com/open?id=1boB6iNnUmXm0Wa-dSS-_-f0A9BKEVNGn" xr:uid="{00000000-0004-0000-0200-000052010000}"/>
    <hyperlink ref="I341" r:id="rId340" display="https://drive.google.com/open?id=1DDcRcQ2o6I58pJUfHJ0Ycu66vZ9_oeMH" xr:uid="{00000000-0004-0000-0200-000053010000}"/>
    <hyperlink ref="I342" r:id="rId341" display="https://drive.google.com/open?id=1VkaoUkgJYym-qVJLiSZG3D6or94phT4Y" xr:uid="{00000000-0004-0000-0200-000054010000}"/>
    <hyperlink ref="I343" r:id="rId342" display="https://drive.google.com/open?id=1-2r_k8xu5R1dodj_L4T42FGWzSIZnAq_" xr:uid="{00000000-0004-0000-0200-000055010000}"/>
    <hyperlink ref="I344" r:id="rId343" display="https://drive.google.com/open?id=1ReJ0pS7g4T0LlDxheueaTKoseulau6Up" xr:uid="{00000000-0004-0000-0200-000056010000}"/>
    <hyperlink ref="I345" r:id="rId344" display="https://drive.google.com/open?id=1u5sbjE-JCaG9CHIbIxpLdWNxYcf5_8yM" xr:uid="{00000000-0004-0000-0200-000057010000}"/>
    <hyperlink ref="I346" r:id="rId345" display="https://drive.google.com/open?id=1OBuZNxQN2UPhc81mx38ph1XGYFCtGP0a" xr:uid="{00000000-0004-0000-0200-000058010000}"/>
    <hyperlink ref="I347" r:id="rId346" display="https://drive.google.com/open?id=1SUeBGJdoS013Kllh2MKVVD_aNg9gmkGU" xr:uid="{00000000-0004-0000-0200-000059010000}"/>
    <hyperlink ref="I348" r:id="rId347" display="https://drive.google.com/open?id=16erNXB5WXtESBi8x86Dfk3eeqwBMgjK6" xr:uid="{00000000-0004-0000-0200-00005A010000}"/>
    <hyperlink ref="I349" r:id="rId348" display="https://drive.google.com/open?id=1SHFYeObvi3KGRJq8Wvxb6LMtpGgvca8w" xr:uid="{00000000-0004-0000-0200-00005B010000}"/>
    <hyperlink ref="I350" r:id="rId349" display="https://drive.google.com/open?id=1H8YzokYPfhTj3jWRuwCIfIDsUHtZ_0hO" xr:uid="{00000000-0004-0000-0200-00005C010000}"/>
    <hyperlink ref="I351" r:id="rId350" display="https://drive.google.com/open?id=1zXAVBuQVbbqZez5a50I-mGTN38JTv2wY" xr:uid="{00000000-0004-0000-0200-00005D010000}"/>
    <hyperlink ref="I352" r:id="rId351" display="https://drive.google.com/open?id=1ftDDjwWidCjUAzYkzISg7QsiCB5nngyI" xr:uid="{00000000-0004-0000-0200-00005E010000}"/>
    <hyperlink ref="I353" r:id="rId352" display="https://drive.google.com/open?id=1Sdeea9-2CBLISKgY7MxUtDTZLezJZsm1" xr:uid="{00000000-0004-0000-0200-00005F010000}"/>
    <hyperlink ref="I354" r:id="rId353" display="https://drive.google.com/open?id=1rMwC601YW98gPds8-opotKsk87ii3-LK" xr:uid="{00000000-0004-0000-0200-000060010000}"/>
    <hyperlink ref="I355" r:id="rId354" display="https://drive.google.com/open?id=1v_YAe740MRY6IBKvu4d7o7ZZHCkErC5Y" xr:uid="{00000000-0004-0000-0200-000061010000}"/>
    <hyperlink ref="I356" r:id="rId355" display="https://drive.google.com/open?id=1Fpnt-YnqjpZ8W8F7TKQCYJVkqiv4sOE0" xr:uid="{00000000-0004-0000-0200-000062010000}"/>
    <hyperlink ref="I357" r:id="rId356" display="https://drive.google.com/open?id=18ZDgdD7cleTeErkctgVlP5OBhaqKrPMY" xr:uid="{00000000-0004-0000-0200-000063010000}"/>
    <hyperlink ref="I358" r:id="rId357" display="https://drive.google.com/open?id=1GYkk3Hrg626E9XRz1B01VpcZxfKwGPYG" xr:uid="{00000000-0004-0000-0200-000064010000}"/>
    <hyperlink ref="I359" r:id="rId358" display="https://drive.google.com/open?id=1D6_VKHFndLL2AbR9dUpSY55SxjrURXC7" xr:uid="{00000000-0004-0000-0200-000065010000}"/>
    <hyperlink ref="I360" r:id="rId359" display="https://drive.google.com/open?id=1YUux166XXxeP_MThu2FsZFMgio6ublPY" xr:uid="{00000000-0004-0000-0200-000066010000}"/>
    <hyperlink ref="I361" r:id="rId360" display="https://drive.google.com/open?id=1sINh5GHgI-g3X3cixdcGuQ5EB42FLQm5" xr:uid="{00000000-0004-0000-0200-000067010000}"/>
    <hyperlink ref="I362" r:id="rId361" display="https://drive.google.com/open?id=1aol5nLb6byMY_kzNCUOoFgEdkyPMhYI5" xr:uid="{00000000-0004-0000-0200-000068010000}"/>
    <hyperlink ref="I363" r:id="rId362" display="https://drive.google.com/open?id=1lYnKEHQDPJfBOa8Z7QsXVsQsA6rVEAgW" xr:uid="{00000000-0004-0000-0200-000069010000}"/>
    <hyperlink ref="I364" r:id="rId363" display="https://drive.google.com/open?id=1gfUlKK-l6vbWWIBecIK8SWhI4ZtbYO3b" xr:uid="{00000000-0004-0000-0200-00006A010000}"/>
    <hyperlink ref="I365" r:id="rId364" display="https://drive.google.com/open?id=1JyP2FOW5ioAYGQg3lKNu2NuIJZakKRhk" xr:uid="{00000000-0004-0000-0200-00006B010000}"/>
    <hyperlink ref="I366" r:id="rId365" display="https://drive.google.com/open?id=1Jc-l6QaTmDlz-UHuVcm8-5kd2QipStAe" xr:uid="{00000000-0004-0000-0200-00006C010000}"/>
    <hyperlink ref="I367" r:id="rId366" display="https://drive.google.com/open?id=17liOxLHY1rN7ekZzmp4lgm6Vs09SMdC2" xr:uid="{00000000-0004-0000-0200-00006D010000}"/>
    <hyperlink ref="I368" r:id="rId367" display="https://drive.google.com/open?id=1bPGo_1B3Ra9fSBLZnCFhLoWVuANlbQT8" xr:uid="{00000000-0004-0000-0200-00006E010000}"/>
    <hyperlink ref="I369" r:id="rId368" display="https://drive.google.com/open?id=1Vn1YRukCzp1TuaJb7o4FP2N5LAORMtsh" xr:uid="{00000000-0004-0000-0200-00006F010000}"/>
    <hyperlink ref="I370" r:id="rId369" display="https://drive.google.com/open?id=1ceTuTNp-ZajiZ3oERigmn3WevSwlMSYX" xr:uid="{00000000-0004-0000-0200-000070010000}"/>
    <hyperlink ref="I371" r:id="rId370" display="https://drive.google.com/open?id=1YoIdbmjCtVrrpasQUzj4wNVY92m4kB1M" xr:uid="{00000000-0004-0000-0200-000071010000}"/>
    <hyperlink ref="I372" r:id="rId371" display="https://drive.google.com/open?id=1sxp6rqmE_ANg0YDMD7QDe-JfzWuSJhU0" xr:uid="{00000000-0004-0000-0200-000072010000}"/>
    <hyperlink ref="I373" r:id="rId372" display="https://drive.google.com/open?id=11Zu4Olo1kHyKpLNYhIF-QqeVO2pZgsIs" xr:uid="{00000000-0004-0000-0200-000073010000}"/>
    <hyperlink ref="I374" r:id="rId373" display="https://drive.google.com/open?id=1ZOYZy_xWgenDxK4HvKCwEAlStcO0V71y" xr:uid="{00000000-0004-0000-0200-000074010000}"/>
    <hyperlink ref="I375" r:id="rId374" display="https://drive.google.com/open?id=10YpxgUUwuJA6mBBqlA5LHaSZm2huBwHH" xr:uid="{00000000-0004-0000-0200-000075010000}"/>
    <hyperlink ref="I376" r:id="rId375" display="https://drive.google.com/open?id=1RtBde4s3oakNlpVmxHiUnudkZ7S7hcij" xr:uid="{00000000-0004-0000-0200-000076010000}"/>
    <hyperlink ref="I377" r:id="rId376" display="https://drive.google.com/open?id=1_lQ9gIi19WLhljMy0L1msph3qv3saJDC" xr:uid="{00000000-0004-0000-0200-000077010000}"/>
    <hyperlink ref="I378" r:id="rId377" display="https://drive.google.com/open?id=1_QPYZuDcu6vjFk4en4Bfcf_YBzMUVxUo" xr:uid="{00000000-0004-0000-0200-000078010000}"/>
    <hyperlink ref="I379" r:id="rId378" display="https://drive.google.com/open?id=1hyWtN26oOAKFGtYw1jXGLZQvNL7tpzAi" xr:uid="{00000000-0004-0000-0200-000079010000}"/>
    <hyperlink ref="I380" r:id="rId379" display="https://drive.google.com/open?id=1qSfY7POBgenYaRE_gXpYo7ZIPDXAx7Ny" xr:uid="{00000000-0004-0000-0200-00007A010000}"/>
    <hyperlink ref="I381" r:id="rId380" display="https://drive.google.com/open?id=17BUC5ZXWQzrVsNj2R8Am6PDgcKSRADOU" xr:uid="{00000000-0004-0000-0200-00007B010000}"/>
    <hyperlink ref="I382" r:id="rId381" display="https://drive.google.com/open?id=1DFBioq-un1IulItfDs43p5XwcPE6DT1g" xr:uid="{00000000-0004-0000-0200-00007C010000}"/>
    <hyperlink ref="I383" r:id="rId382" display="https://drive.google.com/open?id=1vUhLPwV2c6jKl0luNoVbbwlTj8DIV1y-" xr:uid="{00000000-0004-0000-0200-00007D010000}"/>
    <hyperlink ref="I384" r:id="rId383" display="https://drive.google.com/open?id=1ia63Yt4JTUSLo-MwRXaieOxGB84n1oBp" xr:uid="{00000000-0004-0000-0200-00007E010000}"/>
    <hyperlink ref="I385" r:id="rId384" display="https://drive.google.com/open?id=105WsOFSmGHy7S8EvwYWa5zDYsBdjwFo3" xr:uid="{00000000-0004-0000-0200-00007F010000}"/>
    <hyperlink ref="I386" r:id="rId385" display="https://drive.google.com/open?id=1ZixkiPq_aqSkbHthrUVnswIuOZMIXGDY" xr:uid="{00000000-0004-0000-0200-000080010000}"/>
    <hyperlink ref="I387" r:id="rId386" display="https://drive.google.com/open?id=1tP81TsNDUUp5ZFL_UlzUC1ORooI7wDtA" xr:uid="{00000000-0004-0000-0200-000081010000}"/>
    <hyperlink ref="I388" r:id="rId387" display="https://drive.google.com/open?id=1BWTj89tvvnpewRaGHKS_Tvs_9IXNBX6I" xr:uid="{00000000-0004-0000-0200-000082010000}"/>
    <hyperlink ref="I389" r:id="rId388" display="https://drive.google.com/open?id=1AbUh6e6I7KAkuzJndzvBMGWmU5vdhs1N" xr:uid="{00000000-0004-0000-0200-000083010000}"/>
    <hyperlink ref="I390" r:id="rId389" display="https://drive.google.com/open?id=1F4q_i6EU-oQGne2YqC28rLYuPG4WT2fT" xr:uid="{00000000-0004-0000-0200-000084010000}"/>
    <hyperlink ref="I391" r:id="rId390" display="https://drive.google.com/open?id=1TdpXkzVBHGb7fOM633IBbsvooSbVLhzd" xr:uid="{00000000-0004-0000-0200-000085010000}"/>
    <hyperlink ref="I392" r:id="rId391" display="https://drive.google.com/open?id=1e0vB6gbC96TFY28u3VmSKifs6Y4hC2A9" xr:uid="{00000000-0004-0000-0200-000086010000}"/>
    <hyperlink ref="I393" r:id="rId392" display="https://drive.google.com/open?id=1i-smkjwS978p14b8esceLI_nXm-Qp9Ug" xr:uid="{00000000-0004-0000-0200-000087010000}"/>
    <hyperlink ref="I394" r:id="rId393" display="https://drive.google.com/open?id=1Lwrk97OSQsau34gCh8jZBVA5ExrlkN2M" xr:uid="{00000000-0004-0000-0200-000088010000}"/>
    <hyperlink ref="I395" r:id="rId394" display="https://drive.google.com/open?id=1nZTv_Sso8Zv70vZHch7tiQArrSSfAaJn" xr:uid="{00000000-0004-0000-0200-000089010000}"/>
    <hyperlink ref="I396" r:id="rId395" display="https://drive.google.com/open?id=1BP_1rT1QGIaaQUL9_nbXdP3sBUKEIEXs" xr:uid="{00000000-0004-0000-0200-00008A010000}"/>
    <hyperlink ref="I397" r:id="rId396" display="https://drive.google.com/open?id=1DzfgHT9yYG7I0mN1WTr1f9nKY6wa3DW1" xr:uid="{00000000-0004-0000-0200-00008B010000}"/>
    <hyperlink ref="I398" r:id="rId397" display="https://drive.google.com/open?id=1oihaBRu9uehArgHOQ0aJpNBeCU5cW32f" xr:uid="{00000000-0004-0000-0200-00008C010000}"/>
    <hyperlink ref="I399" r:id="rId398" display="https://drive.google.com/open?id=1Wf4XkUVYyOvqNxpNCUpLocJZy0QeobHS" xr:uid="{00000000-0004-0000-0200-00008D010000}"/>
    <hyperlink ref="I400" r:id="rId399" display="https://drive.google.com/open?id=1ucJ4Jk2MW1mJrGd-ae0DBXZt7gzYP4eo" xr:uid="{00000000-0004-0000-0200-00008E010000}"/>
    <hyperlink ref="I401" r:id="rId400" display="https://drive.google.com/open?id=1jaWXMqCTPuugTi80cb5X5HfN7e5JYn0w" xr:uid="{00000000-0004-0000-0200-00008F010000}"/>
    <hyperlink ref="I402" r:id="rId401" display="https://drive.google.com/open?id=1rbZtJoZeYSw3aSCOWta3Mm6oB-ew5BDB" xr:uid="{00000000-0004-0000-0200-000090010000}"/>
    <hyperlink ref="I403" r:id="rId402" display="https://drive.google.com/open?id=1kI37FSInRqgI1rb8XH7bYnFnXJyGgD5J" xr:uid="{00000000-0004-0000-0200-000091010000}"/>
    <hyperlink ref="I404" r:id="rId403" display="https://drive.google.com/open?id=1xuNr3XFrc24XYjoUko9jcgV5ZwixtvCF" xr:uid="{00000000-0004-0000-0200-000092010000}"/>
    <hyperlink ref="I405" r:id="rId404" display="https://drive.google.com/open?id=1C1dDUc4rq_xsX6L4HvMxCR5e_q8P_Sue" xr:uid="{00000000-0004-0000-0200-000093010000}"/>
    <hyperlink ref="I406" r:id="rId405" display="https://drive.google.com/open?id=1yh_zkEmm6mgS-LYxbByMHnTKKat7WP_S" xr:uid="{00000000-0004-0000-0200-000094010000}"/>
    <hyperlink ref="I407" r:id="rId406" display="https://drive.google.com/open?id=1TX0S_y6SbgGQ-zbQ7QnkNaZxu3qEOjg7" xr:uid="{00000000-0004-0000-0200-000095010000}"/>
    <hyperlink ref="I408" r:id="rId407" display="https://drive.google.com/open?id=1hVeAM-wkHqUe5VTK_pwYPqUc4GKQlrI1" xr:uid="{00000000-0004-0000-0200-000096010000}"/>
    <hyperlink ref="I409" r:id="rId408" display="https://drive.google.com/open?id=145U4BSEcB-BOvl-0D9t-iEompgoh8Dw1" xr:uid="{00000000-0004-0000-0200-000097010000}"/>
    <hyperlink ref="I410" r:id="rId409" display="https://drive.google.com/open?id=1c2oQLnrn-M_ELcC_1pIFeDQ-P-VCBh8r" xr:uid="{00000000-0004-0000-0200-000098010000}"/>
    <hyperlink ref="I411" r:id="rId410" display="https://drive.google.com/open?id=1np5eIuejqoowNeQnPGhH4mVBk1kZUvJu" xr:uid="{00000000-0004-0000-0200-000099010000}"/>
    <hyperlink ref="I412" r:id="rId411" display="https://drive.google.com/open?id=1NY6kVaIjPbNTfHGW9pFpmf5dC6Lv0v8X" xr:uid="{00000000-0004-0000-0200-00009A010000}"/>
    <hyperlink ref="I413" r:id="rId412" display="https://drive.google.com/open?id=1dsxjYesWaOpz6Q3ZKuFRC0If2HvcPjxJ" xr:uid="{00000000-0004-0000-0200-00009B010000}"/>
    <hyperlink ref="I414" r:id="rId413" display="https://drive.google.com/open?id=1CfH6M9Q-IQ4n4m59ZBfjBjLsVTPZIzVs" xr:uid="{00000000-0004-0000-0200-00009C010000}"/>
    <hyperlink ref="I415" r:id="rId414" display="https://drive.google.com/open?id=1adMNkaWkGIBaKLp6TV0jPuef3cXnRQUv" xr:uid="{00000000-0004-0000-0200-00009D010000}"/>
    <hyperlink ref="I416" r:id="rId415" display="https://drive.google.com/open?id=1StbgP7pcSFtCvZX2EWBs7VuwV93V14eo" xr:uid="{00000000-0004-0000-0200-00009E010000}"/>
    <hyperlink ref="I417" r:id="rId416" display="https://drive.google.com/open?id=1L6d5perCPh5177E55B1UgyvveE6cxEdY" xr:uid="{00000000-0004-0000-0200-00009F010000}"/>
    <hyperlink ref="I418" r:id="rId417" display="https://drive.google.com/open?id=1oGyxENZk7UlfY-N_oprfF4M2Ix0uk2If" xr:uid="{00000000-0004-0000-0200-0000A0010000}"/>
    <hyperlink ref="I419" r:id="rId418" display="https://drive.google.com/open?id=1olGJbVVdq6t0aBbsCAAPziqp6qaJeqgl" xr:uid="{00000000-0004-0000-0200-0000A1010000}"/>
    <hyperlink ref="I420" r:id="rId419" display="https://drive.google.com/open?id=1SQihdqBUaeZWf6q5qqcHDIpkjhHxrI-9" xr:uid="{00000000-0004-0000-0200-0000A2010000}"/>
    <hyperlink ref="I421" r:id="rId420" display="https://drive.google.com/open?id=1OVByKkbzCQ5S7B_gLAQdpV-npaXoTzYO" xr:uid="{00000000-0004-0000-0200-0000A3010000}"/>
    <hyperlink ref="I422" r:id="rId421" display="https://drive.google.com/open?id=1XbT1KPu2Fb2SFneRCJ_6FIpcBWAi08p5" xr:uid="{00000000-0004-0000-0200-0000A4010000}"/>
    <hyperlink ref="I423" r:id="rId422" display="https://drive.google.com/open?id=10fc90_hv0eB1KhlT4L4yCIZi2P0ygPQ2" xr:uid="{00000000-0004-0000-0200-0000A5010000}"/>
    <hyperlink ref="I424" r:id="rId423" display="https://drive.google.com/open?id=1Y_NJ2kGUYO-6I2ZvHdb1cnKY94XAJufA" xr:uid="{00000000-0004-0000-0200-0000A6010000}"/>
    <hyperlink ref="I425" r:id="rId424" display="https://drive.google.com/open?id=1k92QjqyqH_6fd8v_LanipC1NDJ-A0swD" xr:uid="{00000000-0004-0000-0200-0000A7010000}"/>
    <hyperlink ref="I426" r:id="rId425" display="https://drive.google.com/open?id=1egE-bfxomSJes7hDy_H3ht598UGfYDLE" xr:uid="{00000000-0004-0000-0200-0000A8010000}"/>
    <hyperlink ref="I427" r:id="rId426" display="https://drive.google.com/open?id=1tChbRPRDcii3BsKFOkI1-32mYQ_Rz1K1" xr:uid="{00000000-0004-0000-0200-0000A9010000}"/>
    <hyperlink ref="I428" r:id="rId427" display="https://drive.google.com/open?id=1IXKNKJj886EhwjeoIxdrd5QbcUBpdt4-" xr:uid="{00000000-0004-0000-0200-0000AA010000}"/>
    <hyperlink ref="I429" r:id="rId428" display="https://drive.google.com/open?id=109b4GlcGy2UEeLA6pytHdSrtNeElembz" xr:uid="{00000000-0004-0000-0200-0000AB010000}"/>
    <hyperlink ref="I430" r:id="rId429" display="https://drive.google.com/open?id=1GT4TT0tqwr3CLsu_Gd-3nF2wBVBcQW8S" xr:uid="{00000000-0004-0000-0200-0000AC010000}"/>
    <hyperlink ref="I431" r:id="rId430" display="https://drive.google.com/open?id=12KubV6607baYzgZpaSHGsCPLXtM7BVKf" xr:uid="{00000000-0004-0000-0200-0000AD010000}"/>
    <hyperlink ref="I432" r:id="rId431" display="https://drive.google.com/open?id=1G3cjeRfKzrkXe2dO99tEz96G1TefMmZb" xr:uid="{00000000-0004-0000-0200-0000AE010000}"/>
    <hyperlink ref="I433" r:id="rId432" display="https://drive.google.com/open?id=103v20BZfePpJ4MPLiLzCjIduIoObDH69" xr:uid="{00000000-0004-0000-0200-0000AF010000}"/>
    <hyperlink ref="I434" r:id="rId433" display="https://drive.google.com/open?id=1sskyYET1NpyKEiwHeOJ3SInxLiotVi7m" xr:uid="{00000000-0004-0000-0200-0000B0010000}"/>
    <hyperlink ref="I435" r:id="rId434" display="https://drive.google.com/open?id=19U_7y1DKE9BGiFZhyOrPKl1Gu0YSoHco" xr:uid="{00000000-0004-0000-0200-0000B1010000}"/>
    <hyperlink ref="I436" r:id="rId435" display="https://drive.google.com/open?id=1IoHKY_6MfT9ySPLjQgypSGqT9zP0MINh" xr:uid="{00000000-0004-0000-0200-0000B2010000}"/>
    <hyperlink ref="I437" r:id="rId436" display="https://drive.google.com/open?id=1joAy_6h6NfaHVbVSMGUoKx9yu1SuLGfG" xr:uid="{00000000-0004-0000-0200-0000B3010000}"/>
    <hyperlink ref="I438" r:id="rId437" display="https://drive.google.com/open?id=1AD7GkP7-mZHOqdyuHgJq3h0XP-WTH3XU" xr:uid="{00000000-0004-0000-0200-0000B4010000}"/>
    <hyperlink ref="I439" r:id="rId438" display="https://drive.google.com/open?id=1X7W4_qXvJKu9m8yRf4NpX2gnneXkUBAr" xr:uid="{00000000-0004-0000-0200-0000B5010000}"/>
    <hyperlink ref="I440" r:id="rId439" display="https://drive.google.com/open?id=1fMUZTB_X3j1BNyVw_-8SXc9h052oIARe" xr:uid="{00000000-0004-0000-0200-0000B6010000}"/>
    <hyperlink ref="I441" r:id="rId440" display="https://drive.google.com/open?id=1jBrLpRlJl0D7VL_OZ3DNfEst6XWNWtKB" xr:uid="{00000000-0004-0000-0200-0000B7010000}"/>
    <hyperlink ref="I442" r:id="rId441" display="https://drive.google.com/open?id=1rJ3vQluXzYNs2Juoi7ztZpsj8plvlcnF" xr:uid="{00000000-0004-0000-0200-0000B8010000}"/>
    <hyperlink ref="I443" r:id="rId442" display="https://drive.google.com/open?id=1IlwAjFzRs0suzS7xv4qQhjvb4lEI_7CA" xr:uid="{00000000-0004-0000-0200-0000B9010000}"/>
    <hyperlink ref="I444" r:id="rId443" display="https://drive.google.com/open?id=1UGbYgboz_ffAZXz3XC0zvuimraFCQJhD" xr:uid="{00000000-0004-0000-0200-0000BA010000}"/>
    <hyperlink ref="I445" r:id="rId444" display="https://drive.google.com/open?id=1NaOP5S5zwXqskiS4kRi-lZn1Uwkzm2EU" xr:uid="{00000000-0004-0000-0200-0000BB010000}"/>
    <hyperlink ref="I446" r:id="rId445" display="https://drive.google.com/open?id=1YnH6nEaKaUrUnkxUI9XfjWAnWZDa5tUM" xr:uid="{00000000-0004-0000-0200-0000BC010000}"/>
    <hyperlink ref="I447" r:id="rId446" display="https://drive.google.com/open?id=1bHCrpOCTluyYfLaYOrV8fRL85u_6fGKF" xr:uid="{00000000-0004-0000-0200-0000BD010000}"/>
    <hyperlink ref="I448" r:id="rId447" display="https://drive.google.com/open?id=1-oEhmWIpHRYl2czFw0xE7Di2GbEwpMil" xr:uid="{00000000-0004-0000-0200-0000BE010000}"/>
    <hyperlink ref="I449" r:id="rId448" display="https://drive.google.com/open?id=1oCk24eVIElbD9H2CF2CmwY25rxsFcV8Y" xr:uid="{00000000-0004-0000-0200-0000BF010000}"/>
    <hyperlink ref="I450" r:id="rId449" display="https://drive.google.com/open?id=1VGiFb-XQmkNLuWgigH2wI5Vd5jITvH2L" xr:uid="{00000000-0004-0000-0200-0000C0010000}"/>
    <hyperlink ref="I451" r:id="rId450" display="https://drive.google.com/open?id=1QwjH84Dr94ksFmYIhs59OyP3PIB1kr9K" xr:uid="{00000000-0004-0000-0200-0000C1010000}"/>
    <hyperlink ref="I452" r:id="rId451" display="https://drive.google.com/open?id=1eKexesxeFl5c2eu_rbQ7biqxj3S_jqtb" xr:uid="{00000000-0004-0000-0200-0000C2010000}"/>
    <hyperlink ref="I453" r:id="rId452" display="https://drive.google.com/open?id=19kgPWtrqFZixDFpeqsCNVT6pMSciTehW" xr:uid="{00000000-0004-0000-0200-0000C3010000}"/>
    <hyperlink ref="I454" r:id="rId453" display="https://drive.google.com/open?id=1rP4ybmrXZFTkY61mzKwFyjnzp-uQw-Pv" xr:uid="{00000000-0004-0000-0200-0000C4010000}"/>
    <hyperlink ref="I455" r:id="rId454" display="https://drive.google.com/open?id=1CeD6HNDAW5HpZ0_T6bLbKPoQor_wrnj6" xr:uid="{00000000-0004-0000-0200-0000C5010000}"/>
    <hyperlink ref="I456" r:id="rId455" display="https://drive.google.com/open?id=14vWnitS4Tu9MRYsTZR2luXyvkunbub9k" xr:uid="{00000000-0004-0000-0200-0000C6010000}"/>
    <hyperlink ref="I457" r:id="rId456" display="https://drive.google.com/open?id=1dWWCKacMiaj8nPHLguZ2WjxwXgD1aSZv" xr:uid="{00000000-0004-0000-0200-0000C7010000}"/>
    <hyperlink ref="I458" r:id="rId457" display="https://drive.google.com/open?id=1zx-OnysEvYHG-MnHHIDVL0ZEfLo0JlYY" xr:uid="{00000000-0004-0000-0200-0000C8010000}"/>
    <hyperlink ref="I459" r:id="rId458" display="https://drive.google.com/open?id=1sAoWyBoslzexH3t1m2f34eD0wGKroXW5" xr:uid="{00000000-0004-0000-0200-0000C9010000}"/>
    <hyperlink ref="I460" r:id="rId459" display="https://drive.google.com/open?id=1dKl_WTzNl6wTQ1904J4Vn-AGP7FoWk6_" xr:uid="{00000000-0004-0000-0200-0000CA010000}"/>
    <hyperlink ref="I461" r:id="rId460" display="https://drive.google.com/open?id=1zDFvIFcQhw-nrubGlNdetU3pVzhufg41" xr:uid="{00000000-0004-0000-0200-0000CB010000}"/>
    <hyperlink ref="I462" r:id="rId461" display="https://drive.google.com/open?id=1M_6DzguZEYPrk16pi62u_Iw8TFxOzZwE" xr:uid="{00000000-0004-0000-0200-0000CC010000}"/>
    <hyperlink ref="I463" r:id="rId462" display="https://drive.google.com/open?id=1Qz3amq7lggMmrryybe5Il6Zdup4jmnnz" xr:uid="{00000000-0004-0000-0200-0000CD010000}"/>
    <hyperlink ref="I464" r:id="rId463" display="https://drive.google.com/open?id=1fG6iqUcQvUgyHzHLj-h9XPNSYHsMh8wP" xr:uid="{00000000-0004-0000-0200-0000CE010000}"/>
    <hyperlink ref="I465" r:id="rId464" display="https://drive.google.com/open?id=1YMWg8IhtBJQ97r3wtR98__fMr3xbv-76" xr:uid="{00000000-0004-0000-0200-0000CF010000}"/>
    <hyperlink ref="I466" r:id="rId465" display="https://drive.google.com/open?id=1HqH97wp-QqYyRUpgSP26Drkf-ZC-LgVY" xr:uid="{00000000-0004-0000-0200-0000D0010000}"/>
    <hyperlink ref="I467" r:id="rId466" display="https://drive.google.com/open?id=1sd2uxKuvD0RN46U2AWtEXGPqG24NSUSt" xr:uid="{00000000-0004-0000-0200-0000D1010000}"/>
    <hyperlink ref="I468" r:id="rId467" display="https://drive.google.com/open?id=1EL5RMDJxYjdXGboEFST5q8qOY0uab470" xr:uid="{00000000-0004-0000-0200-0000D2010000}"/>
    <hyperlink ref="I469" r:id="rId468" display="https://drive.google.com/open?id=1IyK1mGpbNwaiQPbzytKxybQp-oHObVFj" xr:uid="{00000000-0004-0000-0200-0000D3010000}"/>
    <hyperlink ref="I470" r:id="rId469" display="https://drive.google.com/open?id=1ebDarpLS6OLJhrUcAvikLrYV3jzL6cXC" xr:uid="{00000000-0004-0000-0200-0000D4010000}"/>
    <hyperlink ref="I471" r:id="rId470" display="https://drive.google.com/open?id=1nPEsSUgiOBT5MDkm3kH7dcDl_v7yCq3g" xr:uid="{00000000-0004-0000-0200-0000D5010000}"/>
    <hyperlink ref="I472" r:id="rId471" display="https://drive.google.com/open?id=1UmKZ_snHeqhvSTm6FQo-F4CFIB6h3MjN" xr:uid="{00000000-0004-0000-0200-0000D6010000}"/>
    <hyperlink ref="I473" r:id="rId472" display="https://drive.google.com/open?id=19a9M4NYV4DfpzgqZSs_x-honzXQmfvSO" xr:uid="{00000000-0004-0000-0200-0000D7010000}"/>
    <hyperlink ref="I474" r:id="rId473" display="https://drive.google.com/open?id=1bT_UGzNA44h8301YeAxCK9qvQVsAP2Qa" xr:uid="{00000000-0004-0000-0200-0000D8010000}"/>
    <hyperlink ref="I475" r:id="rId474" display="https://drive.google.com/open?id=17Wy79j4vgt79REVovv8bM9Ay__txkeYR" xr:uid="{00000000-0004-0000-0200-0000D9010000}"/>
    <hyperlink ref="I476" r:id="rId475" display="https://drive.google.com/open?id=1-rMSaD5gh1qh5Y-yS04chKDCDIg1THpx" xr:uid="{00000000-0004-0000-0200-0000DA010000}"/>
    <hyperlink ref="I477" r:id="rId476" display="https://drive.google.com/open?id=1BMVuDyFqKq_sXxa0k3rEedxyUjeBd8Vv" xr:uid="{00000000-0004-0000-0200-0000DB010000}"/>
    <hyperlink ref="I478" r:id="rId477" display="https://drive.google.com/open?id=1G2XAvIu2pfhvVsnZSwx0OwTVxi0QRyw-" xr:uid="{00000000-0004-0000-0200-0000DC010000}"/>
    <hyperlink ref="I479" r:id="rId478" display="https://drive.google.com/open?id=1st_sw5Q59BnQwusKjE3eKpYn2u5SkRmr" xr:uid="{00000000-0004-0000-0200-0000DD010000}"/>
    <hyperlink ref="I480" r:id="rId479" display="https://drive.google.com/open?id=1xFeWYZWZfWaTJWzFctx_QsBsu-n-upCH" xr:uid="{00000000-0004-0000-0200-0000DE010000}"/>
    <hyperlink ref="I481" r:id="rId480" display="https://drive.google.com/open?id=1qebqrFMIfhbJcRC6Y-AfaxzzQj2NBjY4" xr:uid="{00000000-0004-0000-0200-0000DF010000}"/>
    <hyperlink ref="I482" r:id="rId481" display="https://drive.google.com/open?id=1cSB4IPkaagx-hCI_ygrPCxWl5lFhFVo3" xr:uid="{00000000-0004-0000-0200-0000E0010000}"/>
    <hyperlink ref="I483" r:id="rId482" display="https://drive.google.com/open?id=1G6myps7YnI3WsUeaedux3KmJzZUiINZA" xr:uid="{00000000-0004-0000-0200-0000E1010000}"/>
    <hyperlink ref="I484" r:id="rId483" display="https://drive.google.com/open?id=18Lsbd1SnRRYTPIwmmnPQTci7jWovUwrF" xr:uid="{00000000-0004-0000-0200-0000E2010000}"/>
    <hyperlink ref="I485" r:id="rId484" display="https://drive.google.com/open?id=1XWIiM0L4YpilOrUjM05l_CeP2X2VOejV" xr:uid="{00000000-0004-0000-0200-0000E3010000}"/>
    <hyperlink ref="I486" r:id="rId485" display="https://drive.google.com/open?id=1YB9lbM1kXiS5ght9mrVrl3fZYepHQah-" xr:uid="{00000000-0004-0000-0200-0000E4010000}"/>
    <hyperlink ref="I487" r:id="rId486" display="https://drive.google.com/open?id=1ZdSGBN7iQ-I6UTWInEw1ORviaGFFkLWo" xr:uid="{00000000-0004-0000-0200-0000E5010000}"/>
    <hyperlink ref="I488" r:id="rId487" display="https://drive.google.com/open?id=177fR-NxwFdMux8dgqoubS7jCZ130jN8x" xr:uid="{00000000-0004-0000-0200-0000E6010000}"/>
    <hyperlink ref="I489" r:id="rId488" display="https://drive.google.com/open?id=1KzrVRztl0ERVYUUJv1isgqzEkVlowp1j" xr:uid="{00000000-0004-0000-0200-0000E7010000}"/>
    <hyperlink ref="I490" r:id="rId489" display="https://drive.google.com/open?id=17gt6iqY9Uw5o2wq_odka3YXjMHEtml0I" xr:uid="{00000000-0004-0000-0200-0000E8010000}"/>
    <hyperlink ref="I491" r:id="rId490" display="https://drive.google.com/open?id=1FTpeDlPYel33N4dTyVs_eHbVCQgdQ2kW" xr:uid="{00000000-0004-0000-0200-0000E9010000}"/>
    <hyperlink ref="I492" r:id="rId491" display="https://drive.google.com/open?id=12m8cZFrptAobX7QFrHtNILmHHeZJ3qos" xr:uid="{00000000-0004-0000-0200-0000EA010000}"/>
    <hyperlink ref="I493" r:id="rId492" display="https://drive.google.com/open?id=1-TT7i5JEz6VX0CPdlk2eYK83uJNCIHXr" xr:uid="{00000000-0004-0000-0200-0000EB010000}"/>
    <hyperlink ref="I494" r:id="rId493" display="https://drive.google.com/open?id=1ORkRdI7OgGkRwrfrJCrxnf0ZLwW-WcYX" xr:uid="{00000000-0004-0000-0200-0000EC010000}"/>
    <hyperlink ref="I495" r:id="rId494" display="https://drive.google.com/open?id=1-x9oDcbyx47uhyMmE-tXCmrvOxIGaBry" xr:uid="{00000000-0004-0000-0200-0000ED010000}"/>
    <hyperlink ref="I496" r:id="rId495" display="https://drive.google.com/open?id=1WM14vFDH15BDQplFtlpLr9iKGRbonWhS" xr:uid="{00000000-0004-0000-0200-0000EE010000}"/>
    <hyperlink ref="I497" r:id="rId496" display="https://drive.google.com/open?id=1_9ppBh-sOaMuLsf08y0SR09qMZTOOq1D" xr:uid="{00000000-0004-0000-0200-0000EF010000}"/>
    <hyperlink ref="I498" r:id="rId497" display="https://drive.google.com/open?id=1azOxZDcQW2eEadoB42l63I_trrp92irb" xr:uid="{00000000-0004-0000-0200-0000F0010000}"/>
    <hyperlink ref="I499" r:id="rId498" display="https://drive.google.com/open?id=1mJvsZpOGsMMB0bhn78hqqyJNQM5PLvBH" xr:uid="{00000000-0004-0000-0200-0000F1010000}"/>
    <hyperlink ref="I500" r:id="rId499" display="https://drive.google.com/open?id=1fXAHVNaFA-XufAdvGknu5FJ_MB_zBT4f" xr:uid="{00000000-0004-0000-0200-0000F2010000}"/>
    <hyperlink ref="I501" r:id="rId500" display="https://drive.google.com/open?id=1AOdGMRjEZ5YCMycW33QA0x-H7gF8iq8w" xr:uid="{00000000-0004-0000-0200-0000F3010000}"/>
    <hyperlink ref="I502" r:id="rId501" display="https://drive.google.com/open?id=12HPwjiPxQ3t2BwBEQovqCt6GZb16rQOU" xr:uid="{00000000-0004-0000-0200-0000F4010000}"/>
    <hyperlink ref="I503" r:id="rId502" display="https://drive.google.com/open?id=1n4OW2EdfHqbQ6qRGoAwirFWgnmOFGTSx" xr:uid="{00000000-0004-0000-0200-0000F5010000}"/>
    <hyperlink ref="I504" r:id="rId503" display="https://drive.google.com/open?id=12yzvCM759B8GoKNvH7Yq2jGtUgBVxALa" xr:uid="{00000000-0004-0000-0200-0000F6010000}"/>
    <hyperlink ref="I505" r:id="rId504" display="https://drive.google.com/open?id=1W9ChYC8Ozd5PPIF3Od2MfnH4_lqoZvHf" xr:uid="{00000000-0004-0000-0200-0000F7010000}"/>
    <hyperlink ref="I506" r:id="rId505" display="https://drive.google.com/open?id=1oQLpNeTJe7frZ9fF7j3D4iFz4GnwRnEJ" xr:uid="{00000000-0004-0000-0200-0000F8010000}"/>
    <hyperlink ref="I507" r:id="rId506" display="https://drive.google.com/open?id=1pUH0GZ24fKl-WqyXxJ1CgJrAYqUw722v" xr:uid="{00000000-0004-0000-0200-0000F9010000}"/>
    <hyperlink ref="I508" r:id="rId507" display="https://drive.google.com/open?id=1vyPIRGR7ezz0ehdX8FYukbDR3FOYZ12i" xr:uid="{00000000-0004-0000-0200-0000FA010000}"/>
    <hyperlink ref="I509" r:id="rId508" display="https://drive.google.com/open?id=1b1-y1WcAZsby7rcTGC83ELi8EGc-HKf7" xr:uid="{00000000-0004-0000-0200-0000FB010000}"/>
    <hyperlink ref="I510" r:id="rId509" display="https://drive.google.com/open?id=1MINBOzF05UlV83aDFiUj0YOsPLlLvbpA" xr:uid="{00000000-0004-0000-0200-0000FC010000}"/>
    <hyperlink ref="I511" r:id="rId510" display="https://drive.google.com/open?id=1qMGDWaZm24RAR2HhDbx1bJrk_tYmaJxH" xr:uid="{00000000-0004-0000-0200-0000FD010000}"/>
    <hyperlink ref="I512" r:id="rId511" display="https://drive.google.com/open?id=1WKLyi9Ov29ES1kAbL-RM5eGtdZRyZALC" xr:uid="{00000000-0004-0000-0200-0000FE010000}"/>
    <hyperlink ref="I513" r:id="rId512" display="https://drive.google.com/open?id=1I84_O89J05vE7S_ykjIRm6ZEayeacUR7" xr:uid="{00000000-0004-0000-0200-0000FF010000}"/>
    <hyperlink ref="I514" r:id="rId513" display="https://drive.google.com/open?id=1Gnv6Ceq4fiRKGGRmeP1t2eug2dQEUnjv" xr:uid="{00000000-0004-0000-0200-000000020000}"/>
    <hyperlink ref="I515" r:id="rId514" display="https://drive.google.com/open?id=1gG5X9szvTHW7ojOXsUkV7eC3lY2h_Z8Y" xr:uid="{00000000-0004-0000-0200-000001020000}"/>
    <hyperlink ref="I516" r:id="rId515" display="https://drive.google.com/open?id=1pp5BTm0od299SYP_4k_YbaeV0gZ7j_EF" xr:uid="{00000000-0004-0000-0200-000002020000}"/>
    <hyperlink ref="I517" r:id="rId516" display="https://drive.google.com/open?id=1e__oWL9bbzP6NZiT6FmPM37R7gNIGUYD" xr:uid="{00000000-0004-0000-0200-000003020000}"/>
    <hyperlink ref="I518" r:id="rId517" display="https://drive.google.com/open?id=1t4aRahPPvKM_H5ymDHn-Fw6QaC2h4ZHQ" xr:uid="{00000000-0004-0000-0200-000004020000}"/>
    <hyperlink ref="I519" r:id="rId518" display="https://drive.google.com/open?id=1vpB-N2aaG1d7VhvVMRCWIxAw9-127Vz4" xr:uid="{00000000-0004-0000-0200-000005020000}"/>
    <hyperlink ref="I520" r:id="rId519" display="https://drive.google.com/open?id=1iHKSCm2BoJFA6XbfNxBDksq1dRCXtX9y" xr:uid="{00000000-0004-0000-0200-000006020000}"/>
    <hyperlink ref="I521" r:id="rId520" display="https://drive.google.com/open?id=1aqVpj2ONnlqDeToE9lwGDY_M4Sacp1Er" xr:uid="{00000000-0004-0000-0200-000007020000}"/>
    <hyperlink ref="I522" r:id="rId521" display="https://drive.google.com/open?id=1uxyaKq6LAqo6-mqAZsavtRqI-f-6G6Rg" xr:uid="{00000000-0004-0000-0200-000008020000}"/>
    <hyperlink ref="I523" r:id="rId522" display="https://drive.google.com/open?id=1_g9MgMpnfvoin-SdCAcWQsbzWrS92rAD" xr:uid="{00000000-0004-0000-0200-000009020000}"/>
    <hyperlink ref="I524" r:id="rId523" display="https://drive.google.com/open?id=1Eo0PDgbXVT2w_7ayvoYOYQ0-1EkTAlKj" xr:uid="{00000000-0004-0000-0200-00000A020000}"/>
    <hyperlink ref="I525" r:id="rId524" display="https://drive.google.com/open?id=18jd23JZEleHQCBt4kyzKeNJEk5vjgsw9" xr:uid="{00000000-0004-0000-0200-00000B020000}"/>
    <hyperlink ref="I526" r:id="rId525" display="https://drive.google.com/open?id=1kU1UxKIS8gEcjzk2PxTyYLUcr811PPES" xr:uid="{00000000-0004-0000-0200-00000C020000}"/>
    <hyperlink ref="I527" r:id="rId526" display="https://drive.google.com/open?id=12HamEjh3QiHlW-bM-O2pCrLGJlXZtWW4" xr:uid="{00000000-0004-0000-0200-00000D020000}"/>
    <hyperlink ref="I528" r:id="rId527" display="https://drive.google.com/open?id=1gh5KAcA0CCC2v4YBSK8dq8Hs5IH6mWw1" xr:uid="{00000000-0004-0000-0200-00000E020000}"/>
    <hyperlink ref="I529" r:id="rId528" display="https://drive.google.com/open?id=1UEDouzVfUvj7nLQ1gCNefZYEeMcFbCz3" xr:uid="{00000000-0004-0000-0200-00000F020000}"/>
    <hyperlink ref="I530" r:id="rId529" display="https://drive.google.com/open?id=1j8aQbTR2Rmzny2rcN_E2gK4Xh9Nhh-YW" xr:uid="{00000000-0004-0000-0200-000010020000}"/>
    <hyperlink ref="I531" r:id="rId530" display="https://drive.google.com/open?id=1DjhqVWEuPy-iHQdz0Ro9NW4nHQxtJ6Lr" xr:uid="{00000000-0004-0000-0200-000011020000}"/>
    <hyperlink ref="I532" r:id="rId531" display="https://drive.google.com/open?id=1adJ231sgCCqg79JwQffl-mexdlmh0TXd" xr:uid="{00000000-0004-0000-0200-000012020000}"/>
    <hyperlink ref="I533" r:id="rId532" display="https://drive.google.com/open?id=1Kk6i4bkGJcQv_DjAlSy3oPOZmVkKhyqU" xr:uid="{00000000-0004-0000-0200-000013020000}"/>
    <hyperlink ref="I534" r:id="rId533" display="https://drive.google.com/open?id=12RcMxRsWB2IeFlNJ0AgPFJMfpnkAPGWt" xr:uid="{00000000-0004-0000-0200-000014020000}"/>
    <hyperlink ref="I535" r:id="rId534" display="https://drive.google.com/open?id=1wHlL2jTpWAn0TUPdx8vVRR6GLcmKz6Tb" xr:uid="{00000000-0004-0000-0200-000015020000}"/>
    <hyperlink ref="I536" r:id="rId535" display="https://drive.google.com/open?id=1qt2fPQB9LHEtB5AlgkKNEuEF9GXXmeG4" xr:uid="{00000000-0004-0000-0200-000016020000}"/>
    <hyperlink ref="I537" r:id="rId536" display="https://drive.google.com/open?id=1tSJguhC_S8alzI8uKRcrvz2HlmIuuV9h" xr:uid="{00000000-0004-0000-0200-000017020000}"/>
    <hyperlink ref="I538" r:id="rId537" display="https://drive.google.com/open?id=1Diab-cyEceryeG5iDFQdJuHZjZ9v3zrT" xr:uid="{00000000-0004-0000-0200-000018020000}"/>
    <hyperlink ref="I539" r:id="rId538" display="https://drive.google.com/open?id=1tnYVaqZD3tlK8bkKcISU0hssUXM95oxb" xr:uid="{00000000-0004-0000-0200-000019020000}"/>
    <hyperlink ref="I540" r:id="rId539" display="https://drive.google.com/open?id=1lsntWpeXGte5DWKeO7uEcLyhqjNvMFSM" xr:uid="{00000000-0004-0000-0200-00001A020000}"/>
    <hyperlink ref="I541" r:id="rId540" display="https://drive.google.com/open?id=1BGUpU53yOcuAHq-P-6zps64ZmyfY2dyO" xr:uid="{00000000-0004-0000-0200-00001B020000}"/>
    <hyperlink ref="I542" r:id="rId541" display="https://drive.google.com/open?id=1f_P6B4yx5jmxPUiDP_lcjJUyRYih6L4_" xr:uid="{00000000-0004-0000-0200-00001C020000}"/>
    <hyperlink ref="I543" r:id="rId542" display="https://drive.google.com/open?id=1BCotA_aWCCXR6XCPgxRnDIsE3SmcOHT1" xr:uid="{00000000-0004-0000-0200-00001D020000}"/>
    <hyperlink ref="I544" r:id="rId543" display="https://drive.google.com/open?id=1mZZBJJs2xDoLfluV9qLU6Tm2KxfzmSMt" xr:uid="{00000000-0004-0000-0200-00001E020000}"/>
    <hyperlink ref="I545" r:id="rId544" display="https://drive.google.com/open?id=1PMUcQ9pXHgj1ZVhJB5rfpfQzvUCVQszH" xr:uid="{00000000-0004-0000-0200-00001F020000}"/>
    <hyperlink ref="I546" r:id="rId545" display="https://drive.google.com/open?id=1gDOM8fZQkPsuAa-olgE8zJeFZBfuwVT3" xr:uid="{00000000-0004-0000-0200-000020020000}"/>
    <hyperlink ref="I547" r:id="rId546" display="https://drive.google.com/open?id=1JWqtX00vqVjwfviULajMe5z-5jduFeUS" xr:uid="{00000000-0004-0000-0200-000021020000}"/>
    <hyperlink ref="I548" r:id="rId547" display="https://drive.google.com/open?id=1yzq7r3KYGgA7ofpuD1jP45ZbhsvwabAX" xr:uid="{00000000-0004-0000-0200-000022020000}"/>
    <hyperlink ref="I549" r:id="rId548" display="https://drive.google.com/open?id=1IIGzlHE_x-1pX9ZA6WVvTXwWzsPAHXl8" xr:uid="{00000000-0004-0000-0200-000023020000}"/>
    <hyperlink ref="I550" r:id="rId549" display="https://drive.google.com/open?id=1oHEcAebWMgYkCIyRGhP5ZLXSJRzELw01" xr:uid="{00000000-0004-0000-0200-000024020000}"/>
    <hyperlink ref="I551" r:id="rId550" display="https://drive.google.com/open?id=1bkTnLFrgDHgN2W7pLUPz_O3QeRmsZfeE" xr:uid="{00000000-0004-0000-0200-000025020000}"/>
    <hyperlink ref="I552" r:id="rId551" display="https://drive.google.com/open?id=1e8njWdjxw4bnhicgQwBOV_c4pchuTxR_" xr:uid="{00000000-0004-0000-0200-000026020000}"/>
    <hyperlink ref="I553" r:id="rId552" display="https://drive.google.com/open?id=14iXWeapBhEuHbyIyN1VQtY4QCvoBNhVX" xr:uid="{00000000-0004-0000-0200-000027020000}"/>
    <hyperlink ref="I554" r:id="rId553" display="https://drive.google.com/open?id=1hN1gm2JqiFuGXEMienfta2wRZwxQHX6m" xr:uid="{00000000-0004-0000-0200-000028020000}"/>
    <hyperlink ref="I555" r:id="rId554" display="https://drive.google.com/open?id=1xchqTYPO54SzDMsQC8yGUyyGM0PXk1b4" xr:uid="{00000000-0004-0000-0200-000029020000}"/>
    <hyperlink ref="I556" r:id="rId555" display="https://drive.google.com/open?id=1Gwi-ZKFaTry1pow91zkhIqsubj4PvBBe" xr:uid="{00000000-0004-0000-0200-00002A020000}"/>
    <hyperlink ref="I557" r:id="rId556" display="https://drive.google.com/open?id=16-78hVfVG2uiOxUwr25wqFnYXd3EgOn-" xr:uid="{00000000-0004-0000-0200-00002B020000}"/>
    <hyperlink ref="I558" r:id="rId557" display="https://drive.google.com/open?id=1uqrtaY9aEmyh-b_xyfOPzc-3yJR7PJ4u" xr:uid="{00000000-0004-0000-0200-00002C020000}"/>
    <hyperlink ref="I559" r:id="rId558" display="https://drive.google.com/open?id=1tSs1AsqMF6bL2cN0zWbJAkr_8ymw6awc" xr:uid="{00000000-0004-0000-0200-00002D020000}"/>
    <hyperlink ref="I560" r:id="rId559" display="https://drive.google.com/open?id=15Y7s0I-MVCcbvvlqhNUkYVGS6d3BWnHi" xr:uid="{00000000-0004-0000-0200-00002E020000}"/>
    <hyperlink ref="I561" r:id="rId560" display="https://drive.google.com/open?id=13sk7WehhEKCe5Yf63hRQdDFeT-IzqkJm" xr:uid="{00000000-0004-0000-0200-00002F020000}"/>
    <hyperlink ref="I562" r:id="rId561" display="https://drive.google.com/open?id=1dnxyxqkDpZTq9eJeF0UFkR4RpD7FpmWT" xr:uid="{00000000-0004-0000-0200-000030020000}"/>
    <hyperlink ref="I563" r:id="rId562" display="https://drive.google.com/open?id=1MvgmM9gT1Kfkem8-FXkbYhF3PgW1zT4r" xr:uid="{00000000-0004-0000-0200-000031020000}"/>
    <hyperlink ref="I564" r:id="rId563" display="https://drive.google.com/open?id=1H0mV41ZQv9wURAq449nKzb8AzeFbf92c" xr:uid="{00000000-0004-0000-0200-000032020000}"/>
    <hyperlink ref="I565" r:id="rId564" display="https://drive.google.com/open?id=18GiJHZeZa5AgJW413uR1PdjzvZebpNtc" xr:uid="{00000000-0004-0000-0200-000033020000}"/>
    <hyperlink ref="I566" r:id="rId565" display="https://drive.google.com/open?id=1ITiBmBheox6-4GtAkEpWMWqlzZhi8Yci" xr:uid="{00000000-0004-0000-0200-000034020000}"/>
    <hyperlink ref="I567" r:id="rId566" display="https://drive.google.com/open?id=1MDICjJsJvxKkQc_LnCnZy7DO2odsEbiV" xr:uid="{00000000-0004-0000-0200-000035020000}"/>
    <hyperlink ref="I568" r:id="rId567" display="https://drive.google.com/open?id=1NEEs0vRu3c52Dlv_H5BDD-CgZH01OLBM" xr:uid="{00000000-0004-0000-0200-000036020000}"/>
    <hyperlink ref="I569" r:id="rId568" display="https://drive.google.com/open?id=1yXUSf1Giukg_KTTwalWu1ZGNlyCrEAm5" xr:uid="{00000000-0004-0000-0200-000037020000}"/>
    <hyperlink ref="I570" r:id="rId569" display="https://drive.google.com/open?id=1ZUVGQCKiEieri5BjKtUCHt-52HkNgzFa" xr:uid="{00000000-0004-0000-0200-000038020000}"/>
    <hyperlink ref="I571" r:id="rId570" display="https://drive.google.com/open?id=1ulNKcvXDhNNw13GTDi5Hk5pyC1ZzyQQQ" xr:uid="{00000000-0004-0000-0200-000039020000}"/>
    <hyperlink ref="I572" r:id="rId571" display="https://drive.google.com/open?id=1hIx5faVXQWBix-8yBCrjtuwk-52Ku_vB" xr:uid="{00000000-0004-0000-0200-00003A020000}"/>
    <hyperlink ref="I573" r:id="rId572" display="https://drive.google.com/open?id=1c4mmi2kiqaJMDlO8X28nggTSZVeoAATf" xr:uid="{00000000-0004-0000-0200-00003B020000}"/>
    <hyperlink ref="I574" r:id="rId573" display="https://drive.google.com/open?id=1xT8ljUa3qY0wki8PXPm6vvMJd0GncHGI" xr:uid="{00000000-0004-0000-0200-00003C020000}"/>
    <hyperlink ref="I575" r:id="rId574" display="https://drive.google.com/open?id=1IdtKCazBTc0HTg8Q8WltQwv3Q_ZAmP96" xr:uid="{00000000-0004-0000-0200-00003D020000}"/>
    <hyperlink ref="I576" r:id="rId575" display="https://drive.google.com/open?id=1dwqgWbGSurWzruLRYfyTlYUIhSXZ0rQF" xr:uid="{00000000-0004-0000-0200-00003E020000}"/>
    <hyperlink ref="I577" r:id="rId576" display="https://drive.google.com/open?id=1VyMdbaAWsrybsx3oggrGdzsOIRwjyojz" xr:uid="{00000000-0004-0000-0200-00003F020000}"/>
    <hyperlink ref="I578" r:id="rId577" display="https://drive.google.com/open?id=1C3wkU1jNR45T-JKmhQxGAkt2YslMftGB" xr:uid="{00000000-0004-0000-0200-000040020000}"/>
    <hyperlink ref="I579" r:id="rId578" display="https://drive.google.com/open?id=1znmndjPX6GdwbE2zcwSxSOo2b_8vOuYt" xr:uid="{00000000-0004-0000-0200-000041020000}"/>
    <hyperlink ref="I580" r:id="rId579" display="https://drive.google.com/open?id=1sUKZbf15Q783jikf6QGHg9O5JRe0cruI" xr:uid="{00000000-0004-0000-0200-000042020000}"/>
    <hyperlink ref="I581" r:id="rId580" display="https://drive.google.com/open?id=1e6SnVBspjU8YbBi310myLqg7jStthZM7" xr:uid="{00000000-0004-0000-0200-000043020000}"/>
    <hyperlink ref="I582" r:id="rId581" display="https://drive.google.com/open?id=1VjZXsuK-p3jYe6KNX7A-qxoc1qWUWOmX" xr:uid="{00000000-0004-0000-0200-000044020000}"/>
    <hyperlink ref="I583" r:id="rId582" display="https://drive.google.com/open?id=1KzCgmGbcNb-18xHk_WYGGALycqlZOo1P" xr:uid="{00000000-0004-0000-0200-000045020000}"/>
    <hyperlink ref="I584" r:id="rId583" display="https://drive.google.com/open?id=1MKPPqCmcoZQVNiQcK_vQ1BIs8zMeErOe" xr:uid="{00000000-0004-0000-0200-000046020000}"/>
    <hyperlink ref="I585" r:id="rId584" display="https://drive.google.com/open?id=1i6-y2nJyyBFPies9d-DgjpRudavaaY-k" xr:uid="{00000000-0004-0000-0200-000047020000}"/>
    <hyperlink ref="I586" r:id="rId585" display="https://drive.google.com/open?id=1K8eaCC8UqCl1tJ7z-z1xq39p6UDZOdCx" xr:uid="{00000000-0004-0000-0200-000048020000}"/>
    <hyperlink ref="I587" r:id="rId586" display="https://drive.google.com/open?id=16IBVcSJUL0vC6GSG-rWC06XtaVzv2ote" xr:uid="{00000000-0004-0000-0200-000049020000}"/>
    <hyperlink ref="I588" r:id="rId587" display="https://drive.google.com/open?id=13sAUCPtyA9_U7GI1e8EUv5-A9mRtu9eo" xr:uid="{00000000-0004-0000-0200-00004A020000}"/>
    <hyperlink ref="I589" r:id="rId588" display="https://drive.google.com/open?id=1w7IFVim7c8I0nR8ixvJ9CDZ0KNVuZicX" xr:uid="{00000000-0004-0000-0200-00004B020000}"/>
    <hyperlink ref="I590" r:id="rId589" display="https://drive.google.com/open?id=1FIPaX5Nn6rJOg6anvIkd_USouJn875id" xr:uid="{00000000-0004-0000-0200-00004C020000}"/>
    <hyperlink ref="I591" r:id="rId590" display="https://drive.google.com/open?id=1yS1MJyElpCFXyMftAojbvqx7AN4kVBxr" xr:uid="{00000000-0004-0000-0200-00004D020000}"/>
    <hyperlink ref="I592" r:id="rId591" display="https://drive.google.com/open?id=1DYv18bk3Y4tSag-MPG7JHJQYCnCeW6_0" xr:uid="{00000000-0004-0000-0200-00004E020000}"/>
    <hyperlink ref="I593" r:id="rId592" display="https://drive.google.com/open?id=1vMNl2ayK_GrzayiRYHxsjNd8pGs0IjYv" xr:uid="{00000000-0004-0000-0200-00004F020000}"/>
    <hyperlink ref="I594" r:id="rId593" display="https://drive.google.com/open?id=1IiVNCcnq5ZI_YoU1k6fdUUy7VsXZ8cyI" xr:uid="{00000000-0004-0000-0200-000050020000}"/>
    <hyperlink ref="I595" r:id="rId594" display="https://drive.google.com/open?id=1doNC4JaHT1B-VRANZ4PORypWr4m5cFY7" xr:uid="{00000000-0004-0000-0200-000051020000}"/>
    <hyperlink ref="I596" r:id="rId595" display="https://drive.google.com/open?id=17TxWLurzq8OqtH-k1FHLV7JxYrcrAqNE" xr:uid="{00000000-0004-0000-0200-000052020000}"/>
    <hyperlink ref="I597" r:id="rId596" display="https://drive.google.com/open?id=1oskptGtbKmaxONCsLBxKVFhjK2VDjSeI" xr:uid="{00000000-0004-0000-0200-000053020000}"/>
    <hyperlink ref="I598" r:id="rId597" display="https://drive.google.com/open?id=1nRlS6DKO_ojo3qm_-rOgGY9m50WWYy1H" xr:uid="{00000000-0004-0000-0200-000054020000}"/>
    <hyperlink ref="I599" r:id="rId598" display="https://drive.google.com/open?id=1ef3NnBYpivbyMAm6gjQ4tfWisTLEF0SV" xr:uid="{00000000-0004-0000-0200-000055020000}"/>
    <hyperlink ref="I600" r:id="rId599" display="https://drive.google.com/open?id=1pgjbBo_Pk-ULcQgPAnjBgyIJjwLSg4f6" xr:uid="{00000000-0004-0000-0200-000056020000}"/>
    <hyperlink ref="I601" r:id="rId600" display="https://drive.google.com/open?id=18xb6RgaWFmk9gYxq5wWrB6uFz2mtKyPx" xr:uid="{00000000-0004-0000-0200-000057020000}"/>
    <hyperlink ref="I602" r:id="rId601" display="https://drive.google.com/open?id=1NMbkpW4bcy-u7H0sW2h4Rh-oaX1nru5W" xr:uid="{00000000-0004-0000-0200-000058020000}"/>
    <hyperlink ref="I603" r:id="rId602" display="https://drive.google.com/open?id=1EKd2YC_-d79h2B9KcEzIAW6noF2rI1EW" xr:uid="{00000000-0004-0000-0200-000059020000}"/>
    <hyperlink ref="I604" r:id="rId603" display="https://drive.google.com/open?id=1W25b6gi88ih3RLIeu2kcZEd7tyi4Bfpe" xr:uid="{00000000-0004-0000-0200-00005A020000}"/>
    <hyperlink ref="I605" r:id="rId604" display="https://drive.google.com/open?id=1_lv5nLS3B0hPgPycuUX70hcfrG6jX-LD" xr:uid="{00000000-0004-0000-0200-00005B020000}"/>
    <hyperlink ref="I606" r:id="rId605" display="https://drive.google.com/open?id=1ObHk-K6bCrA4KPG3b_X4joJzaSpkz5v3" xr:uid="{00000000-0004-0000-0200-00005C020000}"/>
    <hyperlink ref="I607" r:id="rId606" display="https://drive.google.com/open?id=1HS8jjfqx_sDYakjpzJj9zrdxEfmffmqu" xr:uid="{00000000-0004-0000-0200-00005D020000}"/>
    <hyperlink ref="I608" r:id="rId607" display="https://drive.google.com/open?id=1kKHmKAQhC1GHYkkpCMjfnXJiMgrhE4sx" xr:uid="{00000000-0004-0000-0200-00005E020000}"/>
    <hyperlink ref="I609" r:id="rId608" display="https://drive.google.com/open?id=1gjkR08hfOF2hrEwL7Vhh3c5ajRJd5EuS" xr:uid="{00000000-0004-0000-0200-00005F020000}"/>
    <hyperlink ref="I610" r:id="rId609" display="https://drive.google.com/open?id=18XvkUJI8GoEDZaXBszNw2h8rJCUS-BHd" xr:uid="{00000000-0004-0000-0200-000060020000}"/>
    <hyperlink ref="I611" r:id="rId610" display="https://drive.google.com/open?id=19pnH41EO_8djrI7ZrWG0aUtcdzYSh8VP" xr:uid="{00000000-0004-0000-0200-000061020000}"/>
    <hyperlink ref="I612" r:id="rId611" display="https://drive.google.com/open?id=10UduY8jBELDdfzrbkIJ0S_U2qObn4cbl" xr:uid="{00000000-0004-0000-0200-000062020000}"/>
    <hyperlink ref="I613" r:id="rId612" display="https://drive.google.com/open?id=1-EuCYtbGa5HzKgRK2LCcuDgi54r7QFBM" xr:uid="{00000000-0004-0000-0200-000063020000}"/>
    <hyperlink ref="I614" r:id="rId613" display="https://drive.google.com/open?id=1JFWkdZzm6itVsv4kgwjp9xTY-Eh0-RDX" xr:uid="{00000000-0004-0000-0200-000064020000}"/>
    <hyperlink ref="I615" r:id="rId614" display="https://drive.google.com/open?id=1oKtUFmMwUobK7gBwzYjWbbrQ4TTGqeP1" xr:uid="{00000000-0004-0000-0200-000065020000}"/>
    <hyperlink ref="I616" r:id="rId615" display="https://drive.google.com/open?id=1yZSaN8XRkTA6YZGxq56egO_MFiVcE99B" xr:uid="{00000000-0004-0000-0200-000066020000}"/>
    <hyperlink ref="I617" r:id="rId616" display="https://drive.google.com/open?id=1ab4luXkHVXEYFo3dEff3E_EWlTKiltvP" xr:uid="{00000000-0004-0000-0200-000067020000}"/>
    <hyperlink ref="I618" r:id="rId617" display="https://drive.google.com/open?id=1GTTD_kNiOjQXvVR6GIXBoqtCgo66AiHu" xr:uid="{00000000-0004-0000-0200-000068020000}"/>
    <hyperlink ref="I619" r:id="rId618" display="https://drive.google.com/open?id=1nPTjT1_PGdAzUkhcfiCaxQQykImZeWp_" xr:uid="{00000000-0004-0000-0200-000069020000}"/>
    <hyperlink ref="I620" r:id="rId619" display="https://drive.google.com/open?id=10P-XeTr4HhuK28vMYiVjQf5DMLzi9XAp" xr:uid="{00000000-0004-0000-0200-00006A020000}"/>
    <hyperlink ref="I621" r:id="rId620" display="https://drive.google.com/open?id=1G4dvgh2D_gKtSX-jWCtUPrCV3TU8Dlpe" xr:uid="{00000000-0004-0000-0200-00006B020000}"/>
    <hyperlink ref="I622" r:id="rId621" display="https://drive.google.com/open?id=1LPN912CrDDXCWm5xMnEY0vBWHfzx2IPW" xr:uid="{00000000-0004-0000-0200-00006C020000}"/>
    <hyperlink ref="I623" r:id="rId622" display="https://drive.google.com/open?id=18GOTb5Aw1Si0L_6gWMtr2_3fXFd5K-9e" xr:uid="{00000000-0004-0000-0200-00006D020000}"/>
    <hyperlink ref="I624" r:id="rId623" display="https://drive.google.com/open?id=13ANxxiNbAIx-sFmkKbXugHh5874c5hWG" xr:uid="{00000000-0004-0000-0200-00006E020000}"/>
    <hyperlink ref="I625" r:id="rId624" display="https://drive.google.com/open?id=1-jPJi_ezwbtEAOh8OAKLzkfXDQgOQHg1" xr:uid="{00000000-0004-0000-0200-00006F020000}"/>
    <hyperlink ref="I626" r:id="rId625" display="https://drive.google.com/open?id=1REyA017xhsxUNzOSFTVMDKUdZTwTfybU" xr:uid="{00000000-0004-0000-0200-000070020000}"/>
    <hyperlink ref="I627" r:id="rId626" display="https://drive.google.com/open?id=1uxQAnQW4fwXKyB90JVbCYnw0NJd2819k" xr:uid="{00000000-0004-0000-0200-000071020000}"/>
    <hyperlink ref="I628" r:id="rId627" display="https://drive.google.com/open?id=1ConKAeCWEw4H7T4RCqqckNBGBEacItzY" xr:uid="{00000000-0004-0000-0200-000072020000}"/>
    <hyperlink ref="I629" r:id="rId628" display="https://drive.google.com/open?id=1z6iU0W2z8LqQ_JOMYqEJgzAogNvDGnrR" xr:uid="{00000000-0004-0000-0200-000073020000}"/>
    <hyperlink ref="I630" r:id="rId629" display="https://drive.google.com/open?id=17BoDmOqX6m_sDlG_HYeNfQbI8ouzZYHg" xr:uid="{00000000-0004-0000-0200-000074020000}"/>
    <hyperlink ref="I631" r:id="rId630" display="https://drive.google.com/open?id=1XISARuQB_4PBYVLLb5n1vVzs0QGGDut1" xr:uid="{00000000-0004-0000-0200-000075020000}"/>
    <hyperlink ref="I632" r:id="rId631" display="https://drive.google.com/open?id=1mhbFxnN6FIgkL51l17NMf2GO5COsAfiW" xr:uid="{00000000-0004-0000-0200-000076020000}"/>
    <hyperlink ref="I633" r:id="rId632" display="https://drive.google.com/open?id=1lb9FE3eORXD2P-6QuPuhdjKNWRzROL5u" xr:uid="{00000000-0004-0000-0200-000077020000}"/>
    <hyperlink ref="I634" r:id="rId633" display="https://drive.google.com/open?id=12IAynBiFJuyrQOgVgF6-1Pir0aAmS7zL" xr:uid="{00000000-0004-0000-0200-000078020000}"/>
    <hyperlink ref="I635" r:id="rId634" display="https://drive.google.com/open?id=1Hgzk97ELyJFgK6gQxos21aVtILnIQrpq" xr:uid="{00000000-0004-0000-0200-000079020000}"/>
    <hyperlink ref="I636" r:id="rId635" display="https://drive.google.com/open?id=1db2rtmfybv9d2l5qtwozLAGUL8l_fTXD" xr:uid="{00000000-0004-0000-0200-00007A020000}"/>
    <hyperlink ref="I637" r:id="rId636" display="https://drive.google.com/open?id=1nsUg7lB9ba4KcNisUmOAg3KTP20JYxM-" xr:uid="{00000000-0004-0000-0200-00007B020000}"/>
    <hyperlink ref="I638" r:id="rId637" display="https://drive.google.com/open?id=1Mg0l9VT7JV9gmg1cOa0mYmVPWu74YdgS" xr:uid="{00000000-0004-0000-0200-00007C020000}"/>
    <hyperlink ref="I639" r:id="rId638" display="https://drive.google.com/open?id=1lm6brMtmZnmz-qYRqBcJKEQSbmnE0THc" xr:uid="{00000000-0004-0000-0200-00007D020000}"/>
    <hyperlink ref="I640" r:id="rId639" display="https://drive.google.com/open?id=1Ud8191G7oNQDAUhZaSz4gaaMyEp_U1Rp" xr:uid="{00000000-0004-0000-0200-00007E020000}"/>
    <hyperlink ref="I641" r:id="rId640" display="https://drive.google.com/open?id=1IQ6JQvS-nZHF58j4DNxBeabSo6lTwnwn" xr:uid="{00000000-0004-0000-0200-00007F020000}"/>
    <hyperlink ref="I642" r:id="rId641" display="https://drive.google.com/open?id=1M9paOrcG4wHCgWJW-g9BWRi4jhbte6t5" xr:uid="{00000000-0004-0000-0200-000080020000}"/>
    <hyperlink ref="I643" r:id="rId642" display="https://drive.google.com/open?id=1HS0tS215ixmRldOdjCKACw7tkomTJ4Ev" xr:uid="{00000000-0004-0000-0200-000081020000}"/>
    <hyperlink ref="I644" r:id="rId643" display="https://drive.google.com/open?id=1Qckx9e54jYaCb7Fc5dhFsIMH2Fzwqcre" xr:uid="{00000000-0004-0000-0200-000082020000}"/>
    <hyperlink ref="I645" r:id="rId644" display="https://drive.google.com/open?id=1NkCGCWJTEx8FycYLtV7j_tYgceZBwg_Q" xr:uid="{00000000-0004-0000-0200-000083020000}"/>
    <hyperlink ref="I646" r:id="rId645" display="https://drive.google.com/open?id=1yxlqnJyj8DTidSwUdImPFsWugZmxcxaZ" xr:uid="{00000000-0004-0000-0200-000084020000}"/>
    <hyperlink ref="I647" r:id="rId646" display="https://drive.google.com/open?id=1ZzybX9FDBF_8baGNuHE3B5_K_5b7zp-8" xr:uid="{00000000-0004-0000-0200-000085020000}"/>
    <hyperlink ref="I648" r:id="rId647" display="https://drive.google.com/open?id=1b1ulSoNQUH78O9QckmwTHihPxUXkO7x_" xr:uid="{00000000-0004-0000-0200-000086020000}"/>
    <hyperlink ref="I649" r:id="rId648" display="https://drive.google.com/open?id=1pm7p6j6uZd8AuNQAT9ssuRDy-8O-kSdh" xr:uid="{00000000-0004-0000-0200-000087020000}"/>
    <hyperlink ref="I650" r:id="rId649" display="https://drive.google.com/open?id=1WdVrgdOHXJL6OOpaLGl9zw4hKbTsnDVG" xr:uid="{00000000-0004-0000-0200-000088020000}"/>
    <hyperlink ref="I651" r:id="rId650" display="https://drive.google.com/open?id=1x5YBlMCWO8PBcdlzml_-xxlOA0sX-NU7" xr:uid="{00000000-0004-0000-0200-000089020000}"/>
    <hyperlink ref="I652" r:id="rId651" display="https://drive.google.com/open?id=1QMe2xa3pwFj2carciY03mD2KHau3TU_Z" xr:uid="{00000000-0004-0000-0200-00008A020000}"/>
    <hyperlink ref="I653" r:id="rId652" display="https://drive.google.com/open?id=1Yag304aCWqjVs973A5IL0kb2r3-M6dTq" xr:uid="{00000000-0004-0000-0200-00008B020000}"/>
    <hyperlink ref="I654" r:id="rId653" display="https://drive.google.com/open?id=1ihxpEmhjAzBoA3eXzElyEU1GbmWZ4UC2" xr:uid="{00000000-0004-0000-0200-00008C020000}"/>
    <hyperlink ref="I655" r:id="rId654" display="https://drive.google.com/open?id=1fUKCosbdegDZpTyWg_jqdqQpsA9h7Hp9" xr:uid="{00000000-0004-0000-0200-00008D020000}"/>
    <hyperlink ref="I656" r:id="rId655" display="https://drive.google.com/open?id=1Jjgu83T5W7E6thR80kRXM5Pq9zmaSzgO" xr:uid="{00000000-0004-0000-0200-00008E020000}"/>
    <hyperlink ref="I657" r:id="rId656" display="https://drive.google.com/open?id=1Xx30Qgc-Rq3A-Fb4mPeUZBPO2Zj1Gzwv" xr:uid="{00000000-0004-0000-0200-00008F020000}"/>
    <hyperlink ref="I658" r:id="rId657" display="https://drive.google.com/open?id=1aa89_iQszHLiWUwkBN0EFkosc1mdnaEk" xr:uid="{00000000-0004-0000-0200-000090020000}"/>
    <hyperlink ref="I659" r:id="rId658" display="https://drive.google.com/open?id=1Ro-7_dXnsCLouow7rY-jThx_q_fKb7CN" xr:uid="{00000000-0004-0000-0200-000091020000}"/>
    <hyperlink ref="I660" r:id="rId659" display="https://drive.google.com/open?id=1HWsVCa9J4v2oX-pr2N6us5_HRE8XwJuu" xr:uid="{00000000-0004-0000-0200-000092020000}"/>
    <hyperlink ref="I661" r:id="rId660" display="https://drive.google.com/open?id=1M95T3TlQvUkxZBtxKeyIUCDQZnYY9Mgm" xr:uid="{00000000-0004-0000-0200-000093020000}"/>
    <hyperlink ref="I662" r:id="rId661" display="https://drive.google.com/open?id=17SDA37ui6FhMh-EEot2IfzcBZOy_3A1M" xr:uid="{00000000-0004-0000-0200-000094020000}"/>
    <hyperlink ref="I663" r:id="rId662" display="https://drive.google.com/open?id=1MpDclfVNhtIJ8Tdjs7Jha30YbZJ_UkR4" xr:uid="{00000000-0004-0000-0200-000095020000}"/>
    <hyperlink ref="I664" r:id="rId663" display="https://drive.google.com/open?id=1xRaTSnt0QKg8iejZO2zHdROntWDhuJM0" xr:uid="{00000000-0004-0000-0200-000096020000}"/>
    <hyperlink ref="I665" r:id="rId664" display="https://drive.google.com/open?id=1ERGoA6Q72DZzjYu-5PQ1U7gCVA2XuWB1" xr:uid="{00000000-0004-0000-0200-000097020000}"/>
    <hyperlink ref="I666" r:id="rId665" display="https://drive.google.com/open?id=1w7G2rkqQjKPJAu4jgj-54q9WdQfvMKKd" xr:uid="{00000000-0004-0000-0200-000098020000}"/>
    <hyperlink ref="I667" r:id="rId666" display="https://drive.google.com/open?id=1G7Ew5ahebi6PUyBHH4QHMzCMmQsxf3uK" xr:uid="{00000000-0004-0000-0200-000099020000}"/>
    <hyperlink ref="I668" r:id="rId667" display="https://drive.google.com/open?id=1PeomHRav0V4iG4jlb45B6-BOsYEanx72" xr:uid="{00000000-0004-0000-0200-00009A020000}"/>
    <hyperlink ref="I669" r:id="rId668" display="https://drive.google.com/open?id=1bIZFG6UIf4j7jnAb092h3bbIlMxI_i9g" xr:uid="{00000000-0004-0000-0200-00009B020000}"/>
    <hyperlink ref="I670" r:id="rId669" display="https://drive.google.com/open?id=1nY7zJ3ZbWaFDB3B0P8ZDAZedPAD1LiOV" xr:uid="{00000000-0004-0000-0200-00009C020000}"/>
    <hyperlink ref="I671" r:id="rId670" display="https://drive.google.com/open?id=1r67iSing2W1TdoRwH09XSgoKOOLRo0z6" xr:uid="{00000000-0004-0000-0200-00009D020000}"/>
    <hyperlink ref="I672" r:id="rId671" display="https://drive.google.com/open?id=1Wv6E_vdS-ESWZnxUhnnndrDirl7F1hzF" xr:uid="{00000000-0004-0000-0200-00009E020000}"/>
    <hyperlink ref="I673" r:id="rId672" display="https://drive.google.com/open?id=1Onx2B2LXHWR10EY0gegK1bzsfqRsumuE" xr:uid="{00000000-0004-0000-0200-00009F020000}"/>
    <hyperlink ref="I674" r:id="rId673" display="https://drive.google.com/open?id=16-CtVa9VpkHY8JM8FReF0wfRlgXGSeKT" xr:uid="{00000000-0004-0000-0200-0000A0020000}"/>
    <hyperlink ref="I675" r:id="rId674" display="https://drive.google.com/open?id=1Ba0XzfumqZbaTjqQ2JrZugS_GQRhX4q-" xr:uid="{00000000-0004-0000-0200-0000A1020000}"/>
    <hyperlink ref="I676" r:id="rId675" display="https://drive.google.com/open?id=1rETRzjl1XHF6YSBAAlr7--EtFkEouB08" xr:uid="{00000000-0004-0000-0200-0000A2020000}"/>
    <hyperlink ref="I677" r:id="rId676" display="https://drive.google.com/open?id=1dhZyxC7wL6odOfSkyDYkXhfL1hk_g4kA" xr:uid="{00000000-0004-0000-0200-0000A3020000}"/>
    <hyperlink ref="I678" r:id="rId677" display="https://drive.google.com/open?id=1HertRSLQO7_1T8N6CbtNcj4ZnVWZVL-1" xr:uid="{00000000-0004-0000-0200-0000A4020000}"/>
    <hyperlink ref="I679" r:id="rId678" display="https://drive.google.com/open?id=1bN9eoJOrOCskiq0ssktSlQXyB4QtLZ-e" xr:uid="{00000000-0004-0000-0200-0000A5020000}"/>
    <hyperlink ref="I680" r:id="rId679" display="https://drive.google.com/open?id=1y48ic8LS5EytH0KO2-1soTNQJ8Lgjrrt" xr:uid="{00000000-0004-0000-0200-0000A6020000}"/>
    <hyperlink ref="I681" r:id="rId680" display="https://drive.google.com/open?id=1CLcjOFEChBTwweY8bFdZdjAcRdw6Shsf" xr:uid="{00000000-0004-0000-0200-0000A7020000}"/>
    <hyperlink ref="I682" r:id="rId681" display="https://drive.google.com/open?id=1HvDjCJtBKhjrW-v1KQogO9Yng_LjH6_o" xr:uid="{00000000-0004-0000-0200-0000A8020000}"/>
    <hyperlink ref="I683" r:id="rId682" display="https://drive.google.com/open?id=1hiBIfcgSFEcVq3dcuoiQzUynZr-5TWj5" xr:uid="{00000000-0004-0000-0200-0000A9020000}"/>
    <hyperlink ref="I684" r:id="rId683" display="https://drive.google.com/open?id=1n8YM6Al60lX70AdGTEFH8vmsooUFk9zM" xr:uid="{00000000-0004-0000-0200-0000AA020000}"/>
    <hyperlink ref="I685" r:id="rId684" display="https://drive.google.com/open?id=17TEG3s_nx4u6tbxrHkMP6I4NSAj7kHme" xr:uid="{00000000-0004-0000-0200-0000AB020000}"/>
    <hyperlink ref="I686" r:id="rId685" display="https://drive.google.com/open?id=1RkY5R8e2IS43MbGCTx0-mx3huVh4uDa9" xr:uid="{00000000-0004-0000-0200-0000AC020000}"/>
    <hyperlink ref="I687" r:id="rId686" display="https://drive.google.com/open?id=11M9kHV7XrvW6YqKRTXdMndqkC6W2UmVp" xr:uid="{00000000-0004-0000-0200-0000AD020000}"/>
    <hyperlink ref="I688" r:id="rId687" display="https://drive.google.com/open?id=1mS8Dw3ZlEa2Nouwf1m08hD9TATpbhZjm" xr:uid="{00000000-0004-0000-0200-0000AE020000}"/>
    <hyperlink ref="I689" r:id="rId688" display="https://drive.google.com/open?id=1pxJN8ktWNH1JXGheTpoWShgTiT92Tduj" xr:uid="{00000000-0004-0000-0200-0000AF020000}"/>
    <hyperlink ref="I690" r:id="rId689" display="https://drive.google.com/open?id=17VAYKptt6hDZO7kW3bgWTgdbjh-h1Rvf" xr:uid="{00000000-0004-0000-0200-0000B0020000}"/>
    <hyperlink ref="I691" r:id="rId690" display="https://drive.google.com/open?id=1FPaoDvbvg88Qw5ApAEzOVlxRA_IXKeg5" xr:uid="{00000000-0004-0000-0200-0000B1020000}"/>
    <hyperlink ref="I692" r:id="rId691" display="https://drive.google.com/open?id=1eOZBVhJPJ7OGcwWoRL0loG8gsQB8Vghy" xr:uid="{00000000-0004-0000-0200-0000B2020000}"/>
    <hyperlink ref="I693" r:id="rId692" display="https://drive.google.com/open?id=1ZQxObEoJhmOIsCzgk3QnDYzfIdphFPsK" xr:uid="{00000000-0004-0000-0200-0000B3020000}"/>
    <hyperlink ref="I694" r:id="rId693" display="https://drive.google.com/open?id=105DQa5GWXtbJYAws88DMP13bguUis2fl" xr:uid="{00000000-0004-0000-0200-0000B4020000}"/>
    <hyperlink ref="I695" r:id="rId694" display="https://drive.google.com/open?id=1VCLKShmM5skHgZstALskhWhfjUpCRViS" xr:uid="{00000000-0004-0000-0200-0000B5020000}"/>
    <hyperlink ref="I696" r:id="rId695" display="https://drive.google.com/open?id=1pHypTBjRP6ZNtPY1iXtMQKgV61wFpYlj" xr:uid="{00000000-0004-0000-0200-0000B6020000}"/>
    <hyperlink ref="I697" r:id="rId696" display="https://drive.google.com/open?id=1miDQEn_V4REfcCefkUBn-Sot1ZNPUvri" xr:uid="{00000000-0004-0000-0200-0000B7020000}"/>
    <hyperlink ref="I698" r:id="rId697" display="https://drive.google.com/open?id=1gQwuxU69U2qOeUhx9OsCVKUi0WYwfEay" xr:uid="{00000000-0004-0000-0200-0000B8020000}"/>
    <hyperlink ref="I699" r:id="rId698" display="https://drive.google.com/open?id=13BGDE0Ud_09WlEFSr6se6o4L2hH15YaP" xr:uid="{00000000-0004-0000-0200-0000B9020000}"/>
    <hyperlink ref="I700" r:id="rId699" display="https://drive.google.com/open?id=1l-NbhnrEViWo6CqcvR-onbBbLMaZRKXy" xr:uid="{00000000-0004-0000-0200-0000BA020000}"/>
    <hyperlink ref="I701" r:id="rId700" display="https://drive.google.com/open?id=1Q-6Yyebg36nVeiZ3u3ZmUIO-vgELLsYl" xr:uid="{00000000-0004-0000-0200-0000BB020000}"/>
    <hyperlink ref="I702" r:id="rId701" display="https://drive.google.com/open?id=16aI9v7-yyWKQjQd1WbK-rL7yA0Dxuqek" xr:uid="{00000000-0004-0000-0200-0000BC020000}"/>
    <hyperlink ref="I703" r:id="rId702" display="https://drive.google.com/open?id=1fV5w3qSD7_GiRkgJqvl841sjlVMk1FuZ" xr:uid="{00000000-0004-0000-0200-0000BD020000}"/>
    <hyperlink ref="I704" r:id="rId703" display="https://drive.google.com/open?id=19HyM8fYdAp-bl2ttdptouK9kEP-yL060" xr:uid="{00000000-0004-0000-0200-0000BE020000}"/>
    <hyperlink ref="I705" r:id="rId704" display="https://drive.google.com/open?id=1eydjaSfMkZuAdfkAJyjkelqvNfOD8e2A" xr:uid="{00000000-0004-0000-0200-0000BF020000}"/>
    <hyperlink ref="I706" r:id="rId705" display="https://drive.google.com/open?id=1Clu0HplK-H8LRqUxqKGaXix7pmhwmfaB" xr:uid="{00000000-0004-0000-0200-0000C0020000}"/>
    <hyperlink ref="I707" r:id="rId706" display="https://drive.google.com/open?id=1-Bsik6_B67XB6KbHoa2JsgNV_rI6gw3G" xr:uid="{00000000-0004-0000-0200-0000C1020000}"/>
    <hyperlink ref="I708" r:id="rId707" display="https://drive.google.com/open?id=1azzRAgiYSrK_oCOlLS6j5EoRIM7QCcEQ" xr:uid="{00000000-0004-0000-0200-0000C2020000}"/>
    <hyperlink ref="I709" r:id="rId708" display="https://drive.google.com/open?id=1imX05LTMvxxXaHl5hfWQufINFkgZYGce" xr:uid="{00000000-0004-0000-0200-0000C3020000}"/>
    <hyperlink ref="I710" r:id="rId709" display="https://drive.google.com/open?id=1kPpDIebysxQdUpHzI5Stj0r-TVsW_fE8" xr:uid="{00000000-0004-0000-0200-0000C4020000}"/>
    <hyperlink ref="I711" r:id="rId710" display="https://drive.google.com/open?id=17NjTmpzndqWfkpaE0dfpxxh__FC5SSwG" xr:uid="{00000000-0004-0000-0200-0000C5020000}"/>
    <hyperlink ref="I712" r:id="rId711" display="https://drive.google.com/open?id=1mCpGFeZUN_EIHeW7ph0q3IdbK8Y0EU4Z" xr:uid="{00000000-0004-0000-0200-0000C6020000}"/>
    <hyperlink ref="I713" r:id="rId712" display="https://drive.google.com/open?id=1W_wqTINyy0Ml6sKP7ojsUMNH0-Xo6wL0" xr:uid="{00000000-0004-0000-0200-0000C7020000}"/>
    <hyperlink ref="I714" r:id="rId713" display="https://drive.google.com/open?id=1vMQhh8wIHsbTkB0bCTf6YzSNptVKR51b" xr:uid="{00000000-0004-0000-0200-0000C8020000}"/>
    <hyperlink ref="I715" r:id="rId714" display="https://drive.google.com/open?id=1-bKyXD7YvqPBhWeM1lQV7Ca8cyGnCn2d" xr:uid="{00000000-0004-0000-0200-0000C9020000}"/>
    <hyperlink ref="I716" r:id="rId715" display="https://drive.google.com/open?id=1-YnxidPEZtbEMdP2NCfUCrUZCuFhIzvZ" xr:uid="{00000000-0004-0000-0200-0000CA020000}"/>
    <hyperlink ref="I717" r:id="rId716" display="https://drive.google.com/open?id=1gSn1b1cinBiYULOyvlRlFLSJdNM4tFmA" xr:uid="{00000000-0004-0000-0200-0000CB020000}"/>
    <hyperlink ref="I718" r:id="rId717" display="https://drive.google.com/open?id=1tHfMrDeAhg2ayK8oJuWm3JXK1xiCEBt4" xr:uid="{00000000-0004-0000-0200-0000CC020000}"/>
    <hyperlink ref="I719" r:id="rId718" display="https://drive.google.com/open?id=1aqZKakQl-F_VzHZFEchzma9_z6dray6r" xr:uid="{00000000-0004-0000-0200-0000CD020000}"/>
    <hyperlink ref="I720" r:id="rId719" display="https://drive.google.com/open?id=1ruRCKO_4UrLKFBv80g_Hg3rEKmOqxv30" xr:uid="{00000000-0004-0000-0200-0000CE020000}"/>
    <hyperlink ref="I721" r:id="rId720" display="https://drive.google.com/open?id=1iRl7QtD6MnyYqfavyM5PoA40TqoiKSsX" xr:uid="{00000000-0004-0000-0200-0000CF020000}"/>
    <hyperlink ref="I722" r:id="rId721" display="https://drive.google.com/open?id=1SAR_devH1Bxb4inu4g4iWt3bm9KQ_Q3V" xr:uid="{00000000-0004-0000-0200-0000D0020000}"/>
    <hyperlink ref="I723" r:id="rId722" display="https://drive.google.com/open?id=1_sIF3B-bfirbNVNmy9uCkL7C5CShz40N" xr:uid="{00000000-0004-0000-0200-0000D1020000}"/>
    <hyperlink ref="I724" r:id="rId723" display="https://drive.google.com/open?id=1bBp_zOHbr6nv37MMN1UGRfBf9Ev32dTd" xr:uid="{00000000-0004-0000-0200-0000D2020000}"/>
    <hyperlink ref="I725" r:id="rId724" display="https://drive.google.com/open?id=12oEot8jNAzDSAiRn7H_Y9AHa9Yrtu1Hr" xr:uid="{00000000-0004-0000-0200-0000D3020000}"/>
    <hyperlink ref="I726" r:id="rId725" display="https://drive.google.com/open?id=1A0a1823a4ynWG_aA2HCG6DYcMzbJtKNd" xr:uid="{00000000-0004-0000-0200-0000D4020000}"/>
    <hyperlink ref="I727" r:id="rId726" display="https://drive.google.com/open?id=14C5Z49oNAf5QV6CNhOBtnDLOjORJ9Jgl" xr:uid="{00000000-0004-0000-0200-0000D5020000}"/>
    <hyperlink ref="I728" r:id="rId727" display="https://drive.google.com/open?id=1J7l7MDy3WFmbdFIvEpHKbbJR99G13O26" xr:uid="{00000000-0004-0000-0200-0000D6020000}"/>
    <hyperlink ref="I729" r:id="rId728" display="https://drive.google.com/open?id=1cX8BXiFA-jLX1uFHWFf-h7slTojGAqSS" xr:uid="{00000000-0004-0000-0200-0000D7020000}"/>
    <hyperlink ref="I730" r:id="rId729" display="https://drive.google.com/open?id=1H3QpJwmlWcy6BcBHUKhMdur4_TVpJaNz" xr:uid="{00000000-0004-0000-0200-0000D8020000}"/>
    <hyperlink ref="I731" r:id="rId730" display="https://drive.google.com/open?id=1Llpk0IS_fvz_u6oQ9a_-jsZP6XmIKfgn" xr:uid="{00000000-0004-0000-0200-0000D9020000}"/>
    <hyperlink ref="I732" r:id="rId731" display="https://drive.google.com/open?id=1IepDnkrnEJL1SgFf1BjTS3NujQXgyX8-" xr:uid="{00000000-0004-0000-0200-0000DA020000}"/>
    <hyperlink ref="I733" r:id="rId732" display="https://drive.google.com/open?id=1MZ53pbJto1KWC0ISnqxR5qxbOikWpBdf" xr:uid="{00000000-0004-0000-0200-0000DB020000}"/>
    <hyperlink ref="I734" r:id="rId733" display="https://drive.google.com/open?id=1RRzDktHj1_IiGW5ZCfu1gBZEA9fcBE86" xr:uid="{00000000-0004-0000-0200-0000DC020000}"/>
    <hyperlink ref="I735" r:id="rId734" display="https://drive.google.com/open?id=1qeHO-Pz3WQjiaaQsWg_FS4IaD-fsBduD" xr:uid="{00000000-0004-0000-0200-0000DD020000}"/>
    <hyperlink ref="I736" r:id="rId735" display="https://drive.google.com/open?id=1Bg6KLBpaT-ldxX4bQAzWgMiDSA5e5Hsw" xr:uid="{00000000-0004-0000-0200-0000DE020000}"/>
    <hyperlink ref="I737" r:id="rId736" display="https://drive.google.com/open?id=1BWX9iHyzKfueG3_7Ak67U_ZD_-Z0q7sw" xr:uid="{00000000-0004-0000-0200-0000DF020000}"/>
    <hyperlink ref="I738" r:id="rId737" display="https://drive.google.com/open?id=1NCT3eua27hDko6HniLi3ZZEvegCJdZ9Z" xr:uid="{00000000-0004-0000-0200-0000E0020000}"/>
    <hyperlink ref="I739" r:id="rId738" display="https://drive.google.com/open?id=1T_qBa8i4nTOwQw1-VshzYec-lrGWhZCq" xr:uid="{00000000-0004-0000-0200-0000E1020000}"/>
    <hyperlink ref="I740" r:id="rId739" display="https://drive.google.com/open?id=1Iddt36xBuHj2yc62O53OSfTaaYMNWPoT" xr:uid="{00000000-0004-0000-0200-0000E2020000}"/>
    <hyperlink ref="I741" r:id="rId740" display="https://drive.google.com/open?id=1Si2U18g6fjMm1cK0CflZxCYGWRWQ-Qlj" xr:uid="{00000000-0004-0000-0200-0000E3020000}"/>
    <hyperlink ref="I742" r:id="rId741" display="https://drive.google.com/open?id=13HIdiB7OFliNIFSNoT4SlrH2W-TdoAp4" xr:uid="{00000000-0004-0000-0200-0000E4020000}"/>
    <hyperlink ref="I743" r:id="rId742" display="https://drive.google.com/open?id=1MLyHD-jGwZwE9HxoH9VntAXoiPCDl9B8" xr:uid="{00000000-0004-0000-0200-0000E5020000}"/>
    <hyperlink ref="I744" r:id="rId743" display="https://drive.google.com/open?id=16zC1rR-GaaDPBmpmi6hiq1yXRfFSpTDt" xr:uid="{00000000-0004-0000-0200-0000E6020000}"/>
    <hyperlink ref="I745" r:id="rId744" display="https://drive.google.com/open?id=12BHmUffotpv5PTUMioqjAKDFaI97cSTj" xr:uid="{00000000-0004-0000-0200-0000E7020000}"/>
    <hyperlink ref="I746" r:id="rId745" display="https://drive.google.com/open?id=1QwT0SHJXOZbbfe7uGLwYQXGhLE86kokA" xr:uid="{00000000-0004-0000-0200-0000E8020000}"/>
    <hyperlink ref="I747" r:id="rId746" display="https://drive.google.com/open?id=1hEIQ1Ji8LK9UGe8qONOG00d8IyHcGIGs" xr:uid="{00000000-0004-0000-0200-0000E9020000}"/>
    <hyperlink ref="I748" r:id="rId747" display="https://drive.google.com/open?id=1TI20cKAc8kfxZXOzz7vl2OgiYhofvwYj" xr:uid="{00000000-0004-0000-0200-0000EA020000}"/>
    <hyperlink ref="I749" r:id="rId748" display="https://drive.google.com/open?id=125fkvrkfVFvR94T2mYj6iDRQ_nZGglYj" xr:uid="{00000000-0004-0000-0200-0000EB020000}"/>
    <hyperlink ref="I750" r:id="rId749" display="https://drive.google.com/open?id=1QYRxROlYf9SAM-EA9RJoojHhiQkyurN4" xr:uid="{00000000-0004-0000-0200-0000EC020000}"/>
    <hyperlink ref="I751" r:id="rId750" display="https://drive.google.com/open?id=13R9HYDuO0zOw2uzyNMKw7VMYPN_97o1f" xr:uid="{00000000-0004-0000-0200-0000ED020000}"/>
    <hyperlink ref="I752" r:id="rId751" display="https://drive.google.com/open?id=1cxWyqAI21A7tLWLtA5wVK4lKkR-o9g7T" xr:uid="{00000000-0004-0000-0200-0000EE020000}"/>
    <hyperlink ref="I753" r:id="rId752" display="https://drive.google.com/open?id=10ZPWz1a99RS654o8jUOyVmHpZaJOcl6_" xr:uid="{00000000-0004-0000-0200-0000EF020000}"/>
    <hyperlink ref="I754" r:id="rId753" display="https://drive.google.com/open?id=1K4lM3JsSaPBsdFGXRapEfsCyNs82eE12" xr:uid="{00000000-0004-0000-0200-0000F0020000}"/>
    <hyperlink ref="I755" r:id="rId754" display="https://drive.google.com/open?id=1smxEGXU91Eh97YrxjyHRzPvMz_OP4ddy" xr:uid="{00000000-0004-0000-0200-0000F1020000}"/>
    <hyperlink ref="I756" r:id="rId755" display="https://drive.google.com/open?id=16WPTUaQPtpyHhJXlW_VTbcuBrTABA76C" xr:uid="{00000000-0004-0000-0200-0000F2020000}"/>
    <hyperlink ref="I757" r:id="rId756" display="https://drive.google.com/open?id=1bxu7Q_LGxbnndKDrgwBYxaISp6mcw5RU" xr:uid="{00000000-0004-0000-0200-0000F3020000}"/>
    <hyperlink ref="I758" r:id="rId757" display="https://drive.google.com/open?id=1HOv2F1CdaRbVVkr37ZiBJNL2Qthz7ZjB" xr:uid="{00000000-0004-0000-0200-0000F4020000}"/>
    <hyperlink ref="I759" r:id="rId758" display="https://drive.google.com/open?id=1eX-R2RSQFMf7E6Coa6qgTLifZ49MX525" xr:uid="{00000000-0004-0000-0200-0000F5020000}"/>
    <hyperlink ref="I760" r:id="rId759" display="https://drive.google.com/open?id=1vlj3fZeBvLmXF6sjucaSrdZU1TBgrP58" xr:uid="{00000000-0004-0000-0200-0000F6020000}"/>
    <hyperlink ref="I761" r:id="rId760" display="https://drive.google.com/open?id=1bLuo-Xzt6JUjzxuRfS1zjfmT7PbGpmAr" xr:uid="{00000000-0004-0000-0200-0000F7020000}"/>
    <hyperlink ref="I762" r:id="rId761" display="https://drive.google.com/open?id=1b4xfz5LKCaBXBUXyQlVMVWrLPAMgBXSN" xr:uid="{00000000-0004-0000-0200-0000F8020000}"/>
    <hyperlink ref="I763" r:id="rId762" display="https://drive.google.com/open?id=1bwm0qt5f0Guh2m8gHtJ_hebTlFHxTo7z" xr:uid="{00000000-0004-0000-0200-0000F9020000}"/>
    <hyperlink ref="I764" r:id="rId763" display="https://drive.google.com/open?id=1rFrJQ3Z_g4drnY6jDUpRSgX_99zlSSGH" xr:uid="{00000000-0004-0000-0200-0000FA020000}"/>
    <hyperlink ref="I765" r:id="rId764" display="https://drive.google.com/open?id=1XEEt6K3eIkupLzjyNaYP0XNV9Z67Bd7s" xr:uid="{00000000-0004-0000-0200-0000FB020000}"/>
    <hyperlink ref="I766" r:id="rId765" display="https://drive.google.com/open?id=1AfsyGKuH5rjsb6QoPwXKNyo1N9CmW0Df" xr:uid="{00000000-0004-0000-0200-0000FC020000}"/>
    <hyperlink ref="I767" r:id="rId766" display="https://drive.google.com/open?id=1Rc1yLq9xAvFSFKORgx-i_YA3aGpDoZcI" xr:uid="{00000000-0004-0000-0200-0000FD020000}"/>
    <hyperlink ref="I768" r:id="rId767" display="https://drive.google.com/open?id=1ppm-olp-Fi20k1t_hwCrzHCZDdCGcUGh" xr:uid="{00000000-0004-0000-0200-0000FE020000}"/>
    <hyperlink ref="I769" r:id="rId768" display="https://drive.google.com/open?id=1Zaassb2kCR-dLTBKcBb4lqqdpVzI_UOd" xr:uid="{00000000-0004-0000-0200-0000FF020000}"/>
    <hyperlink ref="I770" r:id="rId769" display="https://drive.google.com/open?id=1rqEChxNhmtqmmdV0PgxpOnN0iRN_1WxS" xr:uid="{00000000-0004-0000-0200-000000030000}"/>
    <hyperlink ref="I771" r:id="rId770" display="https://drive.google.com/open?id=1ACk2KD59Zfh6-ORjorUwFL_ce8e1k3JL" xr:uid="{00000000-0004-0000-0200-000001030000}"/>
    <hyperlink ref="I772" r:id="rId771" display="https://drive.google.com/open?id=1WW86h-J1Q0lEqUeQuzf8TLgUeunR5t8N" xr:uid="{00000000-0004-0000-0200-000002030000}"/>
    <hyperlink ref="I773" r:id="rId772" display="https://drive.google.com/open?id=1Dd4v7xm0tVRJcQ7UqL64h_sjC3y-yxjl" xr:uid="{00000000-0004-0000-0200-000003030000}"/>
    <hyperlink ref="I774" r:id="rId773" display="https://drive.google.com/open?id=1uEt3gx_SR8929zAo8Uvw9VPccPLjJMy_" xr:uid="{00000000-0004-0000-0200-000004030000}"/>
    <hyperlink ref="I775" r:id="rId774" display="https://drive.google.com/open?id=1qm1EfuCuEtKYvqmKHULH9xe-6-F8epqE" xr:uid="{00000000-0004-0000-0200-000005030000}"/>
    <hyperlink ref="I776" r:id="rId775" display="https://drive.google.com/open?id=1o3LArPBMC53qm1PRi3TdRtlDcgG26ipp" xr:uid="{00000000-0004-0000-0200-000006030000}"/>
    <hyperlink ref="I777" r:id="rId776" display="https://drive.google.com/open?id=1KZxmQvW0JLOW3muP_0iI6X2wyCOj_og6" xr:uid="{00000000-0004-0000-0200-000007030000}"/>
    <hyperlink ref="I778" r:id="rId777" display="https://drive.google.com/open?id=1b9Izc0jliTNOTAjG2D1XlPiW23AR_U6u" xr:uid="{00000000-0004-0000-0200-000008030000}"/>
    <hyperlink ref="I779" r:id="rId778" display="https://drive.google.com/open?id=1Qhiq8mqlpGGt5oKWr1-P-_pXN95ael_c" xr:uid="{00000000-0004-0000-0200-000009030000}"/>
    <hyperlink ref="I780" r:id="rId779" display="https://drive.google.com/open?id=1s-2k96JSO5uXzNtpAdyBxqrSBBqe4Syp" xr:uid="{00000000-0004-0000-0200-00000A030000}"/>
    <hyperlink ref="I781" r:id="rId780" display="https://drive.google.com/open?id=1O85meO5m5B8WUH9Ral9iDcMSOWQffnPm" xr:uid="{00000000-0004-0000-0200-00000B030000}"/>
    <hyperlink ref="I782" r:id="rId781" display="https://drive.google.com/open?id=1qZbUwonk3qLBXjoyEXZWVkxzaRvzmWrk" xr:uid="{00000000-0004-0000-0200-00000C030000}"/>
    <hyperlink ref="I783" r:id="rId782" display="https://drive.google.com/open?id=1dztdjAIaEe51-olLU5iSzXf77AvEIQkH" xr:uid="{00000000-0004-0000-0200-00000D030000}"/>
    <hyperlink ref="I784" r:id="rId783" display="https://drive.google.com/open?id=1sQ54T_rDXFjRZrwwBcpJIAuBLgwaFpPK" xr:uid="{00000000-0004-0000-0200-00000E030000}"/>
    <hyperlink ref="I785" r:id="rId784" display="https://drive.google.com/open?id=1vhLnzmwHQ59CDBuWrtJvfaJDs-jJHJCC" xr:uid="{00000000-0004-0000-0200-00000F030000}"/>
    <hyperlink ref="I786" r:id="rId785" display="https://drive.google.com/open?id=1KwYVIL40W6sL4yLwswRt5753YZFsDExK" xr:uid="{00000000-0004-0000-0200-000010030000}"/>
    <hyperlink ref="I787" r:id="rId786" display="https://drive.google.com/open?id=1FAySdBG6Bdjqj51N6XFRlTuil5WXg1I8" xr:uid="{00000000-0004-0000-0200-000011030000}"/>
    <hyperlink ref="I788" r:id="rId787" display="https://drive.google.com/open?id=1uJgpfcV0hBMmOpq59HRK-RU9JUBX5le8" xr:uid="{00000000-0004-0000-0200-000012030000}"/>
    <hyperlink ref="I789" r:id="rId788" display="https://drive.google.com/open?id=1mmZx2EN_r9XUt4mOVCRLdBjoYycneQ5T" xr:uid="{00000000-0004-0000-0200-000013030000}"/>
    <hyperlink ref="I790" r:id="rId789" display="https://drive.google.com/open?id=1I8Q-9anuO4iH_5M8CvmLB-y7DvVOsD7B" xr:uid="{00000000-0004-0000-0200-000014030000}"/>
    <hyperlink ref="I791" r:id="rId790" display="https://drive.google.com/open?id=1hCujVqJW_zqYHAVNJofP4tr55JjTt_u8" xr:uid="{00000000-0004-0000-0200-000015030000}"/>
    <hyperlink ref="I792" r:id="rId791" display="https://drive.google.com/open?id=1UAbe3kesHQIzZE78G0T-Q6ul66ag-VAI" xr:uid="{00000000-0004-0000-0200-000016030000}"/>
    <hyperlink ref="I793" r:id="rId792" display="https://drive.google.com/open?id=1kgfqTY3PsbJk9pmbMdf8GupulOA7m6fY" xr:uid="{00000000-0004-0000-0200-000017030000}"/>
    <hyperlink ref="I794" r:id="rId793" display="https://drive.google.com/open?id=1uAOSHidYveHE4_CZjVvXzxBA4W0BrtCv" xr:uid="{00000000-0004-0000-0200-000018030000}"/>
    <hyperlink ref="I795" r:id="rId794" display="https://drive.google.com/open?id=1jxq0IXcTCNkBgO1KQk6X41NJgdT24JS7" xr:uid="{00000000-0004-0000-0200-000019030000}"/>
    <hyperlink ref="I796" r:id="rId795" display="https://drive.google.com/open?id=1_fCdCcLFX6TkKQKb63wkEqiKGQ1ZVw6B" xr:uid="{00000000-0004-0000-0200-00001A030000}"/>
    <hyperlink ref="I797" r:id="rId796" display="https://drive.google.com/open?id=1PgXsk7pG2t_7Q-CQcIzC7J569bmoeNBy" xr:uid="{00000000-0004-0000-0200-00001B030000}"/>
    <hyperlink ref="I798" r:id="rId797" display="https://drive.google.com/open?id=1UYkjOcweJT2q4qVyOm3cFO6U279QIm3l" xr:uid="{00000000-0004-0000-0200-00001C030000}"/>
    <hyperlink ref="I799" r:id="rId798" display="https://drive.google.com/open?id=17scFejkRAOdU2tHNq3Mjk0U08pzMZ1Pm" xr:uid="{00000000-0004-0000-0200-00001D030000}"/>
    <hyperlink ref="I800" r:id="rId799" display="https://drive.google.com/open?id=1dHhx7muxmxYM6XwH_u5ppyBvYUbQ4Hui" xr:uid="{00000000-0004-0000-0200-00001E030000}"/>
    <hyperlink ref="I801" r:id="rId800" display="https://drive.google.com/open?id=1sA2DnBmbfhuvoGQHKPCqNQmZZqGKcG1U" xr:uid="{00000000-0004-0000-0200-00001F030000}"/>
    <hyperlink ref="I802" r:id="rId801" display="https://drive.google.com/open?id=1ioGJa27Q8WxBpXQu8rFkHN-mmW00B5wd" xr:uid="{00000000-0004-0000-0200-000020030000}"/>
    <hyperlink ref="I803" r:id="rId802" display="https://drive.google.com/open?id=1c7A6hOItd5uqmiEw4PiKJVKe2T2Vlgza" xr:uid="{00000000-0004-0000-0200-000021030000}"/>
    <hyperlink ref="I804" r:id="rId803" display="https://drive.google.com/open?id=10K4G5b9PndRJhVNbYlO1PigYKlm15JJT" xr:uid="{00000000-0004-0000-0200-000022030000}"/>
    <hyperlink ref="I805" r:id="rId804" display="https://drive.google.com/open?id=1c9bYeLAKM2sRaDixbPtLEybF7ORZm08Q" xr:uid="{00000000-0004-0000-0200-000023030000}"/>
    <hyperlink ref="I806" r:id="rId805" display="https://drive.google.com/open?id=1nVItOh8ngj6w_UQiTpybgsEJDH8VJiQD" xr:uid="{00000000-0004-0000-0200-000024030000}"/>
    <hyperlink ref="I807" r:id="rId806" display="https://drive.google.com/open?id=1UA1Jjl6uW3zz4-CDtY_L6QbieDUNgXvg" xr:uid="{00000000-0004-0000-0200-000025030000}"/>
    <hyperlink ref="I808" r:id="rId807" display="https://drive.google.com/open?id=1cwryxR0pjz7YlV2KuCUUWB7XG7T5Y7pI" xr:uid="{00000000-0004-0000-0200-000026030000}"/>
    <hyperlink ref="I809" r:id="rId808" display="https://drive.google.com/open?id=1KkPqKimwHmcWWVKe7DDewX3hJsQZLvex" xr:uid="{00000000-0004-0000-0200-000027030000}"/>
    <hyperlink ref="I810" r:id="rId809" display="https://drive.google.com/open?id=1gEKMyUjJVSUHlwihFqeg0Q1N76BzcsUV" xr:uid="{00000000-0004-0000-0200-000028030000}"/>
    <hyperlink ref="I811" r:id="rId810" display="https://drive.google.com/open?id=1q-2szdA_RPfrAAq8HBDLTYt8QLtbsPGs" xr:uid="{00000000-0004-0000-0200-000029030000}"/>
    <hyperlink ref="I812" r:id="rId811" display="https://drive.google.com/open?id=1hL93zlOH_XE6UZEKJ9QbnyfM9fMP_wmp" xr:uid="{00000000-0004-0000-0200-00002A030000}"/>
    <hyperlink ref="I813" r:id="rId812" display="https://drive.google.com/open?id=1lX58tIiCS0NL5LJtHE_XmT6-3dvY-gjZ" xr:uid="{00000000-0004-0000-0200-00002B030000}"/>
    <hyperlink ref="I814" r:id="rId813" display="https://drive.google.com/open?id=1Fi9Z-wDYMT1gxXwLsGEdESbOce4LbZkE" xr:uid="{00000000-0004-0000-0200-00002C030000}"/>
    <hyperlink ref="I815" r:id="rId814" display="https://drive.google.com/open?id=18vHaHs1vZvOcElNNUHyNsV5w6a0k1Qxh" xr:uid="{00000000-0004-0000-0200-00002D030000}"/>
    <hyperlink ref="I816" r:id="rId815" display="https://drive.google.com/open?id=1GE6BNxAww4qRWebFisnIoGg1zi0DY2Kc" xr:uid="{00000000-0004-0000-0200-00002E030000}"/>
    <hyperlink ref="I817" r:id="rId816" display="https://drive.google.com/open?id=1rGQ5JPnZs2mfCp9hwMSzVovVKmpWJ9YF" xr:uid="{00000000-0004-0000-0200-00002F030000}"/>
    <hyperlink ref="I818" r:id="rId817" display="https://drive.google.com/open?id=1LGIRYsT1PpNXcFWcZ3yd0OCw1RBs-piR" xr:uid="{00000000-0004-0000-0200-000030030000}"/>
    <hyperlink ref="I819" r:id="rId818" display="https://drive.google.com/open?id=1wVIIPUYSRyFsLBvJHlPzQrrDt8fRm2MK" xr:uid="{00000000-0004-0000-0200-000031030000}"/>
    <hyperlink ref="I820" r:id="rId819" display="https://drive.google.com/open?id=1LzQRuDhG4lKMc7nSoYK2n7ZC6AHMRBgj" xr:uid="{00000000-0004-0000-0200-000032030000}"/>
    <hyperlink ref="I821" r:id="rId820" display="https://drive.google.com/open?id=1GvcO9S4twqkyJDUSjkguTuS0M18YQmjY" xr:uid="{00000000-0004-0000-0200-000033030000}"/>
    <hyperlink ref="I822" r:id="rId821" display="https://drive.google.com/open?id=17heaGRntE70sg7vwg7Yb1OiYnXQ4MX3I" xr:uid="{00000000-0004-0000-0200-000034030000}"/>
    <hyperlink ref="I823" r:id="rId822" display="https://drive.google.com/open?id=13NWvJiVcnto2L9Y4cbiYgoi_TOJ8hFSu" xr:uid="{00000000-0004-0000-0200-000035030000}"/>
    <hyperlink ref="I824" r:id="rId823" display="https://drive.google.com/open?id=1NCseDJVdQ-DHANB2JlN_Z7BUXoiMjhtf" xr:uid="{00000000-0004-0000-0200-000036030000}"/>
    <hyperlink ref="I825" r:id="rId824" display="https://drive.google.com/open?id=1Yy-F2a6snPG0m0P2G6zRdkvAH4O88URr" xr:uid="{00000000-0004-0000-0200-000037030000}"/>
    <hyperlink ref="I826" r:id="rId825" display="https://drive.google.com/open?id=1qjxZfqhxc1jZzEirPythvUpJxYT7kFQs" xr:uid="{00000000-0004-0000-0200-000038030000}"/>
    <hyperlink ref="I827" r:id="rId826" display="https://drive.google.com/open?id=186l59ONkbH1h5PPrBkq9sMp12ySxhSJs" xr:uid="{00000000-0004-0000-0200-000039030000}"/>
    <hyperlink ref="I828" r:id="rId827" display="https://drive.google.com/open?id=1G8b7HYvXR__DNHpMgt-WYrmRNFoDaC5q" xr:uid="{00000000-0004-0000-0200-00003A030000}"/>
    <hyperlink ref="I829" r:id="rId828" display="https://drive.google.com/open?id=1q1eGHCh14MIM9NeNHDqknP1Bn8CQQkof" xr:uid="{00000000-0004-0000-0200-00003B030000}"/>
    <hyperlink ref="I830" r:id="rId829" display="https://drive.google.com/open?id=1MizaZ0o9poU1ZF3ZKvvhA02SVRwo_KsD" xr:uid="{00000000-0004-0000-0200-00003C030000}"/>
    <hyperlink ref="I831" r:id="rId830" display="https://drive.google.com/open?id=1y4LYBti7sknMN2Oo0epyGLEji2lY41lS" xr:uid="{00000000-0004-0000-0200-00003D030000}"/>
    <hyperlink ref="I832" r:id="rId831" display="https://drive.google.com/open?id=15c_nRdcdddDzQbg8ImK-26kknAZIfjwB" xr:uid="{00000000-0004-0000-0200-00003E030000}"/>
    <hyperlink ref="I833" r:id="rId832" display="https://drive.google.com/open?id=1KFYSaNtNxV9pTXOTCRyde25bT7otswY6" xr:uid="{00000000-0004-0000-0200-00003F030000}"/>
    <hyperlink ref="I834" r:id="rId833" display="https://drive.google.com/open?id=13IJ9g5xsiggbWtsrUpU7P7lEs9J3ZS8J" xr:uid="{00000000-0004-0000-0200-000040030000}"/>
    <hyperlink ref="I835" r:id="rId834" display="https://drive.google.com/open?id=1AIpeIyvcJmyNEiI6g1QlvR3Y0d-PE2M3" xr:uid="{00000000-0004-0000-0200-000041030000}"/>
    <hyperlink ref="I836" r:id="rId835" display="https://drive.google.com/open?id=14xf_LUfS6V1sWPDt9eUmvmydDVWFUeCa" xr:uid="{00000000-0004-0000-0200-000042030000}"/>
    <hyperlink ref="I837" r:id="rId836" display="https://drive.google.com/open?id=1G87x4BwnunRkriaAnjhVW-S3EnEyIiH1" xr:uid="{00000000-0004-0000-0200-000043030000}"/>
    <hyperlink ref="I838" r:id="rId837" display="https://drive.google.com/open?id=1IE3DzgSO8zn08pDSeg0PutTPAaRKoPw6" xr:uid="{00000000-0004-0000-0200-000044030000}"/>
    <hyperlink ref="I839" r:id="rId838" display="https://drive.google.com/open?id=1wg7sDpGn71OvXXBitdjHSHvTtzdR4WbX" xr:uid="{00000000-0004-0000-0200-000045030000}"/>
    <hyperlink ref="I840" r:id="rId839" display="https://drive.google.com/open?id=1ErQOajdgkgvu-Ljq6F33q2tVwxsyhZwg" xr:uid="{00000000-0004-0000-0200-000046030000}"/>
    <hyperlink ref="I841" r:id="rId840" display="https://drive.google.com/open?id=195AZSRE2QxlqLmTk9dN2r40MPRM_6xmW" xr:uid="{00000000-0004-0000-0200-000047030000}"/>
    <hyperlink ref="I842" r:id="rId841" display="https://drive.google.com/open?id=18oZk-VTtmwi7EVWTeN39WljDupqLNCyK" xr:uid="{00000000-0004-0000-0200-000048030000}"/>
    <hyperlink ref="I843" r:id="rId842" display="https://drive.google.com/open?id=103TI7Z51tWveq2XDYCbiVlvxYkfwheci" xr:uid="{00000000-0004-0000-0200-000049030000}"/>
    <hyperlink ref="I844" r:id="rId843" display="https://drive.google.com/open?id=1Vnj4jYgaPCjEq1SIoMMaCGuIKC5kPk7z" xr:uid="{00000000-0004-0000-0200-00004A030000}"/>
    <hyperlink ref="I845" r:id="rId844" display="https://drive.google.com/open?id=1ffTT_6vKbknp-2StdMxzlSHdraskUdDd" xr:uid="{00000000-0004-0000-0200-00004B030000}"/>
    <hyperlink ref="I846" r:id="rId845" display="https://drive.google.com/open?id=1LITywtHFkHgzGQjkYWU9lgqd7q9hTksw" xr:uid="{00000000-0004-0000-0200-00004C030000}"/>
    <hyperlink ref="I847" r:id="rId846" display="https://drive.google.com/open?id=195VpoqtSIveJeafh1k12Ayvea8R6rQ1S2ZzgBVIBYMo" xr:uid="{00000000-0004-0000-0200-00004D030000}"/>
    <hyperlink ref="I848" r:id="rId847" display="https://drive.google.com/open?id=1izL7hYE0oeSZ7muWPEhq3rsfClUvWr7o" xr:uid="{00000000-0004-0000-0200-00004E030000}"/>
    <hyperlink ref="I849" r:id="rId848" display="https://drive.google.com/open?id=1TGo24VvtntJR1M4TobYiE_f8G7VJsqE6" xr:uid="{00000000-0004-0000-0200-00004F030000}"/>
    <hyperlink ref="I850" r:id="rId849" display="https://drive.google.com/open?id=1qdHrDn2lmGkYhOE7JW5YH7PbAC5aZ2im" xr:uid="{00000000-0004-0000-0200-000050030000}"/>
    <hyperlink ref="I851" r:id="rId850" display="https://drive.google.com/open?id=1zqS1rF0UnPYcWHf9YOfdKtsJ88HsCHdU" xr:uid="{00000000-0004-0000-0200-000051030000}"/>
    <hyperlink ref="I852" r:id="rId851" display="https://drive.google.com/open?id=1GpC95UMa4oe7EA41YBcMO9TxQUOH1dFb" xr:uid="{00000000-0004-0000-0200-000052030000}"/>
    <hyperlink ref="I853" r:id="rId852" display="https://drive.google.com/open?id=1Wx5_Y5bFIpaY_K9S2KJ71yqJQquwZpP1" xr:uid="{00000000-0004-0000-0200-000053030000}"/>
    <hyperlink ref="I854" r:id="rId853" display="https://drive.google.com/open?id=1hlqxJ6f-DgGBiRpTTOzRVyrkqhC6CIJv" xr:uid="{00000000-0004-0000-0200-000054030000}"/>
    <hyperlink ref="I855" r:id="rId854" display="https://drive.google.com/open?id=12eeBgM1TvXjZALQYnnd5aHFBBi0n8hFx" xr:uid="{00000000-0004-0000-0200-000055030000}"/>
    <hyperlink ref="I856" r:id="rId855" display="https://drive.google.com/open?id=1Uf935gaW9_2LqkDtbMFt3aKdqeRBODUb" xr:uid="{00000000-0004-0000-0200-000056030000}"/>
    <hyperlink ref="I857" r:id="rId856" display="https://drive.google.com/open?id=1tjL2NIkLhIJAlN0I-bmFnnSNAZKQnOq0" xr:uid="{00000000-0004-0000-0200-000057030000}"/>
    <hyperlink ref="I858" r:id="rId857" display="https://drive.google.com/open?id=10LYR-CVJxP4EHrERUBlXYU0kzgxrlDt_" xr:uid="{00000000-0004-0000-0200-000058030000}"/>
    <hyperlink ref="I859" r:id="rId858" display="https://drive.google.com/open?id=1WmWU1NhBCjGV4rJQOMepzPmu3C9biEjl" xr:uid="{00000000-0004-0000-0200-000059030000}"/>
    <hyperlink ref="I860" r:id="rId859" display="https://drive.google.com/open?id=18QFVMaoKvJtwoTTYuCEyzScdyoz7Is-t" xr:uid="{00000000-0004-0000-0200-00005A030000}"/>
    <hyperlink ref="I861" r:id="rId860" display="https://drive.google.com/open?id=1tUmcK9HfmC9svpoSxf4iIMj4CCSCXgBa" xr:uid="{00000000-0004-0000-0200-00005B030000}"/>
    <hyperlink ref="I862" r:id="rId861" display="https://drive.google.com/open?id=1NuFZnUjiprAZimPT_89HyMDbe-vvNPTL" xr:uid="{00000000-0004-0000-0200-00005C030000}"/>
    <hyperlink ref="I863" r:id="rId862" display="https://drive.google.com/open?id=1e_5A2O8_wiWtQdmnoDAYzx8IWLZe2BeE" xr:uid="{00000000-0004-0000-0200-00005D030000}"/>
    <hyperlink ref="I864" r:id="rId863" display="https://drive.google.com/open?id=1cnsGnb6zAn0rh2srH_Vn-0HgAExPEDyE" xr:uid="{00000000-0004-0000-0200-00005E030000}"/>
    <hyperlink ref="I865" r:id="rId864" display="https://drive.google.com/open?id=1lZAbgjoOigkVmTg9KSQJ67MV0Bnv3v8H" xr:uid="{00000000-0004-0000-0200-00005F030000}"/>
    <hyperlink ref="I866" r:id="rId865" display="https://drive.google.com/open?id=18C6wDWl0EdUTnUoe1lz4PpxJUoMSFFJp" xr:uid="{00000000-0004-0000-0200-000060030000}"/>
    <hyperlink ref="I867" r:id="rId866" display="https://drive.google.com/open?id=1s9eruVASk-_ftlYI_dh9mgxmhM5pFKWa" xr:uid="{00000000-0004-0000-0200-000061030000}"/>
    <hyperlink ref="I868" r:id="rId867" display="https://drive.google.com/open?id=1OKlAB9dUPUzGwwQB-ilo2HV2FM0T89eD" xr:uid="{00000000-0004-0000-0200-000062030000}"/>
    <hyperlink ref="I869" r:id="rId868" display="https://drive.google.com/open?id=1YNNg6VJ4nskMXEW2QCe3gnLC3WH8q-4l" xr:uid="{00000000-0004-0000-0200-000063030000}"/>
    <hyperlink ref="I870" r:id="rId869" display="https://drive.google.com/open?id=1oXRGgT5WenMJL2PqkycqU0lr9EKX7rGE" xr:uid="{00000000-0004-0000-0200-000064030000}"/>
    <hyperlink ref="I871" r:id="rId870" display="https://drive.google.com/open?id=1KRS4TW83MDdUwAupe797PnSNt6-2_uLT" xr:uid="{00000000-0004-0000-0200-000065030000}"/>
    <hyperlink ref="I872" r:id="rId871" display="https://drive.google.com/open?id=1_LrpvssnOHv2_Oed1v_41pT99VEf69Ve" xr:uid="{00000000-0004-0000-0200-000066030000}"/>
    <hyperlink ref="I873" r:id="rId872" display="https://drive.google.com/open?id=1hQTlc1knExHvBndQ-KWZ-vVVy7YtWkw7" xr:uid="{00000000-0004-0000-0200-000067030000}"/>
    <hyperlink ref="I874" r:id="rId873" display="https://drive.google.com/open?id=1vehKWeHo55XaRMX0DDWptS2qaF0z6Q7h" xr:uid="{00000000-0004-0000-0200-000068030000}"/>
    <hyperlink ref="I875" r:id="rId874" display="https://drive.google.com/open?id=1bxB4uo0h8nphI3HCbzKK_hZRSFUUnBW9" xr:uid="{00000000-0004-0000-0200-000069030000}"/>
    <hyperlink ref="I876" r:id="rId875" display="https://drive.google.com/open?id=1geJ9L2pcVY8oCJIh8REwZlScCuixMtQ6" xr:uid="{00000000-0004-0000-0200-00006A030000}"/>
    <hyperlink ref="I877" r:id="rId876" display="https://drive.google.com/open?id=12EodFnVASNGP_hpmkQINMz_eYR7v3dI7" xr:uid="{00000000-0004-0000-0200-00006B030000}"/>
    <hyperlink ref="I878" r:id="rId877" display="https://drive.google.com/open?id=16UQU0d-85t1gqgpbmj1m99b_u1uqqU1K" xr:uid="{00000000-0004-0000-0200-00006C030000}"/>
    <hyperlink ref="I879" r:id="rId878" display="https://drive.google.com/open?id=1fd7MMCAE24zCn_G9_2ncc-j68ji1UgTS" xr:uid="{00000000-0004-0000-0200-00006D030000}"/>
    <hyperlink ref="I880" r:id="rId879" display="https://drive.google.com/open?id=1fEJp834PxHBupXuUivvhCSOlBAcudqKS" xr:uid="{00000000-0004-0000-0200-00006E030000}"/>
    <hyperlink ref="I881" r:id="rId880" display="https://drive.google.com/open?id=118jfDE_blZ_5WLkZYI4GVQ4fkOXIBq0j" xr:uid="{00000000-0004-0000-0200-00006F030000}"/>
    <hyperlink ref="I882" r:id="rId881" display="https://drive.google.com/open?id=10w0Im5xm7xpcOTQyQ-U9sxG5dQzvwUj7" xr:uid="{00000000-0004-0000-0200-000070030000}"/>
    <hyperlink ref="I883" r:id="rId882" display="https://drive.google.com/open?id=17JEncWp49B37sB4zVb1RWhu1Zvh2HiCU" xr:uid="{00000000-0004-0000-0200-000071030000}"/>
    <hyperlink ref="I884" r:id="rId883" display="https://drive.google.com/open?id=1ih6AQfU8riz8KPOFrK7pKijbNf0LeSnw" xr:uid="{00000000-0004-0000-0200-000072030000}"/>
    <hyperlink ref="I885" r:id="rId884" display="https://drive.google.com/open?id=1QA45ndxFNl4SIQ2H3RWj54PeH4hfW9Xa" xr:uid="{00000000-0004-0000-0200-000073030000}"/>
    <hyperlink ref="I886" r:id="rId885" display="https://drive.google.com/open?id=18iQ8TgzQpsA4lZ_bRy5zM9dRrNq4CEgC" xr:uid="{00000000-0004-0000-0200-000074030000}"/>
    <hyperlink ref="I887" r:id="rId886" display="https://drive.google.com/open?id=1xLhSTrlrThO6wEuavN0mAzXV5oRsqejn" xr:uid="{00000000-0004-0000-0200-000075030000}"/>
    <hyperlink ref="I888" r:id="rId887" display="https://drive.google.com/open?id=1xtKArH5lGisTi3ZeSlzLp1HJfy73xUmV" xr:uid="{00000000-0004-0000-0200-000076030000}"/>
    <hyperlink ref="I889" r:id="rId888" display="https://drive.google.com/open?id=1q0WK0rOvwQVyy78ie3gWGHB8m9ayo1qs" xr:uid="{00000000-0004-0000-0200-000077030000}"/>
    <hyperlink ref="I890" r:id="rId889" display="https://drive.google.com/open?id=1I3-n3k6xuJR49aH83us8PrVispCuCTi_" xr:uid="{00000000-0004-0000-0200-000078030000}"/>
    <hyperlink ref="I891" r:id="rId890" display="https://drive.google.com/open?id=1XYgwqYIF1oPmOj88ev6__tIZxNRkumzW" xr:uid="{00000000-0004-0000-0200-000079030000}"/>
    <hyperlink ref="I892" r:id="rId891" display="https://drive.google.com/open?id=14KxYdP3Gaqwo4hr6FGniMVBFut2Kgkgv" xr:uid="{00000000-0004-0000-0200-00007A030000}"/>
    <hyperlink ref="I893" r:id="rId892" display="https://drive.google.com/open?id=14tYK93XdDR4LZOtbHzIj8asNsUjSICK8" xr:uid="{00000000-0004-0000-0200-00007B030000}"/>
    <hyperlink ref="I894" r:id="rId893" display="https://drive.google.com/open?id=1MZDTUTc_mLtmOt1pYbCVCQNKOqUlMhrn" xr:uid="{00000000-0004-0000-0200-00007C030000}"/>
    <hyperlink ref="I895" r:id="rId894" display="https://drive.google.com/open?id=1OCj7uihDkTSUXh5xpriFBvcO-MIX2w3N" xr:uid="{00000000-0004-0000-0200-00007D030000}"/>
    <hyperlink ref="I896" r:id="rId895" display="https://drive.google.com/open?id=1eKI7Xh2ACuDH7PdjFzO6HHSWMKi4DBD-" xr:uid="{00000000-0004-0000-0200-00007E030000}"/>
    <hyperlink ref="I897" r:id="rId896" display="https://drive.google.com/open?id=1Om6GjHQiKilVjJNQQNzA_U0u9i5FygFy" xr:uid="{00000000-0004-0000-0200-00007F030000}"/>
    <hyperlink ref="I898" r:id="rId897" display="https://drive.google.com/open?id=1yfx5YKgABu7v_WRB2kZ2TtUy1iX9DezR" xr:uid="{00000000-0004-0000-0200-000080030000}"/>
    <hyperlink ref="I899" r:id="rId898" display="https://drive.google.com/open?id=1eIz-nHbWxpV2Jc_bAv2VK0gPpgoYfU22" xr:uid="{00000000-0004-0000-0200-000081030000}"/>
    <hyperlink ref="I900" r:id="rId899" display="https://drive.google.com/open?id=1PnUCqh_EMFcurBfDikRWZON-jZiO5gJy" xr:uid="{00000000-0004-0000-0200-000082030000}"/>
    <hyperlink ref="I901" r:id="rId900" display="https://drive.google.com/open?id=1tgF8LXk2Thkkv5k38RKIn4qub8DStEJh" xr:uid="{00000000-0004-0000-0200-000083030000}"/>
    <hyperlink ref="I902" r:id="rId901" display="https://drive.google.com/open?id=1XKxWlmIIvI264lQuBNTTrY7LG_vKRdC7" xr:uid="{00000000-0004-0000-0200-000084030000}"/>
    <hyperlink ref="I903" r:id="rId902" display="https://drive.google.com/open?id=1mwjzdZzIBdbSR77mWr8dWtla_8W9KLEw" xr:uid="{00000000-0004-0000-0200-000085030000}"/>
    <hyperlink ref="I904" r:id="rId903" display="https://drive.google.com/open?id=1-XV4-XfXUa58j6UNnoceEcO13UuB-wvs" xr:uid="{00000000-0004-0000-0200-000086030000}"/>
    <hyperlink ref="I905" r:id="rId904" display="https://drive.google.com/open?id=1vmIxcJKpDAWReeEQHuya1unG26sHci6J" xr:uid="{00000000-0004-0000-0200-000087030000}"/>
    <hyperlink ref="I906" r:id="rId905" display="https://drive.google.com/open?id=13-9nv09Kvf0jQ1TN-cKtI5ET-MeuOtfu" xr:uid="{00000000-0004-0000-0200-000088030000}"/>
    <hyperlink ref="I907" r:id="rId906" display="https://drive.google.com/open?id=1Esy87tNyXshoh1qDG2pSP2Nic8t5r_20" xr:uid="{00000000-0004-0000-0200-000089030000}"/>
    <hyperlink ref="I908" r:id="rId907" display="https://drive.google.com/open?id=1e6pGr0XtrFm25zxW8FMfotP7io5aqCcG" xr:uid="{00000000-0004-0000-0200-00008A030000}"/>
    <hyperlink ref="I909" r:id="rId908" display="https://drive.google.com/open?id=1xIz8WLfX4SvHBDvVBPAjpx3qE7ruv61U" xr:uid="{00000000-0004-0000-0200-00008B030000}"/>
    <hyperlink ref="I910" r:id="rId909" display="https://drive.google.com/open?id=104td4AKoITLk8ohkVo2_Trn0xbtShy7s" xr:uid="{00000000-0004-0000-0200-00008C030000}"/>
    <hyperlink ref="I911" r:id="rId910" display="https://drive.google.com/open?id=1C2zCS76-Bm2zMFnf0ehy47Mj2JQwmKFi" xr:uid="{00000000-0004-0000-0200-00008D030000}"/>
    <hyperlink ref="I912" r:id="rId911" display="https://drive.google.com/open?id=1gNMMdokiJIEL-BIaOQpdolBBkTUoS4UW" xr:uid="{00000000-0004-0000-0200-00008E030000}"/>
    <hyperlink ref="I913" r:id="rId912" display="https://drive.google.com/open?id=13WCIjVuhuE0TryB1LjK4wcIZWJgvhVxW" xr:uid="{00000000-0004-0000-0200-00008F030000}"/>
    <hyperlink ref="I914" r:id="rId913" display="https://drive.google.com/open?id=1cDS5A_QRPk_Q5hEt1GT3wso_GAddVP7v" xr:uid="{00000000-0004-0000-0200-000090030000}"/>
    <hyperlink ref="I915" r:id="rId914" display="https://drive.google.com/open?id=1scvie1-lBTffwGENrfPxWEm_j6dfj-Qe" xr:uid="{00000000-0004-0000-0200-000091030000}"/>
    <hyperlink ref="I916" r:id="rId915" display="https://drive.google.com/open?id=1PEFM4i7ZK-QmmXCinSauBTT8GwkUzRrT" xr:uid="{00000000-0004-0000-0200-000092030000}"/>
    <hyperlink ref="I917" r:id="rId916" display="https://drive.google.com/open?id=1WExbVtwmqET1w2R_X8SAGYlyPZtHeLCN" xr:uid="{00000000-0004-0000-0200-000093030000}"/>
    <hyperlink ref="I918" r:id="rId917" display="https://drive.google.com/open?id=1rMqJ46EuvGT3dJ9Tcbqy3tbJMYe0_Awz" xr:uid="{00000000-0004-0000-0200-000094030000}"/>
    <hyperlink ref="I919" r:id="rId918" display="https://drive.google.com/open?id=1yC-8QM8DHu1yC0L76Q-G9jG89m_e0w6i" xr:uid="{00000000-0004-0000-0200-000095030000}"/>
    <hyperlink ref="I920" r:id="rId919" display="https://drive.google.com/open?id=1l4bOX5bU2LskGZ2bNKgpJTtUoJ_htpuE" xr:uid="{00000000-0004-0000-0200-000096030000}"/>
    <hyperlink ref="I921" r:id="rId920" display="https://drive.google.com/open?id=1i5PAe8Tw2MNwYAOlZY1L0nVLdxmHm3Aq" xr:uid="{00000000-0004-0000-0200-000097030000}"/>
    <hyperlink ref="I922" r:id="rId921" display="https://drive.google.com/open?id=1IZ8GmjrPxJ7spUlJeL5yS_y4eIiq94ah" xr:uid="{00000000-0004-0000-0200-000098030000}"/>
    <hyperlink ref="I923" r:id="rId922" display="https://drive.google.com/open?id=16MAajNtUbMHF05rI2Y1UOdC4U72Nf-in" xr:uid="{00000000-0004-0000-0200-000099030000}"/>
    <hyperlink ref="I924" r:id="rId923" display="https://drive.google.com/open?id=1MHBbBfRyJNYizMPBuwWfphW4J81R66oe" xr:uid="{00000000-0004-0000-0200-00009A030000}"/>
    <hyperlink ref="I925" r:id="rId924" display="https://drive.google.com/open?id=1db9pbQLajSSZb_Zkfl9tQpjOdNaV-ua7" xr:uid="{00000000-0004-0000-0200-00009B030000}"/>
    <hyperlink ref="I926" r:id="rId925" display="https://drive.google.com/open?id=1q9VFgsSWwQDdjg8eMwx26a6Fq1eDjsQI" xr:uid="{00000000-0004-0000-0200-00009C030000}"/>
    <hyperlink ref="I927" r:id="rId926" display="https://drive.google.com/open?id=1WGo9rH_Xdjmeszg6WpQWWqVZeIc4NRfP" xr:uid="{00000000-0004-0000-0200-00009D030000}"/>
    <hyperlink ref="I928" r:id="rId927" display="https://drive.google.com/open?id=1BOBkis9CjZmBJyDNOZetWhEisk1YBkKd" xr:uid="{00000000-0004-0000-0200-00009E030000}"/>
    <hyperlink ref="I929" r:id="rId928" display="https://drive.google.com/open?id=1EIWiNTbNMLNZpoxCWAHPljJXInd9VCc8" xr:uid="{00000000-0004-0000-0200-00009F030000}"/>
    <hyperlink ref="I930" r:id="rId929" display="https://drive.google.com/open?id=1-LA0VixUliClGt-TfuZoDDyjFyoV12rV" xr:uid="{00000000-0004-0000-0200-0000A0030000}"/>
    <hyperlink ref="I931" r:id="rId930" display="https://drive.google.com/open?id=13yr0bjr2Y3mwjOsc6FdB6W0vWJIit6EB" xr:uid="{00000000-0004-0000-0200-0000A1030000}"/>
    <hyperlink ref="I932" r:id="rId931" display="https://drive.google.com/open?id=1vf-XGF4SNpGhRIC-pCdO4I06fFXDuOUd" xr:uid="{00000000-0004-0000-0200-0000A2030000}"/>
    <hyperlink ref="I933" r:id="rId932" display="https://drive.google.com/open?id=1XS0S6fHmdKxmCXfOoZVAS4nTV60IPpoU" xr:uid="{00000000-0004-0000-0200-0000A3030000}"/>
    <hyperlink ref="I934" r:id="rId933" display="https://drive.google.com/open?id=1cJqk2KXD2okb4rvf0MUeDya7Q9zRDdJ8" xr:uid="{00000000-0004-0000-0200-0000A4030000}"/>
    <hyperlink ref="I935" r:id="rId934" display="https://drive.google.com/open?id=1r9DsJMe0qrcTPfylB658ElEJ27SyF99s" xr:uid="{00000000-0004-0000-0200-0000A5030000}"/>
    <hyperlink ref="I936" r:id="rId935" display="https://drive.google.com/open?id=16DkBvRL2elGDKM5iw5tQzj2LSsdOvzkK" xr:uid="{00000000-0004-0000-0200-0000A6030000}"/>
    <hyperlink ref="I937" r:id="rId936" display="https://drive.google.com/open?id=1CP6PxHdyF6ZQqLUBALbU6uvLbWDVg0Xf" xr:uid="{00000000-0004-0000-0200-0000A7030000}"/>
    <hyperlink ref="I938" r:id="rId937" display="https://drive.google.com/open?id=19yhhZbtev1QMGNMXrFgCHM-Jj27HLxdd" xr:uid="{00000000-0004-0000-0200-0000A8030000}"/>
    <hyperlink ref="I939" r:id="rId938" display="https://drive.google.com/open?id=1HCT-SVc4oFH9UIBG3NUhaF9rnQC1sxH_" xr:uid="{00000000-0004-0000-0200-0000A9030000}"/>
    <hyperlink ref="I940" r:id="rId939" display="https://drive.google.com/open?id=1QuX6v0GT63QxhOFkbDiQa2aaU4eiKwHs" xr:uid="{00000000-0004-0000-0200-0000AA030000}"/>
    <hyperlink ref="I941" r:id="rId940" display="https://drive.google.com/open?id=1oXULTC5hlMFXyS3_mjKv10tS4_JSDxgq" xr:uid="{00000000-0004-0000-0200-0000AB030000}"/>
    <hyperlink ref="I942" r:id="rId941" display="https://drive.google.com/open?id=1bWhU1wha5bc2-24nO8ygMfHPbbBBiqvi" xr:uid="{00000000-0004-0000-0200-0000AC030000}"/>
    <hyperlink ref="I943" r:id="rId942" display="https://drive.google.com/open?id=1tlnuSynZQL7ko0M1m6Xro2jmXrKLczVI" xr:uid="{00000000-0004-0000-0200-0000AD030000}"/>
    <hyperlink ref="I944" r:id="rId943" display="https://drive.google.com/open?id=1mn8i467qr1NpESYWDKEvfdXUUXZ4iqxT" xr:uid="{00000000-0004-0000-0200-0000AE030000}"/>
    <hyperlink ref="I945" r:id="rId944" display="https://drive.google.com/open?id=16ioYYXA0xD189KoZ1ex2dW3Mym8Zu-jj" xr:uid="{00000000-0004-0000-0200-0000AF030000}"/>
    <hyperlink ref="I946" r:id="rId945" display="https://drive.google.com/open?id=123z3vUl0TONY_684D3TRMAPAbODIdjpe" xr:uid="{00000000-0004-0000-0200-0000B0030000}"/>
    <hyperlink ref="I947" r:id="rId946" display="https://drive.google.com/open?id=129uV3NBcBueT2bRgYrnq0wC6Hp03es-A" xr:uid="{00000000-0004-0000-0200-0000B1030000}"/>
    <hyperlink ref="I948" r:id="rId947" display="https://drive.google.com/open?id=1suPWIiIMv5vlLvoBR5jzu4UqkIvmtdKD" xr:uid="{00000000-0004-0000-0200-0000B2030000}"/>
    <hyperlink ref="I949" r:id="rId948" display="https://drive.google.com/open?id=1mxVWIXOD54kXhG9ImERjn1Ic0bfOzfbT" xr:uid="{00000000-0004-0000-0200-0000B3030000}"/>
    <hyperlink ref="I950" r:id="rId949" display="https://drive.google.com/open?id=1SSFEh9UZ_vh6gdsinT-pR_Kjyls5T58f" xr:uid="{00000000-0004-0000-0200-0000B4030000}"/>
    <hyperlink ref="I951" r:id="rId950" display="https://drive.google.com/open?id=1U_OZNP9goA4bUEggyAkvtNvctPNBHT4F" xr:uid="{00000000-0004-0000-0200-0000B5030000}"/>
    <hyperlink ref="I952" r:id="rId951" display="https://drive.google.com/open?id=1LBTOtpsrKOfcp1tPa4_EgBM8svJ1I0ez" xr:uid="{00000000-0004-0000-0200-0000B6030000}"/>
    <hyperlink ref="I953" r:id="rId952" display="https://drive.google.com/open?id=1z7zoLcOloX4bSFcx7I1PiW3s9Qskzxm7" xr:uid="{00000000-0004-0000-0200-0000B7030000}"/>
    <hyperlink ref="I954" r:id="rId953" display="https://drive.google.com/open?id=1-WoalsOcc8V1JVuc7kDk99ybUvBXSVMp" xr:uid="{00000000-0004-0000-0200-0000B8030000}"/>
    <hyperlink ref="I955" r:id="rId954" display="https://drive.google.com/open?id=1FMqkTpjIUg7qNV8bDVPu699GD26ESbW5" xr:uid="{00000000-0004-0000-0200-0000B9030000}"/>
    <hyperlink ref="I956" r:id="rId955" display="https://drive.google.com/open?id=1r38IKbNBojZmkNn1qLo8_gOAQ4CHDDnT" xr:uid="{00000000-0004-0000-0200-0000BA030000}"/>
    <hyperlink ref="I957" r:id="rId956" display="https://drive.google.com/open?id=1S1r-QWIlCWGEOkUHfolJcfh6oBscamcW" xr:uid="{00000000-0004-0000-0200-0000BB030000}"/>
    <hyperlink ref="I958" r:id="rId957" display="https://drive.google.com/open?id=1Q5RFqE9Nj_ndw2cGYY-ZEJD1AHMphWZy" xr:uid="{00000000-0004-0000-0200-0000BC030000}"/>
    <hyperlink ref="I959" r:id="rId958" display="https://drive.google.com/open?id=1IMrcUnAmLDkwPDEUhEdsZDdKokg8Oyza" xr:uid="{00000000-0004-0000-0200-0000BD030000}"/>
    <hyperlink ref="I960" r:id="rId959" display="https://drive.google.com/open?id=1ICBKSq8ye0o7btl6qti34PtjIYDTBdgu" xr:uid="{00000000-0004-0000-0200-0000BE030000}"/>
    <hyperlink ref="I961" r:id="rId960" display="https://drive.google.com/open?id=1kNb8bh8iMFRBTutoI_MqFXl23fWJ5HcL" xr:uid="{00000000-0004-0000-0200-0000BF030000}"/>
    <hyperlink ref="I962" r:id="rId961" display="https://drive.google.com/open?id=1M7wzR_BfpFGukcUb9s5Eds7uMe8YUUmo" xr:uid="{00000000-0004-0000-0200-0000C0030000}"/>
    <hyperlink ref="I963" r:id="rId962" display="https://drive.google.com/open?id=1_MDv97_4hQkAXqmmhaP6FAjr7q6xhNGK" xr:uid="{00000000-0004-0000-0200-0000C1030000}"/>
    <hyperlink ref="I964" r:id="rId963" display="https://drive.google.com/open?id=1Y7FElSgMtH8RoCTkgLufBEHXD29HMTOP" xr:uid="{00000000-0004-0000-0200-0000C2030000}"/>
    <hyperlink ref="I965" r:id="rId964" display="https://drive.google.com/open?id=1BXyVEsgl1SVLnZ_b_Ni2GnfUYjwvQiZF" xr:uid="{00000000-0004-0000-0200-0000C3030000}"/>
    <hyperlink ref="I966" r:id="rId965" display="https://drive.google.com/open?id=1TZHoN-uUuOaWIDw7bmAZUvah2ogqsu0s" xr:uid="{00000000-0004-0000-0200-0000C4030000}"/>
    <hyperlink ref="I967" r:id="rId966" display="https://drive.google.com/open?id=1qRt1zXSA7tJARGsfwqOaLUQ0wLwyjHtH" xr:uid="{00000000-0004-0000-0200-0000C5030000}"/>
    <hyperlink ref="I968" r:id="rId967" display="https://drive.google.com/open?id=1sUmLELUQ57aafSbvYt2PuQvwQ4x80E_V" xr:uid="{00000000-0004-0000-0200-0000C6030000}"/>
    <hyperlink ref="I969" r:id="rId968" display="https://drive.google.com/open?id=1zLPqg2Y-RzsHMJy6KgEEfS_PpLAsgGE4" xr:uid="{00000000-0004-0000-0200-0000C7030000}"/>
    <hyperlink ref="I970" r:id="rId969" display="https://drive.google.com/open?id=14Ix86Wwzaj52R4V7a_hBpvpnTmGC-Ga-" xr:uid="{00000000-0004-0000-0200-0000C8030000}"/>
    <hyperlink ref="I971" r:id="rId970" display="https://drive.google.com/open?id=1dPwv0012nVYlmeXDYuaHi2WEe__5bGA3" xr:uid="{00000000-0004-0000-0200-0000C9030000}"/>
    <hyperlink ref="I972" r:id="rId971" display="https://drive.google.com/open?id=1x0ztX_WnRy9t9by7j1KnsBptNjmwhQ6-" xr:uid="{00000000-0004-0000-0200-0000CA030000}"/>
    <hyperlink ref="I973" r:id="rId972" display="https://drive.google.com/open?id=1Uu8owH-K_hotPprCK_DXrYCXQwxwO74X" xr:uid="{00000000-0004-0000-0200-0000CB030000}"/>
    <hyperlink ref="I974" r:id="rId973" display="https://drive.google.com/open?id=1-I7U-vgk7UWhc_DV0KGz5opp15oqBptJ" xr:uid="{00000000-0004-0000-0200-0000CC030000}"/>
    <hyperlink ref="I975" r:id="rId974" display="https://drive.google.com/open?id=12RYy9G0H8YwArcTMn8oyqiKBMGOeAEBl" xr:uid="{00000000-0004-0000-0200-0000CD030000}"/>
    <hyperlink ref="I976" r:id="rId975" display="https://drive.google.com/open?id=1hbQJYqbfw_VKjQEjgeD6f0yn3t7qYnxT" xr:uid="{00000000-0004-0000-0200-0000CE030000}"/>
    <hyperlink ref="I977" r:id="rId976" display="https://drive.google.com/open?id=1QNEfjKpzm9z76XAdnyMJ8CHdTsN1HN4z" xr:uid="{00000000-0004-0000-0200-0000CF030000}"/>
    <hyperlink ref="I978" r:id="rId977" display="https://drive.google.com/open?id=15494Lr4j7gwNha0FHSbLZQp2YVF0IqJc" xr:uid="{00000000-0004-0000-0200-0000D0030000}"/>
    <hyperlink ref="I979" r:id="rId978" display="https://drive.google.com/open?id=1oruU03Pqt6LvkrsF-kNM-BAg0UaqHXiv" xr:uid="{00000000-0004-0000-0200-0000D1030000}"/>
    <hyperlink ref="I980" r:id="rId979" display="https://drive.google.com/open?id=1NsFiLO3pjxgncHUS_MAezZIExrBfQqzt" xr:uid="{00000000-0004-0000-0200-0000D2030000}"/>
    <hyperlink ref="I981" r:id="rId980" display="https://drive.google.com/open?id=1NjnGrqwHg9kVDzST7iu3lN6dLHgN806d" xr:uid="{00000000-0004-0000-0200-0000D3030000}"/>
    <hyperlink ref="I982" r:id="rId981" display="https://drive.google.com/open?id=1HucNTIa06guD2xfJ0LVLNtUMh9OnCGab" xr:uid="{00000000-0004-0000-0200-0000D4030000}"/>
    <hyperlink ref="I983" r:id="rId982" display="https://drive.google.com/open?id=1WFCwwu7bAal8TrbrZ2hcEQKNXuzJLadY" xr:uid="{00000000-0004-0000-0200-0000D5030000}"/>
    <hyperlink ref="I984" r:id="rId983" display="https://drive.google.com/open?id=1D1QpT2cV75_Iy3rkDITvBTSrE6KgHcmA" xr:uid="{00000000-0004-0000-0200-0000D6030000}"/>
    <hyperlink ref="I985" r:id="rId984" display="https://drive.google.com/open?id=1sADZkJKXl8jTYOHgmOh8XwC89l4i7-Dd" xr:uid="{00000000-0004-0000-0200-0000D7030000}"/>
    <hyperlink ref="I986" r:id="rId985" display="https://drive.google.com/open?id=1QsXUKnqzcoaNguJna6A6KFRqlCmwJLgg" xr:uid="{00000000-0004-0000-0200-0000D8030000}"/>
    <hyperlink ref="I987" r:id="rId986" display="https://drive.google.com/open?id=1igZ-JRB3ZtV4__pOBHhPcFbWjJHJ_yfO" xr:uid="{00000000-0004-0000-0200-0000D9030000}"/>
    <hyperlink ref="I988" r:id="rId987" display="https://drive.google.com/open?id=17Jc6PgrAVkUs0piPwSd4gHbu2W-9QAGB" xr:uid="{00000000-0004-0000-0200-0000DA030000}"/>
    <hyperlink ref="I989" r:id="rId988" display="https://drive.google.com/open?id=1TYlJ9ioH9p1wv5-RZWAt771utf8kRy2-" xr:uid="{00000000-0004-0000-0200-0000DB030000}"/>
    <hyperlink ref="I990" r:id="rId989" display="https://drive.google.com/open?id=1BIQpEcpy8uRovH6n-BBgppiXKI9i-xDf" xr:uid="{00000000-0004-0000-0200-0000DC030000}"/>
    <hyperlink ref="I991" r:id="rId990" display="https://drive.google.com/open?id=1TxpIbCwHKv2mfDGldI1WEjX-Psjyosoi" xr:uid="{00000000-0004-0000-0200-0000DD030000}"/>
    <hyperlink ref="I992" r:id="rId991" display="https://drive.google.com/open?id=1HUQKR824hGiYRgs0YSBV6XGjk2o8jsxJ" xr:uid="{00000000-0004-0000-0200-0000DE030000}"/>
    <hyperlink ref="I993" r:id="rId992" display="https://drive.google.com/open?id=1UmDGWj_NRRFxXbxfb1LI4CYDSJjUM-hq" xr:uid="{00000000-0004-0000-0200-0000DF030000}"/>
    <hyperlink ref="I994" r:id="rId993" display="https://drive.google.com/open?id=1g3xTWw32XzbHTKiXq6-nLsKR1slF2UWh" xr:uid="{00000000-0004-0000-0200-0000E0030000}"/>
    <hyperlink ref="I995" r:id="rId994" display="https://drive.google.com/open?id=1JHHTkQ7Nby6mtA9-Y7z4TBI8fm6W4Wls" xr:uid="{00000000-0004-0000-0200-0000E1030000}"/>
    <hyperlink ref="I996" r:id="rId995" display="https://drive.google.com/open?id=1A0hhpzCJIMed0v8MJ3dPoAIZuyafsYur" xr:uid="{00000000-0004-0000-0200-0000E2030000}"/>
    <hyperlink ref="I997" r:id="rId996" display="https://drive.google.com/open?id=1NyZsZBDOaz2gkojuGaQG1GFy1v1pNUdR" xr:uid="{00000000-0004-0000-0200-0000E3030000}"/>
    <hyperlink ref="I998" r:id="rId997" display="https://drive.google.com/open?id=1CZFl5W-pSUwgQcKlWlNFN-to24FwfTYC" xr:uid="{00000000-0004-0000-0200-0000E4030000}"/>
    <hyperlink ref="I999" r:id="rId998" display="https://drive.google.com/open?id=18wEour2bW1D9lGSvT5fr3EifYWhfP-5q" xr:uid="{00000000-0004-0000-0200-0000E5030000}"/>
    <hyperlink ref="I1000" r:id="rId999" display="https://drive.google.com/open?id=1pJzw-_MGm92fgW2tFHFdlLrUyzCDRVPt" xr:uid="{00000000-0004-0000-0200-0000E6030000}"/>
    <hyperlink ref="I1001" r:id="rId1000" display="https://drive.google.com/open?id=1EQ4uk8FCwA055eAk6oOGIZ9erpriw_-N" xr:uid="{00000000-0004-0000-0200-0000E7030000}"/>
    <hyperlink ref="I1002" r:id="rId1001" display="https://drive.google.com/open?id=1WX9PvnbYiucqkEgnwvDBKB2so-JfjMUJ" xr:uid="{00000000-0004-0000-0200-0000E8030000}"/>
    <hyperlink ref="I1003" r:id="rId1002" display="https://drive.google.com/open?id=1nIms1JCfLZR85-nmL3SURS-mLumPmqCj" xr:uid="{00000000-0004-0000-0200-0000E9030000}"/>
    <hyperlink ref="I1004" r:id="rId1003" display="https://drive.google.com/open?id=1RLpmEVWYGWn8DAzYsIWpUDYrTHbwSGM3" xr:uid="{00000000-0004-0000-0200-0000EA030000}"/>
    <hyperlink ref="I1005" r:id="rId1004" display="https://drive.google.com/open?id=1BT51ogkBsj92Jges1fW3dUJxx1GHdnBE" xr:uid="{00000000-0004-0000-0200-0000EB030000}"/>
    <hyperlink ref="I1006" r:id="rId1005" display="https://drive.google.com/open?id=1OH6RUmIq3AlJAqz10OT6JJbmwtbdko7_" xr:uid="{00000000-0004-0000-0200-0000EC030000}"/>
    <hyperlink ref="I1007" r:id="rId1006" display="https://drive.google.com/open?id=1FKdAvbOzBynDZVc4_sU3EoBHbp3_bJRc" xr:uid="{00000000-0004-0000-0200-0000ED030000}"/>
    <hyperlink ref="I1008" r:id="rId1007" display="https://drive.google.com/open?id=1xpn-wQej9Q9D376yLZj3hnyhL7QN-IWq" xr:uid="{00000000-0004-0000-0200-0000EE030000}"/>
    <hyperlink ref="I1009" r:id="rId1008" display="https://drive.google.com/open?id=1dUJxdesSP5uQNEjNTR1GPlU0InnbxC7u" xr:uid="{00000000-0004-0000-0200-0000EF030000}"/>
    <hyperlink ref="I1010" r:id="rId1009" display="https://drive.google.com/open?id=1YLifhmN2FftbSsJBfxN3AR2e5kB4PE9t" xr:uid="{00000000-0004-0000-0200-0000F0030000}"/>
    <hyperlink ref="I1011" r:id="rId1010" display="https://drive.google.com/open?id=1gBwWO37Uz1rom0VaE3on2p_5b4up5-st" xr:uid="{00000000-0004-0000-0200-0000F1030000}"/>
    <hyperlink ref="I1012" r:id="rId1011" display="https://drive.google.com/open?id=1ND4ulLP3MlDK-7F1AkBa201o-4tIqya7" xr:uid="{00000000-0004-0000-0200-0000F2030000}"/>
    <hyperlink ref="I1013" r:id="rId1012" display="https://drive.google.com/open?id=1Nhe0ye91mvqBxoIk76Xn3oxQtp8KTgZO" xr:uid="{00000000-0004-0000-0200-0000F3030000}"/>
    <hyperlink ref="I1014" r:id="rId1013" display="https://drive.google.com/open?id=144k_tsDp7TEcs5PKVWsIsbjgavv-oRTV" xr:uid="{00000000-0004-0000-0200-0000F4030000}"/>
    <hyperlink ref="I1015" r:id="rId1014" display="https://drive.google.com/open?id=1haAxBgIwU9VVYEx3eVGXr7n7Y9PQCLBD" xr:uid="{00000000-0004-0000-0200-0000F5030000}"/>
    <hyperlink ref="I1016" r:id="rId1015" display="https://drive.google.com/open?id=1XgNm5W5389GdFGljzWtkAZy-7X85dNPM" xr:uid="{00000000-0004-0000-0200-0000F6030000}"/>
    <hyperlink ref="I1017" r:id="rId1016" display="https://drive.google.com/open?id=1DbGnY6vjgYvTRZniiS6nBtzn7bfYzLjk" xr:uid="{00000000-0004-0000-0200-0000F7030000}"/>
    <hyperlink ref="I1018" r:id="rId1017" display="https://drive.google.com/open?id=1zHVOu0Tmp5yJxdBOoyiddh-2zntassRF" xr:uid="{00000000-0004-0000-0200-0000F8030000}"/>
    <hyperlink ref="I1019" r:id="rId1018" display="https://drive.google.com/open?id=1nca1zirXZm346AnSdbGsI4L7VDQA8d2_" xr:uid="{00000000-0004-0000-0200-0000F9030000}"/>
    <hyperlink ref="I1020" r:id="rId1019" display="https://drive.google.com/open?id=1GnhoA_GyctXhvPnlxu6SIm-IegfjGr5E" xr:uid="{00000000-0004-0000-0200-0000FA030000}"/>
    <hyperlink ref="I1021" r:id="rId1020" display="https://drive.google.com/open?id=1OX4PnhT1ljfkyOjSGUYEaztzoGKdc6Si" xr:uid="{00000000-0004-0000-0200-0000FB030000}"/>
    <hyperlink ref="I1022" r:id="rId1021" display="https://drive.google.com/open?id=1JBHP0DpMVlzx1xX7Tn-Q608Gj4rZsffD" xr:uid="{00000000-0004-0000-0200-0000FC030000}"/>
    <hyperlink ref="I1023" r:id="rId1022" display="https://drive.google.com/open?id=1bcI4VD3kgxx-L22cz5SpJV5yvqTYnHhR" xr:uid="{00000000-0004-0000-0200-0000FD030000}"/>
    <hyperlink ref="I1024" r:id="rId1023" display="https://drive.google.com/open?id=1mjaM3rJrQSOpUc7nasdxi-opEvdbTLv-" xr:uid="{00000000-0004-0000-0200-0000FE030000}"/>
    <hyperlink ref="I1025" r:id="rId1024" display="https://drive.google.com/open?id=1PjN5oNmhVII0xxMqeIJBjriamVdB2Fp_" xr:uid="{00000000-0004-0000-0200-0000FF030000}"/>
    <hyperlink ref="I1026" r:id="rId1025" display="https://drive.google.com/open?id=1dZeMawyuPmEkri5DOARONikbEjAMJ-Q8" xr:uid="{00000000-0004-0000-0200-000000040000}"/>
    <hyperlink ref="I1027" r:id="rId1026" display="https://drive.google.com/open?id=17H6kEYXMS5iXXUVSKaYXyFs1kL2NZZAM" xr:uid="{00000000-0004-0000-0200-000001040000}"/>
    <hyperlink ref="I1028" r:id="rId1027" display="https://drive.google.com/open?id=1AUMarMpODQufh8J_OGNvYbgJnfQtlf-R" xr:uid="{00000000-0004-0000-0200-000002040000}"/>
    <hyperlink ref="I1029" r:id="rId1028" display="https://drive.google.com/open?id=1SeTqW1QAgj9AWfQl_L7l3iDEEtpLmzsB" xr:uid="{00000000-0004-0000-0200-000003040000}"/>
    <hyperlink ref="I1030" r:id="rId1029" display="https://drive.google.com/open?id=1S1xIKGptBJkR-0D7hJOaPa3GZiFE1rp8" xr:uid="{00000000-0004-0000-0200-000004040000}"/>
    <hyperlink ref="I1031" r:id="rId1030" display="https://drive.google.com/open?id=1rkMRTZTQrc3ZxliB7WFn_MQFGb4RcgI3" xr:uid="{00000000-0004-0000-0200-000005040000}"/>
    <hyperlink ref="I1032" r:id="rId1031" display="https://drive.google.com/open?id=1CZQqKd3wsfP4_tGEdcW24c3yp8x4Av8D" xr:uid="{00000000-0004-0000-0200-000006040000}"/>
    <hyperlink ref="I1033" r:id="rId1032" display="https://drive.google.com/open?id=1oQf5D91cXqoxkW7sjgw6vmjxM0BiOnKI" xr:uid="{00000000-0004-0000-0200-000007040000}"/>
    <hyperlink ref="I1034" r:id="rId1033" display="https://drive.google.com/open?id=1-TQ33vnjcTPi2RBouMpy24GZVRkNb8sr" xr:uid="{00000000-0004-0000-0200-000008040000}"/>
    <hyperlink ref="I1035" r:id="rId1034" display="https://drive.google.com/open?id=1fBePhprPb3_mshn95QexM8cMF1uQqorn" xr:uid="{00000000-0004-0000-0200-000009040000}"/>
    <hyperlink ref="I1036" r:id="rId1035" display="https://drive.google.com/open?id=1_c-onSbWAxduVOgrQ65OWQsvqiBUchtR" xr:uid="{00000000-0004-0000-0200-00000A040000}"/>
    <hyperlink ref="I1037" r:id="rId1036" display="https://drive.google.com/open?id=1sobFxE8Pw700qAkcJp9qD4V1pD7tuPTx" xr:uid="{00000000-0004-0000-0200-00000B040000}"/>
    <hyperlink ref="I1038" r:id="rId1037" display="https://drive.google.com/open?id=1v36wMGJRw_NFAOb8do4xUSyKPLW8aHPH" xr:uid="{00000000-0004-0000-0200-00000C040000}"/>
    <hyperlink ref="I1039" r:id="rId1038" display="https://drive.google.com/open?id=1ANIqKqJdVx_EMFvri6s9TyVRE1N5UMfd" xr:uid="{00000000-0004-0000-0200-00000D040000}"/>
    <hyperlink ref="I1040" r:id="rId1039" display="https://drive.google.com/open?id=13HTIWhHBo1dMiyMqy5djFXrPbb83QEq1" xr:uid="{00000000-0004-0000-0200-00000E040000}"/>
    <hyperlink ref="I1041" r:id="rId1040" display="https://drive.google.com/open?id=187X5LE-edOEsobLPhVnOag5poB8IXsqj" xr:uid="{00000000-0004-0000-0200-00000F040000}"/>
    <hyperlink ref="I1042" r:id="rId1041" display="https://drive.google.com/open?id=1pHNFcgDEvXbmEZ03Q2iOIDQyYq8gsOda" xr:uid="{00000000-0004-0000-0200-000010040000}"/>
    <hyperlink ref="I1043" r:id="rId1042" display="https://drive.google.com/open?id=1oz3VYD0G3KOW6Dm2dev9FQPprdMZsODp" xr:uid="{00000000-0004-0000-0200-000011040000}"/>
    <hyperlink ref="I1044" r:id="rId1043" display="https://drive.google.com/open?id=1-4s_xpomT5czkghRHxWtqaJRFG6W8dUN" xr:uid="{00000000-0004-0000-0200-000012040000}"/>
    <hyperlink ref="I1045" r:id="rId1044" display="https://drive.google.com/open?id=1TMSxKYMUxUS8cw_fhiecOXeTlu1skKYs" xr:uid="{00000000-0004-0000-0200-000013040000}"/>
    <hyperlink ref="I1046" r:id="rId1045" display="https://drive.google.com/open?id=1TqgR_BXdoFhckbgV_UfSZHaLh9zVFjWk" xr:uid="{00000000-0004-0000-0200-000014040000}"/>
    <hyperlink ref="I1047" r:id="rId1046" display="https://drive.google.com/open?id=1vUXHQk3CY4IrBHKCDaZFN9KGL-rpgBip" xr:uid="{00000000-0004-0000-0200-000015040000}"/>
    <hyperlink ref="I1048" r:id="rId1047" display="https://drive.google.com/open?id=1U-jNkpy0Aqs6fZ5rDgueMvEMJX_6SjgJ" xr:uid="{00000000-0004-0000-0200-000016040000}"/>
    <hyperlink ref="I1049" r:id="rId1048" display="https://drive.google.com/open?id=1Q5Dv35FHt4_ebRD_v8_VqPg_Ers6p1MY" xr:uid="{00000000-0004-0000-0200-000017040000}"/>
    <hyperlink ref="I1050" r:id="rId1049" display="https://drive.google.com/open?id=1r_8OEN0F17YkW7cL7pj_747RNNLzof_Y" xr:uid="{00000000-0004-0000-0200-000018040000}"/>
    <hyperlink ref="I1051" r:id="rId1050" display="https://drive.google.com/open?id=12Kg77NqU4uSEVQV6tDZaxIyJ91v_atMS" xr:uid="{00000000-0004-0000-0200-000019040000}"/>
    <hyperlink ref="I1052" r:id="rId1051" display="https://drive.google.com/open?id=11p1tT9oxeotab7mfaczJJ-a9pOtWWbEL" xr:uid="{00000000-0004-0000-0200-00001A040000}"/>
    <hyperlink ref="I1053" r:id="rId1052" display="https://drive.google.com/open?id=1Z3bsi-72N20DTcrhbFgZImhqy4PHX-ZC" xr:uid="{00000000-0004-0000-0200-00001B040000}"/>
    <hyperlink ref="I1054" r:id="rId1053" display="https://drive.google.com/open?id=1cmG1-sGsyuxslsJ1oxWnJMwC7uMMOxIr" xr:uid="{00000000-0004-0000-0200-00001C040000}"/>
    <hyperlink ref="I1055" r:id="rId1054" display="https://drive.google.com/open?id=1VaKUFD3b5Ale8ILRcBxRZes-VrMsWFC2" xr:uid="{00000000-0004-0000-0200-00001D040000}"/>
    <hyperlink ref="I1056" r:id="rId1055" display="https://drive.google.com/open?id=1SF2iv4OjoWeSGwpcQr-o5rA8oEA5mjuU" xr:uid="{00000000-0004-0000-0200-00001E040000}"/>
    <hyperlink ref="I1057" r:id="rId1056" display="https://drive.google.com/open?id=1rZEifSYM84u1FNu5-UWTrM1QDThUIc9_" xr:uid="{00000000-0004-0000-0200-00001F040000}"/>
    <hyperlink ref="I1058" r:id="rId1057" display="https://drive.google.com/open?id=1v9tCzOZAjfaGuhDqM_7sFqvJ-iNAAY6E" xr:uid="{00000000-0004-0000-0200-000020040000}"/>
    <hyperlink ref="I1059" r:id="rId1058" display="https://drive.google.com/open?id=1f_53LntHK1zKjTmEBRdlckR2dKbUekbN" xr:uid="{00000000-0004-0000-0200-000021040000}"/>
    <hyperlink ref="I1060" r:id="rId1059" display="https://drive.google.com/open?id=1iMXs7Nn1yXhkF8AYaJ_Ol1QHvNFLAfZR" xr:uid="{00000000-0004-0000-0200-000022040000}"/>
    <hyperlink ref="I1061" r:id="rId1060" display="https://drive.google.com/open?id=1W33XtJ9VqYDjCZglKSdmaOZvSXg2yzP2" xr:uid="{00000000-0004-0000-0200-000023040000}"/>
    <hyperlink ref="I1062" r:id="rId1061" display="https://drive.google.com/open?id=1xfImJi3tOvirmiwmDmUtFDAwGUbVImGy" xr:uid="{00000000-0004-0000-0200-000024040000}"/>
    <hyperlink ref="I1063" r:id="rId1062" display="https://drive.google.com/open?id=1na6JWH1VHdLvF_ASSyNRJzYl95N8Lv__" xr:uid="{00000000-0004-0000-0200-000025040000}"/>
    <hyperlink ref="I1064" r:id="rId1063" display="https://drive.google.com/open?id=1bc3_FHgpBM7A0cqKXJnezvhHUiDYeA3M" xr:uid="{00000000-0004-0000-0200-000026040000}"/>
    <hyperlink ref="I1065" r:id="rId1064" display="https://drive.google.com/open?id=1Gx7IvQUMOAzN4ArVsRJc3RgGOfu9338s" xr:uid="{00000000-0004-0000-0200-000027040000}"/>
    <hyperlink ref="I1066" r:id="rId1065" display="https://drive.google.com/open?id=1OZZUQ2lvl7_pkCEenLp0WQ19EKKPiZeW" xr:uid="{00000000-0004-0000-0200-000028040000}"/>
    <hyperlink ref="I1067" r:id="rId1066" display="https://drive.google.com/open?id=1F6o86et_ne8z90B_6PaBuYwKiVkJ_FZm" xr:uid="{00000000-0004-0000-0200-000029040000}"/>
    <hyperlink ref="I1068" r:id="rId1067" display="https://drive.google.com/open?id=1GBN2-YphFQO_Q2BIJ1oFahL3O0Iz1c63" xr:uid="{00000000-0004-0000-0200-00002A040000}"/>
    <hyperlink ref="I1069" r:id="rId1068" display="https://drive.google.com/open?id=1sw6ZYCg7d9UE8_D3kbZ7lIOIi_9poMy6" xr:uid="{00000000-0004-0000-0200-00002B040000}"/>
    <hyperlink ref="I1070" r:id="rId1069" display="https://drive.google.com/open?id=1t_L0IjkRw-t8UdB8_FupdBqP1nyVR5hU" xr:uid="{00000000-0004-0000-0200-00002C040000}"/>
    <hyperlink ref="I1071" r:id="rId1070" display="https://drive.google.com/open?id=1wJoCrCufQ6gYvAStDF89mt1LVfMhE682" xr:uid="{00000000-0004-0000-0200-00002D040000}"/>
    <hyperlink ref="I1072" r:id="rId1071" display="https://drive.google.com/open?id=1vbM4CS_G5LYreIbi_9qdciAQQwyNqaMZ" xr:uid="{00000000-0004-0000-0200-00002E040000}"/>
    <hyperlink ref="I1073" r:id="rId1072" display="https://drive.google.com/open?id=1kp63yb7tZvY3Bh3kEmAn3E2S3mQPoiRq" xr:uid="{00000000-0004-0000-0200-00002F040000}"/>
    <hyperlink ref="I1074" r:id="rId1073" display="https://drive.google.com/open?id=1jY7Ohd7Ko5IFc50qhFhcV7hfjBDNZgGQ" xr:uid="{00000000-0004-0000-0200-000030040000}"/>
    <hyperlink ref="I1075" r:id="rId1074" display="https://drive.google.com/open?id=1nlHgl8zWqsJJBaY3JpZNyNJglQ5HC70F" xr:uid="{00000000-0004-0000-0200-000031040000}"/>
    <hyperlink ref="I1076" r:id="rId1075" display="https://drive.google.com/open?id=1i7EeXw40l6B8lO2OmgrJCU5YQGynf3Ia" xr:uid="{00000000-0004-0000-0200-000032040000}"/>
    <hyperlink ref="I1077" r:id="rId1076" display="https://drive.google.com/open?id=1GGxbrhDmgiKzJUWMLNGiocaFaUm-LJMf" xr:uid="{00000000-0004-0000-0200-000033040000}"/>
    <hyperlink ref="I1078" r:id="rId1077" display="https://drive.google.com/open?id=1diVZXyS35CcTu5h6X_Hl1zJvLW79TsSE" xr:uid="{00000000-0004-0000-0200-000034040000}"/>
    <hyperlink ref="I1079" r:id="rId1078" display="https://drive.google.com/open?id=1QQ4tQTJvUiVqWgwx8BXagsKj0EqjoZX-" xr:uid="{00000000-0004-0000-0200-000035040000}"/>
    <hyperlink ref="I1080" r:id="rId1079" display="https://drive.google.com/open?id=1dnNhOSVWDs15FP629b70g7JAOOTyyjgz" xr:uid="{00000000-0004-0000-0200-000036040000}"/>
    <hyperlink ref="I1081" r:id="rId1080" display="https://drive.google.com/open?id=1rwrFbQvai-fm-tiUaCsuTY5cxYmh56Hp" xr:uid="{00000000-0004-0000-0200-000037040000}"/>
    <hyperlink ref="I1082" r:id="rId1081" display="https://drive.google.com/open?id=1MBw2Km9eFeP9TSKO-lyIGt3GA65nbpXg" xr:uid="{00000000-0004-0000-0200-000038040000}"/>
    <hyperlink ref="I1083" r:id="rId1082" display="https://drive.google.com/open?id=1VrKCtzjPIVP67m8t_sFNSLaYJswAMYqV" xr:uid="{00000000-0004-0000-0200-000039040000}"/>
    <hyperlink ref="I1084" r:id="rId1083" display="https://drive.google.com/open?id=1kjF_R9GY23bqxIkvBjJc6Q9M1pcnJpSJ" xr:uid="{00000000-0004-0000-0200-00003A040000}"/>
    <hyperlink ref="I1085" r:id="rId1084" display="https://drive.google.com/open?id=1u_FdYK2C8QHbdlMUcUQMA87PpXpSri8y" xr:uid="{00000000-0004-0000-0200-00003B040000}"/>
    <hyperlink ref="I1086" r:id="rId1085" display="https://drive.google.com/open?id=1y1uX0lxjpYSxNRSmGXQ0ZZW5dNS5GRsB" xr:uid="{00000000-0004-0000-0200-00003C040000}"/>
    <hyperlink ref="I1087" r:id="rId1086" display="https://drive.google.com/open?id=1nn84bAih4HV57BdCe5oqs6_86Bnr7bdK" xr:uid="{00000000-0004-0000-0200-00003D040000}"/>
    <hyperlink ref="I1088" r:id="rId1087" display="https://drive.google.com/open?id=1XY1ohQo8vMeoFP31p-5rvEkCWbidbbsw" xr:uid="{00000000-0004-0000-0200-00003E040000}"/>
    <hyperlink ref="I1089" r:id="rId1088" display="https://drive.google.com/open?id=1LnXJWE0xflL_rvK6eM6IGFwdAO6YqYwp" xr:uid="{00000000-0004-0000-0200-00003F040000}"/>
    <hyperlink ref="I1090" r:id="rId1089" display="https://drive.google.com/open?id=1ZYz2UbOWu_akigJM0pPDvzZGDuoKHZbY" xr:uid="{00000000-0004-0000-0200-000040040000}"/>
    <hyperlink ref="I1091" r:id="rId1090" display="https://drive.google.com/open?id=1Qi2Tp1JUKQpSiC6aHimK6afSjU_LoMyQ" xr:uid="{00000000-0004-0000-0200-000041040000}"/>
    <hyperlink ref="I1092" r:id="rId1091" display="https://drive.google.com/open?id=1g7DzEmbH2akvEfXLZGxlraSQwruvXtpt" xr:uid="{00000000-0004-0000-0200-000042040000}"/>
    <hyperlink ref="I1093" r:id="rId1092" display="https://drive.google.com/open?id=1OD3_2GUeskvP41XOvUFxNejjHXFHHkup" xr:uid="{00000000-0004-0000-0200-000043040000}"/>
    <hyperlink ref="I1094" r:id="rId1093" display="https://drive.google.com/open?id=1nD1Cvh-AAfxildknRM4vUa-vSyVCaIDh" xr:uid="{00000000-0004-0000-0200-000044040000}"/>
    <hyperlink ref="I1095" r:id="rId1094" display="https://drive.google.com/open?id=1dRX5QfwlNyoTDtLHHsJb9nWr22fdoaC2" xr:uid="{00000000-0004-0000-0200-000045040000}"/>
    <hyperlink ref="I1096" r:id="rId1095" display="https://drive.google.com/open?id=1U5JCwcg9Ul-6sTdLBg5YipLavkNQelBM" xr:uid="{00000000-0004-0000-0200-000046040000}"/>
    <hyperlink ref="I1097" r:id="rId1096" display="https://drive.google.com/open?id=10a-4gofi2_ceUoHfW1_n8ZX2lB4fT-FN" xr:uid="{00000000-0004-0000-0200-000047040000}"/>
    <hyperlink ref="I1098" r:id="rId1097" display="https://drive.google.com/open?id=12HjtV31NNI1B7DzfgmWKDgaVbMvz9KAN" xr:uid="{00000000-0004-0000-0200-000048040000}"/>
    <hyperlink ref="I1099" r:id="rId1098" display="https://drive.google.com/open?id=1STIyqf83cVDYKorKliOUeqpP7Bm3E_s1" xr:uid="{00000000-0004-0000-0200-000049040000}"/>
    <hyperlink ref="I1100" r:id="rId1099" display="https://drive.google.com/open?id=1u2hLWwHKBskMYAcrOMGSo3zS61FccN4R" xr:uid="{00000000-0004-0000-0200-00004A040000}"/>
    <hyperlink ref="I1101" r:id="rId1100" display="https://drive.google.com/open?id=1P5kL6awA8bTqGqVzbfzXSITaFIPUgKQg" xr:uid="{00000000-0004-0000-0200-00004B040000}"/>
    <hyperlink ref="I1102" r:id="rId1101" display="https://drive.google.com/open?id=15YVudvtlBZsaXYYgoomt-u1Gs0ebJwx8" xr:uid="{00000000-0004-0000-0200-00004C040000}"/>
    <hyperlink ref="I1103" r:id="rId1102" display="https://drive.google.com/open?id=1N70VZpoBIdvM6O33ml54b28A1vOvhVu6" xr:uid="{00000000-0004-0000-0200-00004D040000}"/>
    <hyperlink ref="I1104" r:id="rId1103" display="https://drive.google.com/open?id=14jdUm5uUln4kvlNjiWBAaQ98toexVD9T" xr:uid="{00000000-0004-0000-0200-00004E040000}"/>
    <hyperlink ref="I1105" r:id="rId1104" display="https://drive.google.com/open?id=1Iat-AqKSEu3VCHb1bcOY7zpGB_Vv6h_3" xr:uid="{00000000-0004-0000-0200-00004F040000}"/>
    <hyperlink ref="I1106" r:id="rId1105" display="https://drive.google.com/open?id=1CX65uz7g13PbL6MvuIn-et7hf4-iVfpb" xr:uid="{00000000-0004-0000-0200-000050040000}"/>
    <hyperlink ref="I1107" r:id="rId1106" display="https://drive.google.com/open?id=15Q5mCWbymAYjZitjXJfyRf_yhH2rFU5z" xr:uid="{00000000-0004-0000-0200-000051040000}"/>
    <hyperlink ref="I1108" r:id="rId1107" display="https://drive.google.com/open?id=1YYEuzCrSN5gHKz1KvZmPy-B3ZmGVhgBK" xr:uid="{00000000-0004-0000-0200-000052040000}"/>
    <hyperlink ref="I1109" r:id="rId1108" display="https://drive.google.com/open?id=1ZhhG98MUBMFVbL0YjSp44uqc6VMEyvnj" xr:uid="{00000000-0004-0000-0200-000053040000}"/>
    <hyperlink ref="I1110" r:id="rId1109" display="https://drive.google.com/open?id=16fl3SwAEK7LlpUUCsGeXsiUeXmz88ACu" xr:uid="{00000000-0004-0000-0200-000054040000}"/>
    <hyperlink ref="I1111" r:id="rId1110" display="https://drive.google.com/open?id=12nDz5TTBMKC-g2rElawPLqZIGWyMOMls" xr:uid="{00000000-0004-0000-0200-000055040000}"/>
    <hyperlink ref="I1112" r:id="rId1111" display="https://drive.google.com/open?id=1YQhhYulM3zmP2XKZEPuKbvMhTI3bNAAR" xr:uid="{00000000-0004-0000-0200-000056040000}"/>
    <hyperlink ref="I1113" r:id="rId1112" display="https://drive.google.com/open?id=1BgrwK0VgEQBpI2gRoznhjXR1J5sqfA81" xr:uid="{00000000-0004-0000-0200-000057040000}"/>
    <hyperlink ref="I1114" r:id="rId1113" display="https://drive.google.com/open?id=1IvwBwrZSoBtjxD9TN9OqlJc3hnTb-U5x" xr:uid="{00000000-0004-0000-0200-000058040000}"/>
    <hyperlink ref="I1115" r:id="rId1114" display="https://drive.google.com/open?id=1JB57E6GR8Y6vCezbXgYJ1cX-Qp3efhTe" xr:uid="{00000000-0004-0000-0200-000059040000}"/>
    <hyperlink ref="I1116" r:id="rId1115" display="https://drive.google.com/open?id=141K-u1BeYkwUX6ftF6Mkuq551mJgSREb" xr:uid="{00000000-0004-0000-0200-00005A040000}"/>
    <hyperlink ref="I1117" r:id="rId1116" display="https://drive.google.com/open?id=1WZG9h-rq8P8pSk3hvde8DlvQ3ab8tCQN" xr:uid="{00000000-0004-0000-0200-00005B040000}"/>
    <hyperlink ref="I1118" r:id="rId1117" display="https://drive.google.com/open?id=1Hwv7zo-ueimymlCvK3Uak_aT_uEjGqHp" xr:uid="{00000000-0004-0000-0200-00005C040000}"/>
    <hyperlink ref="I1119" r:id="rId1118" display="https://drive.google.com/open?id=1fWJCyCOtC1-dx9MmUzMPEdFBeySgKm8v" xr:uid="{00000000-0004-0000-0200-00005D040000}"/>
    <hyperlink ref="I1120" r:id="rId1119" display="https://drive.google.com/open?id=1-hsjGElO9RtSZ0OG5cdwDJVZ0YGvfIuW" xr:uid="{00000000-0004-0000-0200-00005E040000}"/>
    <hyperlink ref="I1121" r:id="rId1120" display="https://drive.google.com/open?id=1Qf0Wt5DvgoXofZ4PEniV4f5bMM0IPQyv" xr:uid="{00000000-0004-0000-0200-00005F040000}"/>
    <hyperlink ref="I1122" r:id="rId1121" display="https://drive.google.com/open?id=1-Tds2dneP06fAEX11ni733m2R-Qdm5uf" xr:uid="{00000000-0004-0000-0200-000060040000}"/>
    <hyperlink ref="I1123" r:id="rId1122" display="https://drive.google.com/open?id=1c8esT_9W8fLs55ohNECj-H99skvQwFg2" xr:uid="{00000000-0004-0000-0200-000061040000}"/>
    <hyperlink ref="I1124" r:id="rId1123" display="https://drive.google.com/open?id=16FmM9Y5O6pLeq154ahe725zjZDZs39gm" xr:uid="{00000000-0004-0000-0200-000062040000}"/>
    <hyperlink ref="I1125" r:id="rId1124" display="https://drive.google.com/open?id=13xdciDkLZxM2LWDpECqRoCD88oLWOo38" xr:uid="{00000000-0004-0000-0200-000063040000}"/>
    <hyperlink ref="I1126" r:id="rId1125" display="https://drive.google.com/open?id=1jyNb0XtQIxKXryFwbFgq_2bFQripZvKO" xr:uid="{00000000-0004-0000-0200-000064040000}"/>
    <hyperlink ref="I1127" r:id="rId1126" display="https://drive.google.com/open?id=1h8KHDuMENAmEe627PIP5c1EIji6Z-Iux" xr:uid="{00000000-0004-0000-0200-000065040000}"/>
    <hyperlink ref="I1128" r:id="rId1127" display="https://drive.google.com/open?id=1pl8ymiRPYPnxV-mdM3t2wG-q_qg2t_cP" xr:uid="{00000000-0004-0000-0200-000066040000}"/>
    <hyperlink ref="I1129" r:id="rId1128" display="https://drive.google.com/open?id=1gLuNUGZFPQRJL106o61TA65DzqH02tFL" xr:uid="{00000000-0004-0000-0200-000067040000}"/>
    <hyperlink ref="I1130" r:id="rId1129" display="https://drive.google.com/open?id=1YPfIC4Wz3CsS9_KKdjliS2wFlwLsLP_Z" xr:uid="{00000000-0004-0000-0200-000068040000}"/>
    <hyperlink ref="I1131" r:id="rId1130" display="https://drive.google.com/open?id=1dDe0gUCmQARTcnogQp3X0QpncZcSB5NF" xr:uid="{00000000-0004-0000-0200-000069040000}"/>
    <hyperlink ref="I1132" r:id="rId1131" display="https://drive.google.com/open?id=1_QllbU2wBkCPmEJCRAvmatU8ZTbA0f_3" xr:uid="{00000000-0004-0000-0200-00006A040000}"/>
    <hyperlink ref="I1133" r:id="rId1132" display="https://drive.google.com/open?id=1Ie9_sAwDHUQt3hrfG9_GeZjtGiMszYjS" xr:uid="{00000000-0004-0000-0200-00006B040000}"/>
    <hyperlink ref="I1134" r:id="rId1133" display="https://drive.google.com/open?id=1Th_Aw328QDzgBYZhY3SwtqXaP5Xo75HM" xr:uid="{00000000-0004-0000-0200-00006C040000}"/>
    <hyperlink ref="I1135" r:id="rId1134" display="https://drive.google.com/open?id=1K3yVrVlLMuoJTO8K6o9wr2nWkc3yqU3x" xr:uid="{00000000-0004-0000-0200-00006D040000}"/>
    <hyperlink ref="I1136" r:id="rId1135" display="https://drive.google.com/open?id=1w-PSYkhLeNjqAPgs-QfquhcFC7aNw6xV" xr:uid="{00000000-0004-0000-0200-00006E040000}"/>
    <hyperlink ref="I1137" r:id="rId1136" display="https://drive.google.com/open?id=1BWkWZW-Oj43XxcbKumVDtdXwYe-40PHP" xr:uid="{00000000-0004-0000-0200-00006F040000}"/>
    <hyperlink ref="I1138" r:id="rId1137" display="https://drive.google.com/open?id=1LVmVyM_Le0GHuumefY-r7wYcoGvj0wkI" xr:uid="{00000000-0004-0000-0200-000070040000}"/>
    <hyperlink ref="I1139" r:id="rId1138" display="https://drive.google.com/open?id=1zBJhMrbx25KJBTN3OD2QwFRN2ZZC0QOC" xr:uid="{00000000-0004-0000-0200-000071040000}"/>
    <hyperlink ref="I1140" r:id="rId1139" display="https://drive.google.com/open?id=1_jczt0LfBzIyrkq4dc10iEbTI1-O3nyd" xr:uid="{00000000-0004-0000-0200-000072040000}"/>
    <hyperlink ref="I1141" r:id="rId1140" display="https://drive.google.com/open?id=1TioHRsRnJLelLTjGE06Hi9gFadeZe54Q" xr:uid="{00000000-0004-0000-0200-000073040000}"/>
    <hyperlink ref="I1142" r:id="rId1141" display="https://drive.google.com/open?id=1m4UPXsvgaWotNTZ1NEaH7u1_TiBp41KG" xr:uid="{00000000-0004-0000-0200-000074040000}"/>
    <hyperlink ref="I1143" r:id="rId1142" display="https://drive.google.com/open?id=1kAhIUzMyNlj9a29HzaBIhSX-c3d4ytP1" xr:uid="{00000000-0004-0000-0200-000075040000}"/>
    <hyperlink ref="I1144" r:id="rId1143" display="https://drive.google.com/open?id=1OUfthL2ZZk05POYY6owZHpg_rlPLLQiX" xr:uid="{00000000-0004-0000-0200-000076040000}"/>
    <hyperlink ref="I1145" r:id="rId1144" display="https://drive.google.com/open?id=1Yp6cntn1eEEoCRGlwzm6iGgX3-Nzx3QF" xr:uid="{00000000-0004-0000-0200-000077040000}"/>
    <hyperlink ref="I1146" r:id="rId1145" display="https://drive.google.com/open?id=1lgBB2csoZmQZfE662sAH4do0MsQNansc" xr:uid="{00000000-0004-0000-0200-000078040000}"/>
    <hyperlink ref="I1147" r:id="rId1146" display="https://drive.google.com/open?id=1yxloaYKn3cN7Jvh7q7OVinPeHpKgun9S" xr:uid="{00000000-0004-0000-0200-000079040000}"/>
    <hyperlink ref="I1148" r:id="rId1147" display="https://drive.google.com/open?id=1WkAbDRQeo46KrDtC9aCK-cHuCM_owRQd" xr:uid="{00000000-0004-0000-0200-00007A040000}"/>
    <hyperlink ref="I1149" r:id="rId1148" display="https://drive.google.com/open?id=1pCu1xwZHmDSrbIgdNMFSm0R9h7n78oKV" xr:uid="{00000000-0004-0000-0200-00007B040000}"/>
    <hyperlink ref="I1150" r:id="rId1149" display="https://drive.google.com/open?id=1t6T7Vn--9jiGwFRs0DsnqwLdI0gLShJS" xr:uid="{00000000-0004-0000-0200-00007C040000}"/>
    <hyperlink ref="I1151" r:id="rId1150" display="https://drive.google.com/open?id=1953t4sZfpp3CagVnrOjIKsZXtVZVQX6a" xr:uid="{00000000-0004-0000-0200-00007D040000}"/>
    <hyperlink ref="I1152" r:id="rId1151" display="https://drive.google.com/open?id=1J526Z9Me6SvJxUnNHPJHathyfVNXTkVn" xr:uid="{00000000-0004-0000-0200-00007E040000}"/>
    <hyperlink ref="I1153" r:id="rId1152" display="https://drive.google.com/open?id=1c8zg4Rn4BrEBAQbABMfYKguAHPjXUTGQ" xr:uid="{00000000-0004-0000-0200-00007F040000}"/>
    <hyperlink ref="I1154" r:id="rId1153" display="https://drive.google.com/open?id=1c0WrbsDdmTrOzoF4TtYegcsnK4Ry2SoU" xr:uid="{00000000-0004-0000-0200-000080040000}"/>
    <hyperlink ref="I1155" r:id="rId1154" display="https://drive.google.com/open?id=1OFRmI2qQqt9AjwAXSCSP-3-czcwwyz2l" xr:uid="{00000000-0004-0000-0200-000081040000}"/>
    <hyperlink ref="I1156" r:id="rId1155" display="https://drive.google.com/open?id=1QpSHxnegLx_EiH4jnVZwgg0XLBh8KwgW" xr:uid="{00000000-0004-0000-0200-000082040000}"/>
    <hyperlink ref="I1157" r:id="rId1156" display="https://drive.google.com/open?id=1_menBsJeenkr44wfwbMMTBAXh6dE8-bH" xr:uid="{00000000-0004-0000-0200-000083040000}"/>
    <hyperlink ref="I1158" r:id="rId1157" display="https://drive.google.com/open?id=1Mn3VDdWy7yPJe1lfJG07n5PkMCbnt-mq" xr:uid="{00000000-0004-0000-0200-000084040000}"/>
    <hyperlink ref="I1159" r:id="rId1158" display="https://drive.google.com/open?id=1eQfNLoEgRk10uolfzV280v50F1FqwurW" xr:uid="{00000000-0004-0000-0200-000085040000}"/>
    <hyperlink ref="I1160" r:id="rId1159" display="https://drive.google.com/open?id=1mQ_d4fpe-LilWjxOjVv8TqJbuNYICXJr" xr:uid="{00000000-0004-0000-0200-000086040000}"/>
    <hyperlink ref="I1161" r:id="rId1160" display="https://drive.google.com/open?id=19BeIReWg_yNqEiBgyu1h90jlggtZG3Dz" xr:uid="{00000000-0004-0000-0200-000087040000}"/>
    <hyperlink ref="I1162" r:id="rId1161" display="https://drive.google.com/open?id=1Gz_HS-IHHofrxE0VoJ4u6ECFRr2Sf33O" xr:uid="{00000000-0004-0000-0200-000088040000}"/>
    <hyperlink ref="I1163" r:id="rId1162" display="https://drive.google.com/open?id=1kIwRdvsATdR84MhrzmLc3Sh-gBuqbiap" xr:uid="{00000000-0004-0000-0200-000089040000}"/>
    <hyperlink ref="I1164" r:id="rId1163" display="https://drive.google.com/open?id=1Gv4reEq9X1_oQ9cI0qhWl9Mz7G0XHxzE" xr:uid="{00000000-0004-0000-0200-00008A040000}"/>
    <hyperlink ref="I1165" r:id="rId1164" display="https://drive.google.com/open?id=1swNFT1oepcZ5t_4iwadxoC6im4l_-bGr" xr:uid="{00000000-0004-0000-0200-00008B040000}"/>
    <hyperlink ref="I1166" r:id="rId1165" display="https://drive.google.com/open?id=1nh4I-S9jMygxYtrdFIWpv4tvpL5nG_DT" xr:uid="{00000000-0004-0000-0200-00008C040000}"/>
    <hyperlink ref="I1167" r:id="rId1166" display="https://drive.google.com/open?id=12vs8JWr_OXzz-BXfgtavxreC7IReKDpq" xr:uid="{00000000-0004-0000-0200-00008D040000}"/>
    <hyperlink ref="I1168" r:id="rId1167" display="https://drive.google.com/open?id=1KsowRzZpeb1wsfZMlBygH8oTSgAreRm1" xr:uid="{00000000-0004-0000-0200-00008E040000}"/>
    <hyperlink ref="I1169" r:id="rId1168" display="https://drive.google.com/open?id=1HhpWBk2bwUDI7Z0E9dz1XwDG-b8HJTJO" xr:uid="{00000000-0004-0000-0200-00008F040000}"/>
    <hyperlink ref="I1170" r:id="rId1169" display="https://drive.google.com/open?id=1xqepiuz7Szot3mWu3-KZm1H-wexhgJAg" xr:uid="{00000000-0004-0000-0200-000090040000}"/>
    <hyperlink ref="I1171" r:id="rId1170" display="https://drive.google.com/open?id=1tPc3ZkzWAZDVG4e-M3WLpzLwh_8HPFp-" xr:uid="{00000000-0004-0000-0200-000091040000}"/>
    <hyperlink ref="I1172" r:id="rId1171" display="https://drive.google.com/open?id=1gYxRzJ_f43wSG7sfDDWF_XbkoPArV-b6" xr:uid="{00000000-0004-0000-0200-000092040000}"/>
    <hyperlink ref="I1173" r:id="rId1172" display="https://drive.google.com/open?id=11-XY7NmF-jnOaylJ2zEbmOC6QHhtzzhL" xr:uid="{00000000-0004-0000-0200-000093040000}"/>
    <hyperlink ref="I1174" r:id="rId1173" display="https://drive.google.com/open?id=1mC59PV_zmyR_TIlkAWZiXJz8gXcCweu2" xr:uid="{00000000-0004-0000-0200-000094040000}"/>
    <hyperlink ref="I1175" r:id="rId1174" display="https://drive.google.com/open?id=10E4ifhEM9mgEdl3PTjj2B9G4wQy7VG1n" xr:uid="{00000000-0004-0000-0200-000095040000}"/>
    <hyperlink ref="I1176" r:id="rId1175" display="https://drive.google.com/open?id=1XwbhZ50UC3RSX9vPOoCdyxkl3dIhjuZB" xr:uid="{00000000-0004-0000-0200-000096040000}"/>
    <hyperlink ref="I1177" r:id="rId1176" display="https://drive.google.com/open?id=1RKLWlZi7PwDhRWhbI5kPYFGZdll4EaPw" xr:uid="{00000000-0004-0000-0200-000097040000}"/>
    <hyperlink ref="I1178" r:id="rId1177" display="https://drive.google.com/open?id=1CXe1zGyNnHlkZ5G_XfTs_peNS0B5w0FD" xr:uid="{00000000-0004-0000-0200-000098040000}"/>
    <hyperlink ref="I1179" r:id="rId1178" display="https://drive.google.com/open?id=14L8K2mEj_hIPiR7rKwWiqgwiRcdPzwXd" xr:uid="{00000000-0004-0000-0200-000099040000}"/>
    <hyperlink ref="I1180" r:id="rId1179" display="https://drive.google.com/open?id=1oUjixGRhp6FhkmXSRhaK0YC-gtbFdGDQ" xr:uid="{00000000-0004-0000-0200-00009A040000}"/>
    <hyperlink ref="I1181" r:id="rId1180" display="https://drive.google.com/open?id=1fB_KFNV56gL09X77ZeZ5W9rHY04Noq8g" xr:uid="{00000000-0004-0000-0200-00009B040000}"/>
    <hyperlink ref="I1182" r:id="rId1181" display="https://drive.google.com/open?id=1j_gWNxEhK5T2d7w-18I8rZ4J2PY-pJVY" xr:uid="{00000000-0004-0000-0200-00009C040000}"/>
    <hyperlink ref="I1183" r:id="rId1182" display="https://drive.google.com/open?id=1JE2uPzw9jkf47Zn45rGWnxwhG13UEOf3" xr:uid="{00000000-0004-0000-0200-00009D040000}"/>
    <hyperlink ref="I1184" r:id="rId1183" display="https://drive.google.com/open?id=1C8iRgyRXkh7e1Mx7y4ulyjhY51dAdeGB" xr:uid="{00000000-0004-0000-0200-00009E040000}"/>
    <hyperlink ref="I1185" r:id="rId1184" display="https://drive.google.com/open?id=1XPZHg4xaiYyt1gCMzbQyQbgLlWsI6EI_" xr:uid="{00000000-0004-0000-0200-00009F040000}"/>
    <hyperlink ref="I1186" r:id="rId1185" display="https://drive.google.com/open?id=1OygOiUBB39Hypt3qddSTa5F9foG_ESIf" xr:uid="{00000000-0004-0000-0200-0000A0040000}"/>
    <hyperlink ref="I1187" r:id="rId1186" display="https://drive.google.com/open?id=19NtrgqHNRLRwdmFKhwGm7kQpmCKO2o-7" xr:uid="{00000000-0004-0000-0200-0000A1040000}"/>
    <hyperlink ref="I1188" r:id="rId1187" display="https://drive.google.com/open?id=179z93TaXvAgsOFMB7HQP5eX5yFrNlIJM" xr:uid="{00000000-0004-0000-0200-0000A2040000}"/>
    <hyperlink ref="I1189" r:id="rId1188" display="https://drive.google.com/open?id=1552dGFWVeC-p0IK3Y5uHOGrptCLRq-5i" xr:uid="{00000000-0004-0000-0200-0000A3040000}"/>
    <hyperlink ref="I1190" r:id="rId1189" display="https://drive.google.com/open?id=1uGKnOn9ewHa2zgJrCfWsTr1ADv4H1qdx" xr:uid="{00000000-0004-0000-0200-0000A4040000}"/>
    <hyperlink ref="I1191" r:id="rId1190" display="https://drive.google.com/open?id=1ZUoem0vZWgOpc7ZTRjB0TXIptSVId2TR" xr:uid="{00000000-0004-0000-0200-0000A5040000}"/>
    <hyperlink ref="I1192" r:id="rId1191" display="https://drive.google.com/open?id=1oqbuEwy4Aw5Qor0UVhhvtXJtVkwiaydx" xr:uid="{00000000-0004-0000-0200-0000A6040000}"/>
    <hyperlink ref="I1193" r:id="rId1192" display="https://drive.google.com/open?id=10f_pgFUsnN2DXp1uISWvuneSz_Z5Fxfl" xr:uid="{00000000-0004-0000-0200-0000A7040000}"/>
    <hyperlink ref="I1194" r:id="rId1193" display="https://drive.google.com/open?id=1LdPd__IfVOwI0R9ZhUouvE3afz1c1ogl" xr:uid="{00000000-0004-0000-0200-0000A8040000}"/>
    <hyperlink ref="I1195" r:id="rId1194" display="https://drive.google.com/open?id=1rIlSmOM4-tkc5wSeZi2ttKbwqbgxn7O5" xr:uid="{00000000-0004-0000-0200-0000A9040000}"/>
    <hyperlink ref="I1196" r:id="rId1195" display="https://drive.google.com/open?id=1B5zpJ4ffpDJbwYeyEzsFZ189QqKy8OUQ" xr:uid="{00000000-0004-0000-0200-0000AA040000}"/>
    <hyperlink ref="I1197" r:id="rId1196" display="https://drive.google.com/open?id=1Obq2S1O1trAakdsYzMTAJ1ArD8tea6D4" xr:uid="{00000000-0004-0000-0200-0000AB040000}"/>
    <hyperlink ref="I1198" r:id="rId1197" display="https://drive.google.com/open?id=1OfJNbe_v7ifxwA1n4zXBaIxNmm_bQnkG" xr:uid="{00000000-0004-0000-0200-0000AC040000}"/>
    <hyperlink ref="I1199" r:id="rId1198" display="https://drive.google.com/open?id=1oY6Jye0tmUpZRVllfOjphBmfvfjAEcgE" xr:uid="{00000000-0004-0000-0200-0000AD040000}"/>
    <hyperlink ref="I1200" r:id="rId1199" display="https://drive.google.com/open?id=1YexeMEAtiuf3Qw_KFAKTlNpz2uN7nlDr" xr:uid="{00000000-0004-0000-0200-0000AE040000}"/>
    <hyperlink ref="I1201" r:id="rId1200" display="https://drive.google.com/open?id=1KNGN_BCKn2Z0K6Efh7imxm5IhcsS4AoQ" xr:uid="{00000000-0004-0000-0200-0000AF040000}"/>
    <hyperlink ref="I1202" r:id="rId1201" display="https://drive.google.com/open?id=1dKUGY_q0IevZWR34nvRVGSiWLiOh9GCL" xr:uid="{00000000-0004-0000-0200-0000B0040000}"/>
    <hyperlink ref="I1203" r:id="rId1202" display="https://drive.google.com/open?id=1fDfyPV7ug50gWb_IuKenwiKeLIQw-R9H" xr:uid="{00000000-0004-0000-0200-0000B1040000}"/>
    <hyperlink ref="I1204" r:id="rId1203" display="https://drive.google.com/open?id=1iPWHWPTbsam2rrp53EO2MICCGwgwwKw1" xr:uid="{00000000-0004-0000-0200-0000B2040000}"/>
    <hyperlink ref="I1205" r:id="rId1204" display="https://drive.google.com/open?id=1a_ZsyobJ1jDYDhnNLRh4WfqDv4SU-7PJ" xr:uid="{00000000-0004-0000-0200-0000B3040000}"/>
    <hyperlink ref="I1206" r:id="rId1205" display="https://drive.google.com/open?id=1SS0RG1Mb8syH8eNoyF9QYbPM83vfA7rR" xr:uid="{00000000-0004-0000-0200-0000B4040000}"/>
    <hyperlink ref="I1207" r:id="rId1206" display="https://drive.google.com/open?id=1o_FmVqf5NiP84Zyh-Y1_dza1_t6U9o-2" xr:uid="{00000000-0004-0000-0200-0000B5040000}"/>
    <hyperlink ref="I1208" r:id="rId1207" display="https://drive.google.com/open?id=1BcTYOq4PKV424BPXCnbsdDxX15_BDw2q" xr:uid="{00000000-0004-0000-0200-0000B6040000}"/>
    <hyperlink ref="I1209" r:id="rId1208" display="https://drive.google.com/open?id=16nP-LCizOHGCozd9YhWxi7D1O66oEH_O" xr:uid="{00000000-0004-0000-0200-0000B7040000}"/>
    <hyperlink ref="I1210" r:id="rId1209" display="https://drive.google.com/open?id=1E8hcmH-pmazwALhwZ4HnD6KoloiC6Tj7" xr:uid="{00000000-0004-0000-0200-0000B8040000}"/>
    <hyperlink ref="I1211" r:id="rId1210" display="https://drive.google.com/open?id=1RarPNUtovo-fEUxr_JLwEe5wr6ijJREh" xr:uid="{00000000-0004-0000-0200-0000B9040000}"/>
    <hyperlink ref="I1212" r:id="rId1211" display="https://drive.google.com/open?id=1ZkXBzBjCOyrWAU2mqNyhwJPxBPpbqx-d" xr:uid="{00000000-0004-0000-0200-0000BA040000}"/>
    <hyperlink ref="I1213" r:id="rId1212" display="https://drive.google.com/open?id=1fN_O3hnHRiBx_M1snlbVqh7Cx4on1nPA" xr:uid="{00000000-0004-0000-0200-0000BB040000}"/>
    <hyperlink ref="I1214" r:id="rId1213" display="https://drive.google.com/open?id=1MI63g866dAAnJVMamzMeyxdoRGbtNw3g" xr:uid="{00000000-0004-0000-0200-0000BC040000}"/>
    <hyperlink ref="I1215" r:id="rId1214" display="https://drive.google.com/open?id=1ZqrH8PxUYAF2t1hqumf0dtdSkzbGj15p" xr:uid="{00000000-0004-0000-0200-0000BD040000}"/>
    <hyperlink ref="I1216" r:id="rId1215" display="https://drive.google.com/open?id=1Xr4gWNXJAJ-KL87KDkoBa6KbPHdnakTB" xr:uid="{00000000-0004-0000-0200-0000BE040000}"/>
    <hyperlink ref="I1217" r:id="rId1216" display="https://drive.google.com/open?id=1aVM9t35SYlm7hwBuMo6llEX5GbFaPbDe" xr:uid="{00000000-0004-0000-0200-0000BF040000}"/>
    <hyperlink ref="I1218" r:id="rId1217" display="https://drive.google.com/open?id=14v-Na-5HE1NyZeSN_vxISH2DUo8wm-y5" xr:uid="{00000000-0004-0000-0200-0000C0040000}"/>
    <hyperlink ref="I1219" r:id="rId1218" display="https://drive.google.com/open?id=1cS9As3L40XshVCmOBFAPGBA4kQNjFVJ-" xr:uid="{00000000-0004-0000-0200-0000C1040000}"/>
    <hyperlink ref="I1220" r:id="rId1219" display="https://drive.google.com/open?id=1onIL5no9pNtXwHVQchscuEnei6qjLTGR" xr:uid="{00000000-0004-0000-0200-0000C2040000}"/>
    <hyperlink ref="I1221" r:id="rId1220" display="https://drive.google.com/open?id=1eF34HbefAkEOEx02vhzoUIO9qXBrdO3i" xr:uid="{00000000-0004-0000-0200-0000C3040000}"/>
    <hyperlink ref="I1222" r:id="rId1221" display="https://drive.google.com/open?id=1PLw8GbtZ1OVDol0wqXYXGGwJZIbMwWUP" xr:uid="{00000000-0004-0000-0200-0000C4040000}"/>
    <hyperlink ref="I1223" r:id="rId1222" display="https://drive.google.com/open?id=1ZJqxCbszqdtE73nqtXViiWRvcQxW7gVl" xr:uid="{00000000-0004-0000-0200-0000C5040000}"/>
    <hyperlink ref="I1224" r:id="rId1223" display="https://drive.google.com/open?id=1d5KpJ2In3i-vBpEKngFTSlWQ-VLaTv6e" xr:uid="{00000000-0004-0000-0200-0000C6040000}"/>
    <hyperlink ref="I1225" r:id="rId1224" display="https://drive.google.com/open?id=18Ow1FeH3lNrQe6oPXRyxJUXqnMPHxqeC" xr:uid="{00000000-0004-0000-0200-0000C7040000}"/>
    <hyperlink ref="I1226" r:id="rId1225" display="https://drive.google.com/open?id=12bukROniYRW2XO4SsUo-Gy3y9c5Couir" xr:uid="{00000000-0004-0000-0200-0000C8040000}"/>
    <hyperlink ref="I1227" r:id="rId1226" display="https://drive.google.com/open?id=1LINp-ndKO12Yo0SrDY-1IETK01yQH2A-" xr:uid="{00000000-0004-0000-0200-0000C9040000}"/>
    <hyperlink ref="I1228" r:id="rId1227" display="https://drive.google.com/open?id=1PcagKdi6XoMj92ACBlqwU9aWAZPaSulI" xr:uid="{00000000-0004-0000-0200-0000CA040000}"/>
    <hyperlink ref="I1229" r:id="rId1228" display="https://drive.google.com/open?id=1hr0Mo2ZKmKNKyapKVI-CLEPSREFKrP8C" xr:uid="{00000000-0004-0000-0200-0000CB040000}"/>
    <hyperlink ref="I1230" r:id="rId1229" display="https://drive.google.com/open?id=1VXfip4OKNczpAcWHMsmM8v3HIGb0pcGY" xr:uid="{00000000-0004-0000-0200-0000CC040000}"/>
    <hyperlink ref="I1231" r:id="rId1230" display="https://drive.google.com/open?id=1Gp179YVUwLTEbtRSxzTiRp5BSt-r1Jlr" xr:uid="{00000000-0004-0000-0200-0000CD040000}"/>
    <hyperlink ref="I1232" r:id="rId1231" display="https://drive.google.com/open?id=1js-TCuTHkf_HDdV7BW7gTUMCS74BY7pe" xr:uid="{00000000-0004-0000-0200-0000CE040000}"/>
    <hyperlink ref="I1233" r:id="rId1232" display="https://drive.google.com/open?id=1DRoFV3SMPbShvLJYsUDXRyRMC6OYNWgQ" xr:uid="{00000000-0004-0000-0200-0000CF040000}"/>
    <hyperlink ref="I1234" r:id="rId1233" display="https://drive.google.com/open?id=1shZXIhFxAUUl-Kh0cUhEAwbrd6A5Mema" xr:uid="{00000000-0004-0000-0200-0000D0040000}"/>
    <hyperlink ref="I1235" r:id="rId1234" display="https://drive.google.com/open?id=1DgkUkoFyX6NKFKiP0FIGWSfTJhaoYKQc" xr:uid="{00000000-0004-0000-0200-0000D1040000}"/>
    <hyperlink ref="I1236" r:id="rId1235" display="https://drive.google.com/open?id=1KYuIjhMdaomRuC5FuBE_qLgy1iedbhot" xr:uid="{00000000-0004-0000-0200-0000D2040000}"/>
    <hyperlink ref="I1237" r:id="rId1236" display="https://drive.google.com/open?id=1usCIhbLOHNJYo8zh_tP1xTMZBhhy6hwk" xr:uid="{00000000-0004-0000-0200-0000D3040000}"/>
    <hyperlink ref="I1238" r:id="rId1237" display="https://drive.google.com/open?id=1_No1a_hvVvPxMSp3rCOE6MW0nGj3u6Sf" xr:uid="{00000000-0004-0000-0200-0000D4040000}"/>
    <hyperlink ref="I1239" r:id="rId1238" display="https://drive.google.com/open?id=11o7yaz3j6q-Ts8_GBIZLOhp7Ffkt21AW" xr:uid="{00000000-0004-0000-0200-0000D5040000}"/>
    <hyperlink ref="I1240" r:id="rId1239" display="https://drive.google.com/open?id=1FCEsg0P_rvs7CZzQBAWMU9WrCImIc5ID" xr:uid="{00000000-0004-0000-0200-0000D6040000}"/>
    <hyperlink ref="I1241" r:id="rId1240" display="https://drive.google.com/open?id=1vnJ_yiHRZx7ZLyRPJF4Y7Vhc98SR91sX" xr:uid="{00000000-0004-0000-0200-0000D7040000}"/>
    <hyperlink ref="I1242" r:id="rId1241" display="https://drive.google.com/open?id=1RANyJYgmEpn6KZnhXQJ1rlbQyWlVbSV-" xr:uid="{00000000-0004-0000-0200-0000D8040000}"/>
    <hyperlink ref="I1243" r:id="rId1242" display="https://drive.google.com/open?id=1Qza2JrDfXbIZaODzxuDOElOkQiPh-WrV" xr:uid="{00000000-0004-0000-0200-0000D9040000}"/>
    <hyperlink ref="I1244" r:id="rId1243" display="https://drive.google.com/open?id=1Ooud-O1mW3B81jFN4xBLr1AanHUV0gj0" xr:uid="{00000000-0004-0000-0200-0000DA040000}"/>
    <hyperlink ref="I1245" r:id="rId1244" display="https://drive.google.com/open?id=1xgvibtPsiLXZacNxG_WEvUg-WwKY5AjW" xr:uid="{00000000-0004-0000-0200-0000DB040000}"/>
    <hyperlink ref="I1246" r:id="rId1245" display="https://drive.google.com/open?id=1l9v5aZFYe1z8XnFzwxnfmTo3qTGmI-_h" xr:uid="{00000000-0004-0000-0200-0000DC040000}"/>
    <hyperlink ref="I1247" r:id="rId1246" display="https://drive.google.com/open?id=1wB9sDPDVxvPhlDHFO3cq42kscTe112MQ" xr:uid="{00000000-0004-0000-0200-0000DD040000}"/>
    <hyperlink ref="I1248" r:id="rId1247" display="https://drive.google.com/open?id=1LxSHBH6p1QvX7cyKneK8wtC9JpPUSuCM" xr:uid="{00000000-0004-0000-0200-0000DE040000}"/>
    <hyperlink ref="I1249" r:id="rId1248" display="https://drive.google.com/open?id=1ldq6cVIB3gVGZIDf6mKPLVrHXRiKGXWg" xr:uid="{00000000-0004-0000-0200-0000DF040000}"/>
    <hyperlink ref="I1250" r:id="rId1249" display="https://drive.google.com/open?id=1ZaxGivWBYyW2fOJJp5Tao7HAAoJ74Xdt" xr:uid="{00000000-0004-0000-0200-0000E0040000}"/>
    <hyperlink ref="I1251" r:id="rId1250" display="https://drive.google.com/open?id=1wOI2Peq5X63ZHRPpbDk0JEQHLM2Vsm2c" xr:uid="{00000000-0004-0000-0200-0000E1040000}"/>
    <hyperlink ref="I1252" r:id="rId1251" display="https://drive.google.com/open?id=1JcRA-bj2kl-vgplUF-83zjVVSpUgLMLd" xr:uid="{00000000-0004-0000-0200-0000E2040000}"/>
    <hyperlink ref="I1253" r:id="rId1252" display="https://drive.google.com/open?id=1AQLLupAF5t-2IQq-358DvrU8X0DT6HQy" xr:uid="{00000000-0004-0000-0200-0000E3040000}"/>
    <hyperlink ref="I1254" r:id="rId1253" display="https://drive.google.com/open?id=1zSpk3KE7pVX2B5xO-h_tpmVycWZv5D2s" xr:uid="{00000000-0004-0000-0200-0000E4040000}"/>
    <hyperlink ref="I1255" r:id="rId1254" display="https://drive.google.com/open?id=1WTpak7jWm-FhfXkfIFTLUuQbwA0dUTR0" xr:uid="{00000000-0004-0000-0200-0000E5040000}"/>
    <hyperlink ref="I1256" r:id="rId1255" display="https://drive.google.com/open?id=1gAc75lYz20yQWGs7BJptBLjEiR1E7mMe" xr:uid="{00000000-0004-0000-0200-0000E6040000}"/>
    <hyperlink ref="I1257" r:id="rId1256" display="https://drive.google.com/open?id=1DlzvtUPb2XtHP29YLjmkVce6o-l1eGqJ" xr:uid="{00000000-0004-0000-0200-0000E7040000}"/>
    <hyperlink ref="I1258" r:id="rId1257" display="https://drive.google.com/open?id=1sNp6qhhl6tZRdxN2qwMMeaWgX7vRRJPY" xr:uid="{00000000-0004-0000-0200-0000E8040000}"/>
    <hyperlink ref="I1259" r:id="rId1258" display="https://drive.google.com/open?id=1eS9dxBjJtSkOq_bZsQ77IYJsSP-yeLz1" xr:uid="{00000000-0004-0000-0200-0000E9040000}"/>
    <hyperlink ref="I1260" r:id="rId1259" display="https://drive.google.com/open?id=1c_p06W985g9cXdHcxO3w9avZiXyfFB7F" xr:uid="{00000000-0004-0000-0200-0000EA040000}"/>
    <hyperlink ref="I1261" r:id="rId1260" display="https://drive.google.com/open?id=1uEzf5biny3UxP36ZJU7jfBQt0LuE0717" xr:uid="{00000000-0004-0000-0200-0000EB040000}"/>
    <hyperlink ref="I1262" r:id="rId1261" display="https://drive.google.com/open?id=1zmhCK2YKOaJFJ1CQ5cZGT7UrZ6muDZ6o" xr:uid="{00000000-0004-0000-0200-0000EC040000}"/>
    <hyperlink ref="I1263" r:id="rId1262" display="https://drive.google.com/open?id=1sHtoLonRDbWD3HSPoIeS6D1e_SMtO12S" xr:uid="{00000000-0004-0000-0200-0000ED040000}"/>
    <hyperlink ref="I1264" r:id="rId1263" display="https://drive.google.com/open?id=1a-owuO-_BJEX0MZpUjJXQh8suySGjUDs" xr:uid="{00000000-0004-0000-0200-0000EE040000}"/>
    <hyperlink ref="I1265" r:id="rId1264" display="https://drive.google.com/open?id=1d6xPs3A4I4nf_DaDq-j1oGKPWsKLhvxf" xr:uid="{00000000-0004-0000-0200-0000EF040000}"/>
    <hyperlink ref="I1266" r:id="rId1265" display="https://drive.google.com/open?id=1fAqItoSwIqkg62wQgAywFJEZeBS8c65R" xr:uid="{00000000-0004-0000-0200-0000F0040000}"/>
    <hyperlink ref="I1267" r:id="rId1266" display="https://drive.google.com/open?id=1isf_cgXnPYcE_BTItv5831wlwbLP2bfl" xr:uid="{00000000-0004-0000-0200-0000F1040000}"/>
    <hyperlink ref="I1268" r:id="rId1267" display="https://drive.google.com/open?id=14g6EQM1T6uA0KnweIT9ga3k5TBA4ddaR" xr:uid="{00000000-0004-0000-0200-0000F2040000}"/>
    <hyperlink ref="I1269" r:id="rId1268" display="https://drive.google.com/open?id=131m6e8WE_ivaRKYiIErpsVV1F_jERMZF" xr:uid="{00000000-0004-0000-0200-0000F3040000}"/>
    <hyperlink ref="I1270" r:id="rId1269" display="https://drive.google.com/open?id=1Tj7GaFR-gKVDXsZvoJeBmRFmBpEB34in" xr:uid="{00000000-0004-0000-0200-0000F4040000}"/>
    <hyperlink ref="I1271" r:id="rId1270" display="https://drive.google.com/open?id=1ztk5sA7RJj7ITLbOdTfLg1J2goGzOpqs" xr:uid="{00000000-0004-0000-0200-0000F5040000}"/>
    <hyperlink ref="I1272" r:id="rId1271" display="https://drive.google.com/open?id=1XZqDQiClyNUpXdwXPuntKEu_QEYg62Dn" xr:uid="{00000000-0004-0000-0200-0000F6040000}"/>
    <hyperlink ref="I1273" r:id="rId1272" display="https://drive.google.com/open?id=1c-w7ALloHqh9oZKjYNuihOx6wS1OzNO1" xr:uid="{00000000-0004-0000-0200-0000F7040000}"/>
    <hyperlink ref="I1274" r:id="rId1273" display="https://drive.google.com/open?id=1mqRAZktQJMqckiq9xhaEZLxtD0IHpdUq" xr:uid="{00000000-0004-0000-0200-0000F8040000}"/>
    <hyperlink ref="I1275" r:id="rId1274" display="https://drive.google.com/open?id=1VwzdR1M3RPDb3e_VTrhH3W0JdE3UB9Ti" xr:uid="{00000000-0004-0000-0200-0000F9040000}"/>
    <hyperlink ref="I1276" r:id="rId1275" display="https://drive.google.com/open?id=1vXKk0CTmV9RWOKJd-C5zqVsxj7y2ADyr" xr:uid="{00000000-0004-0000-0200-0000FA040000}"/>
    <hyperlink ref="I1277" r:id="rId1276" display="https://drive.google.com/open?id=1Cu7K0p8rY6fSXeepVx8-td9XxvbFOZFj" xr:uid="{00000000-0004-0000-0200-0000FB040000}"/>
    <hyperlink ref="I1278" r:id="rId1277" display="https://drive.google.com/open?id=1M_G_BJ9c7mlqGQTv9QNzIcO3KpxEoRfy" xr:uid="{00000000-0004-0000-0200-0000FC040000}"/>
    <hyperlink ref="I1279" r:id="rId1278" display="https://drive.google.com/open?id=1hxpdU1RpyQGuDj4gxmSVWlVAL3TIh0y9" xr:uid="{00000000-0004-0000-0200-0000FD040000}"/>
    <hyperlink ref="I1280" r:id="rId1279" display="https://drive.google.com/open?id=1pCkz66mSGtGAh35m5uJdfix8mjJOxxWQ" xr:uid="{00000000-0004-0000-0200-0000FE040000}"/>
    <hyperlink ref="I1281" r:id="rId1280" display="https://drive.google.com/open?id=10L_OZLv7sRA1gzx8jiF96qfZI4X6FK_9" xr:uid="{00000000-0004-0000-0200-0000FF040000}"/>
    <hyperlink ref="I1282" r:id="rId1281" display="https://drive.google.com/open?id=1jnvMvisTs6C2oBv7fTbRxafTnqUYp_HV" xr:uid="{00000000-0004-0000-0200-000000050000}"/>
    <hyperlink ref="I1283" r:id="rId1282" display="https://drive.google.com/open?id=1bFPByjXQmIVuSTdsb32pw1xikR3ASphR" xr:uid="{00000000-0004-0000-0200-000001050000}"/>
    <hyperlink ref="I1284" r:id="rId1283" display="https://drive.google.com/open?id=1kXHfolWMzHclN2Q1MkjrJM1Klsd73c8l" xr:uid="{00000000-0004-0000-0200-000002050000}"/>
    <hyperlink ref="I1285" r:id="rId1284" display="https://drive.google.com/open?id=1HzjvXdjI5DzK6H-GdipS6OVaVkVCPKGM" xr:uid="{00000000-0004-0000-0200-000003050000}"/>
    <hyperlink ref="I1286" r:id="rId1285" display="https://drive.google.com/open?id=189o3NIC8326cFz5xtZtcjW3VALFeGcbgBgMCla5WX_E" xr:uid="{00000000-0004-0000-0200-000004050000}"/>
    <hyperlink ref="I1287" r:id="rId1286" display="https://drive.google.com/open?id=1SiR3eWBnWKQwM5zv84JiYrcmK9iQIsaW" xr:uid="{00000000-0004-0000-0200-000005050000}"/>
    <hyperlink ref="I1288" r:id="rId1287" display="https://drive.google.com/open?id=1pvofjd_LoqXFsSyO7PU4hIlqZs0YfUVL" xr:uid="{00000000-0004-0000-0200-000006050000}"/>
    <hyperlink ref="I1289" r:id="rId1288" display="https://drive.google.com/open?id=1YzbCNjz7cSskc989m0J_XST5tmHf4Pzt" xr:uid="{00000000-0004-0000-0200-000007050000}"/>
    <hyperlink ref="I1290" r:id="rId1289" display="https://drive.google.com/open?id=1dKzP5wl-ElRxfJm58e7ELDch0cNLRZX1" xr:uid="{00000000-0004-0000-0200-000008050000}"/>
    <hyperlink ref="I1291" r:id="rId1290" display="https://drive.google.com/open?id=18d2TI-t-n23yufAELtpzJZSvx10_-l1g" xr:uid="{00000000-0004-0000-0200-000009050000}"/>
    <hyperlink ref="I1292" r:id="rId1291" display="https://drive.google.com/open?id=1Qfpk_OF-LjOrlnKUYqQmnF6tEHFhfHTn" xr:uid="{00000000-0004-0000-0200-00000A050000}"/>
    <hyperlink ref="I1293" r:id="rId1292" display="https://drive.google.com/open?id=1ak101Wz9Jq2mAn9x5cJwdVvXCwZ_kdPl" xr:uid="{00000000-0004-0000-0200-00000B050000}"/>
    <hyperlink ref="I1294" r:id="rId1293" display="https://drive.google.com/open?id=1oWU6JdXKRkvm0V3ldrbxpsjSRa1zd51g" xr:uid="{00000000-0004-0000-0200-00000C050000}"/>
    <hyperlink ref="I1295" r:id="rId1294" display="https://drive.google.com/open?id=1KIFF0iF4Kbn16Uopjx7lHq6sRuYx49eu" xr:uid="{00000000-0004-0000-0200-00000D050000}"/>
    <hyperlink ref="I1296" r:id="rId1295" display="https://drive.google.com/open?id=1h1AwImFY9VMN-mZBwstvBv0Di3HyUQNv" xr:uid="{00000000-0004-0000-0200-00000E050000}"/>
    <hyperlink ref="I1297" r:id="rId1296" display="https://drive.google.com/open?id=1nEBlViPM5Ddgn6VqndvR9og9DgbPUE1m" xr:uid="{00000000-0004-0000-0200-00000F050000}"/>
    <hyperlink ref="I1298" r:id="rId1297" display="https://drive.google.com/open?id=1cdIKzIVkrzqJBDRjwmjpv5yqssW-Ohhu" xr:uid="{00000000-0004-0000-0200-000010050000}"/>
    <hyperlink ref="I1299" r:id="rId1298" display="https://drive.google.com/open?id=1gJIa92ohXGMK0bPQDH9LwTY5Le2UbzrI" xr:uid="{00000000-0004-0000-0200-000011050000}"/>
    <hyperlink ref="I1300" r:id="rId1299" display="https://drive.google.com/open?id=1IhVj7O3wuvnPMzNITtF33ouU4F4zZc5g" xr:uid="{00000000-0004-0000-0200-000012050000}"/>
    <hyperlink ref="I1301" r:id="rId1300" display="https://drive.google.com/open?id=1aKZa0yAlDTc9HTzhoRrZC145WitbqOZZ" xr:uid="{00000000-0004-0000-0200-000013050000}"/>
    <hyperlink ref="I1302" r:id="rId1301" display="https://drive.google.com/open?id=10pXHDsxz0qDzurJFFqwgybCuyCqAhUgf" xr:uid="{00000000-0004-0000-0200-000014050000}"/>
    <hyperlink ref="I1303" r:id="rId1302" display="https://drive.google.com/open?id=10zkuO6az7Km6Pbxv9camWrsGTq9JXjUZ" xr:uid="{00000000-0004-0000-0200-000015050000}"/>
    <hyperlink ref="I1304" r:id="rId1303" display="https://drive.google.com/open?id=1IfZttCwLF7AHE5RFhq3WKoxtVkvK8piR" xr:uid="{00000000-0004-0000-0200-000016050000}"/>
    <hyperlink ref="I1305" r:id="rId1304" display="https://drive.google.com/open?id=1L9fGShqyQJNEq_oCUe3NjiJMbAQCubBx" xr:uid="{00000000-0004-0000-0200-000017050000}"/>
    <hyperlink ref="I1306" r:id="rId1305" display="https://drive.google.com/open?id=1xI4e8owXpm6ee17Ln-bHqRyW9fvqDmux" xr:uid="{00000000-0004-0000-0200-000018050000}"/>
    <hyperlink ref="I1307" r:id="rId1306" display="https://drive.google.com/open?id=1-lH_uIaoacp0D3s4hlcxVmHcG41PS3LS" xr:uid="{00000000-0004-0000-0200-000019050000}"/>
    <hyperlink ref="I1308" r:id="rId1307" display="https://drive.google.com/open?id=19SiQKhw2ew54n1DBqAUsZEJ81_Hzs40B" xr:uid="{00000000-0004-0000-0200-00001A050000}"/>
    <hyperlink ref="I1309" r:id="rId1308" display="https://drive.google.com/open?id=1PW12dB3xQL0cj8jBe_QTCGfznP76ABJN" xr:uid="{00000000-0004-0000-0200-00001B050000}"/>
    <hyperlink ref="I1310" r:id="rId1309" display="https://drive.google.com/open?id=1ZQ81LmB0QpVzGd9Rf0DC5m4_1YX0Sk9k" xr:uid="{00000000-0004-0000-0200-00001C050000}"/>
    <hyperlink ref="I1311" r:id="rId1310" display="https://drive.google.com/open?id=1dvVDbe0_32fsF0LYLkxY0YiAhMZngEg-" xr:uid="{00000000-0004-0000-0200-00001D050000}"/>
    <hyperlink ref="I1312" r:id="rId1311" display="https://drive.google.com/open?id=1eTSXpPJI3vhv6POmTmZ43VE8aJks8gYo" xr:uid="{00000000-0004-0000-0200-00001E050000}"/>
    <hyperlink ref="I1313" r:id="rId1312" display="https://drive.google.com/open?id=1bBBJwuNKD6mr-DqHCdhvPDwidZTP0itH" xr:uid="{00000000-0004-0000-0200-00001F050000}"/>
    <hyperlink ref="I1314" r:id="rId1313" display="https://drive.google.com/open?id=17NJvLhYvsC7QaP4wgc7SzK8UAl2NpcG4" xr:uid="{00000000-0004-0000-0200-000020050000}"/>
    <hyperlink ref="I1315" r:id="rId1314" display="https://drive.google.com/open?id=1BtHMJ7DRjvRLtKY0EbB_qO7FEid1uBt4" xr:uid="{00000000-0004-0000-0200-000021050000}"/>
    <hyperlink ref="I1316" r:id="rId1315" display="https://drive.google.com/open?id=1yKid-g8opwdfQ8Dw7pSIj_zd83gmG8iy" xr:uid="{00000000-0004-0000-0200-000022050000}"/>
    <hyperlink ref="I1317" r:id="rId1316" display="https://drive.google.com/open?id=1nGT_Jt7asMZcym7MzOYrVuAvKKKgrmc-" xr:uid="{00000000-0004-0000-0200-000023050000}"/>
    <hyperlink ref="I1318" r:id="rId1317" display="https://drive.google.com/open?id=1tc3eE_MEbzRJZ0PhOf5XOgDvp-HhvOjX" xr:uid="{00000000-0004-0000-0200-000024050000}"/>
    <hyperlink ref="I1319" r:id="rId1318" display="https://drive.google.com/open?id=134QkVRHhxVYBHDsO7DmULP5gDWzCL6rj" xr:uid="{00000000-0004-0000-0200-000025050000}"/>
    <hyperlink ref="I1320" r:id="rId1319" display="https://drive.google.com/open?id=1bZYt3KQEf5QE6OaR4lFFblTYNrrfC5yV" xr:uid="{00000000-0004-0000-0200-000026050000}"/>
    <hyperlink ref="I1321" r:id="rId1320" display="https://drive.google.com/open?id=1tZEINgB0bDYWoAa03AgvjFr7pFKLTf-1" xr:uid="{00000000-0004-0000-0200-000027050000}"/>
    <hyperlink ref="I1322" r:id="rId1321" display="https://drive.google.com/open?id=1Omix8tIzezBnhnSQ0eaxchFM8GoDGuJj" xr:uid="{00000000-0004-0000-0200-000028050000}"/>
    <hyperlink ref="I1323" r:id="rId1322" display="https://drive.google.com/open?id=11G3L4WQPCDd7JBdoKm4-gtGbvbpAJ44Q" xr:uid="{00000000-0004-0000-0200-000029050000}"/>
    <hyperlink ref="I1324" r:id="rId1323" display="https://drive.google.com/open?id=1_KzBscFlVSdmhjAaDAclkTDW7W1aYhHC" xr:uid="{00000000-0004-0000-0200-00002A050000}"/>
    <hyperlink ref="I1325" r:id="rId1324" display="https://drive.google.com/open?id=1NeTp2sTTUHz5vwcyDsB4z4EkcCBmw5Sl" xr:uid="{00000000-0004-0000-0200-00002B050000}"/>
    <hyperlink ref="I1326" r:id="rId1325" display="https://drive.google.com/open?id=1HRL-teR6hc-cn6xlNL46TEKFB9j7rjfx" xr:uid="{00000000-0004-0000-0200-00002C050000}"/>
    <hyperlink ref="I1327" r:id="rId1326" display="https://drive.google.com/open?id=1vWELsaQi783D7VDEp5YVeH2qkC2XfIGm" xr:uid="{00000000-0004-0000-0200-00002D050000}"/>
    <hyperlink ref="I1328" r:id="rId1327" display="https://drive.google.com/open?id=124cNhXziea12UTes3jO5HDeKpCSNXrsq" xr:uid="{00000000-0004-0000-0200-00002E050000}"/>
    <hyperlink ref="I1329" r:id="rId1328" display="https://drive.google.com/open?id=16ktE0YFwGR7tQo3Q4PvAuBXhFwkGCUEW" xr:uid="{00000000-0004-0000-0200-00002F050000}"/>
    <hyperlink ref="I1330" r:id="rId1329" display="https://drive.google.com/open?id=1bYUcvktNVRX4ysTG-GYGV8Hnkek4A01t" xr:uid="{00000000-0004-0000-0200-000030050000}"/>
    <hyperlink ref="I1331" r:id="rId1330" display="https://drive.google.com/open?id=1mRhgh9Gqy-IFaW8UaVjcDt39iitPwDAi" xr:uid="{00000000-0004-0000-0200-000031050000}"/>
    <hyperlink ref="I1332" r:id="rId1331" display="https://drive.google.com/open?id=1QA9XtrbRqPg_iiVpx18tA8QtTE-ukUcH" xr:uid="{00000000-0004-0000-0200-000032050000}"/>
    <hyperlink ref="I1333" r:id="rId1332" display="https://drive.google.com/open?id=1dIBwaHi2LOPpYxzqmrmlff41I4Fy3y3X" xr:uid="{00000000-0004-0000-0200-000033050000}"/>
    <hyperlink ref="I1334" r:id="rId1333" display="https://drive.google.com/open?id=19WBOSMi43xYjKYH19U5v__QUEy9VtYED" xr:uid="{00000000-0004-0000-0200-000034050000}"/>
    <hyperlink ref="I1335" r:id="rId1334" display="https://drive.google.com/open?id=1fUSRLeNw__wyWHrjz5jjkSy5tisnhXpt" xr:uid="{00000000-0004-0000-0200-000035050000}"/>
    <hyperlink ref="I1336" r:id="rId1335" display="https://drive.google.com/open?id=19hXIZ4iaf3sQxbObAQciTscCtW-bGe_-" xr:uid="{00000000-0004-0000-0200-000036050000}"/>
    <hyperlink ref="I1337" r:id="rId1336" display="https://drive.google.com/open?id=1CdH8dTroOUg2Zddmz20UzsuJQNH8jLSP" xr:uid="{00000000-0004-0000-0200-000037050000}"/>
    <hyperlink ref="I1338" r:id="rId1337" display="https://drive.google.com/open?id=14VhHVBFFH9lwnz44HfBo4HQ65d8CiFXj" xr:uid="{00000000-0004-0000-0200-000038050000}"/>
    <hyperlink ref="I1339" r:id="rId1338" display="https://drive.google.com/open?id=1qxpMnb8hbTh3mYY29a32dtcjM_PgGpPQ" xr:uid="{00000000-0004-0000-0200-000039050000}"/>
    <hyperlink ref="I1340" r:id="rId1339" display="https://drive.google.com/open?id=1_VV6RCedZvTvDUJgWqXzkDjgLIoD8bj6" xr:uid="{00000000-0004-0000-0200-00003A050000}"/>
    <hyperlink ref="I1341" r:id="rId1340" display="https://drive.google.com/open?id=14lBX3b7WRjnCSlVUAC5gwSU2JyW93lwr" xr:uid="{00000000-0004-0000-0200-00003B050000}"/>
    <hyperlink ref="I1342" r:id="rId1341" display="https://drive.google.com/open?id=1mI3FwjSRHWoceYLgxuqEsyaB0e4u5TqP" xr:uid="{00000000-0004-0000-0200-00003C050000}"/>
    <hyperlink ref="I1343" r:id="rId1342" display="https://drive.google.com/open?id=1OHVRvnOMhC1p1HzLQD8m9RosvMIVKPhX" xr:uid="{00000000-0004-0000-0200-00003D050000}"/>
    <hyperlink ref="I1344" r:id="rId1343" display="https://drive.google.com/open?id=1ehdc-mdWQ-p9OZmXwXNjmp6YBKCtI8ud" xr:uid="{00000000-0004-0000-0200-00003E050000}"/>
    <hyperlink ref="I1345" r:id="rId1344" display="https://drive.google.com/open?id=17tH3zDYjr_1rSY2B5pDhHXMWukvVBNeT" xr:uid="{00000000-0004-0000-0200-00003F050000}"/>
    <hyperlink ref="I1346" r:id="rId1345" display="https://drive.google.com/open?id=1jSh-Iz__0Mt0Dtr1_-50qHy317BLCvkA" xr:uid="{00000000-0004-0000-0200-000040050000}"/>
    <hyperlink ref="I1347" r:id="rId1346" display="https://drive.google.com/open?id=1yImFV9tXcv1pDOdf14qVJZFjdo8AxRwD" xr:uid="{00000000-0004-0000-0200-000041050000}"/>
    <hyperlink ref="I1348" r:id="rId1347" display="https://drive.google.com/open?id=1HxgDjz3lVAA0-nACexgolg7cQ8S6VKBo" xr:uid="{00000000-0004-0000-0200-000042050000}"/>
    <hyperlink ref="I1349" r:id="rId1348" display="https://drive.google.com/open?id=1r8BqmCqQk-kAgPGYKFbi71MqH1lRFCKa" xr:uid="{00000000-0004-0000-0200-000043050000}"/>
    <hyperlink ref="I1350" r:id="rId1349" display="https://drive.google.com/open?id=1q0cKZaOu71aGeIkTythedne-SVHFp-yE" xr:uid="{00000000-0004-0000-0200-000044050000}"/>
    <hyperlink ref="I1351" r:id="rId1350" display="https://drive.google.com/open?id=1tErTEYcZnLrM4IF-Y3s8iPUxLq0TrNXp" xr:uid="{00000000-0004-0000-0200-000045050000}"/>
    <hyperlink ref="I1352" r:id="rId1351" display="https://drive.google.com/open?id=1NyVu1dJgLQlylMmHvTDC8Sw3i0P7ClkI" xr:uid="{00000000-0004-0000-0200-000046050000}"/>
    <hyperlink ref="I1353" r:id="rId1352" display="https://drive.google.com/open?id=1-j--0Pm-uPdfTJ-dputZfhgTrVeewrK-" xr:uid="{00000000-0004-0000-0200-000047050000}"/>
    <hyperlink ref="I1354" r:id="rId1353" display="https://drive.google.com/open?id=1LbELtUTcRalKKb5OyWZU2IwXBfE4KZb1" xr:uid="{00000000-0004-0000-0200-000048050000}"/>
    <hyperlink ref="I1355" r:id="rId1354" display="https://drive.google.com/open?id=1NhyvjwBQqd9HrPWCs05UkCJYHVErJYkr" xr:uid="{00000000-0004-0000-0200-000049050000}"/>
    <hyperlink ref="I1356" r:id="rId1355" display="https://drive.google.com/open?id=1aFAcjXq4C49xvWrooLIue1gHr7DAMGCB" xr:uid="{00000000-0004-0000-0200-00004A050000}"/>
    <hyperlink ref="I1357" r:id="rId1356" display="https://drive.google.com/open?id=1oG2usbMY5B8F_KMru85h9twQDVpmScSY" xr:uid="{00000000-0004-0000-0200-00004B050000}"/>
    <hyperlink ref="I1358" r:id="rId1357" display="https://drive.google.com/open?id=1Q5LvFSnV1Yw9gJOSYd_M3JmnCHv99LWh" xr:uid="{00000000-0004-0000-0200-00004C050000}"/>
    <hyperlink ref="I1359" r:id="rId1358" display="https://drive.google.com/open?id=1nsUbOiHTEowV3uMXlTey-hIAwp2Ndbzf" xr:uid="{00000000-0004-0000-0200-00004D050000}"/>
    <hyperlink ref="I1360" r:id="rId1359" display="https://drive.google.com/open?id=1fbrnfOtSzdYRKS1zl89AxScAQ-daB0LR" xr:uid="{00000000-0004-0000-0200-00004E050000}"/>
    <hyperlink ref="I1361" r:id="rId1360" display="https://drive.google.com/open?id=1OEYe_xsa901ytRQw05WMdBz4N1UbMjW5" xr:uid="{00000000-0004-0000-0200-00004F050000}"/>
    <hyperlink ref="I1362" r:id="rId1361" display="https://drive.google.com/open?id=10GgBglIOQZb1XSYNdm8QpzRC-UlhVhfp" xr:uid="{00000000-0004-0000-0200-000050050000}"/>
    <hyperlink ref="I1363" r:id="rId1362" display="https://drive.google.com/open?id=1jcHCiRZrIPfu2uAAaKbZ0uLxIvtEGzsF" xr:uid="{00000000-0004-0000-0200-000051050000}"/>
    <hyperlink ref="I1364" r:id="rId1363" display="https://drive.google.com/open?id=1k1B7stH4niYl9vReFq7QvZioHsWBnKCW" xr:uid="{00000000-0004-0000-0200-000052050000}"/>
    <hyperlink ref="I1365" r:id="rId1364" display="https://drive.google.com/open?id=1t5gFApRg0QqUVZObGVgfi2VwU4C0dlzE" xr:uid="{00000000-0004-0000-0200-000053050000}"/>
    <hyperlink ref="I1366" r:id="rId1365" display="https://drive.google.com/open?id=1M-7dQWRIh15zyAO2fv-W4GOJgWL-WenK" xr:uid="{00000000-0004-0000-0200-000054050000}"/>
    <hyperlink ref="I1367" r:id="rId1366" display="https://drive.google.com/open?id=1vbGuN7-8YHZxlfufvWKv3IoP4SHotnNt" xr:uid="{00000000-0004-0000-0200-000055050000}"/>
    <hyperlink ref="I1368" r:id="rId1367" display="https://drive.google.com/open?id=1V3yKWeAhfhlcDiMWBlqxfyEE2Vn3O2Xt" xr:uid="{00000000-0004-0000-0200-000056050000}"/>
    <hyperlink ref="I1369" r:id="rId1368" display="https://drive.google.com/open?id=1ulxKUPi15JWFy3BmQqTOftn4oLDkS7I5" xr:uid="{00000000-0004-0000-0200-000057050000}"/>
    <hyperlink ref="I1370" r:id="rId1369" display="https://drive.google.com/open?id=1mC29f9Nwfiu_Fw7rebLvR9lgojsBzcDg" xr:uid="{00000000-0004-0000-0200-000058050000}"/>
    <hyperlink ref="I1371" r:id="rId1370" display="https://drive.google.com/open?id=1cQYrCdbWlMuO6L-x7ippCuiyeFcdc_dG" xr:uid="{00000000-0004-0000-0200-000059050000}"/>
    <hyperlink ref="I1372" r:id="rId1371" display="https://drive.google.com/open?id=1uHpQ_JjfIPiNGp-vVmN0_I-XoL7Gc2Jk" xr:uid="{00000000-0004-0000-0200-00005A050000}"/>
    <hyperlink ref="I1373" r:id="rId1372" display="https://drive.google.com/open?id=11HBN--DKCCnkTl2o_abEIT89wAz3Llt4" xr:uid="{00000000-0004-0000-0200-00005B050000}"/>
    <hyperlink ref="I1374" r:id="rId1373" display="https://drive.google.com/open?id=15jjx6K7fLBAvzQhzir7dB28ktQHm91lD" xr:uid="{00000000-0004-0000-0200-00005C050000}"/>
    <hyperlink ref="I1375" r:id="rId1374" display="https://drive.google.com/open?id=1O82PMLT7rIWVaA-2IkYvaUkmRf5sRKjf" xr:uid="{00000000-0004-0000-0200-00005D050000}"/>
    <hyperlink ref="I1376" r:id="rId1375" display="https://drive.google.com/open?id=1QpZId86NZokde43wnfkq4kGi4BloyxRX" xr:uid="{00000000-0004-0000-0200-00005E050000}"/>
    <hyperlink ref="I1377" r:id="rId1376" display="https://drive.google.com/open?id=1bO-Y_6BAz8mF5QEl6borm3rva8bhLZiF" xr:uid="{00000000-0004-0000-0200-00005F050000}"/>
    <hyperlink ref="I1378" r:id="rId1377" display="https://drive.google.com/open?id=1Xdj5VMrCNajfJBw1-RbzX31jxiynS0Bf" xr:uid="{00000000-0004-0000-0200-000060050000}"/>
    <hyperlink ref="I1379" r:id="rId1378" display="https://drive.google.com/open?id=1SLLC10PH63aV_HsCIjqb_r_MOFlJI2eC" xr:uid="{00000000-0004-0000-0200-000061050000}"/>
    <hyperlink ref="I1380" r:id="rId1379" display="https://drive.google.com/open?id=1y1cmPTcMusLIHVCUyd7P5nRFIJKH3pnN" xr:uid="{00000000-0004-0000-0200-000062050000}"/>
    <hyperlink ref="I1381" r:id="rId1380" display="https://drive.google.com/open?id=1NQIj4ke2Y50MsGWqOkiqgZqPgOCZAoTF" xr:uid="{00000000-0004-0000-0200-000063050000}"/>
    <hyperlink ref="I1382" r:id="rId1381" display="https://drive.google.com/open?id=1Au3bp1GECnoqqoxbUmBWtA8y87HDl50H" xr:uid="{00000000-0004-0000-0200-000064050000}"/>
    <hyperlink ref="I1383" r:id="rId1382" display="https://drive.google.com/open?id=1ItklIFa-8vkdBQDcwfFQLKEC7FrljU5e" xr:uid="{00000000-0004-0000-0200-000065050000}"/>
    <hyperlink ref="I1384" r:id="rId1383" display="https://drive.google.com/open?id=1QarYhKEODiTMvrGMH8SVW79CTk96Nn-j" xr:uid="{00000000-0004-0000-0200-000066050000}"/>
    <hyperlink ref="I1385" r:id="rId1384" display="https://drive.google.com/open?id=1NmbPzugP5ld2v2T349DuM7bQpzLE0QC-" xr:uid="{00000000-0004-0000-0200-000067050000}"/>
    <hyperlink ref="I1386" r:id="rId1385" display="https://drive.google.com/open?id=14s5mSRIbGVv-qFnJ2kfe-3IWLg8QVefn" xr:uid="{00000000-0004-0000-0200-000068050000}"/>
    <hyperlink ref="I1387" r:id="rId1386" display="https://drive.google.com/open?id=1mga5p8nWVDHKcQho6ci8dnhQ_t6QHIZx" xr:uid="{00000000-0004-0000-0200-000069050000}"/>
    <hyperlink ref="I1388" r:id="rId1387" display="https://drive.google.com/open?id=1F29l4bqCp0u7O0g8tGHrtOag_0Cr9ajW" xr:uid="{00000000-0004-0000-0200-00006A050000}"/>
    <hyperlink ref="I1389" r:id="rId1388" display="https://drive.google.com/open?id=17Lp44z4EqX8qbDl3jY6BYkrqsC8hbyRl" xr:uid="{00000000-0004-0000-0200-00006B050000}"/>
    <hyperlink ref="I1390" r:id="rId1389" display="https://drive.google.com/open?id=1C5yiNY3brAq7mwsaSwx2Bt5yixsV_Vgw" xr:uid="{00000000-0004-0000-0200-00006C050000}"/>
    <hyperlink ref="I1391" r:id="rId1390" display="https://drive.google.com/open?id=1fs_qGgMGA22xY49g9vrA7HmZzFUASRyR" xr:uid="{00000000-0004-0000-0200-00006D050000}"/>
    <hyperlink ref="I1392" r:id="rId1391" display="https://drive.google.com/open?id=1-ENcz1qAGAPabwSSRDV4bQHkIYzkYPar" xr:uid="{00000000-0004-0000-0200-00006E050000}"/>
    <hyperlink ref="I1393" r:id="rId1392" display="https://drive.google.com/open?id=168rOZJ7XzE0fgzJvd4AA7dySGVy7_p86" xr:uid="{00000000-0004-0000-0200-00006F050000}"/>
    <hyperlink ref="I1394" r:id="rId1393" display="https://drive.google.com/open?id=1pZu2IC-6uAYjobE_bvVITKE22myWC38Z" xr:uid="{00000000-0004-0000-0200-000070050000}"/>
    <hyperlink ref="I1395" r:id="rId1394" display="https://drive.google.com/open?id=1176e1S1ZGoq9reNXIaLj3AkdsM4zWaQH" xr:uid="{00000000-0004-0000-0200-000071050000}"/>
    <hyperlink ref="I1396" r:id="rId1395" display="https://drive.google.com/open?id=13yWnqL1EBTX_kh7o4LA-A9q8GOKZzoCq" xr:uid="{00000000-0004-0000-0200-000072050000}"/>
    <hyperlink ref="I1397" r:id="rId1396" display="https://drive.google.com/open?id=1q5T2aDAJpmW4DxY5t7RY4e1h9DEJhxTd" xr:uid="{00000000-0004-0000-0200-000073050000}"/>
    <hyperlink ref="I1398" r:id="rId1397" display="https://drive.google.com/open?id=1qF6LhvKRLv4K5is7Ye3BokjCJ-UJLTo8" xr:uid="{00000000-0004-0000-0200-000074050000}"/>
    <hyperlink ref="I1399" r:id="rId1398" display="https://drive.google.com/open?id=1Y8xAZ0OAeWTOCB-6T1T7Z-soXKmG_HPN" xr:uid="{00000000-0004-0000-0200-000075050000}"/>
    <hyperlink ref="I1400" r:id="rId1399" display="https://drive.google.com/open?id=1T1d25PN3qu0cJLkSJngbhA6wx0kWzDNZ" xr:uid="{00000000-0004-0000-0200-000076050000}"/>
    <hyperlink ref="I1401" r:id="rId1400" display="https://drive.google.com/open?id=1sHuD-bJoq6G-YNLsCSot-4eHr5sKH6PW" xr:uid="{00000000-0004-0000-0200-000077050000}"/>
    <hyperlink ref="I1402" r:id="rId1401" display="https://drive.google.com/open?id=1oJuWGaQ5NGCh3mQc6NsRU-xcuIdkq1Be" xr:uid="{00000000-0004-0000-0200-000078050000}"/>
    <hyperlink ref="I1403" r:id="rId1402" display="https://drive.google.com/open?id=1zUbpzmbGNxJMv5Z91L7KUhnsTuQF6XAl" xr:uid="{00000000-0004-0000-0200-000079050000}"/>
    <hyperlink ref="I1404" r:id="rId1403" display="https://drive.google.com/open?id=1YcZEsnJXB38sxnnJGltD5a_cEDO8oRnh" xr:uid="{00000000-0004-0000-0200-00007A050000}"/>
    <hyperlink ref="I1405" r:id="rId1404" display="https://drive.google.com/open?id=11xIh6SdZrnzfHa4hn66LjsAHKe70ATsp" xr:uid="{00000000-0004-0000-0200-00007B050000}"/>
    <hyperlink ref="I1406" r:id="rId1405" display="https://drive.google.com/open?id=1_TX7tJeUbIQ2fxl7o8XyWaurbG-Au_l0" xr:uid="{00000000-0004-0000-0200-00007C050000}"/>
    <hyperlink ref="I1407" r:id="rId1406" display="https://drive.google.com/open?id=1oyt3jhnv-bAuSkpjR07OcBb1WRBSb-Z5" xr:uid="{00000000-0004-0000-0200-00007D050000}"/>
    <hyperlink ref="I1408" r:id="rId1407" display="https://drive.google.com/open?id=1s0OW3OdnnC36WFAJ7Bc_0EOpsDZT7ZEJ" xr:uid="{00000000-0004-0000-0200-00007E050000}"/>
    <hyperlink ref="I1409" r:id="rId1408" display="https://drive.google.com/open?id=101_9xI5UVvQM-ZG9qg_sq3YytyVbFzSD" xr:uid="{00000000-0004-0000-0200-00007F050000}"/>
    <hyperlink ref="I1410" r:id="rId1409" display="https://drive.google.com/open?id=1WO3pMG3Fn6hGlSRIrhS32xZX9_dh3n3r" xr:uid="{00000000-0004-0000-0200-000080050000}"/>
    <hyperlink ref="I1411" r:id="rId1410" display="https://drive.google.com/open?id=1pU7LQWEVV92D9EaluOAJSHQ6M3tb5w8u" xr:uid="{00000000-0004-0000-0200-000081050000}"/>
    <hyperlink ref="I1412" r:id="rId1411" display="https://drive.google.com/open?id=1qAa3J0v7FA-mba1F5gk10t8hJylDgFtE" xr:uid="{00000000-0004-0000-0200-000082050000}"/>
    <hyperlink ref="I1413" r:id="rId1412" display="https://drive.google.com/open?id=1n_Irb-6xmDuU-EWeqo8-E7OvYlpk9zm9" xr:uid="{00000000-0004-0000-0200-000083050000}"/>
    <hyperlink ref="I1414" r:id="rId1413" display="https://drive.google.com/open?id=1btfZ_QVdBLl7yY_b9R5CY7TAqv3lSXMI" xr:uid="{00000000-0004-0000-0200-000084050000}"/>
    <hyperlink ref="I1415" r:id="rId1414" display="https://drive.google.com/open?id=1AJXgC1I1Lylv1-O54YHBkNml7EZi8rlJ" xr:uid="{00000000-0004-0000-0200-000085050000}"/>
    <hyperlink ref="I1416" r:id="rId1415" display="https://drive.google.com/open?id=1tRcubhP4C8uOcCF0FHz7fV2I8kMqBd49" xr:uid="{00000000-0004-0000-0200-000086050000}"/>
    <hyperlink ref="I1417" r:id="rId1416" display="https://drive.google.com/open?id=1AWkklvhRjPyzt_47qsHUj63Yk7ey4mK7" xr:uid="{00000000-0004-0000-0200-000087050000}"/>
    <hyperlink ref="I1418" r:id="rId1417" display="https://drive.google.com/open?id=1S_eZiTjwdJdK5p1PzICB40SSS_RaN8WG" xr:uid="{00000000-0004-0000-0200-000088050000}"/>
    <hyperlink ref="I1419" r:id="rId1418" display="https://drive.google.com/open?id=1uRyILcOhj_JYVhTOL7ExLNDX0qbRXvxy" xr:uid="{00000000-0004-0000-0200-000089050000}"/>
    <hyperlink ref="I1420" r:id="rId1419" display="https://drive.google.com/open?id=1ByzZx4hnvzDCfEuuJ8B6rGx_iIA097g8" xr:uid="{00000000-0004-0000-0200-00008A050000}"/>
    <hyperlink ref="I1421" r:id="rId1420" display="https://drive.google.com/open?id=12Ru3FMZ1Ag7GisuEtM3dZBpIjAA7R03e" xr:uid="{00000000-0004-0000-0200-00008B050000}"/>
    <hyperlink ref="I1422" r:id="rId1421" display="https://drive.google.com/open?id=13Fc-imn8SVIqM6gNt63rqiOJYw5mkA-V" xr:uid="{00000000-0004-0000-0200-00008C050000}"/>
    <hyperlink ref="I1423" r:id="rId1422" display="https://drive.google.com/open?id=1a-vNo-iPhKbAIG_lAGjfYjdfhu3X1nFz" xr:uid="{00000000-0004-0000-0200-00008D050000}"/>
    <hyperlink ref="I1424" r:id="rId1423" display="https://drive.google.com/open?id=11RtWze8-YtcDjwAsYnMZrBFpgI_ig3iE" xr:uid="{00000000-0004-0000-0200-00008E050000}"/>
    <hyperlink ref="I1425" r:id="rId1424" display="https://drive.google.com/open?id=1RNBOqr7kmzlewPETyTsjs22eROcBplpj" xr:uid="{00000000-0004-0000-0200-00008F050000}"/>
    <hyperlink ref="I1426" r:id="rId1425" display="https://drive.google.com/open?id=1MUaC6lmQZI2VuGanCjNbgCW2jtW7hzik" xr:uid="{00000000-0004-0000-0200-000090050000}"/>
    <hyperlink ref="I1427" r:id="rId1426" display="https://drive.google.com/open?id=1HsxF84IMNp-nHbuXNpUz3hAcdSmYXpRe" xr:uid="{00000000-0004-0000-0200-000091050000}"/>
    <hyperlink ref="I1428" r:id="rId1427" display="https://drive.google.com/open?id=1NcXvvja3zDpZlfEu-gYKO4AtIVminmoe" xr:uid="{00000000-0004-0000-0200-000092050000}"/>
    <hyperlink ref="I1429" r:id="rId1428" display="https://drive.google.com/open?id=1ryiOz_T7-NnYgzjKwHPm0-k2UvsZWEG0" xr:uid="{00000000-0004-0000-0200-000093050000}"/>
    <hyperlink ref="I1430" r:id="rId1429" display="https://drive.google.com/open?id=1NVgHuKNvXVgJuAKwkezuk42Dlx6FCuIC" xr:uid="{00000000-0004-0000-0200-000094050000}"/>
    <hyperlink ref="I1431" r:id="rId1430" display="https://drive.google.com/open?id=1DH7spST0_X7nDVqwor0xeFjSonjQixX4" xr:uid="{00000000-0004-0000-0200-000095050000}"/>
    <hyperlink ref="I1432" r:id="rId1431" display="https://drive.google.com/open?id=1CXRO8xVEc5vEjMsPEMPu6DiW7iZgWApu" xr:uid="{00000000-0004-0000-0200-000096050000}"/>
    <hyperlink ref="I1433" r:id="rId1432" display="https://drive.google.com/open?id=1JOVEEwFi63_wlWtUJTJZZX6kGQaima5H" xr:uid="{00000000-0004-0000-0200-000097050000}"/>
    <hyperlink ref="I1434" r:id="rId1433" display="https://drive.google.com/open?id=12E2ZKUnaN3q9TUjAGzREQNhcjFcXzo-z" xr:uid="{00000000-0004-0000-0200-000098050000}"/>
    <hyperlink ref="I1435" r:id="rId1434" display="https://drive.google.com/open?id=1X7vlJAfnYIjNh4cJIylWcHaPOEM1fSMn" xr:uid="{00000000-0004-0000-0200-000099050000}"/>
    <hyperlink ref="I1436" r:id="rId1435" display="https://drive.google.com/open?id=1H7kmZrvuwqBiPPUqTJq5_WsLHOkrSEgd" xr:uid="{00000000-0004-0000-0200-00009A050000}"/>
    <hyperlink ref="I1437" r:id="rId1436" display="https://drive.google.com/open?id=1e-NlQMBKDoUhVuORcVFVZK6YfxBCLM-e" xr:uid="{00000000-0004-0000-0200-00009B050000}"/>
    <hyperlink ref="I1438" r:id="rId1437" display="https://drive.google.com/open?id=1PC6pH3FoFDicyFzDi8pQsU1kw6LQoSe-" xr:uid="{00000000-0004-0000-0200-00009C050000}"/>
    <hyperlink ref="I1439" r:id="rId1438" display="https://drive.google.com/open?id=1--YaSm8dhbdyBHxb4KewnmU0oW1M3ltf" xr:uid="{00000000-0004-0000-0200-00009D050000}"/>
    <hyperlink ref="I1440" r:id="rId1439" display="https://drive.google.com/open?id=1r780Ho7ns4Xhw2B4CLffiyuVivqJTmys" xr:uid="{00000000-0004-0000-0200-00009E050000}"/>
    <hyperlink ref="I1441" r:id="rId1440" display="https://drive.google.com/open?id=1yiLXg7ZCJCv3JOtY6rvAnFJuptuCNR6e" xr:uid="{00000000-0004-0000-0200-00009F050000}"/>
    <hyperlink ref="I1442" r:id="rId1441" display="https://drive.google.com/open?id=1zRhDexe9AVkS35OeNRH5-DRKp4vpQlPm" xr:uid="{00000000-0004-0000-0200-0000A0050000}"/>
    <hyperlink ref="I1443" r:id="rId1442" display="https://drive.google.com/open?id=1b5YRbKgbtJgs3brdcKgnHtJyuWZYFApe" xr:uid="{00000000-0004-0000-0200-0000A1050000}"/>
    <hyperlink ref="I1444" r:id="rId1443" display="https://drive.google.com/open?id=1RowhzPTPj9WR7rdbiTRVm_7Z2rh4Azo8" xr:uid="{00000000-0004-0000-0200-0000A2050000}"/>
    <hyperlink ref="I1445" r:id="rId1444" display="https://drive.google.com/open?id=13qDaMxJ0IjmEmyX6Cr-SML2wcOCOyO6B" xr:uid="{00000000-0004-0000-0200-0000A3050000}"/>
    <hyperlink ref="I1446" r:id="rId1445" display="https://drive.google.com/open?id=1TGwCdw2KriAZddYIHvdDLWw9oUJFx4-0" xr:uid="{00000000-0004-0000-0200-0000A4050000}"/>
    <hyperlink ref="I1447" r:id="rId1446" display="https://drive.google.com/open?id=116UDxVRHsLpyC5EvmQ_fFRHot3hRjSLh" xr:uid="{00000000-0004-0000-0200-0000A5050000}"/>
    <hyperlink ref="I1448" r:id="rId1447" display="https://drive.google.com/open?id=1vDctc_OCxnbmE_QbJuDLSzf6z-Ol5Qse" xr:uid="{00000000-0004-0000-0200-0000A6050000}"/>
    <hyperlink ref="I1449" r:id="rId1448" display="https://drive.google.com/open?id=1JyFGXfodFNBVdHK1oPImBzDgpMectgiY" xr:uid="{00000000-0004-0000-0200-0000A7050000}"/>
    <hyperlink ref="I1450" r:id="rId1449" display="https://drive.google.com/open?id=1kGqgF4M5k8dtBagtcxPyEr8AuHYg2E1q" xr:uid="{00000000-0004-0000-0200-0000A8050000}"/>
    <hyperlink ref="I1451" r:id="rId1450" display="https://drive.google.com/open?id=1-4yp4-Q3H4xERebwY-M_fHWXKBefIyVV" xr:uid="{00000000-0004-0000-0200-0000A9050000}"/>
    <hyperlink ref="I1452" r:id="rId1451" display="https://drive.google.com/open?id=1ireP1mlC2qrU8thW27vEhqFL1H0gzkyz" xr:uid="{00000000-0004-0000-0200-0000AA050000}"/>
    <hyperlink ref="I1453" r:id="rId1452" display="https://drive.google.com/open?id=1WFwoEwStKRSpQrfwmR13IH-jspu6sqQu" xr:uid="{00000000-0004-0000-0200-0000AB050000}"/>
    <hyperlink ref="I1454" r:id="rId1453" display="https://drive.google.com/open?id=1BsuFAqjyUKWO56zht7La7qBZDkupWv7W" xr:uid="{00000000-0004-0000-0200-0000AC050000}"/>
    <hyperlink ref="I1455" r:id="rId1454" display="https://drive.google.com/open?id=12KzNRU67pPCbiuUXrC1vai9ngFZWmvJL" xr:uid="{00000000-0004-0000-0200-0000AD050000}"/>
    <hyperlink ref="I1456" r:id="rId1455" display="https://drive.google.com/open?id=1K1HGrmcslau1t-VXvohIPSe7xbbby09a" xr:uid="{00000000-0004-0000-0200-0000AE050000}"/>
    <hyperlink ref="I1457" r:id="rId1456" display="https://drive.google.com/open?id=1_CxXWtNmL-48EAX8xlgPH0O6VHKaa3-r" xr:uid="{00000000-0004-0000-0200-0000AF050000}"/>
    <hyperlink ref="I1458" r:id="rId1457" display="https://drive.google.com/open?id=1ijYc-ddRSca78ZcF06FiHr5rTvncugsq" xr:uid="{00000000-0004-0000-0200-0000B0050000}"/>
    <hyperlink ref="I1459" r:id="rId1458" display="https://drive.google.com/open?id=167PjTdZtfES-7cZ4puAB64lptw1rUBe2" xr:uid="{00000000-0004-0000-0200-0000B1050000}"/>
    <hyperlink ref="I1460" r:id="rId1459" display="https://drive.google.com/open?id=1F-uxlUxB5qhjW4DvQ8wYgkT2_3GJ8Y_r" xr:uid="{00000000-0004-0000-0200-0000B2050000}"/>
    <hyperlink ref="I1461" r:id="rId1460" display="https://drive.google.com/open?id=1KlCvP1c6leWDDlrb_sjVD4QdDphAKjJw" xr:uid="{00000000-0004-0000-0200-0000B3050000}"/>
    <hyperlink ref="I1462" r:id="rId1461" display="https://drive.google.com/open?id=1DUdcvTQuq7uAxParfI0B_9Y3OwQ-jtHz" xr:uid="{00000000-0004-0000-0200-0000B4050000}"/>
    <hyperlink ref="I1463" r:id="rId1462" display="https://drive.google.com/open?id=1moIiOeScEqtSNEAgY5ybo3fgIHeBZWVX" xr:uid="{00000000-0004-0000-0200-0000B5050000}"/>
    <hyperlink ref="I1464" r:id="rId1463" display="https://drive.google.com/open?id=1SsL_gxtlrzyk9QwlJY8XnUbcaNTtUcGx" xr:uid="{00000000-0004-0000-0200-0000B6050000}"/>
    <hyperlink ref="I1465" r:id="rId1464" display="https://drive.google.com/open?id=14ZuDaLBX2QPIFfky0Sdn3nf_IhIl2v6p" xr:uid="{00000000-0004-0000-0200-0000B7050000}"/>
    <hyperlink ref="I1466" r:id="rId1465" display="https://drive.google.com/open?id=1CqeEJhgnIAOoI364KjJ5HT9LjIhaIPcQ" xr:uid="{00000000-0004-0000-0200-0000B8050000}"/>
    <hyperlink ref="I1467" r:id="rId1466" display="https://drive.google.com/open?id=1yxxfi_mIeo6EDu-r-WJf67UqfmEFhjCs" xr:uid="{00000000-0004-0000-0200-0000B9050000}"/>
    <hyperlink ref="I1468" r:id="rId1467" display="https://drive.google.com/open?id=1vmGuPnUaX1afGQWUreEqL3iqIIYotiM1" xr:uid="{00000000-0004-0000-0200-0000BA050000}"/>
    <hyperlink ref="I1469" r:id="rId1468" display="https://drive.google.com/open?id=14zFIZmxdhDCGJwwUWgGQyDFYM0j1Qha7" xr:uid="{00000000-0004-0000-0200-0000BB050000}"/>
    <hyperlink ref="I1470" r:id="rId1469" display="https://drive.google.com/open?id=1vYwf00ZD9XT-ZQ04tEtBTiM5fpw4A1tc" xr:uid="{00000000-0004-0000-0200-0000BC050000}"/>
    <hyperlink ref="I1471" r:id="rId1470" display="https://drive.google.com/open?id=1RzndL3V8M8J9cLFR7V3gJ9Phx3ZqDXIx" xr:uid="{00000000-0004-0000-0200-0000BD050000}"/>
    <hyperlink ref="I1472" r:id="rId1471" display="https://drive.google.com/open?id=1vKgY5186gVLwkbzxe7NWeX6gxrD1PC8I" xr:uid="{00000000-0004-0000-0200-0000BE050000}"/>
    <hyperlink ref="I1473" r:id="rId1472" display="https://drive.google.com/open?id=1KDJqowmE8en-6W8PxXkh1X-jrEsSvtSP" xr:uid="{00000000-0004-0000-0200-0000BF050000}"/>
    <hyperlink ref="I1474" r:id="rId1473" display="https://drive.google.com/open?id=1q70femFcR8fezQ8m9w45EXH_gPN0JWBb" xr:uid="{00000000-0004-0000-0200-0000C0050000}"/>
    <hyperlink ref="I1475" r:id="rId1474" display="https://drive.google.com/open?id=1k06E9KYtQgivsPsGYsNV4cTYfazR25bs" xr:uid="{00000000-0004-0000-0200-0000C1050000}"/>
    <hyperlink ref="I1476" r:id="rId1475" display="https://drive.google.com/open?id=1kIV6G9WbmyPAz9ibLbTqg9wceWmpnlLv" xr:uid="{00000000-0004-0000-0200-0000C2050000}"/>
    <hyperlink ref="I1477" r:id="rId1476" display="https://drive.google.com/open?id=1Y2cWi6BVA_VcwK8LvqenG18mYF09t_VL" xr:uid="{00000000-0004-0000-0200-0000C3050000}"/>
    <hyperlink ref="I1478" r:id="rId1477" display="https://drive.google.com/open?id=12F8RVWXICbFqZOOyYj0J_qjXEPXRi6Sy" xr:uid="{00000000-0004-0000-0200-0000C4050000}"/>
    <hyperlink ref="I1479" r:id="rId1478" display="https://drive.google.com/open?id=10vPS5Rtuw6jzLXKyViVRXVZXnLRBx4Ew" xr:uid="{00000000-0004-0000-0200-0000C5050000}"/>
    <hyperlink ref="I1480" r:id="rId1479" display="https://drive.google.com/open?id=1-fb_nCtv8VMfjcOryjH7ICFd1enfYbsa" xr:uid="{00000000-0004-0000-0200-0000C6050000}"/>
    <hyperlink ref="I1481" r:id="rId1480" display="https://drive.google.com/open?id=1kzZjTYmNRF4HAYlh8clMTWRCZgJskGST" xr:uid="{00000000-0004-0000-0200-0000C7050000}"/>
    <hyperlink ref="I1482" r:id="rId1481" display="https://drive.google.com/open?id=1yWz933yiiGVILxuD9uyoMksrAvpdkABQ" xr:uid="{00000000-0004-0000-0200-0000C8050000}"/>
    <hyperlink ref="I1483" r:id="rId1482" display="https://drive.google.com/open?id=1iLippEScmTOD52duHQVq9N6u5kn8XhWM" xr:uid="{00000000-0004-0000-0200-0000C9050000}"/>
    <hyperlink ref="I1484" r:id="rId1483" display="https://drive.google.com/open?id=1JrB6krMZ73YABM-zyeGMZgAqVbH8TNAM" xr:uid="{00000000-0004-0000-0200-0000CA050000}"/>
    <hyperlink ref="I1485" r:id="rId1484" display="https://drive.google.com/open?id=13ANjM7GA9ra-_myqwuwHIVKLTA7hqzs3" xr:uid="{00000000-0004-0000-0200-0000CB050000}"/>
    <hyperlink ref="I1486" r:id="rId1485" display="https://drive.google.com/open?id=1VVvrEx6hkSOFXa3UWz69XRTB3wPiMR_E" xr:uid="{00000000-0004-0000-0200-0000CC050000}"/>
    <hyperlink ref="I1487" r:id="rId1486" display="https://drive.google.com/open?id=1jdAPpzW0CkpMSM54NirPhoOanLfhhlQB" xr:uid="{00000000-0004-0000-0200-0000CD050000}"/>
    <hyperlink ref="I1488" r:id="rId1487" display="https://drive.google.com/open?id=1F13QD8TUPVxkOABRpUKMY6Rd_wPhMt0q" xr:uid="{00000000-0004-0000-0200-0000CE050000}"/>
    <hyperlink ref="I1489" r:id="rId1488" display="https://drive.google.com/open?id=13NEWR2NMWY52Hfnykz5nrlj2lWkx3eI_" xr:uid="{00000000-0004-0000-0200-0000CF050000}"/>
    <hyperlink ref="I1490" r:id="rId1489" display="https://drive.google.com/open?id=1WcCe4MpxStYnNQpzMQdvxjdx-vHqwq1y" xr:uid="{00000000-0004-0000-0200-0000D0050000}"/>
    <hyperlink ref="I1491" r:id="rId1490" display="https://drive.google.com/open?id=1L4IT4enUQfhIK_zYDBGXQRjtBbDY_9ij" xr:uid="{00000000-0004-0000-0200-0000D1050000}"/>
    <hyperlink ref="I1492" r:id="rId1491" display="https://drive.google.com/open?id=1euxpyzDPfFK6jVgrUrAkRe8uoJ54PYOW" xr:uid="{00000000-0004-0000-0200-0000D2050000}"/>
    <hyperlink ref="I1493" r:id="rId1492" display="https://drive.google.com/open?id=1u8Tkm7ZoxDGYyVg8oE0cg_dVnUja_dth" xr:uid="{00000000-0004-0000-0200-0000D3050000}"/>
    <hyperlink ref="I1494" r:id="rId1493" display="https://drive.google.com/open?id=1s2haFrcdr065igbPRsc5sEDIrM7VTNIs" xr:uid="{00000000-0004-0000-0200-0000D4050000}"/>
    <hyperlink ref="I1495" r:id="rId1494" display="https://drive.google.com/open?id=1fTSMk4qe3oUCfMuq7q9u0qPj-r_skXP-" xr:uid="{00000000-0004-0000-0200-0000D5050000}"/>
    <hyperlink ref="I1496" r:id="rId1495" display="https://drive.google.com/open?id=1PbsRw7GOab-dq-J_Cykj5Rc5XiwIpr_B" xr:uid="{00000000-0004-0000-0200-0000D6050000}"/>
    <hyperlink ref="I1497" r:id="rId1496" display="https://drive.google.com/open?id=1AcPWVz4zu1yblv7v4K0jvL78TGPBpBPA" xr:uid="{00000000-0004-0000-0200-0000D7050000}"/>
    <hyperlink ref="I1498" r:id="rId1497" display="https://drive.google.com/open?id=1-xChW7ChJjx7uT1QQObDMl6mc1K9VEmw" xr:uid="{00000000-0004-0000-0200-0000D8050000}"/>
    <hyperlink ref="I1499" r:id="rId1498" display="https://drive.google.com/open?id=18P_kzVR0cBlHdFT0zv0CGLw8frCXg2iW" xr:uid="{00000000-0004-0000-0200-0000D9050000}"/>
    <hyperlink ref="I1500" r:id="rId1499" display="https://drive.google.com/open?id=1SqniS9-QRz9tIY6SfcwO8MmKuwYs6dmr" xr:uid="{00000000-0004-0000-0200-0000DA050000}"/>
    <hyperlink ref="I1501" r:id="rId1500" display="https://drive.google.com/open?id=11XQAofTTh3iCad_8rPSiBvRF3jv68NFn" xr:uid="{00000000-0004-0000-0200-0000DB050000}"/>
    <hyperlink ref="I1502" r:id="rId1501" display="https://drive.google.com/open?id=1bQ24_6gwgt4l6ySfGGU36ewsvbGakR7d" xr:uid="{00000000-0004-0000-0200-0000DC050000}"/>
    <hyperlink ref="I1503" r:id="rId1502" display="https://drive.google.com/open?id=1yjhmwfNZmwO0VFGwmo005NzIPfAAfG4r" xr:uid="{00000000-0004-0000-0200-0000DD050000}"/>
    <hyperlink ref="I1504" r:id="rId1503" display="https://drive.google.com/open?id=1uFhi9HY-NHUFZwkVJWA0NJklIudjSfRh" xr:uid="{00000000-0004-0000-0200-0000DE050000}"/>
    <hyperlink ref="I1505" r:id="rId1504" display="https://drive.google.com/open?id=1JWT6LOmgpTD3-dpgoNybzlLcJ8sH31CA" xr:uid="{00000000-0004-0000-0200-0000DF050000}"/>
    <hyperlink ref="I1506" r:id="rId1505" display="https://drive.google.com/open?id=1y80PhESmLodh10tGi3qIDgYNge9O2Jwu" xr:uid="{00000000-0004-0000-0200-0000E0050000}"/>
    <hyperlink ref="I1507" r:id="rId1506" display="https://drive.google.com/open?id=1wxq6OdFugpEsmu8wz2MjvuTzK_bgtL-o" xr:uid="{00000000-0004-0000-0200-0000E1050000}"/>
    <hyperlink ref="I1508" r:id="rId1507" display="https://drive.google.com/open?id=18oHDtaM_qpDFyyEt9sYqjbVxHbi3xlz-" xr:uid="{00000000-0004-0000-0200-0000E2050000}"/>
    <hyperlink ref="I1509" r:id="rId1508" display="https://drive.google.com/open?id=17Wo15VNGID8OKJqyXy6aKfyhPvchQ7DX" xr:uid="{00000000-0004-0000-0200-0000E3050000}"/>
    <hyperlink ref="I1510" r:id="rId1509" display="https://drive.google.com/open?id=1zGDTJyfYKcszvHDeIjX1IkyILx_3-jbg" xr:uid="{00000000-0004-0000-0200-0000E4050000}"/>
    <hyperlink ref="I1511" r:id="rId1510" display="https://drive.google.com/open?id=1xFCA4FZLvDmY2Xf54e2Q3tcpgxw2j6Pp" xr:uid="{00000000-0004-0000-0200-0000E5050000}"/>
    <hyperlink ref="I1512" r:id="rId1511" display="https://drive.google.com/open?id=1Kh2Rm6ejUi_OrV8E3FfNia7_C4Vp6O6z" xr:uid="{00000000-0004-0000-0200-0000E6050000}"/>
    <hyperlink ref="I1513" r:id="rId1512" display="https://drive.google.com/open?id=1vgpzqsDsKyzBApuy3Dgfvkr-XJXTnxmd" xr:uid="{00000000-0004-0000-0200-0000E7050000}"/>
    <hyperlink ref="I1514" r:id="rId1513" display="https://drive.google.com/open?id=1Hu6R_mrqPbaHQf7Nyo2J30B6QX0AC3Qm" xr:uid="{00000000-0004-0000-0200-0000E8050000}"/>
    <hyperlink ref="I1515" r:id="rId1514" display="https://drive.google.com/open?id=1umQFevzy9ONq7oJfP6xeCHWmwlAj79Yb" xr:uid="{00000000-0004-0000-0200-0000E9050000}"/>
    <hyperlink ref="I1516" r:id="rId1515" display="https://drive.google.com/open?id=10I3ona_Nwr4b-eP4hDXSH2qV9ZVrgxJf" xr:uid="{00000000-0004-0000-0200-0000EA050000}"/>
    <hyperlink ref="I1517" r:id="rId1516" display="https://drive.google.com/open?id=1nTAZ6TUUR9h_mKrIL1DwBaTGoYoLSP5B" xr:uid="{00000000-0004-0000-0200-0000EB050000}"/>
    <hyperlink ref="I1518" r:id="rId1517" display="https://drive.google.com/open?id=10QB8CaIBR-iKkWSzf_aQiORvYKRmF1Fa" xr:uid="{00000000-0004-0000-0200-0000EC050000}"/>
    <hyperlink ref="I1519" r:id="rId1518" display="https://drive.google.com/open?id=17YvXATJL11g3YIjkfLMKF7J4SWE-DZ1L" xr:uid="{00000000-0004-0000-0200-0000ED050000}"/>
    <hyperlink ref="I1520" r:id="rId1519" display="https://drive.google.com/open?id=1ojTeYAHnXTernfkypjrJGhmcLPGVdVdJ" xr:uid="{00000000-0004-0000-0200-0000EE050000}"/>
    <hyperlink ref="I1521" r:id="rId1520" display="https://drive.google.com/open?id=1e8UNYLdGJclDVSwfu78N6hUtasPxha-q" xr:uid="{00000000-0004-0000-0200-0000EF050000}"/>
    <hyperlink ref="I1522" r:id="rId1521" display="https://drive.google.com/open?id=1tQWv-FW-fU-wCQarrN-4l12WSWc39chn" xr:uid="{00000000-0004-0000-0200-0000F0050000}"/>
    <hyperlink ref="I1523" r:id="rId1522" display="https://drive.google.com/open?id=1Y0bE4DpD8CP81fDhzXqy1RFz5VI3v6bo" xr:uid="{00000000-0004-0000-0200-0000F1050000}"/>
    <hyperlink ref="I1524" r:id="rId1523" display="https://drive.google.com/open?id=1RJrzuehP5vGizyh_HHFF2egoiugxgsEf" xr:uid="{00000000-0004-0000-0200-0000F2050000}"/>
    <hyperlink ref="I1525" r:id="rId1524" display="https://drive.google.com/open?id=1eSVdF6t3ydb5CRzge5M0Mjfj3GM4LVds" xr:uid="{00000000-0004-0000-0200-0000F3050000}"/>
    <hyperlink ref="I1526" r:id="rId1525" display="https://drive.google.com/open?id=19jYlbSZr2nopt5wUZRinPGnJFpqvy2mn" xr:uid="{00000000-0004-0000-0200-0000F4050000}"/>
    <hyperlink ref="I1527" r:id="rId1526" display="https://drive.google.com/open?id=1EEm7LZ-rEkowh6o_XflhJb3qrMgQgbmw" xr:uid="{00000000-0004-0000-0200-0000F5050000}"/>
    <hyperlink ref="I1528" r:id="rId1527" display="https://drive.google.com/open?id=1VbxiY43LJ7dcNn0gtnKNmyudNQ9kRh4L" xr:uid="{00000000-0004-0000-0200-0000F6050000}"/>
    <hyperlink ref="I1529" r:id="rId1528" display="https://drive.google.com/open?id=1kogg7jMG5rMwgmLT4N1mLIooVy6UT1Jy" xr:uid="{00000000-0004-0000-0200-0000F7050000}"/>
    <hyperlink ref="I1530" r:id="rId1529" display="https://drive.google.com/open?id=1gz4Fnpko_WGM6PdYfKk3NpkJkpjOs9Tx" xr:uid="{00000000-0004-0000-0200-0000F8050000}"/>
    <hyperlink ref="I1531" r:id="rId1530" display="https://drive.google.com/open?id=12e8MrSg-QST8LFW4M2t8SU9sNSYd4GII" xr:uid="{00000000-0004-0000-0200-0000F9050000}"/>
    <hyperlink ref="I1532" r:id="rId1531" display="https://drive.google.com/open?id=1W1JITF42KyXoI7dB00HjXgL3ZVw9-C4v" xr:uid="{00000000-0004-0000-0200-0000FA050000}"/>
    <hyperlink ref="I1533" r:id="rId1532" display="https://drive.google.com/open?id=1ihIzptwja6Xu-xOPxH3C5_b_25r-fWhp" xr:uid="{00000000-0004-0000-0200-0000FB050000}"/>
    <hyperlink ref="I1534" r:id="rId1533" display="https://drive.google.com/open?id=1LAFl1ACp7ug4zF-71HBFrBblXjjyUHOl" xr:uid="{00000000-0004-0000-0200-0000FC050000}"/>
    <hyperlink ref="I1535" r:id="rId1534" display="https://drive.google.com/open?id=1hBchsFs4H1abrzQFUQ_JCSR3wAC1jYxD" xr:uid="{00000000-0004-0000-0200-0000FD050000}"/>
    <hyperlink ref="I1536" r:id="rId1535" display="https://drive.google.com/open?id=1SYt7UjJSiFNfu9HcQG9XVCQ1cCs7HLhQ" xr:uid="{00000000-0004-0000-0200-0000FE050000}"/>
    <hyperlink ref="I1537" r:id="rId1536" display="https://drive.google.com/open?id=1VeRwXnmYEievfEy9BDwnSP5E4ftTIBra" xr:uid="{00000000-0004-0000-0200-0000FF050000}"/>
    <hyperlink ref="I1538" r:id="rId1537" display="https://drive.google.com/open?id=1cuHazDX5dwLsX1wqSde1zIptKxf0W-bA" xr:uid="{00000000-0004-0000-0200-000000060000}"/>
    <hyperlink ref="I1539" r:id="rId1538" display="https://drive.google.com/open?id=1j5SZpqsepR2JTYecn0nwXaOaiozasZL_" xr:uid="{00000000-0004-0000-0200-000001060000}"/>
    <hyperlink ref="I1540" r:id="rId1539" display="https://drive.google.com/open?id=1_XBuLBwBvu7dIEvg_owAllyIsfmfhoCs" xr:uid="{00000000-0004-0000-0200-000002060000}"/>
    <hyperlink ref="I1541" r:id="rId1540" display="https://drive.google.com/open?id=1wd4zGjG8KFyiBmhGCQRK22-xkgvhEB8R" xr:uid="{00000000-0004-0000-0200-000003060000}"/>
    <hyperlink ref="I1542" r:id="rId1541" display="https://drive.google.com/open?id=1Ltgi8jzrxh7b9VpuZJxKnnzRUaUnjnwx" xr:uid="{00000000-0004-0000-0200-000004060000}"/>
    <hyperlink ref="I1543" r:id="rId1542" display="https://drive.google.com/open?id=1lmp1rMuZ0ez-J3sR-YOmqxbT2YVwbCgX" xr:uid="{00000000-0004-0000-0200-000005060000}"/>
    <hyperlink ref="I1544" r:id="rId1543" display="https://drive.google.com/open?id=1gLtrqFHPu0t36BMsAB5OLKWqWPjShQ6o" xr:uid="{00000000-0004-0000-0200-000006060000}"/>
    <hyperlink ref="I1545" r:id="rId1544" display="https://drive.google.com/open?id=1L3yM0iK2ha3kinO43b1POMeFwP6dMDs-" xr:uid="{00000000-0004-0000-0200-000007060000}"/>
    <hyperlink ref="I1546" r:id="rId1545" display="https://drive.google.com/open?id=16n2U-3-jNE834VyiSP3ZpoJlx10dK8_M" xr:uid="{00000000-0004-0000-0200-000008060000}"/>
    <hyperlink ref="I1547" r:id="rId1546" display="https://drive.google.com/open?id=1Fr69WR0LbDkO2vvIFhlepHV7XJngz2K_" xr:uid="{00000000-0004-0000-0200-000009060000}"/>
    <hyperlink ref="I1548" r:id="rId1547" display="https://drive.google.com/open?id=1tWXQhrA9FM4fZbbQutdc3CeBSgO69wX7" xr:uid="{00000000-0004-0000-0200-00000A060000}"/>
    <hyperlink ref="I1549" r:id="rId1548" display="https://drive.google.com/open?id=1wBZc2gjiHNggSdZ1TuTswzvzprVEF3bI" xr:uid="{00000000-0004-0000-0200-00000B060000}"/>
    <hyperlink ref="I1550" r:id="rId1549" display="https://drive.google.com/open?id=1RlaM0vjle8IiVUz8CLgvzW_5zGTHx49R" xr:uid="{00000000-0004-0000-0200-00000C060000}"/>
    <hyperlink ref="I1551" r:id="rId1550" display="https://drive.google.com/open?id=1G_GJANqE1Vb8kLMHQnbAtqkF9KCuRavm" xr:uid="{00000000-0004-0000-0200-00000D060000}"/>
    <hyperlink ref="I1552" r:id="rId1551" display="https://drive.google.com/open?id=1FHgigGDWQm28_LdrzMF_8CR91jnARiDD" xr:uid="{00000000-0004-0000-0200-00000E060000}"/>
    <hyperlink ref="I1553" r:id="rId1552" display="https://drive.google.com/open?id=1PwqFKebkoVnTAsyinpgPFdcju_E_zGey" xr:uid="{00000000-0004-0000-0200-00000F060000}"/>
    <hyperlink ref="I1554" r:id="rId1553" display="https://drive.google.com/open?id=1UhZXnMmH7iBOdB29z7tKnkZUOzDfIory" xr:uid="{00000000-0004-0000-0200-000010060000}"/>
    <hyperlink ref="I1555" r:id="rId1554" display="https://drive.google.com/open?id=19EefwpvQlb3bMlXXVXdA0cE26jWtILM5" xr:uid="{00000000-0004-0000-0200-000011060000}"/>
    <hyperlink ref="I1556" r:id="rId1555" display="https://drive.google.com/open?id=1ubP1SUxB1zEs0ehQyK0WYMDApGBXt8BY" xr:uid="{00000000-0004-0000-0200-000012060000}"/>
    <hyperlink ref="I1557" r:id="rId1556" display="https://drive.google.com/open?id=1OfZ_lsPrHOFNJN5HDURfUaE47TFgKvtY" xr:uid="{00000000-0004-0000-0200-000013060000}"/>
    <hyperlink ref="I1558" r:id="rId1557" display="https://drive.google.com/open?id=1Xq6dRhgEJDsWbgiI1ISXtUQ4tuekgBr8" xr:uid="{00000000-0004-0000-0200-000014060000}"/>
    <hyperlink ref="I1559" r:id="rId1558" display="https://drive.google.com/open?id=1oS-oyMA8vL_4ecxV77ZZS_vMurhJ9Iy4" xr:uid="{00000000-0004-0000-0200-000015060000}"/>
    <hyperlink ref="I1560" r:id="rId1559" display="https://drive.google.com/open?id=1xr3FT0YAtYkyakMdSle6cLFyqib1xt8n" xr:uid="{00000000-0004-0000-0200-000016060000}"/>
    <hyperlink ref="I1561" r:id="rId1560" display="https://drive.google.com/open?id=1knpEnpJc-bnoRo0SLBb8PgKSkgCgCqPO" xr:uid="{00000000-0004-0000-0200-000017060000}"/>
    <hyperlink ref="I1562" r:id="rId1561" display="https://drive.google.com/open?id=1pwHNMfzTFzolhFUCBfch2pziJ0OhxdLB" xr:uid="{00000000-0004-0000-0200-000018060000}"/>
    <hyperlink ref="I1563" r:id="rId1562" display="https://drive.google.com/open?id=18D6vGyrVh_tSdMuHGgWvV2ZYnlkcbQ9x" xr:uid="{00000000-0004-0000-0200-000019060000}"/>
    <hyperlink ref="I1564" r:id="rId1563" display="https://drive.google.com/open?id=1cFeG34-n9XBJhYbbEWgpE_ckDnXpJRN0" xr:uid="{00000000-0004-0000-0200-00001A060000}"/>
    <hyperlink ref="I1565" r:id="rId1564" display="https://drive.google.com/open?id=1IUFNwPRCTQ9mRpE_3SHM3QpvmPaxQWj8" xr:uid="{00000000-0004-0000-0200-00001B060000}"/>
    <hyperlink ref="I1566" r:id="rId1565" display="https://drive.google.com/open?id=1BQSVfBDG6G2qc1xYYnWGoF6zPBw8v8sP" xr:uid="{00000000-0004-0000-0200-00001C060000}"/>
    <hyperlink ref="I1567" r:id="rId1566" display="https://drive.google.com/open?id=1Qruc9en9_Sp1Xc1qPlkgIrwp_w05G5xO" xr:uid="{00000000-0004-0000-0200-00001D060000}"/>
    <hyperlink ref="I1568" r:id="rId1567" display="https://drive.google.com/open?id=1xByK7ijxvXBVcOj_x3hQ8SP2LSs1JbpC" xr:uid="{00000000-0004-0000-0200-00001E060000}"/>
    <hyperlink ref="I1569" r:id="rId1568" display="https://drive.google.com/open?id=1d0LH9JieH-G_ehqALLk2vt43GDcV2EFU" xr:uid="{00000000-0004-0000-0200-00001F060000}"/>
    <hyperlink ref="I1570" r:id="rId1569" display="https://drive.google.com/open?id=1uSgqCsp4HaVOxlPmiQKlabdWMoDz3dtN" xr:uid="{00000000-0004-0000-0200-000020060000}"/>
    <hyperlink ref="I1571" r:id="rId1570" display="https://drive.google.com/open?id=1WCuQwUAWI7kCadEHvf22L3pEMZToHIzi" xr:uid="{00000000-0004-0000-0200-000021060000}"/>
    <hyperlink ref="I1572" r:id="rId1571" display="https://drive.google.com/open?id=12fg86hZGJ0WQiOYc9VG1i_FBbifVtB4J" xr:uid="{00000000-0004-0000-0200-000022060000}"/>
    <hyperlink ref="I1573" r:id="rId1572" display="https://drive.google.com/open?id=1JVDgYWd-7n6qLnBHCqBRn48Okt-mxXdj" xr:uid="{00000000-0004-0000-0200-000023060000}"/>
    <hyperlink ref="I1574" r:id="rId1573" display="https://drive.google.com/open?id=1NeDtjgywF769yrg6GyPZ3zg2w9T_f_-1" xr:uid="{00000000-0004-0000-0200-000024060000}"/>
    <hyperlink ref="I1575" r:id="rId1574" display="https://drive.google.com/open?id=1cejRJQGujxVtlnYRxdJ2ZNteBUj3pGLs" xr:uid="{00000000-0004-0000-0200-000025060000}"/>
    <hyperlink ref="I1576" r:id="rId1575" display="https://drive.google.com/open?id=17PlsA136GrQrEmfFGZLDSXZWmo-ioDa1" xr:uid="{00000000-0004-0000-0200-000026060000}"/>
    <hyperlink ref="I1577" r:id="rId1576" display="https://drive.google.com/open?id=1x0HCqFsThnriZqsW7FPCR-Mttw-GpNUz" xr:uid="{00000000-0004-0000-0200-000027060000}"/>
    <hyperlink ref="I1578" r:id="rId1577" display="https://drive.google.com/open?id=1EV1z6rvtydFVzl7GNyd6-4Pd0OzMfjPP" xr:uid="{00000000-0004-0000-0200-000028060000}"/>
    <hyperlink ref="I1579" r:id="rId1578" display="https://drive.google.com/open?id=1TtJqT447SqY4MZOnWIGEO1JL-13fRHH-" xr:uid="{00000000-0004-0000-0200-000029060000}"/>
    <hyperlink ref="I1580" r:id="rId1579" display="https://drive.google.com/open?id=1ejIPVlkVfOOyWIaZUfluFtPqNRXCE6_v" xr:uid="{00000000-0004-0000-0200-00002A060000}"/>
    <hyperlink ref="I1581" r:id="rId1580" display="https://drive.google.com/open?id=1a-DxICoUNPCjdvBBWWbQL_aQjoqELvwp" xr:uid="{00000000-0004-0000-0200-00002B060000}"/>
    <hyperlink ref="I1582" r:id="rId1581" display="https://drive.google.com/open?id=1sVoIrCZ5mxgq8o7PC3GvoZeSs70jxquo" xr:uid="{00000000-0004-0000-0200-00002C060000}"/>
    <hyperlink ref="I1583" r:id="rId1582" display="https://drive.google.com/open?id=1eXrPxStIQF21k02B9p5fJZ2EM8aX_qIp" xr:uid="{00000000-0004-0000-0200-00002D060000}"/>
    <hyperlink ref="I1584" r:id="rId1583" display="https://drive.google.com/open?id=1YH_eSHnSFX7r8-mZmUPxD2u752gJBzHR" xr:uid="{00000000-0004-0000-0200-00002E060000}"/>
    <hyperlink ref="I1585" r:id="rId1584" display="https://drive.google.com/open?id=1XkDlbELMfJY7fCXtaae-hE2BEfVMSJi3" xr:uid="{00000000-0004-0000-0200-00002F060000}"/>
    <hyperlink ref="I1586" r:id="rId1585" display="https://drive.google.com/open?id=1jMJMeff_oIQw3MCy3kn6Kd5nBvd7bTLz" xr:uid="{00000000-0004-0000-0200-000030060000}"/>
    <hyperlink ref="I1587" r:id="rId1586" display="https://drive.google.com/open?id=1D4xQ8GEA1HM_L0kEQePoe7Qd_edHyrWY" xr:uid="{00000000-0004-0000-0200-000031060000}"/>
    <hyperlink ref="I1588" r:id="rId1587" display="https://drive.google.com/open?id=1JwcGf1CI7GVoW-N9eF3-szY0VehrIBJ1" xr:uid="{00000000-0004-0000-0200-000032060000}"/>
    <hyperlink ref="I1589" r:id="rId1588" display="https://drive.google.com/open?id=1QY_sGHjAXmAXzCirqA3pes4qDX9qGqqA" xr:uid="{00000000-0004-0000-0200-000033060000}"/>
    <hyperlink ref="I1590" r:id="rId1589" display="https://drive.google.com/open?id=1ecc5UTBqax2Q_PrI4Ahzgva4WUqLYEKe" xr:uid="{00000000-0004-0000-0200-000034060000}"/>
    <hyperlink ref="I1591" r:id="rId1590" display="https://drive.google.com/open?id=18e311wTcekMpUQFgYbxOhoSX3iXJR4uL" xr:uid="{00000000-0004-0000-0200-000035060000}"/>
    <hyperlink ref="I1592" r:id="rId1591" display="https://drive.google.com/open?id=1POh9saIA3Urk5eXrcENY19wOvP8ap8rW" xr:uid="{00000000-0004-0000-0200-000036060000}"/>
    <hyperlink ref="I1593" r:id="rId1592" display="https://drive.google.com/open?id=19ApQslNdi05Rq50KamCpWx7b7LSpubV5" xr:uid="{00000000-0004-0000-0200-000037060000}"/>
    <hyperlink ref="I1594" r:id="rId1593" display="https://drive.google.com/open?id=1fvbmxPc_Z9eonNfqx_ZmFtJtpUm-Ygew" xr:uid="{00000000-0004-0000-0200-000038060000}"/>
    <hyperlink ref="I1595" r:id="rId1594" display="https://drive.google.com/open?id=1wHAd6x6N_Aean1lhJzXR-aoUed5Cs9Sg" xr:uid="{00000000-0004-0000-0200-000039060000}"/>
    <hyperlink ref="I1596" r:id="rId1595" display="https://drive.google.com/open?id=1FSoYfR6xHj7dGev2-qJKer06uiLWXsEy" xr:uid="{00000000-0004-0000-0200-00003A060000}"/>
    <hyperlink ref="I1597" r:id="rId1596" display="https://drive.google.com/open?id=1YZ8RbvZm9FPuuLVOSRmWR-Hgdf3ZFfH4" xr:uid="{00000000-0004-0000-0200-00003B060000}"/>
    <hyperlink ref="I1598" r:id="rId1597" display="https://drive.google.com/open?id=1HZsM-ycEsWpqJ_1wpT_caVgdy982ry0d" xr:uid="{00000000-0004-0000-0200-00003C060000}"/>
    <hyperlink ref="I1599" r:id="rId1598" display="https://drive.google.com/open?id=1L8zDn_BCEP3JcYYbKxhYz_w71AZ2md67" xr:uid="{00000000-0004-0000-0200-00003D060000}"/>
    <hyperlink ref="I1600" r:id="rId1599" display="https://drive.google.com/open?id=1IY6wRQcZdpGBRAUI3xNHKEcc3arM5DcT" xr:uid="{00000000-0004-0000-0200-00003E060000}"/>
    <hyperlink ref="I1601" r:id="rId1600" display="https://drive.google.com/open?id=1DtHdcLIDyuQsGoKNP9tgqqFMJ6WP_AZk" xr:uid="{00000000-0004-0000-0200-00003F060000}"/>
    <hyperlink ref="I1602" r:id="rId1601" display="https://drive.google.com/open?id=1Q3QFf5JAxvbNzscdNlaePFAaHJED-cRS" xr:uid="{00000000-0004-0000-0200-000040060000}"/>
    <hyperlink ref="I1603" r:id="rId1602" display="https://drive.google.com/open?id=1RMWUy-169RQh0cbjbsuWC4Keo5B22-7o" xr:uid="{00000000-0004-0000-0200-000041060000}"/>
    <hyperlink ref="I1604" r:id="rId1603" display="https://drive.google.com/open?id=1KnmgGCBJOJzSYQWBat6-vYuGVAqFuTQr" xr:uid="{00000000-0004-0000-0200-000042060000}"/>
    <hyperlink ref="I1605" r:id="rId1604" display="https://drive.google.com/open?id=1AmImyz-6SQr_uA-V0gB511LnrvQToBmF" xr:uid="{00000000-0004-0000-0200-000043060000}"/>
    <hyperlink ref="I1606" r:id="rId1605" display="https://drive.google.com/open?id=1G2REJKaEDJh4ANmq7t_ytxxx79Lfaad3" xr:uid="{00000000-0004-0000-0200-000044060000}"/>
    <hyperlink ref="I1607" r:id="rId1606" display="https://drive.google.com/open?id=1XIvTNwCUQzXBTZeURekSeELjV4PC2OT0" xr:uid="{00000000-0004-0000-0200-000045060000}"/>
    <hyperlink ref="I1608" r:id="rId1607" display="https://drive.google.com/open?id=1qMBXTPGStTzhPPoedF8rJ4oIedCDWV9g" xr:uid="{00000000-0004-0000-0200-000046060000}"/>
    <hyperlink ref="I1609" r:id="rId1608" display="https://drive.google.com/open?id=1VQ1WszoHEn3az_KenuzzsOpqaFznAA02" xr:uid="{00000000-0004-0000-0200-000047060000}"/>
    <hyperlink ref="I1610" r:id="rId1609" display="https://drive.google.com/open?id=1rYMWeoD487dRJOZ-bj7_-gcg9uw7LcLL" xr:uid="{00000000-0004-0000-0200-000048060000}"/>
    <hyperlink ref="I1611" r:id="rId1610" display="https://drive.google.com/open?id=1KUEMw2ku6cwgFQpVI7wsHuuEq623o_j3" xr:uid="{00000000-0004-0000-0200-000049060000}"/>
    <hyperlink ref="I1612" r:id="rId1611" display="https://drive.google.com/open?id=1DX2IplclM1VNzwecjIqfGYo5Ta1wa-HH" xr:uid="{00000000-0004-0000-0200-00004A060000}"/>
    <hyperlink ref="I1613" r:id="rId1612" display="https://drive.google.com/open?id=1Mle0gl1Qi909DMNXdlIEVVLO-07TIL_M" xr:uid="{00000000-0004-0000-0200-00004B060000}"/>
    <hyperlink ref="I1614" r:id="rId1613" display="https://drive.google.com/open?id=1zdqkTgtVRawvUGbk9xaatLFFxrZeNaGG" xr:uid="{00000000-0004-0000-0200-00004C060000}"/>
    <hyperlink ref="I1615" r:id="rId1614" display="https://drive.google.com/open?id=1aqDI3RsYf1UQByGVXJ70BzD6juIiLK0u" xr:uid="{00000000-0004-0000-0200-00004D060000}"/>
    <hyperlink ref="I1616" r:id="rId1615" display="https://drive.google.com/open?id=1nnXnZQuU0XD2aem0tdwH8wGUjuquhVBx" xr:uid="{00000000-0004-0000-0200-00004E060000}"/>
    <hyperlink ref="I1617" r:id="rId1616" display="https://drive.google.com/open?id=1ZVCOqN9M3TbXktoacMMwEsHD4N3tgSj1" xr:uid="{00000000-0004-0000-0200-00004F060000}"/>
    <hyperlink ref="I1618" r:id="rId1617" display="https://drive.google.com/open?id=1bG8x6h5ezHwR74rMZJWkGr-FlAKRhjLc" xr:uid="{00000000-0004-0000-0200-000050060000}"/>
    <hyperlink ref="I1619" r:id="rId1618" display="https://drive.google.com/open?id=18VELDfbu_r6Yts1w8cdlL_SrMxYFJ5x6" xr:uid="{00000000-0004-0000-0200-000051060000}"/>
    <hyperlink ref="I1620" r:id="rId1619" display="https://drive.google.com/open?id=1upmKoW14ngvZ1WaqRicvBcOaK4bi-XwT" xr:uid="{00000000-0004-0000-0200-000052060000}"/>
    <hyperlink ref="I1621" r:id="rId1620" display="https://drive.google.com/open?id=1lVNlTj8kVCB9y3RuebaRrGv_oPasscWY" xr:uid="{00000000-0004-0000-0200-000053060000}"/>
    <hyperlink ref="I1622" r:id="rId1621" display="https://drive.google.com/open?id=1kE7LkJ9Xm_YEoopbhecVXGE4Yn-WqJpJ" xr:uid="{00000000-0004-0000-0200-000054060000}"/>
    <hyperlink ref="I1623" r:id="rId1622" display="https://drive.google.com/open?id=13eP_JNMOWs_nIdei0hOlD4zeLd1Dh6Lw" xr:uid="{00000000-0004-0000-0200-000055060000}"/>
    <hyperlink ref="I1624" r:id="rId1623" display="https://drive.google.com/open?id=1BWNFN3pN6OIeHE1LKIBktRzDanA8gnLQ" xr:uid="{00000000-0004-0000-0200-000056060000}"/>
    <hyperlink ref="I1625" r:id="rId1624" display="https://drive.google.com/open?id=1QduSBXULINLJEDXJZfFSM96pjxopR-WT" xr:uid="{00000000-0004-0000-0200-000057060000}"/>
    <hyperlink ref="I1626" r:id="rId1625" display="https://drive.google.com/open?id=1WTTZT6_uAJuh211zMKEck3yJHGNKfId1" xr:uid="{00000000-0004-0000-0200-000058060000}"/>
    <hyperlink ref="I1627" r:id="rId1626" display="https://drive.google.com/open?id=1VYIKk7nc7D-9Jqm_fDTE-iPMbnc0V4pU" xr:uid="{00000000-0004-0000-0200-000059060000}"/>
    <hyperlink ref="I1628" r:id="rId1627" display="https://drive.google.com/open?id=1G6dtA4gJT17KTgbwzUSrRyZyb_HHn211" xr:uid="{00000000-0004-0000-0200-00005A060000}"/>
    <hyperlink ref="I1629" r:id="rId1628" display="https://drive.google.com/open?id=1wbY3mw4oOg1vu41iXaRqVk_duga42yCq" xr:uid="{00000000-0004-0000-0200-00005B060000}"/>
    <hyperlink ref="I1630" r:id="rId1629" display="https://drive.google.com/open?id=10UjI3QfukXYo-HTNkiW78f21dec9a1dq" xr:uid="{00000000-0004-0000-0200-00005C060000}"/>
    <hyperlink ref="I1631" r:id="rId1630" display="https://drive.google.com/open?id=1U34pjUPZ0M0X4BHvb3bFPP-RJxzLCQIg" xr:uid="{00000000-0004-0000-0200-00005D060000}"/>
    <hyperlink ref="I1632" r:id="rId1631" display="https://drive.google.com/open?id=10V9qNLxa5g7rQd-y5g7npnplcJPorS78" xr:uid="{00000000-0004-0000-0200-00005E060000}"/>
    <hyperlink ref="I1633" r:id="rId1632" display="https://drive.google.com/open?id=17jVMrPBGCtwp9bIFUCBnX6KRHgljh9Nm" xr:uid="{00000000-0004-0000-0200-00005F060000}"/>
    <hyperlink ref="I1634" r:id="rId1633" display="https://drive.google.com/open?id=1WgYBKTrkAsANT1Y_jrN2cNS-nw1lq3xk" xr:uid="{00000000-0004-0000-0200-000060060000}"/>
    <hyperlink ref="I1635" r:id="rId1634" display="https://drive.google.com/open?id=18CjdDs6D0ejQdXRzPeNx6VTClxdt1U6-" xr:uid="{00000000-0004-0000-0200-000061060000}"/>
    <hyperlink ref="I1636" r:id="rId1635" display="https://drive.google.com/open?id=1nZFLcCpPQGkHRHLua3arQmzXZyyVk6mT" xr:uid="{00000000-0004-0000-0200-000062060000}"/>
    <hyperlink ref="I1637" r:id="rId1636" display="https://drive.google.com/open?id=1GhMjmS39wRlUS3E2iHZjThAFMP0uIS4q" xr:uid="{00000000-0004-0000-0200-000063060000}"/>
    <hyperlink ref="I1638" r:id="rId1637" display="https://drive.google.com/open?id=1kNfoLG58GZ6Jf-XYstLhNyJsFD7xTl3Z" xr:uid="{00000000-0004-0000-0200-000064060000}"/>
    <hyperlink ref="I1639" r:id="rId1638" display="https://drive.google.com/open?id=1GCqbL7sfbLd93U2no42YHHm5nTyQrEzj" xr:uid="{00000000-0004-0000-0200-000065060000}"/>
    <hyperlink ref="I1640" r:id="rId1639" display="https://drive.google.com/open?id=1a09FrHfV-yEJhXZQe2-Zw6XqznxvFb4y" xr:uid="{00000000-0004-0000-0200-000066060000}"/>
    <hyperlink ref="I1641" r:id="rId1640" display="https://drive.google.com/open?id=1R_jAQ2s_jWApXtbq6R-vnJMwWinZ-Bky" xr:uid="{00000000-0004-0000-0200-000067060000}"/>
    <hyperlink ref="I1642" r:id="rId1641" display="https://drive.google.com/open?id=1j_bHjwV7HkKWubAiCPFGqGn6Yfh0lRjc" xr:uid="{00000000-0004-0000-0200-000068060000}"/>
    <hyperlink ref="I1643" r:id="rId1642" display="https://drive.google.com/open?id=1jWayqwbi4L8ZS6kgVQnBnGjALhuVS3Ny" xr:uid="{00000000-0004-0000-0200-000069060000}"/>
    <hyperlink ref="I1644" r:id="rId1643" display="https://drive.google.com/open?id=1z9Xp6mdjTDChFa_3HLmAtFygAeLzpTRX" xr:uid="{00000000-0004-0000-0200-00006A060000}"/>
    <hyperlink ref="I1645" r:id="rId1644" display="https://drive.google.com/open?id=1NMUlScuXgGhbTQhQBfJI6EEN6mL6Q2O-" xr:uid="{00000000-0004-0000-0200-00006B060000}"/>
    <hyperlink ref="I1646" r:id="rId1645" display="https://drive.google.com/open?id=1upFSuXGdxEtm9GW6plc2hGxpfhkpBuVu" xr:uid="{00000000-0004-0000-0200-00006C060000}"/>
    <hyperlink ref="I1647" r:id="rId1646" display="https://drive.google.com/open?id=1E-viIgnYrhKJXsftuPX5_6IBWNAiuTUE" xr:uid="{00000000-0004-0000-0200-00006D060000}"/>
    <hyperlink ref="I1648" r:id="rId1647" display="https://drive.google.com/open?id=1jPAHtWeL6aV24ky7uH8dCgYNKRVkJgHF" xr:uid="{00000000-0004-0000-0200-00006E060000}"/>
    <hyperlink ref="I1649" r:id="rId1648" display="https://drive.google.com/open?id=1cy3O5J0q0qEUPh-IYWpK93EfTb3MTvav" xr:uid="{00000000-0004-0000-0200-00006F060000}"/>
    <hyperlink ref="I1650" r:id="rId1649" display="https://drive.google.com/open?id=12tb3DevkVfP-0G45D2AOXyFG7gy4n__a" xr:uid="{00000000-0004-0000-0200-000070060000}"/>
    <hyperlink ref="I1651" r:id="rId1650" display="https://drive.google.com/open?id=1pqJVWXCni5bMlNOIK3RhJbPnyKMe0-YP" xr:uid="{00000000-0004-0000-0200-000071060000}"/>
    <hyperlink ref="I1652" r:id="rId1651" display="https://drive.google.com/open?id=1EbR9x1PmUMJJYG4g429R5KvpQdN7Ceaw" xr:uid="{00000000-0004-0000-0200-000072060000}"/>
    <hyperlink ref="I1653" r:id="rId1652" display="https://drive.google.com/open?id=1NhUGl2WS97TEq0kVGrMhQQ8IlQW0p_V7" xr:uid="{00000000-0004-0000-0200-000073060000}"/>
    <hyperlink ref="I1654" r:id="rId1653" display="https://drive.google.com/open?id=1WKDdgwxqdLOI8Kxpl6Zw-MgZRFEdaQGz" xr:uid="{00000000-0004-0000-0200-000074060000}"/>
    <hyperlink ref="I1655" r:id="rId1654" display="https://drive.google.com/open?id=1NwP5EZWUp-_CJoBPBn3NyIFe8lNapHkn" xr:uid="{00000000-0004-0000-0200-000075060000}"/>
    <hyperlink ref="I1656" r:id="rId1655" display="https://drive.google.com/open?id=1jfS5_7gzf0DpOLP9UcLGJOOccrq88SKZ" xr:uid="{00000000-0004-0000-0200-000076060000}"/>
    <hyperlink ref="I1657" r:id="rId1656" display="https://drive.google.com/open?id=1nQ41_NzuVYrysshHfJNVjoczTU-P7tmG" xr:uid="{00000000-0004-0000-0200-000077060000}"/>
    <hyperlink ref="I1658" r:id="rId1657" display="https://drive.google.com/open?id=1BBLPNTwxORBffvM4WXU-7hfPlA4euaou" xr:uid="{00000000-0004-0000-0200-000078060000}"/>
    <hyperlink ref="I1659" r:id="rId1658" display="https://drive.google.com/open?id=1SVCCAqxL9jk0lvAb4Slzjxm-JlFYEXqs" xr:uid="{00000000-0004-0000-0200-000079060000}"/>
    <hyperlink ref="I1660" r:id="rId1659" display="https://drive.google.com/open?id=16GO5C_NtFJcofGrxS5kYNT9QSXw1IFA1" xr:uid="{00000000-0004-0000-0200-00007A060000}"/>
    <hyperlink ref="I1661" r:id="rId1660" display="https://drive.google.com/open?id=1NsXD0EqwN5q68Ip5J-SUZIW1P3qREZIW" xr:uid="{00000000-0004-0000-0200-00007B060000}"/>
    <hyperlink ref="I1662" r:id="rId1661" display="https://drive.google.com/open?id=11p80kqq4f1zLz_2vYCJB0b3NTMHFdqnk" xr:uid="{00000000-0004-0000-0200-00007C060000}"/>
    <hyperlink ref="I1663" r:id="rId1662" display="https://drive.google.com/open?id=1yXPJZFdhHdJmNWHwCD1Y7od6P6xTlhrd" xr:uid="{00000000-0004-0000-0200-00007D060000}"/>
    <hyperlink ref="I1664" r:id="rId1663" display="https://drive.google.com/open?id=1UIjDJsYqNo-zsDaNLLEUft9WbLh2AB2x" xr:uid="{00000000-0004-0000-0200-00007E060000}"/>
    <hyperlink ref="I1665" r:id="rId1664" display="https://drive.google.com/open?id=1nNDZORk2qG016r6O9qHdG1fiVrxI8_vv" xr:uid="{00000000-0004-0000-0200-00007F060000}"/>
    <hyperlink ref="I1666" r:id="rId1665" display="https://drive.google.com/open?id=1mdSHKqTsKSqrRkdrogBm5Nnq1SJ96AQb" xr:uid="{00000000-0004-0000-0200-000080060000}"/>
    <hyperlink ref="I1667" r:id="rId1666" display="https://drive.google.com/open?id=1w8bplYF1JbFVpivG6CEWxvlUursXU9Ew" xr:uid="{00000000-0004-0000-0200-000081060000}"/>
    <hyperlink ref="I1668" r:id="rId1667" display="https://drive.google.com/open?id=1XQ_HTGSkLU63-Hnlbhft3rlAWoljjxaH" xr:uid="{00000000-0004-0000-0200-000082060000}"/>
    <hyperlink ref="I1669" r:id="rId1668" display="https://drive.google.com/open?id=1CuuR0iGlp-yK6E1q8q97MF3qF7P_fPA8" xr:uid="{00000000-0004-0000-0200-000083060000}"/>
    <hyperlink ref="I1670" r:id="rId1669" display="https://drive.google.com/open?id=1g4aH0shZD7aECmV1AUNVA32bHSJ3aQQ-" xr:uid="{00000000-0004-0000-0200-000084060000}"/>
    <hyperlink ref="I1671" r:id="rId1670" display="https://drive.google.com/open?id=1U46rJm_4_BzgEPflDAkn_IFWRpXLN6g7" xr:uid="{00000000-0004-0000-0200-000085060000}"/>
    <hyperlink ref="I1672" r:id="rId1671" display="https://drive.google.com/open?id=1TCD7JJhbDEtxpffAnuLgXAv9pPxbyKcJ" xr:uid="{00000000-0004-0000-0200-000086060000}"/>
    <hyperlink ref="I1673" r:id="rId1672" display="https://drive.google.com/open?id=1RG1pTERIJmjwUPdgxgiTC2Z4cc6T559k" xr:uid="{00000000-0004-0000-0200-000087060000}"/>
    <hyperlink ref="I1674" r:id="rId1673" display="https://drive.google.com/open?id=1X2IC_BCeAbWa9vCamJzvSWdO7QDDWpJF" xr:uid="{00000000-0004-0000-0200-000088060000}"/>
    <hyperlink ref="I1675" r:id="rId1674" display="https://drive.google.com/open?id=1row-LQ1ehQ7Vz8L6CgDYyl5ZkOE0Bhcj" xr:uid="{00000000-0004-0000-0200-000089060000}"/>
    <hyperlink ref="I1676" r:id="rId1675" display="https://drive.google.com/open?id=1NX3Y2hCPHNvVEEnlWUrv4EXnZ-HSzWRi" xr:uid="{00000000-0004-0000-0200-00008A060000}"/>
    <hyperlink ref="I1677" r:id="rId1676" display="https://drive.google.com/open?id=189Vi0DIbxBkqqIqLxHfzAOAdWFdtAhMT" xr:uid="{00000000-0004-0000-0200-00008B060000}"/>
    <hyperlink ref="I1678" r:id="rId1677" display="https://drive.google.com/open?id=1lbPlNXL9ZvINPrymsmeUeEsSM4Oy9kl5" xr:uid="{00000000-0004-0000-0200-00008C060000}"/>
    <hyperlink ref="I1679" r:id="rId1678" display="https://drive.google.com/open?id=1r5D5AUVvjXMkNCvwVbIrit0-kcSqJh-k" xr:uid="{00000000-0004-0000-0200-00008D060000}"/>
    <hyperlink ref="I1680" r:id="rId1679" display="https://drive.google.com/open?id=1Xb_kXFeyxSjYr49O3x0jZqFZfN1HgNnB" xr:uid="{00000000-0004-0000-0200-00008E060000}"/>
    <hyperlink ref="I1681" r:id="rId1680" display="https://drive.google.com/open?id=16AeBROy73ogkyuJiNdJQuri3O57JuFv_" xr:uid="{00000000-0004-0000-0200-00008F060000}"/>
    <hyperlink ref="I1682" r:id="rId1681" display="https://drive.google.com/open?id=197KqU4CLxOeyh5XjrvZOeeixC2LWnqQ_" xr:uid="{00000000-0004-0000-0200-000090060000}"/>
    <hyperlink ref="I1683" r:id="rId1682" display="https://drive.google.com/open?id=1ytfLIG36SlrdI7jTtYxsRU6jPlg7Ch2-" xr:uid="{00000000-0004-0000-0200-000091060000}"/>
    <hyperlink ref="I1684" r:id="rId1683" display="https://drive.google.com/open?id=1bTE68ms56UiU0paFE6F-zZz6ZywkOXqI" xr:uid="{00000000-0004-0000-0200-000092060000}"/>
    <hyperlink ref="I1685" r:id="rId1684" display="https://drive.google.com/open?id=1JSCcBQkQaQhgrAUkZmzfW3jz7jvdHGJE" xr:uid="{00000000-0004-0000-0200-000093060000}"/>
    <hyperlink ref="I1686" r:id="rId1685" display="https://drive.google.com/open?id=1RKrCSxh7Fm-6DouiFZdQ5gd1CNIwfiVR" xr:uid="{00000000-0004-0000-0200-000094060000}"/>
    <hyperlink ref="I1687" r:id="rId1686" display="https://drive.google.com/open?id=1YiZoGZy_epG0DWKgcTEyYupSEXqrTZMH" xr:uid="{00000000-0004-0000-0200-000095060000}"/>
    <hyperlink ref="I1688" r:id="rId1687" display="https://drive.google.com/open?id=1pOSz8dFnmi0ee8-JMjSfX-HHMr_-oMZq" xr:uid="{00000000-0004-0000-0200-000096060000}"/>
    <hyperlink ref="I1689" r:id="rId1688" display="https://drive.google.com/open?id=1uMMZqT_5hJYzxPojtnRynONTzntsJb7G" xr:uid="{00000000-0004-0000-0200-000097060000}"/>
    <hyperlink ref="I1690" r:id="rId1689" display="https://drive.google.com/open?id=11dWrtxYyLj83KAhYqglakCCZ2apnU0Nk" xr:uid="{00000000-0004-0000-0200-000098060000}"/>
    <hyperlink ref="I1691" r:id="rId1690" display="https://drive.google.com/open?id=1aHPO4GJRYtXsKmiD6Rj6a9JaU4gqtZVC" xr:uid="{00000000-0004-0000-0200-000099060000}"/>
    <hyperlink ref="I1692" r:id="rId1691" display="https://drive.google.com/open?id=1Zpe67xbIrDcPlDy0taOG6PLHQ3ZrXkza" xr:uid="{00000000-0004-0000-0200-00009A060000}"/>
    <hyperlink ref="I1693" r:id="rId1692" display="https://drive.google.com/open?id=15Ua0kGEjf8VgDzbOa3EUclUHZV1QhgAE" xr:uid="{00000000-0004-0000-0200-00009B060000}"/>
    <hyperlink ref="I1694" r:id="rId1693" display="https://drive.google.com/open?id=1rDXJ_bF7haAH8R9m6hHVgnfCUGtEjSWx" xr:uid="{00000000-0004-0000-0200-00009C060000}"/>
    <hyperlink ref="I1695" r:id="rId1694" display="https://drive.google.com/open?id=1ruk_25q-7j4LMoV2bnpwK6AnBlH9Ihw2" xr:uid="{00000000-0004-0000-0200-00009D060000}"/>
    <hyperlink ref="I1696" r:id="rId1695" display="https://drive.google.com/open?id=1fXRV9uUyFlIOE-VoJFJy3WDtnwaK3FKz" xr:uid="{00000000-0004-0000-0200-00009E060000}"/>
    <hyperlink ref="I1697" r:id="rId1696" display="https://drive.google.com/open?id=17T3v6nlg3_yL2ggFcv12_VY8jxK1_Ocp" xr:uid="{00000000-0004-0000-0200-00009F060000}"/>
    <hyperlink ref="I1698" r:id="rId1697" display="https://drive.google.com/open?id=1t6EuHI1iV-SIy7PUrTHctL_1RSnMNiJD" xr:uid="{00000000-0004-0000-0200-0000A0060000}"/>
    <hyperlink ref="I1699" r:id="rId1698" display="https://drive.google.com/open?id=1roplqQn5t3Rh53q4CBT5Odzq_rBtdSIe" xr:uid="{00000000-0004-0000-0200-0000A1060000}"/>
    <hyperlink ref="I1700" r:id="rId1699" display="https://drive.google.com/open?id=1MSIejLzWEp8sRh0q518W0IDWBNF4qyNk" xr:uid="{00000000-0004-0000-0200-0000A2060000}"/>
    <hyperlink ref="I1701" r:id="rId1700" display="https://drive.google.com/open?id=1Nh7Hol1vV_oCRSlBkih2U3FIWzKTXWTT" xr:uid="{00000000-0004-0000-0200-0000A3060000}"/>
    <hyperlink ref="I1702" r:id="rId1701" display="https://drive.google.com/open?id=1hPhysJkugj2uZHySoW4xVss8UpdiBb5y" xr:uid="{00000000-0004-0000-0200-0000A4060000}"/>
    <hyperlink ref="I1703" r:id="rId1702" display="https://drive.google.com/open?id=1L9RVUaq9tr6bkY8WQqnfSObx-6GmN0uK" xr:uid="{00000000-0004-0000-0200-0000A5060000}"/>
    <hyperlink ref="I1704" r:id="rId1703" display="https://drive.google.com/open?id=1R3ABRKfQvr7SBDf0SPmGSe73A19FePfr" xr:uid="{00000000-0004-0000-0200-0000A6060000}"/>
    <hyperlink ref="I1705" r:id="rId1704" display="https://drive.google.com/open?id=1IC0URQfG2VAl-sfFIrJLQT2X_GLAY8Ex" xr:uid="{00000000-0004-0000-0200-0000A7060000}"/>
    <hyperlink ref="I1706" r:id="rId1705" display="https://drive.google.com/open?id=1whMSmn5MAz39w4h7TQxbJuAEWkOy14Ti" xr:uid="{00000000-0004-0000-0200-0000A8060000}"/>
    <hyperlink ref="I1707" r:id="rId1706" display="https://drive.google.com/open?id=1AhUKZ4hF4Rs8Bt5m4XEHge0LmchdP2H_" xr:uid="{00000000-0004-0000-0200-0000A9060000}"/>
    <hyperlink ref="I1708" r:id="rId1707" display="https://drive.google.com/open?id=1Kw8054_-vngKiMbLe_RLoFcHO7yPNarX" xr:uid="{00000000-0004-0000-0200-0000AA060000}"/>
    <hyperlink ref="I1709" r:id="rId1708" display="https://drive.google.com/open?id=1js_eFV7g8yrdlT3bjDGAj8vnED-6GN15" xr:uid="{00000000-0004-0000-0200-0000AB060000}"/>
    <hyperlink ref="I1710" r:id="rId1709" display="https://drive.google.com/open?id=182xtZ8M_TxQWCucqW6lYEHdjYzo1Z3dK" xr:uid="{00000000-0004-0000-0200-0000AC060000}"/>
    <hyperlink ref="I1711" r:id="rId1710" display="https://drive.google.com/open?id=1zTV1N2F2DIzHaiNUHzEdhK951-boXMOI" xr:uid="{00000000-0004-0000-0200-0000AD060000}"/>
    <hyperlink ref="I1712" r:id="rId1711" display="https://drive.google.com/open?id=1YsS9XqiVsvpzlCxeU2xBSb4TzGGHw5Bv" xr:uid="{00000000-0004-0000-0200-0000AE060000}"/>
    <hyperlink ref="I1713" r:id="rId1712" display="https://drive.google.com/open?id=1cC-edrT8nXW2IkRayVmWC6zasB8IiNh5" xr:uid="{00000000-0004-0000-0200-0000AF060000}"/>
    <hyperlink ref="I1714" r:id="rId1713" display="https://drive.google.com/open?id=1MbqVbM6AQE50ZDiaiMtIbokzQySwuKlB" xr:uid="{00000000-0004-0000-0200-0000B0060000}"/>
    <hyperlink ref="I1715" r:id="rId1714" display="https://drive.google.com/open?id=1diE5Uphir8_Vgt9mAg7no2eOMQYPsmMH" xr:uid="{00000000-0004-0000-0200-0000B1060000}"/>
    <hyperlink ref="I1716" r:id="rId1715" display="https://drive.google.com/open?id=1Ccoxb1go3LhlJ6dRNtnUpanboGNZqdGr" xr:uid="{00000000-0004-0000-0200-0000B2060000}"/>
    <hyperlink ref="I1717" r:id="rId1716" display="https://drive.google.com/open?id=1Wo5e0FieveglXS4vksxFQmGM-wO1By8c" xr:uid="{00000000-0004-0000-0200-0000B3060000}"/>
    <hyperlink ref="I1718" r:id="rId1717" display="https://drive.google.com/open?id=1rkhf-HgA3YY-cG004GQnRT1T2R42oMTk" xr:uid="{00000000-0004-0000-0200-0000B4060000}"/>
    <hyperlink ref="I1719" r:id="rId1718" display="https://drive.google.com/open?id=17NnNBhdbNuUWwZt227OTP03S779ruQBx" xr:uid="{00000000-0004-0000-0200-0000B5060000}"/>
    <hyperlink ref="I1720" r:id="rId1719" display="https://drive.google.com/open?id=1NCV8Kig1bSsj_yQAfjymoXL9QNcVeGFq" xr:uid="{00000000-0004-0000-0200-0000B6060000}"/>
    <hyperlink ref="I1721" r:id="rId1720" display="https://drive.google.com/open?id=1OSox4rWIn-gqL2_WEji2vr7o5h3Uonxv" xr:uid="{00000000-0004-0000-0200-0000B7060000}"/>
    <hyperlink ref="I1722" r:id="rId1721" display="https://drive.google.com/open?id=1xvC2pTwpqeJfGfN3LN5a-w0tWjtJpmR5" xr:uid="{00000000-0004-0000-0200-0000B8060000}"/>
    <hyperlink ref="I1723" r:id="rId1722" display="https://drive.google.com/open?id=1NqMA_puUIfk21m0dhj65T5DFlSIa2I7_" xr:uid="{00000000-0004-0000-0200-0000B9060000}"/>
    <hyperlink ref="I1724" r:id="rId1723" display="https://drive.google.com/open?id=1PuMcMkyeIVS_TbhmJoti9srPR6fLKQvA" xr:uid="{00000000-0004-0000-0200-0000BA060000}"/>
    <hyperlink ref="I1725" r:id="rId1724" display="https://drive.google.com/open?id=1qjmZQ871mNLcwAL_ksK9De7WEK-wnofC" xr:uid="{00000000-0004-0000-0200-0000BB060000}"/>
    <hyperlink ref="I1726" r:id="rId1725" display="https://drive.google.com/open?id=1RCUPHDPfidjSNOYKPUFCzn_SSVxiVvdf" xr:uid="{00000000-0004-0000-0200-0000BC060000}"/>
    <hyperlink ref="I1727" r:id="rId1726" display="https://drive.google.com/open?id=1JVCbDSQpBnE5O_29lrNaALsSyFXWISoC" xr:uid="{00000000-0004-0000-0200-0000BD060000}"/>
    <hyperlink ref="I1728" r:id="rId1727" display="https://drive.google.com/open?id=1o34iUiasZFuWo5IMQYkXvJFRvJ3Wuytl" xr:uid="{00000000-0004-0000-0200-0000BE060000}"/>
    <hyperlink ref="I1729" r:id="rId1728" display="https://drive.google.com/open?id=1DbPzYZFpMF61iXlmH_gFD561WeGy89CR" xr:uid="{00000000-0004-0000-0200-0000BF060000}"/>
    <hyperlink ref="I1730" r:id="rId1729" display="https://drive.google.com/open?id=1rMf_RzGnPJ9YDokOAczc-14paDlPjJai" xr:uid="{00000000-0004-0000-0200-0000C0060000}"/>
    <hyperlink ref="I1731" r:id="rId1730" display="https://drive.google.com/open?id=1Q8faztb_lbvb3KdyokpnXEAFa19ZRf_l" xr:uid="{00000000-0004-0000-0200-0000C1060000}"/>
    <hyperlink ref="I1732" r:id="rId1731" display="https://drive.google.com/open?id=1f0J6H16YYKrxfNL1UHuq_7SCbnDkRlxm" xr:uid="{00000000-0004-0000-0200-0000C2060000}"/>
    <hyperlink ref="I1733" r:id="rId1732" display="https://drive.google.com/open?id=1ZG-Gg78eIup9XWXsJ-Q-EsiMQbgvNj2Y" xr:uid="{00000000-0004-0000-0200-0000C3060000}"/>
    <hyperlink ref="I1734" r:id="rId1733" display="https://drive.google.com/open?id=1dLuAIr6mFHTSgBrgiJrA9EUp4FZAyMgo" xr:uid="{00000000-0004-0000-0200-0000C4060000}"/>
    <hyperlink ref="I1735" r:id="rId1734" display="https://drive.google.com/open?id=1m9gg5CT9XKNuXoOJydN5Z9FPuBmFdooO" xr:uid="{00000000-0004-0000-0200-0000C5060000}"/>
    <hyperlink ref="I1736" r:id="rId1735" display="https://drive.google.com/open?id=13fsbVBiB8tvcZiITZN_3XX2WTX8HNNg8" xr:uid="{00000000-0004-0000-0200-0000C6060000}"/>
    <hyperlink ref="I1737" r:id="rId1736" display="https://drive.google.com/open?id=1MXaBXBCWwoax4KURZj7VBYjxYpAAE0Ja" xr:uid="{00000000-0004-0000-0200-0000C7060000}"/>
    <hyperlink ref="I1738" r:id="rId1737" display="https://drive.google.com/open?id=1sGAZNVz27qjmit86hDW_FbcwuusFmMtB" xr:uid="{00000000-0004-0000-0200-0000C8060000}"/>
    <hyperlink ref="I1739" r:id="rId1738" display="https://drive.google.com/open?id=1197xCR-O4SuaPBI-W5SZaTJFjd7il-qx" xr:uid="{00000000-0004-0000-0200-0000C9060000}"/>
    <hyperlink ref="I1740" r:id="rId1739" display="https://drive.google.com/open?id=1n8oEEWwwBacEHxWOllpmiVbdPI1dXWgA" xr:uid="{00000000-0004-0000-0200-0000CA060000}"/>
    <hyperlink ref="I1741" r:id="rId1740" display="https://drive.google.com/open?id=1P9H4ARDepVbdvJXNSDcXNDSl7lyTEyOM" xr:uid="{00000000-0004-0000-0200-0000CB060000}"/>
    <hyperlink ref="I1742" r:id="rId1741" display="https://drive.google.com/open?id=1OL032Zmux9Sy9e24c-gx4nmTH2ze6PcX" xr:uid="{00000000-0004-0000-0200-0000CC060000}"/>
    <hyperlink ref="I1743" r:id="rId1742" display="https://drive.google.com/open?id=14xv-A-hJrfzOLdGNSG7AQ2LhbWjQGOR6" xr:uid="{00000000-0004-0000-0200-0000CD060000}"/>
    <hyperlink ref="I1744" r:id="rId1743" display="https://drive.google.com/open?id=1yg5vWTSQRO-tJRJ_CO-qoI2jpHcDbNFo" xr:uid="{00000000-0004-0000-0200-0000CE060000}"/>
    <hyperlink ref="I1745" r:id="rId1744" display="https://drive.google.com/open?id=1X67W8IR3PEkBBjup_QN1vWWeA8HC-mb9" xr:uid="{00000000-0004-0000-0200-0000CF060000}"/>
    <hyperlink ref="I1746" r:id="rId1745" display="https://drive.google.com/open?id=1fuGmgMdrOb2aWOXz-jAyrMwB5oZj48VR" xr:uid="{00000000-0004-0000-0200-0000D0060000}"/>
    <hyperlink ref="I1747" r:id="rId1746" display="https://drive.google.com/open?id=1rzp-sSq6op8p2XNJkDW0n7GsqhoPcLmG" xr:uid="{00000000-0004-0000-0200-0000D1060000}"/>
    <hyperlink ref="I1748" r:id="rId1747" display="https://drive.google.com/open?id=1XkwNzc6U_jjBMSrkcp2IhiD09bKkoRZm" xr:uid="{00000000-0004-0000-0200-0000D2060000}"/>
    <hyperlink ref="I1749" r:id="rId1748" display="https://drive.google.com/open?id=1gn4s7LzkpfE9izdKi5eWIYSNcO_YIh-i" xr:uid="{00000000-0004-0000-0200-0000D3060000}"/>
    <hyperlink ref="I1750" r:id="rId1749" display="https://drive.google.com/open?id=1Q0SIyI70K-4UkR22P3g-RF131mRpkMr_" xr:uid="{00000000-0004-0000-0200-0000D4060000}"/>
    <hyperlink ref="I1751" r:id="rId1750" display="https://drive.google.com/open?id=1UgsAB5PXAZZeNUyEJe5OsDLj3KHk98tl" xr:uid="{00000000-0004-0000-0200-0000D5060000}"/>
    <hyperlink ref="I1752" r:id="rId1751" display="https://drive.google.com/open?id=1dK85OXSA1SpzmsajoUVYLoVPLSJoH12P" xr:uid="{00000000-0004-0000-0200-0000D6060000}"/>
    <hyperlink ref="I1753" r:id="rId1752" display="https://drive.google.com/open?id=1TsaT7nF68OmsQIcwJbFOinxn6CxLWuPE" xr:uid="{00000000-0004-0000-0200-0000D7060000}"/>
    <hyperlink ref="I1754" r:id="rId1753" display="https://drive.google.com/open?id=1xqdelicC6VV8UaOczuhGGA5TfnxP6UjF" xr:uid="{00000000-0004-0000-0200-0000D8060000}"/>
    <hyperlink ref="I1755" r:id="rId1754" display="https://drive.google.com/open?id=1s_PvYG1fdYokXaEusem9gajF3vCWG1cO" xr:uid="{00000000-0004-0000-0200-0000D9060000}"/>
    <hyperlink ref="I1756" r:id="rId1755" display="https://drive.google.com/open?id=1c1Nnq53Y1BurUIDpuTlr9TmQTlJuuRsS" xr:uid="{00000000-0004-0000-0200-0000DA060000}"/>
    <hyperlink ref="I1757" r:id="rId1756" display="https://drive.google.com/open?id=1ldD566GgizCPE8QLUe98oMSLD2QoXwxA" xr:uid="{00000000-0004-0000-0200-0000DB060000}"/>
    <hyperlink ref="I1758" r:id="rId1757" display="https://drive.google.com/open?id=1EF4kmxtrobVg6uMow8XnKX2T_rfd0HN4" xr:uid="{00000000-0004-0000-0200-0000DC060000}"/>
    <hyperlink ref="I1759" r:id="rId1758" display="https://drive.google.com/open?id=1q5ds82nhhqIvPiD06mRlI84MuIV6eONQ" xr:uid="{00000000-0004-0000-0200-0000DD060000}"/>
    <hyperlink ref="I1760" r:id="rId1759" display="https://drive.google.com/open?id=1wxxXNqACryVkTVfGfs_pxYRAeBWe7L90" xr:uid="{00000000-0004-0000-0200-0000DE060000}"/>
    <hyperlink ref="I1761" r:id="rId1760" display="https://drive.google.com/open?id=1bp6f4fzGfgJTmBKc_qe5JsRr0vzd6exb" xr:uid="{00000000-0004-0000-0200-0000DF060000}"/>
    <hyperlink ref="I1762" r:id="rId1761" display="https://drive.google.com/open?id=1WM2vhBevCzV9qfb_n_Zi67669g6Ls2BC" xr:uid="{00000000-0004-0000-0200-0000E0060000}"/>
    <hyperlink ref="I1763" r:id="rId1762" display="https://drive.google.com/open?id=1S7rQdK55Y6X-_gQJD7dpcDwwBxQXL0RA" xr:uid="{00000000-0004-0000-0200-0000E1060000}"/>
    <hyperlink ref="I1764" r:id="rId1763" display="https://drive.google.com/open?id=1fT4V7N6J4c5T1hlzND1fa5OI1GqQKeiv" xr:uid="{00000000-0004-0000-0200-0000E2060000}"/>
    <hyperlink ref="I1765" r:id="rId1764" display="https://drive.google.com/open?id=1pOIBPSdajQ7byqLY_CjaHgTSVr-kK85b" xr:uid="{00000000-0004-0000-0200-0000E3060000}"/>
    <hyperlink ref="I1766" r:id="rId1765" display="https://drive.google.com/open?id=13dT0tIQb8bWP6kPNKis63IcNj3hIJM2s" xr:uid="{00000000-0004-0000-0200-0000E4060000}"/>
    <hyperlink ref="I1767" r:id="rId1766" display="https://drive.google.com/open?id=1WKlrkKon54YddeOlWP8L3-rBFfxbdvfz" xr:uid="{00000000-0004-0000-0200-0000E5060000}"/>
    <hyperlink ref="I1768" r:id="rId1767" display="https://drive.google.com/open?id=15fTT89_XUdDgFQGHW0Ryzp6Lqta4wTbv" xr:uid="{00000000-0004-0000-0200-0000E6060000}"/>
    <hyperlink ref="I1769" r:id="rId1768" display="https://drive.google.com/open?id=1qMEQ3MwqXWc1dAJhgBElhXyofQyBtm_y" xr:uid="{00000000-0004-0000-0200-0000E7060000}"/>
    <hyperlink ref="I1770" r:id="rId1769" display="https://drive.google.com/open?id=1gYm7ynwOLyjlD4esvS3SXozv8aDXyIKH" xr:uid="{00000000-0004-0000-0200-0000E8060000}"/>
    <hyperlink ref="I1771" r:id="rId1770" display="https://drive.google.com/open?id=12ODEKTIOX1-1j1QlqXmNXjpofB02ctbf" xr:uid="{00000000-0004-0000-0200-0000E9060000}"/>
    <hyperlink ref="I1772" r:id="rId1771" display="https://drive.google.com/open?id=154BGHEu0Z6otde7Pz_67InBqaJTQZ0iE" xr:uid="{00000000-0004-0000-0200-0000EA060000}"/>
    <hyperlink ref="I1773" r:id="rId1772" display="https://drive.google.com/open?id=1pviS52g0IkQIeGE6PXr9vlzDSxCVbiqv" xr:uid="{00000000-0004-0000-0200-0000EB060000}"/>
    <hyperlink ref="I1774" r:id="rId1773" display="https://drive.google.com/open?id=1h0JYzAfK9F1FAGgSL2rGgaS5OimHRdiV" xr:uid="{00000000-0004-0000-0200-0000EC060000}"/>
    <hyperlink ref="I1775" r:id="rId1774" display="https://drive.google.com/open?id=1X1pO0V7S2ifZv6jKa1fn5Yb1nhnTp9Gd" xr:uid="{00000000-0004-0000-0200-0000ED060000}"/>
    <hyperlink ref="I1776" r:id="rId1775" display="https://drive.google.com/open?id=1yR5oLFZb_AQWHcFlX1yT7LNcyLYVbaE_" xr:uid="{00000000-0004-0000-0200-0000EE060000}"/>
    <hyperlink ref="I1777" r:id="rId1776" display="https://drive.google.com/open?id=1zTGcWc-Qyo3Euo30qFAjpxoZioI1BVTr" xr:uid="{00000000-0004-0000-0200-0000EF060000}"/>
    <hyperlink ref="I1778" r:id="rId1777" display="https://drive.google.com/open?id=1sOgJtjcv5vgplpLN-xO2pO6p4SFq9Svu" xr:uid="{00000000-0004-0000-0200-0000F0060000}"/>
    <hyperlink ref="I1779" r:id="rId1778" display="https://drive.google.com/open?id=1S-aUk1CtELiuf1jjNJ87myyw_ZTBLJNA" xr:uid="{00000000-0004-0000-0200-0000F1060000}"/>
    <hyperlink ref="I1780" r:id="rId1779" display="https://drive.google.com/open?id=1RhRZAGiczJ860iRvREfH7otgQotEUhUj" xr:uid="{00000000-0004-0000-0200-0000F2060000}"/>
    <hyperlink ref="I1781" r:id="rId1780" display="https://drive.google.com/open?id=1DpvGN2gOa2I9Ja_vkxltE6U_DBs3p6JN" xr:uid="{00000000-0004-0000-0200-0000F3060000}"/>
    <hyperlink ref="I1782" r:id="rId1781" display="https://drive.google.com/open?id=1uhQzBiSpf5y1DZTZJszQpDTD-Vj8Tfzf" xr:uid="{00000000-0004-0000-0200-0000F4060000}"/>
    <hyperlink ref="I1783" r:id="rId1782" display="https://drive.google.com/open?id=1_DI0O1HRydjtn8_oEC7q1XLoU7ZlB1Dd" xr:uid="{00000000-0004-0000-0200-0000F5060000}"/>
    <hyperlink ref="I1784" r:id="rId1783" display="https://drive.google.com/open?id=1hBhnnu45v0sLMJDQzoJEEvyf3RN5Kze5" xr:uid="{00000000-0004-0000-0200-0000F6060000}"/>
    <hyperlink ref="I1785" r:id="rId1784" display="https://drive.google.com/open?id=16xjEfKAjX7KRa9vAKWPUK1k8W5ftjbAX" xr:uid="{00000000-0004-0000-0200-0000F7060000}"/>
    <hyperlink ref="I1786" r:id="rId1785" display="https://drive.google.com/open?id=1XlloBBKvNOobEUAgXTdW5P_LbJubAkx1" xr:uid="{00000000-0004-0000-0200-0000F8060000}"/>
    <hyperlink ref="I1787" r:id="rId1786" display="https://drive.google.com/open?id=1XMkB0ejwtaQ_XXS6JIik5YqKvNs4mDWT" xr:uid="{00000000-0004-0000-0200-0000F9060000}"/>
    <hyperlink ref="I1788" r:id="rId1787" display="https://drive.google.com/open?id=1BZT3fFAIskU0HviZMnnc79BoMh0smCnC" xr:uid="{00000000-0004-0000-0200-0000FA060000}"/>
    <hyperlink ref="I1789" r:id="rId1788" display="https://drive.google.com/open?id=1CVGq9UD1-iItWGp3jf7_FipK_vqWs7v2" xr:uid="{00000000-0004-0000-0200-0000FB060000}"/>
    <hyperlink ref="I1790" r:id="rId1789" display="https://drive.google.com/open?id=17oMQP2IRSo9NVlAIFNHqxWoUysgm63an" xr:uid="{00000000-0004-0000-0200-0000FC060000}"/>
    <hyperlink ref="I1791" r:id="rId1790" display="https://drive.google.com/open?id=1hJ2PCAi6ps9jjWLmrviBRnvdmLtw8p2_" xr:uid="{00000000-0004-0000-0200-0000FD060000}"/>
    <hyperlink ref="I1792" r:id="rId1791" display="https://drive.google.com/open?id=1_z33MVe16BeNsIkkIYTd9Rsf3hb1ytAs" xr:uid="{00000000-0004-0000-0200-0000FE060000}"/>
    <hyperlink ref="I1793" r:id="rId1792" display="https://drive.google.com/open?id=1pQBeSxNvC-G8lzgWob2G7X6VyGLqT26R" xr:uid="{00000000-0004-0000-0200-0000FF060000}"/>
    <hyperlink ref="I1794" r:id="rId1793" display="https://drive.google.com/open?id=1giQn7Yktk4Rl5xbbJbbASFQI9yNrKpy-" xr:uid="{00000000-0004-0000-0200-000000070000}"/>
    <hyperlink ref="I1795" r:id="rId1794" display="https://drive.google.com/open?id=1RLfdxj4wJ5-dwg6VAdl9i_WcTT4PIpKE" xr:uid="{00000000-0004-0000-0200-000001070000}"/>
    <hyperlink ref="I1796" r:id="rId1795" display="https://drive.google.com/open?id=1kJU8SSJwo3KbrkpVQi1V-R6_UhI2Y-hP" xr:uid="{00000000-0004-0000-0200-000002070000}"/>
    <hyperlink ref="I1797" r:id="rId1796" display="https://drive.google.com/open?id=1YMbrlEtiX7bqV2v1cG0NYImo-Y5OSeSu" xr:uid="{00000000-0004-0000-0200-000003070000}"/>
    <hyperlink ref="I1798" r:id="rId1797" display="https://drive.google.com/open?id=1CqNcAScxkGfHKCN75fvrT24wZuymG1aa" xr:uid="{00000000-0004-0000-0200-000004070000}"/>
    <hyperlink ref="I1799" r:id="rId1798" display="https://drive.google.com/open?id=1h7GOkuprcIfPBvI1I4lligkC-qgnjRva" xr:uid="{00000000-0004-0000-0200-000005070000}"/>
    <hyperlink ref="I1800" r:id="rId1799" display="https://drive.google.com/open?id=1-Ht6oclHHp6iUvtF_DPoyqtQfzzUNglL" xr:uid="{00000000-0004-0000-0200-000006070000}"/>
    <hyperlink ref="I1801" r:id="rId1800" display="https://drive.google.com/open?id=1gX6PfrHyrrMo43mdD7DLy20lbx_dEU-q" xr:uid="{00000000-0004-0000-0200-000007070000}"/>
    <hyperlink ref="I1802" r:id="rId1801" display="https://drive.google.com/open?id=1xFxhIJTtV4FrfVzZDy_OehbNf_S7mfBk" xr:uid="{00000000-0004-0000-0200-000008070000}"/>
    <hyperlink ref="I1803" r:id="rId1802" display="https://drive.google.com/open?id=1t234nygSaNuYr2jxTGkU72bxuMcBZVw5" xr:uid="{00000000-0004-0000-0200-000009070000}"/>
    <hyperlink ref="I1804" r:id="rId1803" display="https://drive.google.com/open?id=1VF5ku-1V1sj5HGeXxX6b59c-XBY3xj3M" xr:uid="{00000000-0004-0000-0200-00000A070000}"/>
    <hyperlink ref="I1805" r:id="rId1804" display="https://drive.google.com/open?id=1eH4TCAS_h8U0WWwYxLQIdf385dFWOUtH" xr:uid="{00000000-0004-0000-0200-00000B070000}"/>
    <hyperlink ref="I1806" r:id="rId1805" display="https://drive.google.com/open?id=1dc6Kkm48JP3Jt58xVRaCJ5bxGOnV2ix_" xr:uid="{00000000-0004-0000-0200-00000C070000}"/>
    <hyperlink ref="I1807" r:id="rId1806" display="https://drive.google.com/open?id=1QpXmFiYQN2rNKLZLzZ4N0qNgMh10G-Vl" xr:uid="{00000000-0004-0000-0200-00000D070000}"/>
    <hyperlink ref="I1808" r:id="rId1807" display="https://drive.google.com/open?id=1ovC5jkSRMYmlQaQL0uvtOvAqTFjw9_KX" xr:uid="{00000000-0004-0000-0200-00000E070000}"/>
    <hyperlink ref="I1809" r:id="rId1808" display="https://drive.google.com/open?id=1uR6Zc4G7Fv-bxujYL3ZFEf7GeLFhwt16" xr:uid="{00000000-0004-0000-0200-00000F070000}"/>
    <hyperlink ref="I1810" r:id="rId1809" display="https://drive.google.com/open?id=17mhQpP5AYlmGt7B1nl9gf8gHtQ71jx8i" xr:uid="{00000000-0004-0000-0200-000010070000}"/>
    <hyperlink ref="I1811" r:id="rId1810" display="https://drive.google.com/open?id=1Y6cCjUAGuFfYnbb1kGPMkA_BTPA8ZuIY" xr:uid="{00000000-0004-0000-0200-000011070000}"/>
    <hyperlink ref="I1812" r:id="rId1811" display="https://drive.google.com/open?id=10gNm--WlCh4QOxTroyUs_F_xPS1EQU43" xr:uid="{00000000-0004-0000-0200-000012070000}"/>
    <hyperlink ref="I1813" r:id="rId1812" display="https://drive.google.com/open?id=174GQRueRnEf_b_vA3Mu-lalaJf1w4yUY" xr:uid="{00000000-0004-0000-0200-000013070000}"/>
    <hyperlink ref="I1814" r:id="rId1813" display="https://drive.google.com/open?id=1omKpVvakMV2TtqIO5QJpB7m_6ropE6UA" xr:uid="{00000000-0004-0000-0200-000014070000}"/>
    <hyperlink ref="I1815" r:id="rId1814" display="https://drive.google.com/open?id=1vVDY3R2mqMimKFGSa1asgKoVJmiCYaPJ" xr:uid="{00000000-0004-0000-0200-000015070000}"/>
    <hyperlink ref="I1816" r:id="rId1815" display="https://drive.google.com/open?id=17lukzj3DqYXdVw1UjwNLmCc-ocfMBFfo" xr:uid="{00000000-0004-0000-0200-000016070000}"/>
    <hyperlink ref="I1817" r:id="rId1816" display="https://drive.google.com/open?id=13cLp3sSF1E0ZYqpUJhmbQW2OCgOOtfOk" xr:uid="{00000000-0004-0000-0200-000017070000}"/>
    <hyperlink ref="I1818" r:id="rId1817" display="https://drive.google.com/open?id=1ErKrCv3QoHpTrxEBmNbVt4a2NDAWQt7v" xr:uid="{00000000-0004-0000-0200-000018070000}"/>
    <hyperlink ref="I1819" r:id="rId1818" display="https://drive.google.com/open?id=1sONMeJuY69XLE7F42-01JuEh705rB51F" xr:uid="{00000000-0004-0000-0200-000019070000}"/>
    <hyperlink ref="I1820" r:id="rId1819" display="https://drive.google.com/open?id=13ChLR7GIsUTCuDIhrV6BmeACy2D50nty" xr:uid="{00000000-0004-0000-0200-00001A070000}"/>
    <hyperlink ref="I1821" r:id="rId1820" display="https://drive.google.com/open?id=1mKZGSv2Fguz_tc-21pP3ZU-J_bR-4kCz" xr:uid="{00000000-0004-0000-0200-00001B070000}"/>
    <hyperlink ref="I1822" r:id="rId1821" display="https://drive.google.com/open?id=1jQ72ifbu4fFU9ouDheQ_UmsZZn7pSFjl" xr:uid="{00000000-0004-0000-0200-00001C070000}"/>
    <hyperlink ref="I1823" r:id="rId1822" display="https://drive.google.com/open?id=1Egrp3iEiTVDBOVudB68CnA6pIKqXaqtb" xr:uid="{00000000-0004-0000-0200-00001D070000}"/>
    <hyperlink ref="I1824" r:id="rId1823" display="https://drive.google.com/open?id=1u1Wbm1YtC4fawq10Be-VuXnBYKUA8VYz" xr:uid="{00000000-0004-0000-0200-00001E070000}"/>
    <hyperlink ref="I1825" r:id="rId1824" display="https://drive.google.com/open?id=1uNNsyab2omjiPpfYE8dPPagIrh9c75rY" xr:uid="{00000000-0004-0000-0200-00001F070000}"/>
    <hyperlink ref="I1826" r:id="rId1825" display="https://drive.google.com/open?id=1_G9-C2me0nuxk-MOqY-Y_pE7APwrC9TU" xr:uid="{00000000-0004-0000-0200-000020070000}"/>
    <hyperlink ref="I1827" r:id="rId1826" display="https://drive.google.com/open?id=1tizQbbmlcTyj85L8_Duu3QDD4eCLz7LZ" xr:uid="{00000000-0004-0000-0200-000021070000}"/>
    <hyperlink ref="I1828" r:id="rId1827" display="https://drive.google.com/open?id=1aM_WuYNQ2TPVNGnBsrw-U9Xjeyor7FY6" xr:uid="{00000000-0004-0000-0200-000022070000}"/>
    <hyperlink ref="I1829" r:id="rId1828" display="https://drive.google.com/open?id=145gzzdjMuoSqYNKF_SBSJQUY2gRKvPzM" xr:uid="{00000000-0004-0000-0200-000023070000}"/>
    <hyperlink ref="I1830" r:id="rId1829" display="https://drive.google.com/open?id=1OP6TaqCOYSco5YUgvGZ572oPIz_COK_b" xr:uid="{00000000-0004-0000-0200-000024070000}"/>
    <hyperlink ref="I1831" r:id="rId1830" display="https://drive.google.com/open?id=1ynzOYx8sXaDvTMYuC8fM0o_tRQjYGdhb" xr:uid="{00000000-0004-0000-0200-000025070000}"/>
    <hyperlink ref="I1832" r:id="rId1831" display="https://drive.google.com/open?id=1i9J6gZUf0JbzpvRJ4cu4T2_SoX-V1s2r" xr:uid="{00000000-0004-0000-0200-000026070000}"/>
    <hyperlink ref="I1833" r:id="rId1832" display="https://drive.google.com/open?id=1i6f38zPX9hQiY2tNuMRc6P9Y5ZbsquYX" xr:uid="{00000000-0004-0000-0200-000027070000}"/>
    <hyperlink ref="I1834" r:id="rId1833" display="https://drive.google.com/open?id=1gRiJRskskVjNwEyrtJwW5wawAuCZw6bM" xr:uid="{00000000-0004-0000-0200-000028070000}"/>
    <hyperlink ref="I1835" r:id="rId1834" display="https://drive.google.com/open?id=1hrBtnfo86xO9e7wjP9lepzzOUWnr1FAq" xr:uid="{00000000-0004-0000-0200-000029070000}"/>
    <hyperlink ref="I1836" r:id="rId1835" display="https://drive.google.com/open?id=19KWsgkSXVqTv_VZd6CoLlExdCgqh0iXU" xr:uid="{00000000-0004-0000-0200-00002A070000}"/>
    <hyperlink ref="I1837" r:id="rId1836" display="https://drive.google.com/open?id=1b1RCbNp5gMu_kAUmQoX-Xgu5dAVLERgv" xr:uid="{00000000-0004-0000-0200-00002B070000}"/>
    <hyperlink ref="I1838" r:id="rId1837" display="https://drive.google.com/open?id=1OU7I2gkPY5feWNqzWxU0N_YvhtE2lth2" xr:uid="{00000000-0004-0000-0200-00002C070000}"/>
    <hyperlink ref="I1839" r:id="rId1838" display="https://drive.google.com/open?id=1fAKFaJU5ec0iNlkhQZpgcLlf6mzXxTrt" xr:uid="{00000000-0004-0000-0200-00002D070000}"/>
    <hyperlink ref="I1840" r:id="rId1839" display="https://drive.google.com/open?id=11V4wNYgoEPGA8dVSfiNzgdTlEkscCSlv" xr:uid="{00000000-0004-0000-0200-00002E070000}"/>
    <hyperlink ref="I1841" r:id="rId1840" display="https://drive.google.com/open?id=13r1EDUVILRFVhPp0uByxu8NoT7-YYPvB" xr:uid="{00000000-0004-0000-0200-00002F070000}"/>
    <hyperlink ref="I1842" r:id="rId1841" display="https://drive.google.com/open?id=1PtG5hE13aBmHP2ehLwm3h_LDPuPUumX3" xr:uid="{00000000-0004-0000-0200-000030070000}"/>
    <hyperlink ref="I1843" r:id="rId1842" display="https://drive.google.com/open?id=15PPniNp5kzaFRs2rWLfQcw_HugYXRnja" xr:uid="{00000000-0004-0000-0200-000031070000}"/>
    <hyperlink ref="I1844" r:id="rId1843" display="https://drive.google.com/open?id=15dSZQRoZ7MIwXDGQB5ZoH0IltiqtAU1w" xr:uid="{00000000-0004-0000-0200-000032070000}"/>
    <hyperlink ref="I1845" r:id="rId1844" display="https://drive.google.com/open?id=1dToRC86NdNyKCmy-iiAx2eiTBT6XzWax" xr:uid="{00000000-0004-0000-0200-000033070000}"/>
    <hyperlink ref="I1846" r:id="rId1845" display="https://drive.google.com/open?id=1ADtnabdGZbVteYUagOK293zlcwxIIyUb" xr:uid="{00000000-0004-0000-0200-000034070000}"/>
    <hyperlink ref="I1847" r:id="rId1846" display="https://drive.google.com/open?id=1Qp_BZgm9XubdfMaIFB7kOLiAZOdYI98m" xr:uid="{00000000-0004-0000-0200-000035070000}"/>
    <hyperlink ref="I1848" r:id="rId1847" display="https://drive.google.com/open?id=1RvDXpDaVdgECOEQBpO8-U0Ts3woVfUtR" xr:uid="{00000000-0004-0000-0200-000036070000}"/>
    <hyperlink ref="I1849" r:id="rId1848" display="https://drive.google.com/open?id=17wLH5h3CRybRsviWuIsD5QXcuUU0a77A" xr:uid="{00000000-0004-0000-0200-000037070000}"/>
    <hyperlink ref="I1850" r:id="rId1849" display="https://drive.google.com/open?id=1dtfNeAR0SMKMtyPsvO9_V1LNUYB-u0TG" xr:uid="{00000000-0004-0000-0200-000038070000}"/>
    <hyperlink ref="I1851" r:id="rId1850" display="https://drive.google.com/open?id=1jMFKXl3Dj854TfGDXM9s2ovdPSK36Z0Z" xr:uid="{00000000-0004-0000-0200-000039070000}"/>
    <hyperlink ref="I1852" r:id="rId1851" display="https://drive.google.com/open?id=1RAfpdMzQrOqKtcK3l9Mg9X16IkdUHoEG" xr:uid="{00000000-0004-0000-0200-00003A070000}"/>
    <hyperlink ref="I1853" r:id="rId1852" display="https://drive.google.com/open?id=11YFzfW7_7aEb0ltzUQPufKwVC8XHDMSJ" xr:uid="{00000000-0004-0000-0200-00003B070000}"/>
    <hyperlink ref="I1854" r:id="rId1853" display="https://drive.google.com/open?id=1ttBNUsCUCMCYIyVC-pmwFTgg4r9ZT8fJ" xr:uid="{00000000-0004-0000-0200-00003C070000}"/>
    <hyperlink ref="I1855" r:id="rId1854" display="https://drive.google.com/open?id=1RBgctZwvxY3WZrvZJ19sc-x6_FbcbOM5" xr:uid="{00000000-0004-0000-0200-00003D070000}"/>
    <hyperlink ref="I1856" r:id="rId1855" display="https://drive.google.com/open?id=1GuNJtR-5jf4Sb21Bgq4WiQK1p6u39I0_" xr:uid="{00000000-0004-0000-0200-00003E070000}"/>
    <hyperlink ref="I1857" r:id="rId1856" display="https://drive.google.com/open?id=1Y2K6H_ZjGAN_juBEZspGKcPl73AGX71D" xr:uid="{00000000-0004-0000-0200-00003F070000}"/>
    <hyperlink ref="I1858" r:id="rId1857" display="https://drive.google.com/open?id=13JuvuR3cR4oPlrQk0z-YhvF9wlL5t5gF" xr:uid="{00000000-0004-0000-0200-000040070000}"/>
    <hyperlink ref="I1859" r:id="rId1858" display="https://drive.google.com/open?id=1JvXVmNVIMsy29h5SnbRxJhi3YwHx6pTH" xr:uid="{00000000-0004-0000-0200-000041070000}"/>
    <hyperlink ref="I1860" r:id="rId1859" display="https://drive.google.com/open?id=1-4vjdyYyOYRfZu9dKHOWraiNZMh1imLn" xr:uid="{00000000-0004-0000-0200-000042070000}"/>
    <hyperlink ref="I1861" r:id="rId1860" display="https://drive.google.com/open?id=1msuS9VmdwC2D17JcEo6A-BjtEA9P_bMw" xr:uid="{00000000-0004-0000-0200-000043070000}"/>
    <hyperlink ref="I1862" r:id="rId1861" display="https://drive.google.com/open?id=10syV7bm0_i5tpbUo2a1gZOlpKqbV40to" xr:uid="{00000000-0004-0000-0200-000044070000}"/>
    <hyperlink ref="I1863" r:id="rId1862" display="https://drive.google.com/open?id=1bxVbnioXvpyYvJVjlnFf9u3lOSacgMUf" xr:uid="{00000000-0004-0000-0200-000045070000}"/>
    <hyperlink ref="I1864" r:id="rId1863" display="https://drive.google.com/open?id=1d9AZaVkLmQFJqC7YsnzDyHeJy45CrJKZ" xr:uid="{00000000-0004-0000-0200-000046070000}"/>
    <hyperlink ref="I1865" r:id="rId1864" display="https://drive.google.com/open?id=1Z42kxSCXQ7BCD80unntPG4IYmT65-ubF" xr:uid="{00000000-0004-0000-0200-000047070000}"/>
    <hyperlink ref="I1866" r:id="rId1865" display="https://drive.google.com/open?id=16ZMc8AD8_N_59qYK_ByMVQpjy5kdtTQJ" xr:uid="{00000000-0004-0000-0200-000048070000}"/>
    <hyperlink ref="I1867" r:id="rId1866" display="https://drive.google.com/open?id=1kwtG2hJWjT7f95iE9SgAOcPsncWE_xhw" xr:uid="{00000000-0004-0000-0200-000049070000}"/>
    <hyperlink ref="I1868" r:id="rId1867" display="https://drive.google.com/open?id=1Kb1K2HMZ1AaovpysreR4jpnLeWVa2d5Q" xr:uid="{00000000-0004-0000-0200-00004A070000}"/>
    <hyperlink ref="I1869" r:id="rId1868" display="https://drive.google.com/open?id=1U7aLHa3eXIBBq-6K6bR7uVqTwE4o0Lkr" xr:uid="{00000000-0004-0000-0200-00004B070000}"/>
    <hyperlink ref="I1870" r:id="rId1869" display="https://drive.google.com/open?id=1-HyjBTmNyhZxrHbtUcDqirYDvDWTFVOa" xr:uid="{00000000-0004-0000-0200-00004C070000}"/>
    <hyperlink ref="I1871" r:id="rId1870" display="https://drive.google.com/open?id=1vEYCt-CaSKSr0h72bk737D3qD2XXfWDd" xr:uid="{00000000-0004-0000-0200-00004D070000}"/>
    <hyperlink ref="I1872" r:id="rId1871" display="https://drive.google.com/open?id=1CH5463vMwAf4Tpp68BQFc6tAJqzRzp-2" xr:uid="{00000000-0004-0000-0200-00004E070000}"/>
    <hyperlink ref="I1873" r:id="rId1872" display="https://drive.google.com/open?id=1WuWEZzcfKWK3AtaxNj6jFMRqjl0YgCVA" xr:uid="{00000000-0004-0000-0200-00004F070000}"/>
    <hyperlink ref="I1874" r:id="rId1873" display="https://drive.google.com/open?id=1BAh2uEJulItfVAWnCP14yzFWJT5YrSZb" xr:uid="{00000000-0004-0000-0200-000050070000}"/>
    <hyperlink ref="I1875" r:id="rId1874" display="https://drive.google.com/open?id=1oKUJsG7Fb4LMycyCByzMIUtaApGpndOi" xr:uid="{00000000-0004-0000-0200-000051070000}"/>
    <hyperlink ref="I1876" r:id="rId1875" display="https://drive.google.com/open?id=1tfl1FFhzw_ztvaVOGxeEPWlF3n5YRLgU" xr:uid="{00000000-0004-0000-0200-000052070000}"/>
    <hyperlink ref="I1877" r:id="rId1876" display="https://drive.google.com/open?id=1eJf00wNIv3tCAoeaZv0A53X036jtPlTI" xr:uid="{00000000-0004-0000-0200-000053070000}"/>
    <hyperlink ref="I1878" r:id="rId1877" display="https://drive.google.com/open?id=11dWoq7IZIXELnJw40yJ1euu4AleV9Fdi" xr:uid="{00000000-0004-0000-0200-000054070000}"/>
    <hyperlink ref="I1879" r:id="rId1878" display="https://drive.google.com/open?id=1p8ra2TihNbHOToAieQVseQzTwyhR9SfM" xr:uid="{00000000-0004-0000-0200-000055070000}"/>
    <hyperlink ref="I1880" r:id="rId1879" display="https://drive.google.com/open?id=1yZtdFTrcf1YrQnIAQw2GKrVJ6gjDN3XB" xr:uid="{00000000-0004-0000-0200-000056070000}"/>
    <hyperlink ref="I1881" r:id="rId1880" display="https://drive.google.com/open?id=1ZQWoDo8cBQqnNxEpxTrcaerfr1zME95y" xr:uid="{00000000-0004-0000-0200-000057070000}"/>
    <hyperlink ref="I1882" r:id="rId1881" display="https://drive.google.com/open?id=1kqHZ2afWKyi54byXac4NtA8SHSAUWRQh" xr:uid="{00000000-0004-0000-0200-000058070000}"/>
    <hyperlink ref="I1883" r:id="rId1882" display="https://drive.google.com/open?id=1bROEyTnI2gG4Xii045dWrKxnq5q3XIPk" xr:uid="{00000000-0004-0000-0200-000059070000}"/>
    <hyperlink ref="I1884" r:id="rId1883" display="https://drive.google.com/open?id=1CalTY4U5HPdJolefA05SIR5ZZnqtrlTf" xr:uid="{00000000-0004-0000-0200-00005A070000}"/>
    <hyperlink ref="I1885" r:id="rId1884" display="https://drive.google.com/open?id=116wLemU3fmx7RMPZyaE4ZIWHi0DCYL0q" xr:uid="{00000000-0004-0000-0200-00005B070000}"/>
    <hyperlink ref="I1886" r:id="rId1885" display="https://drive.google.com/open?id=1Fu18gc8Auib6uEB0pzd-VXoQPRSSN-k_" xr:uid="{00000000-0004-0000-0200-00005C070000}"/>
    <hyperlink ref="I1887" r:id="rId1886" display="https://drive.google.com/open?id=1rOWNEf39NV78zC3sduvjGLg1Wx17H3Nb" xr:uid="{00000000-0004-0000-0200-00005D070000}"/>
    <hyperlink ref="I1888" r:id="rId1887" display="https://drive.google.com/open?id=10BjzHIm0f1s93Ql46OnAy1DdmCjo2Mfm" xr:uid="{00000000-0004-0000-0200-00005E070000}"/>
    <hyperlink ref="I1889" r:id="rId1888" display="https://drive.google.com/open?id=1usFnonf90aaGe6Zl5DWN7rZAz7qVY_00" xr:uid="{00000000-0004-0000-0200-00005F070000}"/>
    <hyperlink ref="I1890" r:id="rId1889" display="https://drive.google.com/open?id=1Ov47zt95Lb4f5iY050hGwI5O2eOWuOOk" xr:uid="{00000000-0004-0000-0200-000060070000}"/>
    <hyperlink ref="I1891" r:id="rId1890" display="https://drive.google.com/open?id=1Eng21kAyJGcH7YLkWFxPi6p0w2KlKFD7" xr:uid="{00000000-0004-0000-0200-000061070000}"/>
    <hyperlink ref="I1892" r:id="rId1891" display="https://drive.google.com/open?id=1RKgIx2lUsfAWMKZ01__g6JDGwEkDHUQW" xr:uid="{00000000-0004-0000-0200-000062070000}"/>
    <hyperlink ref="I1893" r:id="rId1892" display="https://drive.google.com/open?id=1IvzKg3FnLhSGTl1UXMp9VyegNFrBDLnB" xr:uid="{00000000-0004-0000-0200-000063070000}"/>
    <hyperlink ref="I1894" r:id="rId1893" display="https://drive.google.com/open?id=1GeUL70mWX8rdUemttH2YAMIQ65czDQgK" xr:uid="{00000000-0004-0000-0200-000064070000}"/>
    <hyperlink ref="I1895" r:id="rId1894" display="https://drive.google.com/open?id=182J_3fE7TcCDufI7Bbh82AAGXZQcHzfK" xr:uid="{00000000-0004-0000-0200-000065070000}"/>
    <hyperlink ref="I1896" r:id="rId1895" display="https://drive.google.com/open?id=1mu4e9ma2C2PDsI4zLkAbEaQ-UqNTxPR0" xr:uid="{00000000-0004-0000-0200-000066070000}"/>
    <hyperlink ref="I1897" r:id="rId1896" display="https://drive.google.com/open?id=1tCms7785H0IXlJqXWkjnNxvyPNT_NcGj" xr:uid="{00000000-0004-0000-0200-000067070000}"/>
    <hyperlink ref="I1898" r:id="rId1897" display="https://drive.google.com/open?id=1GN2l5LkMNTrI6IGcEqZ8vDOSf-J-vqsf" xr:uid="{00000000-0004-0000-0200-000068070000}"/>
    <hyperlink ref="I1899" r:id="rId1898" display="https://drive.google.com/open?id=1cIn9kq7Cu6aC0BHl1Bmd0LlYat1dHfkS" xr:uid="{00000000-0004-0000-0200-000069070000}"/>
    <hyperlink ref="I1900" r:id="rId1899" display="https://drive.google.com/open?id=1F9QajAXzfWf-RzH6y49ZCzGOuiBFbGNX" xr:uid="{00000000-0004-0000-0200-00006A070000}"/>
    <hyperlink ref="I1901" r:id="rId1900" display="https://drive.google.com/open?id=1fvkoginXqj26J71lFsVkqV1Z-psJnmDV" xr:uid="{00000000-0004-0000-0200-00006B070000}"/>
    <hyperlink ref="I1902" r:id="rId1901" display="https://drive.google.com/open?id=1600b3lONvG_fqHnu6H_lvDOCVR8HCgOz" xr:uid="{00000000-0004-0000-0200-00006C070000}"/>
    <hyperlink ref="I1903" r:id="rId1902" display="https://drive.google.com/open?id=1Wju0tgKPQzCBpbO771eyjZUb4Eucf1IH" xr:uid="{00000000-0004-0000-0200-00006D070000}"/>
    <hyperlink ref="I1904" r:id="rId1903" display="https://drive.google.com/open?id=1sH-fPwB-0OqiuML-22rs3uwswRgFdmRN" xr:uid="{00000000-0004-0000-0200-00006E070000}"/>
    <hyperlink ref="I1905" r:id="rId1904" display="https://drive.google.com/open?id=1zE6ebYG6jLOFa48bHyVEf1ksTSRh0Di_" xr:uid="{00000000-0004-0000-0200-00006F070000}"/>
    <hyperlink ref="I1906" r:id="rId1905" display="https://drive.google.com/open?id=1HEJFGjI77zoe9rhHlTShTdmwW7m3ORtA" xr:uid="{00000000-0004-0000-0200-000070070000}"/>
    <hyperlink ref="I1907" r:id="rId1906" display="https://drive.google.com/open?id=17gNqTDgHhyC24enMtcTkFtjLCqSvI9AV" xr:uid="{00000000-0004-0000-0200-000071070000}"/>
    <hyperlink ref="I1908" r:id="rId1907" display="https://drive.google.com/open?id=1EaBzCSvfIHmqby9oafc4--MmGBq-xCvw" xr:uid="{00000000-0004-0000-0200-000072070000}"/>
    <hyperlink ref="I1909" r:id="rId1908" display="https://drive.google.com/open?id=11dtnuhGR8af7rcnBfI_U-M3hkRTXhomB" xr:uid="{00000000-0004-0000-0200-000073070000}"/>
    <hyperlink ref="I1910" r:id="rId1909" display="https://drive.google.com/open?id=1Wi7vqk2J0LSqZY4WNYXDTE599aayKAhK" xr:uid="{00000000-0004-0000-0200-000074070000}"/>
    <hyperlink ref="I1911" r:id="rId1910" display="https://drive.google.com/open?id=1-RNRWOMisT3Mn7Utdj7T4gwEcK_bcZ53" xr:uid="{00000000-0004-0000-0200-000075070000}"/>
    <hyperlink ref="I1912" r:id="rId1911" display="https://drive.google.com/open?id=15Jpfa5O5wryvJozbjSI-7KAMRCNyAwDi" xr:uid="{00000000-0004-0000-0200-000076070000}"/>
    <hyperlink ref="I1913" r:id="rId1912" display="https://drive.google.com/open?id=1HnvZVdP3PEMUG091tYNkG2FkKHaSHiw4" xr:uid="{00000000-0004-0000-0200-000077070000}"/>
    <hyperlink ref="I1914" r:id="rId1913" display="https://drive.google.com/open?id=1I8IC2srPIdpdFyhZZ3bECnkwd_BKJb_6" xr:uid="{00000000-0004-0000-0200-000078070000}"/>
    <hyperlink ref="I1915" r:id="rId1914" display="https://drive.google.com/open?id=1xBV98qjU0qS_eEE1KDWcFX1USbiiHzZE" xr:uid="{00000000-0004-0000-0200-000079070000}"/>
    <hyperlink ref="I1916" r:id="rId1915" display="https://drive.google.com/open?id=1R2wxsCTOzN0TZrM3CiVNB7kfsKTo6J5i" xr:uid="{00000000-0004-0000-0200-00007A070000}"/>
    <hyperlink ref="I1917" r:id="rId1916" display="https://drive.google.com/open?id=1IZ8bNJxHQ4DoOd7n60QWcCXFamdtASjZ" xr:uid="{00000000-0004-0000-0200-00007B070000}"/>
    <hyperlink ref="I1918" r:id="rId1917" display="https://drive.google.com/open?id=1EKzzA39lQJ8twlNCalb5N3CDfpmdUnLW" xr:uid="{00000000-0004-0000-0200-00007C070000}"/>
    <hyperlink ref="I1919" r:id="rId1918" display="https://drive.google.com/open?id=11qM7uIAWDseTSSr43Mjckp2JZRYWkzH9" xr:uid="{00000000-0004-0000-0200-00007D070000}"/>
    <hyperlink ref="I1920" r:id="rId1919" display="https://drive.google.com/open?id=1JiuS5uSuPUauwcdmr-tuQfOmlOpufLJ6" xr:uid="{00000000-0004-0000-0200-00007E070000}"/>
    <hyperlink ref="I1921" r:id="rId1920" display="https://drive.google.com/open?id=1vHvzRfT-ahafyDrlcLoej_wr141R6Sw1" xr:uid="{00000000-0004-0000-0200-00007F070000}"/>
    <hyperlink ref="I1922" r:id="rId1921" display="https://drive.google.com/open?id=1xvECAODZMvmqD-hIQlqccEDu5OPXg4Rx" xr:uid="{00000000-0004-0000-0200-000080070000}"/>
    <hyperlink ref="I1923" r:id="rId1922" display="https://drive.google.com/open?id=1tMJgLr_l53IfcNlax-L6UncWcJvaNGoP" xr:uid="{00000000-0004-0000-0200-000081070000}"/>
    <hyperlink ref="I1924" r:id="rId1923" display="https://drive.google.com/open?id=1V4pBJpnJCRs5qNGK7WMjB2G1P0DCGDJg" xr:uid="{00000000-0004-0000-0200-000082070000}"/>
    <hyperlink ref="I1925" r:id="rId1924" display="https://drive.google.com/open?id=1CSU8QaZDosaFhUc3Euz2cEfceQys7F-o" xr:uid="{00000000-0004-0000-0200-000083070000}"/>
    <hyperlink ref="I1926" r:id="rId1925" display="https://drive.google.com/open?id=1gCuL4tTAqxcW0Y1hoU6vePuVKn3dYjOP" xr:uid="{00000000-0004-0000-0200-000084070000}"/>
    <hyperlink ref="I1927" r:id="rId1926" display="https://drive.google.com/open?id=16fYuLNnGHqfJSdUcQI4UxsWjQKf_okfn" xr:uid="{00000000-0004-0000-0200-000085070000}"/>
    <hyperlink ref="I1928" r:id="rId1927" display="https://drive.google.com/open?id=1gsa-dkD9RJcFRiPc2rvzV2XNIGNY1y5H" xr:uid="{00000000-0004-0000-0200-000086070000}"/>
    <hyperlink ref="I1929" r:id="rId1928" display="https://drive.google.com/open?id=1ev1-MN_DLK_BL5943D1rgxlyxOb5iute" xr:uid="{00000000-0004-0000-0200-000087070000}"/>
    <hyperlink ref="I1930" r:id="rId1929" display="https://drive.google.com/open?id=1jOvCky-BVgCCwetdI_xbczBCnspitmdN" xr:uid="{00000000-0004-0000-0200-000088070000}"/>
    <hyperlink ref="I1931" r:id="rId1930" display="https://drive.google.com/open?id=1lSjBRrLEICGzJl7vYvF7xluQtysXd8O8" xr:uid="{00000000-0004-0000-0200-000089070000}"/>
    <hyperlink ref="I1932" r:id="rId1931" display="https://drive.google.com/open?id=1ab49zYMv_bbawXrEnGl_OrEjRBttH10i" xr:uid="{00000000-0004-0000-0200-00008A070000}"/>
    <hyperlink ref="I1933" r:id="rId1932" display="https://drive.google.com/open?id=1ST-8KqCj5K9j4jBIORRi4uoUZoJp_GXw" xr:uid="{00000000-0004-0000-0200-00008B070000}"/>
    <hyperlink ref="I1934" r:id="rId1933" display="https://drive.google.com/open?id=14I4-fj78lW0W6PGleXTiIG9Dfwa5Qz3u" xr:uid="{00000000-0004-0000-0200-00008C070000}"/>
    <hyperlink ref="I1935" r:id="rId1934" display="https://drive.google.com/open?id=1EtSIAV1wSOEzZeKO9EkyTDsebnUCO3fO" xr:uid="{00000000-0004-0000-0200-00008D070000}"/>
    <hyperlink ref="I1936" r:id="rId1935" display="https://drive.google.com/open?id=1lmD-qtvxx-9xiguNASDRu_BNb74UMoyc" xr:uid="{00000000-0004-0000-0200-00008E070000}"/>
    <hyperlink ref="I1937" r:id="rId1936" display="https://drive.google.com/open?id=1w2h_xVUkAxcp9AyDSE0hFMobnlWSoDrF" xr:uid="{00000000-0004-0000-0200-00008F070000}"/>
    <hyperlink ref="I1938" r:id="rId1937" display="https://drive.google.com/open?id=1lIZUBTRxqW_Rtz6qCdEj4iow77TShgZ4" xr:uid="{00000000-0004-0000-0200-000090070000}"/>
    <hyperlink ref="I1939" r:id="rId1938" display="https://drive.google.com/open?id=10mSWrj-NGpo8k4Ex3dL4ZW2AWIuzZ3Ue" xr:uid="{00000000-0004-0000-0200-000091070000}"/>
    <hyperlink ref="I1940" r:id="rId1939" display="https://drive.google.com/open?id=1vStTfXIc3sEp00LZ-a1MvnsAefqfEDY5" xr:uid="{00000000-0004-0000-0200-000092070000}"/>
    <hyperlink ref="I1941" r:id="rId1940" display="https://drive.google.com/open?id=1ULbiQZy-x_QDUCDlS1VPrsXAJFx3rR3o" xr:uid="{00000000-0004-0000-0200-000093070000}"/>
    <hyperlink ref="I1942" r:id="rId1941" display="https://drive.google.com/open?id=1fib7FYeefE55LohJSoDSucoflIcEhmQp" xr:uid="{00000000-0004-0000-0200-000094070000}"/>
    <hyperlink ref="I1943" r:id="rId1942" display="https://drive.google.com/open?id=1chXruJkJPZUmJyW6cvCZ6KMtrAGBpA5Z" xr:uid="{00000000-0004-0000-0200-000095070000}"/>
    <hyperlink ref="I1944" r:id="rId1943" display="https://drive.google.com/open?id=1c88MRly9Rp6i3LMcQmQRJnMAnxMlbwHH" xr:uid="{00000000-0004-0000-0200-000096070000}"/>
    <hyperlink ref="I1945" r:id="rId1944" display="https://drive.google.com/open?id=1b7XRukgOvqNaF7MRez5a8ywBSexzXrVx" xr:uid="{00000000-0004-0000-0200-000097070000}"/>
    <hyperlink ref="I1946" r:id="rId1945" display="https://drive.google.com/open?id=1HAuwpJDQs842iNz_TFPJMhxZTHIz_TBk" xr:uid="{00000000-0004-0000-0200-000098070000}"/>
    <hyperlink ref="I1947" r:id="rId1946" display="https://drive.google.com/open?id=1ucKwgrPUTWwkuULd0lXuxG1Er19qkeYC" xr:uid="{00000000-0004-0000-0200-000099070000}"/>
    <hyperlink ref="I1948" r:id="rId1947" display="https://drive.google.com/open?id=12X1SS4FSQm5FRoE4lMFgNpep0qUHbBbZ" xr:uid="{00000000-0004-0000-0200-00009A070000}"/>
    <hyperlink ref="I1949" r:id="rId1948" display="https://drive.google.com/open?id=1M-dV9EqJo3COzF6qggxNHL6jiRhU8Djb" xr:uid="{00000000-0004-0000-0200-00009B070000}"/>
    <hyperlink ref="I1950" r:id="rId1949" display="https://drive.google.com/open?id=1DIgiJ2Nic3kMdE3Du5dVLQCpkjt38GPO" xr:uid="{00000000-0004-0000-0200-00009C070000}"/>
    <hyperlink ref="I1951" r:id="rId1950" display="https://drive.google.com/open?id=1NL1oBgnK-SR_YNMCbNzZzQt0T34pH5Sp" xr:uid="{00000000-0004-0000-0200-00009D070000}"/>
    <hyperlink ref="I1952" r:id="rId1951" display="https://drive.google.com/open?id=11WpVmQDLwgHMrTebA8GG-1U0axjLNT0k" xr:uid="{00000000-0004-0000-0200-00009E070000}"/>
    <hyperlink ref="I1953" r:id="rId1952" display="https://drive.google.com/open?id=1FdRRffaxH9iMEnYVasqwiP_fw-vGy-Bq" xr:uid="{00000000-0004-0000-0200-00009F070000}"/>
    <hyperlink ref="I1954" r:id="rId1953" display="https://drive.google.com/open?id=1dJwjSNKKZba-szu5LQneCJ2IsFxH_75b" xr:uid="{00000000-0004-0000-0200-0000A0070000}"/>
    <hyperlink ref="I1955" r:id="rId1954" display="https://drive.google.com/open?id=1GlB0x8E1MV8T7Ekc9jY4meydNl8SUZya" xr:uid="{00000000-0004-0000-0200-0000A1070000}"/>
    <hyperlink ref="I1956" r:id="rId1955" display="https://drive.google.com/open?id=1AIK4mMRv7a85GmwS0A5H1aMNVOEbTTMM" xr:uid="{00000000-0004-0000-0200-0000A2070000}"/>
    <hyperlink ref="I1957" r:id="rId1956" display="https://drive.google.com/open?id=1xF6G4zGzZqwRXQqWMgaxn8U6g_9PtjfT" xr:uid="{00000000-0004-0000-0200-0000A3070000}"/>
    <hyperlink ref="I1958" r:id="rId1957" display="https://drive.google.com/open?id=1gZBBhtZDQZHPaIlUKwib652zV7U9x9zh" xr:uid="{00000000-0004-0000-0200-0000A4070000}"/>
    <hyperlink ref="I1959" r:id="rId1958" display="https://drive.google.com/open?id=1GA5Wa-Z9eQED0aSKCnvl_eDAiG5kML7f" xr:uid="{00000000-0004-0000-0200-0000A5070000}"/>
    <hyperlink ref="I1960" r:id="rId1959" display="https://drive.google.com/open?id=1MPRhszi6akEw0BCHyNrf7s0KkRqgCvvG" xr:uid="{00000000-0004-0000-0200-0000A6070000}"/>
    <hyperlink ref="I1961" r:id="rId1960" display="https://drive.google.com/open?id=1p47mSdcNGxvhVunOAz117I9xhGdQ6oIH" xr:uid="{00000000-0004-0000-0200-0000A7070000}"/>
    <hyperlink ref="I1962" r:id="rId1961" display="https://drive.google.com/open?id=1sCNSiQgbrxcePLST2hNpzwfG1jpcdLZu" xr:uid="{00000000-0004-0000-0200-0000A8070000}"/>
    <hyperlink ref="I1963" r:id="rId1962" display="https://drive.google.com/open?id=1qlBQsqA5p51Cijn51DJ2L1CIzJf0tyuM" xr:uid="{00000000-0004-0000-0200-0000A9070000}"/>
    <hyperlink ref="I1964" r:id="rId1963" display="https://drive.google.com/open?id=1lY9EryccAAW28hGD5ieGkCfrV0ufsZbX" xr:uid="{00000000-0004-0000-0200-0000AA070000}"/>
    <hyperlink ref="I1965" r:id="rId1964" display="https://drive.google.com/open?id=1j36U4cccI_0cIjjV1xcyqn-CnFEUdrLE" xr:uid="{00000000-0004-0000-0200-0000AB070000}"/>
    <hyperlink ref="I1966" r:id="rId1965" display="https://drive.google.com/open?id=1vvh9CiZZE7FxBeZabp_mEg_5rVXH3Q-e" xr:uid="{00000000-0004-0000-0200-0000AC070000}"/>
    <hyperlink ref="I1967" r:id="rId1966" display="https://drive.google.com/open?id=1EK0av8bOb1qw22LovrFEdmqF-JIin-Rf" xr:uid="{00000000-0004-0000-0200-0000AD070000}"/>
    <hyperlink ref="I1968" r:id="rId1967" display="https://drive.google.com/open?id=1864csch6YSn1_48Dd-Dby7jSLqilo9ac" xr:uid="{00000000-0004-0000-0200-0000AE070000}"/>
    <hyperlink ref="I1969" r:id="rId1968" display="https://drive.google.com/open?id=19XtQNrVI5c7UNEsotIocD2Yd7NyQdFb4" xr:uid="{00000000-0004-0000-0200-0000AF070000}"/>
    <hyperlink ref="I1970" r:id="rId1969" display="https://drive.google.com/open?id=15ktUIt8NNORh_j3VhdUzA1TgDRhZZuYe" xr:uid="{00000000-0004-0000-0200-0000B0070000}"/>
    <hyperlink ref="I1974" r:id="rId1970" display="https://drive.google.com/open?id=1EzY4pyqYPvgBQQdVP-SnuULoK7AqEnnb" xr:uid="{00000000-0004-0000-0200-0000B1070000}"/>
    <hyperlink ref="I1977" r:id="rId1971" display="https://drive.google.com/open?id=195n2R53qCbwTqR2v86sl57EbCQXGfiDt" xr:uid="{00000000-0004-0000-0200-0000B2070000}"/>
    <hyperlink ref="I1978" r:id="rId1972" display="https://drive.google.com/open?id=1iRkDpKtLkbeQSoIj-i5Cvu8tDtHGhHBz" xr:uid="{00000000-0004-0000-0200-0000B3070000}"/>
    <hyperlink ref="I1981" r:id="rId1973" display="https://drive.google.com/open?id=1DhWkaAiRYJHCHC4t0OK-0XVW0zVWPBot" xr:uid="{00000000-0004-0000-0200-0000B4070000}"/>
    <hyperlink ref="I1983" r:id="rId1974" display="https://drive.google.com/open?id=1_UpCFx7n9TkqoA2Mew2Yugc-fq1kAKsi" xr:uid="{00000000-0004-0000-0200-0000B5070000}"/>
    <hyperlink ref="I1984" r:id="rId1975" display="https://drive.google.com/open?id=1UuP96ETFrVe5Cwxp337HCd55j13N9TBZ" xr:uid="{00000000-0004-0000-0200-0000B6070000}"/>
    <hyperlink ref="I1985" r:id="rId1976" display="https://drive.google.com/open?id=1lOlAeFHbqMjpUR_FReMzY19OMoc2MX25" xr:uid="{00000000-0004-0000-0200-0000B7070000}"/>
    <hyperlink ref="I1986" r:id="rId1977" display="https://drive.google.com/open?id=1Fi7VmP4Qat2NcLr0pOL0csdkkDo2bjvy" xr:uid="{00000000-0004-0000-0200-0000B8070000}"/>
    <hyperlink ref="I1987" r:id="rId1978" display="https://drive.google.com/open?id=1JTGGBY9C0SwWdmUZ626pIt6-YrFMbtsv" xr:uid="{00000000-0004-0000-0200-0000B9070000}"/>
    <hyperlink ref="I1988" r:id="rId1979" display="https://drive.google.com/open?id=1ikD-kNYxQSA5mgaVItCUIvXVbPXtkQq_" xr:uid="{00000000-0004-0000-0200-0000BA070000}"/>
    <hyperlink ref="I1992" r:id="rId1980" display="https://drive.google.com/open?id=1sSqagI_w-2D1uSO_qyH3jcuWuFf10kx_" xr:uid="{00000000-0004-0000-0200-0000BB070000}"/>
    <hyperlink ref="I1993" r:id="rId1981" display="https://drive.google.com/open?id=1NM7pGZ8cseiS_vGqnJAcyDbjuTN5F0pA" xr:uid="{00000000-0004-0000-0200-0000BC070000}"/>
    <hyperlink ref="I1994" r:id="rId1982" display="https://drive.google.com/open?id=1TMIyHZo2eQfq06dJPTV9oGx9x8pE2dVI" xr:uid="{00000000-0004-0000-0200-0000BD070000}"/>
    <hyperlink ref="I1998" r:id="rId1983" display="https://drive.google.com/open?id=1Y7A4G3iOOFWoPOM8fFz3E-iuvSuVA9eF" xr:uid="{00000000-0004-0000-0200-0000BE070000}"/>
    <hyperlink ref="I1999" r:id="rId1984" display="https://drive.google.com/open?id=1Ee1a-I_RqQ2f4pmDiEc_wXeJ9s0tUkAJ" xr:uid="{00000000-0004-0000-0200-0000BF070000}"/>
    <hyperlink ref="I2000" r:id="rId1985" display="https://drive.google.com/open?id=1lytq8dHag2jtjDnnP4WcH2ps-qW8i1dx" xr:uid="{00000000-0004-0000-0200-0000C0070000}"/>
    <hyperlink ref="I2001" r:id="rId1986" display="https://drive.google.com/open?id=10m5NAhcTD44sQYlRjlfF-XVfaRDUo_hj" xr:uid="{00000000-0004-0000-0200-0000C1070000}"/>
    <hyperlink ref="I2002" r:id="rId1987" display="https://drive.google.com/open?id=1KIuozO0gQZ6nguSZmpjhez5m26r4XQDX" xr:uid="{00000000-0004-0000-0200-0000C2070000}"/>
    <hyperlink ref="I2003" r:id="rId1988" display="https://drive.google.com/open?id=1V0auh876WgKHMBryFlMOCEaQyxf2l21n" xr:uid="{00000000-0004-0000-0200-0000C3070000}"/>
    <hyperlink ref="I2004" r:id="rId1989" display="https://drive.google.com/open?id=1cK_llKIuJtKdeALelw5AvpE3mf-z6QAx" xr:uid="{00000000-0004-0000-0200-0000C4070000}"/>
    <hyperlink ref="I2005" r:id="rId1990" display="https://drive.google.com/open?id=1yw78BcPrHLYPaxAmhYob6F4Gci5pLb9-" xr:uid="{00000000-0004-0000-0200-0000C5070000}"/>
    <hyperlink ref="I2006" r:id="rId1991" display="https://drive.google.com/open?id=186EfHlafPz6a3l3hpD9gOBeCuMiyrliY" xr:uid="{00000000-0004-0000-0200-0000C6070000}"/>
    <hyperlink ref="I2007" r:id="rId1992" display="https://drive.google.com/open?id=1CS3qDs1vt-UCyTdN7w8ANdF0AAMtFw2T" xr:uid="{00000000-0004-0000-0200-0000C7070000}"/>
    <hyperlink ref="I2008" r:id="rId1993" display="https://drive.google.com/open?id=1g-6OFdN36AVN2bToeq0Ukov3-sSNmg2W" xr:uid="{00000000-0004-0000-0200-0000C8070000}"/>
    <hyperlink ref="I2010" r:id="rId1994" display="https://drive.google.com/open?id=1c5y6kFN2c8JQj6nMmTjCQG57i5DzrKQc" xr:uid="{00000000-0004-0000-0200-0000C9070000}"/>
    <hyperlink ref="I2012" r:id="rId1995" display="https://drive.google.com/open?id=1uEy7aSQ095YqbzV_qgIBpTDm1H8GJoZi" xr:uid="{00000000-0004-0000-0200-0000CA070000}"/>
    <hyperlink ref="I2013" r:id="rId1996" display="https://drive.google.com/open?id=1lwIh_PqrU18PIOxNlarjRB_ltcPqZOfo" xr:uid="{00000000-0004-0000-0200-0000CB070000}"/>
    <hyperlink ref="I2014" r:id="rId1997" display="https://drive.google.com/open?id=1T-HJ_lGt37BUlHswDCOYlPbj84Q5AiTC" xr:uid="{00000000-0004-0000-0200-0000CC070000}"/>
    <hyperlink ref="I2015" r:id="rId1998" display="https://drive.google.com/open?id=1KtEuqlEBy5mkeuqGTVFZHefpYbAzOJtJ" xr:uid="{00000000-0004-0000-0200-0000CD070000}"/>
    <hyperlink ref="I2016" r:id="rId1999" display="https://drive.google.com/open?id=1dDaWE-PWDHw9zlDxUQsebYrk-QCK9xbg" xr:uid="{00000000-0004-0000-0200-0000CE070000}"/>
    <hyperlink ref="I2017" r:id="rId2000" display="https://drive.google.com/open?id=1S8SBYwExvRivT8YWbX4cQruUljh0zdGD" xr:uid="{00000000-0004-0000-0200-0000CF070000}"/>
    <hyperlink ref="I2018" r:id="rId2001" display="https://drive.google.com/open?id=1CrRbGI4gVnuTu0FGKWFrKbINCTfg2lq6" xr:uid="{00000000-0004-0000-0200-0000D0070000}"/>
    <hyperlink ref="I2019" r:id="rId2002" display="https://drive.google.com/open?id=1n7VW9a0iwKA1oqNsrj7Rlcnv9JFomSjp" xr:uid="{00000000-0004-0000-0200-0000D1070000}"/>
    <hyperlink ref="I2020" r:id="rId2003" display="https://drive.google.com/open?id=1UjLjpKOXO_mh4GvFPK4xDQVrc0Z-pRJO" xr:uid="{00000000-0004-0000-0200-0000D2070000}"/>
    <hyperlink ref="I2021" r:id="rId2004" display="https://drive.google.com/open?id=1Rvg-3swKNfKIo5ydvGeZuWhQ1RYODnWa" xr:uid="{00000000-0004-0000-0200-0000D3070000}"/>
    <hyperlink ref="I2022" r:id="rId2005" display="https://drive.google.com/open?id=1fVKmJONTdbB9vF6Tkg2Vr-IPyFikfoZa" xr:uid="{00000000-0004-0000-0200-0000D4070000}"/>
    <hyperlink ref="I2023" r:id="rId2006" display="https://drive.google.com/open?id=1tXeeKAZI5MwqgJf3RXhcMRHydeNF4-i1" xr:uid="{00000000-0004-0000-0200-0000D5070000}"/>
    <hyperlink ref="I2024" r:id="rId2007" display="https://drive.google.com/open?id=1LczyntVKKXGuOCu8H0XZKT3IfDrTjXhH" xr:uid="{00000000-0004-0000-0200-0000D6070000}"/>
    <hyperlink ref="I2025" r:id="rId2008" display="https://drive.google.com/open?id=1HNPJtcyVbLSsyePKV69DhLHzD8KYB7av" xr:uid="{00000000-0004-0000-0200-0000D7070000}"/>
    <hyperlink ref="I2026" r:id="rId2009" display="https://drive.google.com/open?id=1UnmsjNAuptzDHVuiy62zDnXUCOrQNLe5" xr:uid="{00000000-0004-0000-0200-0000D8070000}"/>
    <hyperlink ref="I2027" r:id="rId2010" display="https://drive.google.com/open?id=1iDhaTpT2yX4ObGEjgqN_puYG38hwTByS" xr:uid="{00000000-0004-0000-0200-0000D9070000}"/>
    <hyperlink ref="I2028" r:id="rId2011" display="https://drive.google.com/open?id=1YFxeR7HKLhuc_-uiCRmtcBTy6O9IR1qs" xr:uid="{00000000-0004-0000-0200-0000DA070000}"/>
    <hyperlink ref="I2029" r:id="rId2012" display="https://drive.google.com/open?id=1atJVbWiywYNZEM_VA3-aI5LpXQ_z_QLl" xr:uid="{00000000-0004-0000-0200-0000DB070000}"/>
    <hyperlink ref="I2030" r:id="rId2013" display="https://drive.google.com/open?id=14LLcHi17cT1-UzW-reWpXrwqsAbANgkn" xr:uid="{00000000-0004-0000-0200-0000DC070000}"/>
    <hyperlink ref="I2031" r:id="rId2014" display="https://drive.google.com/open?id=1D_4kks_mMwROYu9gxhHSeL5U_rXoH8CX" xr:uid="{00000000-0004-0000-0200-0000DD070000}"/>
    <hyperlink ref="I2032" r:id="rId2015" display="https://drive.google.com/open?id=18EFi9xk2E48f3EHRzmTqGuNoyB2ZpQSj" xr:uid="{00000000-0004-0000-0200-0000DE070000}"/>
    <hyperlink ref="I2035" r:id="rId2016" display="https://drive.google.com/open?id=1KLqjLq5v9CGAs2KmXqqsNLgWMCiYORA2" xr:uid="{00000000-0004-0000-0200-0000DF070000}"/>
    <hyperlink ref="I2036" r:id="rId2017" display="https://drive.google.com/open?id=1_KkjWn_SREdPix-PN1E-aV_5kSLYfOGm" xr:uid="{00000000-0004-0000-0200-0000E0070000}"/>
    <hyperlink ref="I2037" r:id="rId2018" display="https://drive.google.com/open?id=1ceb_PuWYFQL-R-BcKo_GCc6yy65di_Vg" xr:uid="{00000000-0004-0000-0200-0000E1070000}"/>
    <hyperlink ref="I2038" r:id="rId2019" display="https://drive.google.com/open?id=1qzhLOR9UbuskyN7ZXDIAmaigQyU_ztOC" xr:uid="{00000000-0004-0000-0200-0000E2070000}"/>
    <hyperlink ref="I2039" r:id="rId2020" display="https://drive.google.com/open?id=1nwUtvJLULjoAQHO5dC94RN0gZJXyKBav" xr:uid="{00000000-0004-0000-0200-0000E3070000}"/>
    <hyperlink ref="I2040" r:id="rId2021" display="https://drive.google.com/open?id=1bt4GukeATd1gwwZKCtaFBjLJDhFsIkep" xr:uid="{00000000-0004-0000-0200-0000E4070000}"/>
    <hyperlink ref="I2041" r:id="rId2022" display="https://drive.google.com/open?id=1xQRfCvFyW6DRG6t6EOaaJrYzy47kWxgb" xr:uid="{00000000-0004-0000-0200-0000E5070000}"/>
    <hyperlink ref="I2042" r:id="rId2023" display="https://drive.google.com/open?id=1bq1KsHhnfAWfbUzUj14MFDKFXEDp75iA" xr:uid="{00000000-0004-0000-0200-0000E6070000}"/>
    <hyperlink ref="I2043" r:id="rId2024" display="https://drive.google.com/open?id=1ludqKg0qg06kA_9Cdt4d5p89ZFO9R-QT" xr:uid="{00000000-0004-0000-0200-0000E7070000}"/>
    <hyperlink ref="I2044" r:id="rId2025" display="https://drive.google.com/open?id=1eBEvDCxoQaie4B8wvtEyUxwI0G40eKQt" xr:uid="{00000000-0004-0000-0200-0000E8070000}"/>
    <hyperlink ref="I2046" r:id="rId2026" display="https://drive.google.com/open?id=1s4tVOKfNMQCAR7QFytA-lCGFBsE_GyUx" xr:uid="{00000000-0004-0000-0200-0000E9070000}"/>
    <hyperlink ref="I2047" r:id="rId2027" display="https://drive.google.com/open?id=1Lr2c3rQlzvLOe_PXmq-8sGzJ78LnZ7vQ" xr:uid="{00000000-0004-0000-0200-0000EA070000}"/>
    <hyperlink ref="I2048" r:id="rId2028" display="https://drive.google.com/open?id=1ZYQXHRXsnczr6xjQUZ_wqfys7f6cRvcb" xr:uid="{00000000-0004-0000-0200-0000EB070000}"/>
    <hyperlink ref="I2050" r:id="rId2029" display="https://drive.google.com/open?id=1fOaXQ_LdkPD7sTw36ZxqolTkqUHkfN94" xr:uid="{00000000-0004-0000-0200-0000EC070000}"/>
    <hyperlink ref="I2052" r:id="rId2030" display="https://drive.google.com/open?id=1d-lfIdG3BIZMB9Z-yUR02Vbbg93khdhp" xr:uid="{00000000-0004-0000-0200-0000ED070000}"/>
    <hyperlink ref="I2053" r:id="rId2031" display="https://drive.google.com/open?id=1GO74FFKktw2fZ1D65VxRlLZYRWB-39Ax" xr:uid="{00000000-0004-0000-0200-0000EE070000}"/>
    <hyperlink ref="I2054" r:id="rId2032" display="https://drive.google.com/open?id=1_sk73KOoKa9ejyuacFXNfoCFPaBIeYYa" xr:uid="{00000000-0004-0000-0200-0000EF070000}"/>
    <hyperlink ref="I2055" r:id="rId2033" display="https://drive.google.com/open?id=1m7Jk-4htVsRk2v8U_w3OSx0ufxh0dbk5" xr:uid="{00000000-0004-0000-0200-0000F0070000}"/>
    <hyperlink ref="I2056" r:id="rId2034" display="https://drive.google.com/open?id=1KsmefRwwuO3MXR7xDEsOMEHMhpD9Hya5" xr:uid="{00000000-0004-0000-0200-0000F1070000}"/>
    <hyperlink ref="I2057" r:id="rId2035" display="https://drive.google.com/open?id=1nswRgEky3DXrupo7rBz_YsoGZpHeuqSi" xr:uid="{00000000-0004-0000-0200-0000F2070000}"/>
    <hyperlink ref="I2058" r:id="rId2036" display="https://drive.google.com/open?id=16MYHYS7eVcU_doDwNfMGScqEA4PSFa9y" xr:uid="{00000000-0004-0000-0200-0000F307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G1001"/>
  <sheetViews>
    <sheetView workbookViewId="0"/>
  </sheetViews>
  <sheetFormatPr defaultColWidth="12.625" defaultRowHeight="15.8" customHeight="1"/>
  <cols>
    <col min="1" max="1" width="21.875" customWidth="1"/>
    <col min="2" max="2" width="48.375" customWidth="1"/>
    <col min="3" max="3" width="13.25" customWidth="1"/>
    <col min="4" max="4" width="9" customWidth="1"/>
    <col min="5" max="5" width="7.5" customWidth="1"/>
    <col min="6" max="6" width="8.375" customWidth="1"/>
  </cols>
  <sheetData>
    <row r="1" spans="1:7">
      <c r="A1" s="77" t="s">
        <v>95</v>
      </c>
      <c r="B1" s="77" t="s">
        <v>96</v>
      </c>
      <c r="C1" s="78" t="s">
        <v>97</v>
      </c>
      <c r="D1" s="78" t="s">
        <v>98</v>
      </c>
      <c r="E1" s="78" t="s">
        <v>99</v>
      </c>
      <c r="F1" s="78" t="s">
        <v>100</v>
      </c>
      <c r="G1" s="78" t="s">
        <v>101</v>
      </c>
    </row>
    <row r="2" spans="1:7">
      <c r="A2" s="79" t="str">
        <f ca="1">IFERROR(__xludf.DUMMYFUNCTION("QUERY(IMPORTRANGE(""1aIP78vhBeVc6UOdhrY-HaYzNfhbDdK_thH-9zf8lXO0"",""International!A1:J""),""select Col4,Col3,Col6,Col8,Col9,Col5,Col10 where Col2='SDS' order by Col3"")"),"#REF!")</f>
        <v>#REF!</v>
      </c>
      <c r="B2" s="79"/>
      <c r="C2" s="80"/>
      <c r="D2" s="80"/>
      <c r="E2" s="80"/>
      <c r="F2" s="80"/>
      <c r="G2" s="80"/>
    </row>
    <row r="3" spans="1:7">
      <c r="A3" s="79"/>
      <c r="B3" s="79"/>
      <c r="C3" s="80"/>
      <c r="D3" s="80"/>
      <c r="E3" s="80"/>
      <c r="F3" s="80"/>
      <c r="G3" s="80"/>
    </row>
    <row r="4" spans="1:7">
      <c r="A4" s="79"/>
      <c r="B4" s="79"/>
      <c r="C4" s="80"/>
      <c r="D4" s="80"/>
      <c r="E4" s="80"/>
      <c r="F4" s="80"/>
      <c r="G4" s="80"/>
    </row>
    <row r="5" spans="1:7">
      <c r="A5" s="79"/>
      <c r="B5" s="79"/>
      <c r="C5" s="80"/>
      <c r="D5" s="80"/>
      <c r="E5" s="80"/>
      <c r="F5" s="80"/>
      <c r="G5" s="80"/>
    </row>
    <row r="6" spans="1:7">
      <c r="A6" s="79"/>
      <c r="B6" s="79"/>
      <c r="C6" s="80"/>
      <c r="D6" s="80"/>
      <c r="E6" s="80"/>
      <c r="F6" s="80"/>
      <c r="G6" s="80"/>
    </row>
    <row r="7" spans="1:7">
      <c r="A7" s="79"/>
      <c r="B7" s="79"/>
      <c r="C7" s="80"/>
      <c r="D7" s="80"/>
      <c r="E7" s="80"/>
      <c r="F7" s="80"/>
      <c r="G7" s="80"/>
    </row>
    <row r="8" spans="1:7">
      <c r="A8" s="79"/>
      <c r="B8" s="79"/>
      <c r="C8" s="80"/>
      <c r="D8" s="80"/>
      <c r="E8" s="80"/>
      <c r="F8" s="80"/>
      <c r="G8" s="80"/>
    </row>
    <row r="9" spans="1:7">
      <c r="A9" s="79"/>
      <c r="B9" s="79"/>
      <c r="C9" s="80"/>
      <c r="D9" s="80"/>
      <c r="E9" s="80"/>
      <c r="F9" s="80"/>
      <c r="G9" s="80"/>
    </row>
    <row r="10" spans="1:7">
      <c r="A10" s="79"/>
      <c r="B10" s="79"/>
      <c r="C10" s="80"/>
      <c r="D10" s="80"/>
      <c r="E10" s="80"/>
      <c r="F10" s="80"/>
      <c r="G10" s="80"/>
    </row>
    <row r="11" spans="1:7">
      <c r="A11" s="79"/>
      <c r="B11" s="79"/>
      <c r="C11" s="80"/>
      <c r="D11" s="80"/>
      <c r="E11" s="80"/>
      <c r="F11" s="80"/>
      <c r="G11" s="80"/>
    </row>
    <row r="12" spans="1:7">
      <c r="A12" s="79"/>
      <c r="B12" s="79"/>
      <c r="C12" s="80"/>
      <c r="D12" s="80"/>
      <c r="E12" s="80"/>
      <c r="F12" s="80"/>
      <c r="G12" s="80"/>
    </row>
    <row r="13" spans="1:7">
      <c r="A13" s="79"/>
      <c r="B13" s="79"/>
      <c r="C13" s="80"/>
      <c r="D13" s="80"/>
      <c r="E13" s="80"/>
      <c r="F13" s="80"/>
      <c r="G13" s="80"/>
    </row>
    <row r="14" spans="1:7">
      <c r="A14" s="79"/>
      <c r="B14" s="79"/>
      <c r="C14" s="80"/>
      <c r="D14" s="80"/>
      <c r="E14" s="80"/>
      <c r="F14" s="80"/>
      <c r="G14" s="80"/>
    </row>
    <row r="15" spans="1:7">
      <c r="A15" s="79"/>
      <c r="B15" s="79"/>
      <c r="C15" s="80"/>
      <c r="D15" s="80"/>
      <c r="E15" s="80"/>
      <c r="F15" s="80"/>
      <c r="G15" s="80"/>
    </row>
    <row r="16" spans="1:7">
      <c r="A16" s="79"/>
      <c r="B16" s="79"/>
      <c r="C16" s="80"/>
      <c r="D16" s="80"/>
      <c r="E16" s="80"/>
      <c r="F16" s="80"/>
      <c r="G16" s="80"/>
    </row>
    <row r="17" spans="1:7">
      <c r="A17" s="79"/>
      <c r="B17" s="79"/>
      <c r="C17" s="80"/>
      <c r="D17" s="80"/>
      <c r="E17" s="80"/>
      <c r="F17" s="80"/>
      <c r="G17" s="80"/>
    </row>
    <row r="18" spans="1:7">
      <c r="A18" s="79"/>
      <c r="B18" s="79"/>
      <c r="C18" s="80"/>
      <c r="D18" s="80"/>
      <c r="E18" s="80"/>
      <c r="F18" s="80"/>
      <c r="G18" s="80"/>
    </row>
    <row r="19" spans="1:7">
      <c r="A19" s="79"/>
      <c r="B19" s="79"/>
      <c r="C19" s="80"/>
      <c r="D19" s="80"/>
      <c r="E19" s="80"/>
      <c r="F19" s="80"/>
      <c r="G19" s="80"/>
    </row>
    <row r="20" spans="1:7">
      <c r="A20" s="79"/>
      <c r="B20" s="79"/>
      <c r="C20" s="80"/>
      <c r="D20" s="80"/>
      <c r="E20" s="80"/>
      <c r="F20" s="80"/>
      <c r="G20" s="80"/>
    </row>
    <row r="21" spans="1:7">
      <c r="A21" s="79"/>
      <c r="B21" s="79"/>
      <c r="C21" s="80"/>
      <c r="D21" s="80"/>
      <c r="E21" s="80"/>
      <c r="F21" s="80"/>
      <c r="G21" s="80"/>
    </row>
    <row r="22" spans="1:7">
      <c r="A22" s="79"/>
      <c r="B22" s="79"/>
      <c r="C22" s="80"/>
      <c r="D22" s="80"/>
      <c r="E22" s="80"/>
      <c r="F22" s="80"/>
      <c r="G22" s="80"/>
    </row>
    <row r="23" spans="1:7">
      <c r="A23" s="79"/>
      <c r="B23" s="79"/>
      <c r="C23" s="80"/>
      <c r="D23" s="80"/>
      <c r="E23" s="80"/>
      <c r="F23" s="80"/>
      <c r="G23" s="80"/>
    </row>
    <row r="24" spans="1:7">
      <c r="A24" s="79"/>
      <c r="B24" s="79"/>
      <c r="C24" s="80"/>
      <c r="D24" s="80"/>
      <c r="E24" s="80"/>
      <c r="F24" s="80"/>
      <c r="G24" s="80"/>
    </row>
    <row r="25" spans="1:7">
      <c r="A25" s="79"/>
      <c r="B25" s="79"/>
      <c r="C25" s="80"/>
      <c r="D25" s="80"/>
      <c r="E25" s="80"/>
      <c r="F25" s="80"/>
      <c r="G25" s="80"/>
    </row>
    <row r="26" spans="1:7">
      <c r="A26" s="79"/>
      <c r="B26" s="79"/>
      <c r="C26" s="80"/>
      <c r="D26" s="80"/>
      <c r="E26" s="80"/>
      <c r="F26" s="80"/>
      <c r="G26" s="80"/>
    </row>
    <row r="27" spans="1:7">
      <c r="A27" s="79"/>
      <c r="B27" s="79"/>
      <c r="C27" s="80"/>
      <c r="D27" s="80"/>
      <c r="E27" s="80"/>
      <c r="F27" s="80"/>
      <c r="G27" s="80"/>
    </row>
    <row r="28" spans="1:7">
      <c r="A28" s="79"/>
      <c r="B28" s="79"/>
      <c r="C28" s="80"/>
      <c r="D28" s="80"/>
      <c r="E28" s="80"/>
      <c r="F28" s="80"/>
      <c r="G28" s="80"/>
    </row>
    <row r="29" spans="1:7">
      <c r="A29" s="79"/>
      <c r="B29" s="79"/>
      <c r="C29" s="80"/>
      <c r="D29" s="80"/>
      <c r="E29" s="80"/>
      <c r="F29" s="80"/>
      <c r="G29" s="80"/>
    </row>
    <row r="30" spans="1:7">
      <c r="A30" s="79"/>
      <c r="B30" s="79"/>
      <c r="C30" s="80"/>
      <c r="D30" s="80"/>
      <c r="E30" s="80"/>
      <c r="F30" s="80"/>
      <c r="G30" s="80"/>
    </row>
    <row r="31" spans="1:7">
      <c r="A31" s="79"/>
      <c r="B31" s="79"/>
      <c r="C31" s="80"/>
      <c r="D31" s="80"/>
      <c r="E31" s="80"/>
      <c r="F31" s="80"/>
      <c r="G31" s="80"/>
    </row>
    <row r="32" spans="1:7">
      <c r="A32" s="79"/>
      <c r="B32" s="79"/>
      <c r="C32" s="80"/>
      <c r="D32" s="80"/>
      <c r="E32" s="80"/>
      <c r="F32" s="80"/>
      <c r="G32" s="80"/>
    </row>
    <row r="33" spans="1:7">
      <c r="A33" s="79"/>
      <c r="B33" s="79"/>
      <c r="C33" s="80"/>
      <c r="D33" s="80"/>
      <c r="E33" s="80"/>
      <c r="F33" s="80"/>
      <c r="G33" s="80"/>
    </row>
    <row r="34" spans="1:7">
      <c r="A34" s="79"/>
      <c r="B34" s="79"/>
      <c r="C34" s="80"/>
      <c r="D34" s="80"/>
      <c r="E34" s="80"/>
      <c r="F34" s="80"/>
      <c r="G34" s="80"/>
    </row>
    <row r="35" spans="1:7">
      <c r="A35" s="79"/>
      <c r="B35" s="79"/>
      <c r="C35" s="80"/>
      <c r="D35" s="80"/>
      <c r="E35" s="80"/>
      <c r="F35" s="80"/>
      <c r="G35" s="80"/>
    </row>
    <row r="36" spans="1:7">
      <c r="A36" s="79"/>
      <c r="B36" s="79"/>
      <c r="C36" s="80"/>
      <c r="D36" s="80"/>
      <c r="E36" s="80"/>
      <c r="F36" s="80"/>
      <c r="G36" s="80"/>
    </row>
    <row r="37" spans="1:7">
      <c r="A37" s="79"/>
      <c r="B37" s="79"/>
      <c r="C37" s="80"/>
      <c r="D37" s="80"/>
      <c r="E37" s="80"/>
      <c r="F37" s="80"/>
      <c r="G37" s="80"/>
    </row>
    <row r="38" spans="1:7">
      <c r="A38" s="79"/>
      <c r="B38" s="79"/>
      <c r="C38" s="80"/>
      <c r="D38" s="80"/>
      <c r="E38" s="80"/>
      <c r="F38" s="80"/>
      <c r="G38" s="80"/>
    </row>
    <row r="39" spans="1:7">
      <c r="A39" s="79"/>
      <c r="B39" s="79"/>
      <c r="C39" s="80"/>
      <c r="D39" s="80"/>
      <c r="E39" s="80"/>
      <c r="F39" s="80"/>
      <c r="G39" s="80"/>
    </row>
    <row r="40" spans="1:7">
      <c r="A40" s="79"/>
      <c r="B40" s="79"/>
      <c r="C40" s="80"/>
      <c r="D40" s="80"/>
      <c r="E40" s="80"/>
      <c r="F40" s="80"/>
      <c r="G40" s="80"/>
    </row>
    <row r="41" spans="1:7">
      <c r="A41" s="79"/>
      <c r="B41" s="79"/>
      <c r="C41" s="80"/>
      <c r="D41" s="80"/>
      <c r="E41" s="80"/>
      <c r="F41" s="80"/>
      <c r="G41" s="80"/>
    </row>
    <row r="42" spans="1:7">
      <c r="A42" s="79"/>
      <c r="B42" s="79"/>
      <c r="C42" s="80"/>
      <c r="D42" s="80"/>
      <c r="E42" s="80"/>
      <c r="F42" s="80"/>
      <c r="G42" s="80"/>
    </row>
    <row r="43" spans="1:7">
      <c r="A43" s="79"/>
      <c r="B43" s="79"/>
      <c r="C43" s="80"/>
      <c r="D43" s="80"/>
      <c r="E43" s="80"/>
      <c r="F43" s="80"/>
      <c r="G43" s="80"/>
    </row>
    <row r="44" spans="1:7">
      <c r="A44" s="79"/>
      <c r="B44" s="79"/>
      <c r="C44" s="80"/>
      <c r="D44" s="80"/>
      <c r="E44" s="80"/>
      <c r="F44" s="80"/>
      <c r="G44" s="80"/>
    </row>
    <row r="45" spans="1:7">
      <c r="A45" s="79"/>
      <c r="B45" s="79"/>
      <c r="C45" s="80"/>
      <c r="D45" s="80"/>
      <c r="E45" s="80"/>
      <c r="F45" s="80"/>
      <c r="G45" s="80"/>
    </row>
    <row r="46" spans="1:7">
      <c r="A46" s="79"/>
      <c r="B46" s="79"/>
      <c r="C46" s="80"/>
      <c r="D46" s="80"/>
      <c r="E46" s="80"/>
      <c r="F46" s="80"/>
      <c r="G46" s="80"/>
    </row>
    <row r="47" spans="1:7">
      <c r="A47" s="79"/>
      <c r="B47" s="79"/>
      <c r="C47" s="80"/>
      <c r="D47" s="80"/>
      <c r="E47" s="80"/>
      <c r="F47" s="80"/>
      <c r="G47" s="80"/>
    </row>
    <row r="48" spans="1:7">
      <c r="A48" s="79"/>
      <c r="B48" s="79"/>
      <c r="C48" s="80"/>
      <c r="D48" s="80"/>
      <c r="E48" s="80"/>
      <c r="F48" s="80"/>
      <c r="G48" s="80"/>
    </row>
    <row r="49" spans="1:7">
      <c r="A49" s="79"/>
      <c r="B49" s="79"/>
      <c r="C49" s="80"/>
      <c r="D49" s="80"/>
      <c r="E49" s="80"/>
      <c r="F49" s="80"/>
      <c r="G49" s="80"/>
    </row>
    <row r="50" spans="1:7">
      <c r="A50" s="79"/>
      <c r="B50" s="79"/>
      <c r="C50" s="80"/>
      <c r="D50" s="80"/>
      <c r="E50" s="80"/>
      <c r="F50" s="80"/>
      <c r="G50" s="80"/>
    </row>
    <row r="51" spans="1:7">
      <c r="A51" s="79"/>
      <c r="B51" s="79"/>
      <c r="C51" s="80"/>
      <c r="D51" s="80"/>
      <c r="E51" s="80"/>
      <c r="F51" s="80"/>
      <c r="G51" s="80"/>
    </row>
    <row r="52" spans="1:7">
      <c r="A52" s="79"/>
      <c r="B52" s="79"/>
      <c r="C52" s="80"/>
      <c r="D52" s="80"/>
      <c r="E52" s="80"/>
      <c r="F52" s="80"/>
      <c r="G52" s="80"/>
    </row>
    <row r="53" spans="1:7">
      <c r="A53" s="79"/>
      <c r="B53" s="79"/>
      <c r="C53" s="80"/>
      <c r="D53" s="80"/>
      <c r="E53" s="80"/>
      <c r="F53" s="80"/>
      <c r="G53" s="80"/>
    </row>
    <row r="54" spans="1:7">
      <c r="A54" s="79"/>
      <c r="B54" s="79"/>
      <c r="C54" s="80"/>
      <c r="D54" s="80"/>
      <c r="E54" s="80"/>
      <c r="F54" s="80"/>
      <c r="G54" s="80"/>
    </row>
    <row r="55" spans="1:7">
      <c r="A55" s="79"/>
      <c r="B55" s="79"/>
      <c r="C55" s="80"/>
      <c r="D55" s="80"/>
      <c r="E55" s="80"/>
      <c r="F55" s="80"/>
      <c r="G55" s="80"/>
    </row>
    <row r="56" spans="1:7">
      <c r="A56" s="79"/>
      <c r="B56" s="79"/>
      <c r="C56" s="80"/>
      <c r="D56" s="80"/>
      <c r="E56" s="80"/>
      <c r="F56" s="80"/>
      <c r="G56" s="80"/>
    </row>
    <row r="57" spans="1:7">
      <c r="A57" s="79"/>
      <c r="B57" s="79"/>
      <c r="C57" s="80"/>
      <c r="D57" s="80"/>
      <c r="E57" s="80"/>
      <c r="F57" s="80"/>
      <c r="G57" s="80"/>
    </row>
    <row r="58" spans="1:7">
      <c r="A58" s="79"/>
      <c r="B58" s="79"/>
      <c r="C58" s="80"/>
      <c r="D58" s="80"/>
      <c r="E58" s="80"/>
      <c r="F58" s="80"/>
      <c r="G58" s="80"/>
    </row>
    <row r="59" spans="1:7">
      <c r="A59" s="79"/>
      <c r="B59" s="79"/>
      <c r="C59" s="80"/>
      <c r="D59" s="80"/>
      <c r="E59" s="80"/>
      <c r="F59" s="80"/>
      <c r="G59" s="80"/>
    </row>
    <row r="60" spans="1:7">
      <c r="A60" s="79"/>
      <c r="B60" s="79"/>
      <c r="C60" s="80"/>
      <c r="D60" s="80"/>
      <c r="E60" s="80"/>
      <c r="F60" s="80"/>
      <c r="G60" s="80"/>
    </row>
    <row r="61" spans="1:7">
      <c r="A61" s="79"/>
      <c r="B61" s="79"/>
      <c r="C61" s="80"/>
      <c r="D61" s="80"/>
      <c r="E61" s="80"/>
      <c r="F61" s="80"/>
      <c r="G61" s="80"/>
    </row>
    <row r="62" spans="1:7">
      <c r="A62" s="79"/>
      <c r="B62" s="79"/>
      <c r="C62" s="80"/>
      <c r="D62" s="80"/>
      <c r="E62" s="80"/>
      <c r="F62" s="80"/>
      <c r="G62" s="80"/>
    </row>
    <row r="63" spans="1:7">
      <c r="A63" s="79"/>
      <c r="B63" s="79"/>
      <c r="C63" s="80"/>
      <c r="D63" s="80"/>
      <c r="E63" s="80"/>
      <c r="F63" s="80"/>
      <c r="G63" s="80"/>
    </row>
    <row r="64" spans="1:7">
      <c r="A64" s="79"/>
      <c r="B64" s="79"/>
      <c r="C64" s="80"/>
      <c r="D64" s="80"/>
      <c r="E64" s="80"/>
      <c r="F64" s="80"/>
      <c r="G64" s="80"/>
    </row>
    <row r="65" spans="1:7">
      <c r="A65" s="79"/>
      <c r="B65" s="79"/>
      <c r="C65" s="80"/>
      <c r="D65" s="80"/>
      <c r="E65" s="80"/>
      <c r="F65" s="80"/>
      <c r="G65" s="80"/>
    </row>
    <row r="66" spans="1:7">
      <c r="A66" s="79"/>
      <c r="B66" s="79"/>
      <c r="C66" s="80"/>
      <c r="D66" s="80"/>
      <c r="E66" s="80"/>
      <c r="F66" s="80"/>
      <c r="G66" s="80"/>
    </row>
    <row r="67" spans="1:7">
      <c r="A67" s="79"/>
      <c r="B67" s="79"/>
      <c r="C67" s="80"/>
      <c r="D67" s="80"/>
      <c r="E67" s="80"/>
      <c r="F67" s="80"/>
      <c r="G67" s="80"/>
    </row>
    <row r="68" spans="1:7">
      <c r="A68" s="79"/>
      <c r="B68" s="79"/>
      <c r="C68" s="80"/>
      <c r="D68" s="80"/>
      <c r="E68" s="80"/>
      <c r="F68" s="80"/>
      <c r="G68" s="80"/>
    </row>
    <row r="69" spans="1:7">
      <c r="A69" s="79"/>
      <c r="B69" s="79"/>
      <c r="C69" s="80"/>
      <c r="D69" s="80"/>
      <c r="E69" s="80"/>
      <c r="F69" s="80"/>
      <c r="G69" s="80"/>
    </row>
    <row r="70" spans="1:7">
      <c r="A70" s="79"/>
      <c r="B70" s="79"/>
      <c r="C70" s="80"/>
      <c r="D70" s="80"/>
      <c r="E70" s="80"/>
      <c r="F70" s="80"/>
      <c r="G70" s="80"/>
    </row>
    <row r="71" spans="1:7">
      <c r="A71" s="79"/>
      <c r="B71" s="79"/>
      <c r="C71" s="80"/>
      <c r="D71" s="80"/>
      <c r="E71" s="80"/>
      <c r="F71" s="80"/>
      <c r="G71" s="80"/>
    </row>
    <row r="72" spans="1:7">
      <c r="A72" s="79"/>
      <c r="B72" s="79"/>
      <c r="C72" s="80"/>
      <c r="D72" s="80"/>
      <c r="E72" s="80"/>
      <c r="F72" s="80"/>
      <c r="G72" s="80"/>
    </row>
    <row r="73" spans="1:7">
      <c r="A73" s="79"/>
      <c r="B73" s="79"/>
      <c r="C73" s="80"/>
      <c r="D73" s="80"/>
      <c r="E73" s="80"/>
      <c r="F73" s="80"/>
      <c r="G73" s="80"/>
    </row>
    <row r="74" spans="1:7">
      <c r="A74" s="79"/>
      <c r="B74" s="79"/>
      <c r="C74" s="80"/>
      <c r="D74" s="80"/>
      <c r="E74" s="80"/>
      <c r="F74" s="80"/>
      <c r="G74" s="80"/>
    </row>
    <row r="75" spans="1:7">
      <c r="A75" s="79"/>
      <c r="B75" s="79"/>
      <c r="C75" s="80"/>
      <c r="D75" s="80"/>
      <c r="E75" s="80"/>
      <c r="F75" s="80"/>
      <c r="G75" s="80"/>
    </row>
    <row r="76" spans="1:7">
      <c r="A76" s="79"/>
      <c r="B76" s="79"/>
      <c r="C76" s="80"/>
      <c r="D76" s="80"/>
      <c r="E76" s="80"/>
      <c r="F76" s="80"/>
      <c r="G76" s="80"/>
    </row>
    <row r="77" spans="1:7">
      <c r="A77" s="79"/>
      <c r="B77" s="79"/>
      <c r="C77" s="80"/>
      <c r="D77" s="80"/>
      <c r="E77" s="80"/>
      <c r="F77" s="80"/>
      <c r="G77" s="80"/>
    </row>
    <row r="78" spans="1:7">
      <c r="A78" s="79"/>
      <c r="B78" s="79"/>
      <c r="C78" s="80"/>
      <c r="D78" s="80"/>
      <c r="E78" s="80"/>
      <c r="F78" s="80"/>
      <c r="G78" s="80"/>
    </row>
    <row r="79" spans="1:7">
      <c r="A79" s="79"/>
      <c r="B79" s="79"/>
      <c r="C79" s="80"/>
      <c r="D79" s="80"/>
      <c r="E79" s="80"/>
      <c r="F79" s="80"/>
      <c r="G79" s="80"/>
    </row>
    <row r="80" spans="1:7">
      <c r="A80" s="79"/>
      <c r="B80" s="79"/>
      <c r="C80" s="80"/>
      <c r="D80" s="80"/>
      <c r="E80" s="80"/>
      <c r="F80" s="80"/>
      <c r="G80" s="80"/>
    </row>
    <row r="81" spans="1:7">
      <c r="A81" s="79"/>
      <c r="B81" s="79"/>
      <c r="C81" s="80"/>
      <c r="D81" s="80"/>
      <c r="E81" s="80"/>
      <c r="F81" s="80"/>
      <c r="G81" s="80"/>
    </row>
    <row r="82" spans="1:7">
      <c r="A82" s="79"/>
      <c r="B82" s="79"/>
      <c r="C82" s="80"/>
      <c r="D82" s="80"/>
      <c r="E82" s="80"/>
      <c r="F82" s="80"/>
      <c r="G82" s="80"/>
    </row>
    <row r="83" spans="1:7">
      <c r="A83" s="79"/>
      <c r="B83" s="79"/>
      <c r="C83" s="80"/>
      <c r="D83" s="80"/>
      <c r="E83" s="80"/>
      <c r="F83" s="80"/>
      <c r="G83" s="80"/>
    </row>
    <row r="84" spans="1:7">
      <c r="A84" s="79"/>
      <c r="B84" s="79"/>
      <c r="C84" s="80"/>
      <c r="D84" s="80"/>
      <c r="E84" s="80"/>
      <c r="F84" s="80"/>
      <c r="G84" s="80"/>
    </row>
    <row r="85" spans="1:7">
      <c r="A85" s="79"/>
      <c r="B85" s="79"/>
      <c r="C85" s="80"/>
      <c r="D85" s="80"/>
      <c r="E85" s="80"/>
      <c r="F85" s="80"/>
      <c r="G85" s="80"/>
    </row>
    <row r="86" spans="1:7">
      <c r="A86" s="79"/>
      <c r="B86" s="79"/>
      <c r="C86" s="80"/>
      <c r="D86" s="80"/>
      <c r="E86" s="80"/>
      <c r="F86" s="80"/>
      <c r="G86" s="80"/>
    </row>
    <row r="87" spans="1:7">
      <c r="A87" s="79"/>
      <c r="B87" s="79"/>
      <c r="C87" s="80"/>
      <c r="D87" s="80"/>
      <c r="E87" s="80"/>
      <c r="F87" s="80"/>
      <c r="G87" s="80"/>
    </row>
    <row r="88" spans="1:7">
      <c r="A88" s="79"/>
      <c r="B88" s="79"/>
      <c r="C88" s="80"/>
      <c r="D88" s="80"/>
      <c r="E88" s="80"/>
      <c r="F88" s="80"/>
      <c r="G88" s="80"/>
    </row>
    <row r="89" spans="1:7">
      <c r="A89" s="79"/>
      <c r="B89" s="79"/>
      <c r="C89" s="80"/>
      <c r="D89" s="80"/>
      <c r="E89" s="80"/>
      <c r="F89" s="80"/>
      <c r="G89" s="80"/>
    </row>
    <row r="90" spans="1:7">
      <c r="A90" s="79"/>
      <c r="B90" s="79"/>
      <c r="C90" s="80"/>
      <c r="D90" s="80"/>
      <c r="E90" s="80"/>
      <c r="F90" s="80"/>
      <c r="G90" s="80"/>
    </row>
    <row r="91" spans="1:7">
      <c r="A91" s="79"/>
      <c r="B91" s="79"/>
      <c r="C91" s="80"/>
      <c r="D91" s="80"/>
      <c r="E91" s="80"/>
      <c r="F91" s="80"/>
      <c r="G91" s="80"/>
    </row>
    <row r="92" spans="1:7">
      <c r="A92" s="79"/>
      <c r="B92" s="79"/>
      <c r="C92" s="80"/>
      <c r="D92" s="80"/>
      <c r="E92" s="80"/>
      <c r="F92" s="80"/>
      <c r="G92" s="80"/>
    </row>
    <row r="93" spans="1:7">
      <c r="A93" s="79"/>
      <c r="B93" s="79"/>
      <c r="C93" s="80"/>
      <c r="D93" s="80"/>
      <c r="E93" s="80"/>
      <c r="F93" s="80"/>
      <c r="G93" s="80"/>
    </row>
    <row r="94" spans="1:7">
      <c r="A94" s="79"/>
      <c r="B94" s="79"/>
      <c r="C94" s="80"/>
      <c r="D94" s="80"/>
      <c r="E94" s="80"/>
      <c r="F94" s="80"/>
      <c r="G94" s="80"/>
    </row>
    <row r="95" spans="1:7">
      <c r="A95" s="79"/>
      <c r="B95" s="79"/>
      <c r="C95" s="80"/>
      <c r="D95" s="80"/>
      <c r="E95" s="80"/>
      <c r="F95" s="80"/>
      <c r="G95" s="80"/>
    </row>
    <row r="96" spans="1:7">
      <c r="A96" s="79"/>
      <c r="B96" s="79"/>
      <c r="C96" s="80"/>
      <c r="D96" s="80"/>
      <c r="E96" s="80"/>
      <c r="F96" s="80"/>
      <c r="G96" s="80"/>
    </row>
    <row r="97" spans="1:7">
      <c r="A97" s="79"/>
      <c r="B97" s="79"/>
      <c r="C97" s="80"/>
      <c r="D97" s="80"/>
      <c r="E97" s="80"/>
      <c r="F97" s="80"/>
      <c r="G97" s="80"/>
    </row>
    <row r="98" spans="1:7">
      <c r="A98" s="79"/>
      <c r="B98" s="79"/>
      <c r="C98" s="80"/>
      <c r="D98" s="80"/>
      <c r="E98" s="80"/>
      <c r="F98" s="80"/>
      <c r="G98" s="80"/>
    </row>
    <row r="99" spans="1:7">
      <c r="A99" s="79"/>
      <c r="B99" s="79"/>
      <c r="C99" s="80"/>
      <c r="D99" s="80"/>
      <c r="E99" s="80"/>
      <c r="F99" s="80"/>
      <c r="G99" s="80"/>
    </row>
    <row r="100" spans="1:7">
      <c r="A100" s="79"/>
      <c r="B100" s="79"/>
      <c r="C100" s="80"/>
      <c r="D100" s="80"/>
      <c r="E100" s="80"/>
      <c r="F100" s="80"/>
      <c r="G100" s="80"/>
    </row>
    <row r="101" spans="1:7">
      <c r="A101" s="79"/>
      <c r="B101" s="79"/>
      <c r="C101" s="80"/>
      <c r="D101" s="80"/>
      <c r="E101" s="80"/>
      <c r="F101" s="80"/>
      <c r="G101" s="80"/>
    </row>
    <row r="102" spans="1:7">
      <c r="A102" s="79"/>
      <c r="B102" s="79"/>
      <c r="C102" s="80"/>
      <c r="D102" s="80"/>
      <c r="E102" s="80"/>
      <c r="F102" s="80"/>
      <c r="G102" s="80"/>
    </row>
    <row r="103" spans="1:7">
      <c r="A103" s="79"/>
      <c r="B103" s="79"/>
      <c r="C103" s="80"/>
      <c r="D103" s="80"/>
      <c r="E103" s="80"/>
      <c r="F103" s="80"/>
      <c r="G103" s="80"/>
    </row>
    <row r="104" spans="1:7">
      <c r="A104" s="79"/>
      <c r="B104" s="79"/>
      <c r="C104" s="80"/>
      <c r="D104" s="80"/>
      <c r="E104" s="80"/>
      <c r="F104" s="80"/>
      <c r="G104" s="80"/>
    </row>
    <row r="105" spans="1:7">
      <c r="A105" s="79"/>
      <c r="B105" s="79"/>
      <c r="C105" s="80"/>
      <c r="D105" s="80"/>
      <c r="E105" s="80"/>
      <c r="F105" s="80"/>
      <c r="G105" s="80"/>
    </row>
    <row r="106" spans="1:7">
      <c r="A106" s="79"/>
      <c r="B106" s="79"/>
      <c r="C106" s="80"/>
      <c r="D106" s="80"/>
      <c r="E106" s="80"/>
      <c r="F106" s="80"/>
      <c r="G106" s="80"/>
    </row>
    <row r="107" spans="1:7">
      <c r="A107" s="79"/>
      <c r="B107" s="79"/>
      <c r="C107" s="80"/>
      <c r="D107" s="80"/>
      <c r="E107" s="80"/>
      <c r="F107" s="80"/>
      <c r="G107" s="80"/>
    </row>
    <row r="108" spans="1:7">
      <c r="A108" s="79"/>
      <c r="B108" s="79"/>
      <c r="C108" s="80"/>
      <c r="D108" s="80"/>
      <c r="E108" s="80"/>
      <c r="F108" s="80"/>
      <c r="G108" s="80"/>
    </row>
    <row r="109" spans="1:7">
      <c r="A109" s="79"/>
      <c r="B109" s="79"/>
      <c r="C109" s="80"/>
      <c r="D109" s="80"/>
      <c r="E109" s="80"/>
      <c r="F109" s="80"/>
      <c r="G109" s="80"/>
    </row>
    <row r="110" spans="1:7">
      <c r="A110" s="79"/>
      <c r="B110" s="79"/>
      <c r="C110" s="80"/>
      <c r="D110" s="80"/>
      <c r="E110" s="80"/>
      <c r="F110" s="80"/>
      <c r="G110" s="80"/>
    </row>
    <row r="111" spans="1:7">
      <c r="A111" s="79"/>
      <c r="B111" s="79"/>
      <c r="C111" s="80"/>
      <c r="D111" s="80"/>
      <c r="E111" s="80"/>
      <c r="F111" s="80"/>
      <c r="G111" s="80"/>
    </row>
    <row r="112" spans="1:7">
      <c r="A112" s="79"/>
      <c r="B112" s="79"/>
      <c r="C112" s="80"/>
      <c r="D112" s="80"/>
      <c r="E112" s="80"/>
      <c r="F112" s="80"/>
      <c r="G112" s="80"/>
    </row>
    <row r="113" spans="1:7">
      <c r="A113" s="79"/>
      <c r="B113" s="79"/>
      <c r="C113" s="80"/>
      <c r="D113" s="80"/>
      <c r="E113" s="80"/>
      <c r="F113" s="80"/>
      <c r="G113" s="80"/>
    </row>
    <row r="114" spans="1:7">
      <c r="A114" s="79"/>
      <c r="B114" s="79"/>
      <c r="C114" s="80"/>
      <c r="D114" s="80"/>
      <c r="E114" s="80"/>
      <c r="F114" s="80"/>
      <c r="G114" s="80"/>
    </row>
    <row r="115" spans="1:7">
      <c r="A115" s="79"/>
      <c r="B115" s="79"/>
      <c r="C115" s="80"/>
      <c r="D115" s="80"/>
      <c r="E115" s="80"/>
      <c r="F115" s="80"/>
      <c r="G115" s="80"/>
    </row>
    <row r="116" spans="1:7">
      <c r="A116" s="79"/>
      <c r="B116" s="79"/>
      <c r="C116" s="80"/>
      <c r="D116" s="80"/>
      <c r="E116" s="80"/>
      <c r="F116" s="80"/>
      <c r="G116" s="80"/>
    </row>
    <row r="117" spans="1:7">
      <c r="A117" s="79"/>
      <c r="B117" s="79"/>
      <c r="C117" s="80"/>
      <c r="D117" s="80"/>
      <c r="E117" s="80"/>
      <c r="F117" s="80"/>
      <c r="G117" s="80"/>
    </row>
    <row r="118" spans="1:7">
      <c r="A118" s="79"/>
      <c r="B118" s="79"/>
      <c r="C118" s="80"/>
      <c r="D118" s="80"/>
      <c r="E118" s="80"/>
      <c r="F118" s="80"/>
      <c r="G118" s="80"/>
    </row>
    <row r="119" spans="1:7">
      <c r="A119" s="79"/>
      <c r="B119" s="79"/>
      <c r="C119" s="80"/>
      <c r="D119" s="80"/>
      <c r="E119" s="80"/>
      <c r="F119" s="80"/>
      <c r="G119" s="80"/>
    </row>
    <row r="120" spans="1:7">
      <c r="A120" s="79"/>
      <c r="B120" s="79"/>
      <c r="C120" s="80"/>
      <c r="D120" s="80"/>
      <c r="E120" s="80"/>
      <c r="F120" s="80"/>
      <c r="G120" s="80"/>
    </row>
    <row r="121" spans="1:7">
      <c r="A121" s="79"/>
      <c r="B121" s="79"/>
      <c r="C121" s="80"/>
      <c r="D121" s="80"/>
      <c r="E121" s="80"/>
      <c r="F121" s="80"/>
      <c r="G121" s="80"/>
    </row>
    <row r="122" spans="1:7">
      <c r="C122" s="72"/>
      <c r="D122" s="72"/>
      <c r="E122" s="72"/>
      <c r="F122" s="72"/>
      <c r="G122" s="72"/>
    </row>
    <row r="123" spans="1:7">
      <c r="C123" s="72"/>
      <c r="D123" s="72"/>
      <c r="E123" s="72"/>
      <c r="F123" s="72"/>
      <c r="G123" s="72"/>
    </row>
    <row r="124" spans="1:7">
      <c r="C124" s="72"/>
      <c r="D124" s="72"/>
      <c r="E124" s="72"/>
      <c r="F124" s="72"/>
      <c r="G124" s="72"/>
    </row>
    <row r="125" spans="1:7">
      <c r="C125" s="72"/>
      <c r="D125" s="72"/>
      <c r="E125" s="72"/>
      <c r="F125" s="72"/>
      <c r="G125" s="72"/>
    </row>
    <row r="126" spans="1:7">
      <c r="C126" s="72"/>
      <c r="D126" s="72"/>
      <c r="E126" s="72"/>
      <c r="F126" s="72"/>
      <c r="G126" s="72"/>
    </row>
    <row r="127" spans="1:7">
      <c r="C127" s="72"/>
      <c r="D127" s="72"/>
      <c r="E127" s="72"/>
      <c r="F127" s="72"/>
      <c r="G127" s="72"/>
    </row>
    <row r="128" spans="1:7">
      <c r="C128" s="72"/>
      <c r="D128" s="72"/>
      <c r="E128" s="72"/>
      <c r="F128" s="72"/>
      <c r="G128" s="72"/>
    </row>
    <row r="129" spans="3:7">
      <c r="C129" s="72"/>
      <c r="D129" s="72"/>
      <c r="E129" s="72"/>
      <c r="F129" s="72"/>
      <c r="G129" s="72"/>
    </row>
    <row r="130" spans="3:7">
      <c r="C130" s="72"/>
      <c r="D130" s="72"/>
      <c r="E130" s="72"/>
      <c r="F130" s="72"/>
      <c r="G130" s="72"/>
    </row>
    <row r="131" spans="3:7">
      <c r="C131" s="72"/>
      <c r="D131" s="72"/>
      <c r="E131" s="72"/>
      <c r="F131" s="72"/>
      <c r="G131" s="72"/>
    </row>
    <row r="132" spans="3:7">
      <c r="C132" s="72"/>
      <c r="D132" s="72"/>
      <c r="E132" s="72"/>
      <c r="F132" s="72"/>
      <c r="G132" s="72"/>
    </row>
    <row r="133" spans="3:7">
      <c r="C133" s="72"/>
      <c r="D133" s="72"/>
      <c r="E133" s="72"/>
      <c r="F133" s="72"/>
      <c r="G133" s="72"/>
    </row>
    <row r="134" spans="3:7">
      <c r="C134" s="72"/>
      <c r="D134" s="72"/>
      <c r="E134" s="72"/>
      <c r="F134" s="72"/>
      <c r="G134" s="72"/>
    </row>
    <row r="135" spans="3:7">
      <c r="C135" s="72"/>
      <c r="D135" s="72"/>
      <c r="E135" s="72"/>
      <c r="F135" s="72"/>
      <c r="G135" s="72"/>
    </row>
    <row r="136" spans="3:7">
      <c r="C136" s="72"/>
      <c r="D136" s="72"/>
      <c r="E136" s="72"/>
      <c r="F136" s="72"/>
      <c r="G136" s="72"/>
    </row>
    <row r="137" spans="3:7">
      <c r="C137" s="72"/>
      <c r="D137" s="72"/>
      <c r="E137" s="72"/>
      <c r="F137" s="72"/>
      <c r="G137" s="72"/>
    </row>
    <row r="138" spans="3:7">
      <c r="C138" s="72"/>
      <c r="D138" s="72"/>
      <c r="E138" s="72"/>
      <c r="F138" s="72"/>
      <c r="G138" s="72"/>
    </row>
    <row r="139" spans="3:7">
      <c r="C139" s="72"/>
      <c r="D139" s="72"/>
      <c r="E139" s="72"/>
      <c r="F139" s="72"/>
      <c r="G139" s="72"/>
    </row>
    <row r="140" spans="3:7">
      <c r="C140" s="72"/>
      <c r="D140" s="72"/>
      <c r="E140" s="72"/>
      <c r="F140" s="72"/>
      <c r="G140" s="72"/>
    </row>
    <row r="141" spans="3:7">
      <c r="C141" s="72"/>
      <c r="D141" s="72"/>
      <c r="E141" s="72"/>
      <c r="F141" s="72"/>
      <c r="G141" s="72"/>
    </row>
    <row r="142" spans="3:7">
      <c r="C142" s="72"/>
      <c r="D142" s="72"/>
      <c r="E142" s="72"/>
      <c r="F142" s="72"/>
      <c r="G142" s="72"/>
    </row>
    <row r="143" spans="3:7">
      <c r="C143" s="72"/>
      <c r="D143" s="72"/>
      <c r="E143" s="72"/>
      <c r="F143" s="72"/>
      <c r="G143" s="72"/>
    </row>
    <row r="144" spans="3:7">
      <c r="C144" s="72"/>
      <c r="D144" s="72"/>
      <c r="E144" s="72"/>
      <c r="F144" s="72"/>
      <c r="G144" s="72"/>
    </row>
    <row r="145" spans="3:7">
      <c r="C145" s="72"/>
      <c r="D145" s="72"/>
      <c r="E145" s="72"/>
      <c r="F145" s="72"/>
      <c r="G145" s="72"/>
    </row>
    <row r="146" spans="3:7">
      <c r="C146" s="72"/>
      <c r="D146" s="72"/>
      <c r="E146" s="72"/>
      <c r="F146" s="72"/>
      <c r="G146" s="72"/>
    </row>
    <row r="147" spans="3:7">
      <c r="C147" s="72"/>
      <c r="D147" s="72"/>
      <c r="E147" s="72"/>
      <c r="F147" s="72"/>
      <c r="G147" s="72"/>
    </row>
    <row r="148" spans="3:7">
      <c r="C148" s="72"/>
      <c r="D148" s="72"/>
      <c r="E148" s="72"/>
      <c r="F148" s="72"/>
      <c r="G148" s="72"/>
    </row>
    <row r="149" spans="3:7">
      <c r="C149" s="72"/>
      <c r="D149" s="72"/>
      <c r="E149" s="72"/>
      <c r="F149" s="72"/>
      <c r="G149" s="72"/>
    </row>
    <row r="150" spans="3:7">
      <c r="C150" s="72"/>
      <c r="D150" s="72"/>
      <c r="E150" s="72"/>
      <c r="F150" s="72"/>
      <c r="G150" s="72"/>
    </row>
    <row r="151" spans="3:7">
      <c r="C151" s="72"/>
      <c r="D151" s="72"/>
      <c r="E151" s="72"/>
      <c r="F151" s="72"/>
      <c r="G151" s="72"/>
    </row>
    <row r="152" spans="3:7">
      <c r="C152" s="72"/>
      <c r="D152" s="72"/>
      <c r="E152" s="72"/>
      <c r="F152" s="72"/>
      <c r="G152" s="72"/>
    </row>
    <row r="153" spans="3:7">
      <c r="C153" s="72"/>
      <c r="D153" s="72"/>
      <c r="E153" s="72"/>
      <c r="F153" s="72"/>
      <c r="G153" s="72"/>
    </row>
    <row r="154" spans="3:7">
      <c r="C154" s="72"/>
      <c r="D154" s="72"/>
      <c r="E154" s="72"/>
      <c r="F154" s="72"/>
      <c r="G154" s="72"/>
    </row>
    <row r="155" spans="3:7">
      <c r="C155" s="72"/>
      <c r="D155" s="72"/>
      <c r="E155" s="72"/>
      <c r="F155" s="72"/>
      <c r="G155" s="72"/>
    </row>
    <row r="156" spans="3:7">
      <c r="C156" s="72"/>
      <c r="D156" s="72"/>
      <c r="E156" s="72"/>
      <c r="F156" s="72"/>
      <c r="G156" s="72"/>
    </row>
    <row r="157" spans="3:7">
      <c r="C157" s="72"/>
      <c r="D157" s="72"/>
      <c r="E157" s="72"/>
      <c r="F157" s="72"/>
      <c r="G157" s="72"/>
    </row>
    <row r="158" spans="3:7">
      <c r="C158" s="72"/>
      <c r="D158" s="72"/>
      <c r="E158" s="72"/>
      <c r="F158" s="72"/>
      <c r="G158" s="72"/>
    </row>
    <row r="159" spans="3:7">
      <c r="C159" s="72"/>
      <c r="D159" s="72"/>
      <c r="E159" s="72"/>
      <c r="F159" s="72"/>
      <c r="G159" s="72"/>
    </row>
    <row r="160" spans="3:7">
      <c r="C160" s="72"/>
      <c r="D160" s="72"/>
      <c r="E160" s="72"/>
      <c r="F160" s="72"/>
      <c r="G160" s="72"/>
    </row>
    <row r="161" spans="3:7">
      <c r="C161" s="72"/>
      <c r="D161" s="72"/>
      <c r="E161" s="72"/>
      <c r="F161" s="72"/>
      <c r="G161" s="72"/>
    </row>
    <row r="162" spans="3:7">
      <c r="C162" s="72"/>
      <c r="D162" s="72"/>
      <c r="E162" s="72"/>
      <c r="F162" s="72"/>
      <c r="G162" s="72"/>
    </row>
    <row r="163" spans="3:7">
      <c r="C163" s="72"/>
      <c r="D163" s="72"/>
      <c r="E163" s="72"/>
      <c r="F163" s="72"/>
      <c r="G163" s="72"/>
    </row>
    <row r="164" spans="3:7">
      <c r="C164" s="72"/>
      <c r="D164" s="72"/>
      <c r="E164" s="72"/>
      <c r="F164" s="72"/>
      <c r="G164" s="72"/>
    </row>
    <row r="165" spans="3:7">
      <c r="C165" s="72"/>
      <c r="D165" s="72"/>
      <c r="E165" s="72"/>
      <c r="F165" s="72"/>
      <c r="G165" s="72"/>
    </row>
    <row r="166" spans="3:7">
      <c r="C166" s="72"/>
      <c r="D166" s="72"/>
      <c r="E166" s="72"/>
      <c r="F166" s="72"/>
      <c r="G166" s="72"/>
    </row>
    <row r="167" spans="3:7">
      <c r="C167" s="72"/>
      <c r="D167" s="72"/>
      <c r="E167" s="72"/>
      <c r="F167" s="72"/>
      <c r="G167" s="72"/>
    </row>
    <row r="168" spans="3:7">
      <c r="C168" s="72"/>
      <c r="D168" s="72"/>
      <c r="E168" s="72"/>
      <c r="F168" s="72"/>
      <c r="G168" s="72"/>
    </row>
    <row r="169" spans="3:7">
      <c r="C169" s="72"/>
      <c r="D169" s="72"/>
      <c r="E169" s="72"/>
      <c r="F169" s="72"/>
      <c r="G169" s="72"/>
    </row>
    <row r="170" spans="3:7">
      <c r="C170" s="72"/>
      <c r="D170" s="72"/>
      <c r="E170" s="72"/>
      <c r="F170" s="72"/>
      <c r="G170" s="72"/>
    </row>
    <row r="171" spans="3:7">
      <c r="C171" s="72"/>
      <c r="D171" s="72"/>
      <c r="E171" s="72"/>
      <c r="F171" s="72"/>
      <c r="G171" s="72"/>
    </row>
    <row r="172" spans="3:7">
      <c r="C172" s="72"/>
      <c r="D172" s="72"/>
      <c r="E172" s="72"/>
      <c r="F172" s="72"/>
      <c r="G172" s="72"/>
    </row>
    <row r="173" spans="3:7">
      <c r="C173" s="72"/>
      <c r="D173" s="72"/>
      <c r="E173" s="72"/>
      <c r="F173" s="72"/>
      <c r="G173" s="72"/>
    </row>
    <row r="174" spans="3:7">
      <c r="C174" s="72"/>
      <c r="D174" s="72"/>
      <c r="E174" s="72"/>
      <c r="F174" s="72"/>
      <c r="G174" s="72"/>
    </row>
    <row r="175" spans="3:7">
      <c r="C175" s="72"/>
      <c r="D175" s="72"/>
      <c r="E175" s="72"/>
      <c r="F175" s="72"/>
      <c r="G175" s="72"/>
    </row>
    <row r="176" spans="3:7">
      <c r="C176" s="72"/>
      <c r="D176" s="72"/>
      <c r="E176" s="72"/>
      <c r="F176" s="72"/>
      <c r="G176" s="72"/>
    </row>
    <row r="177" spans="3:7">
      <c r="C177" s="72"/>
      <c r="D177" s="72"/>
      <c r="E177" s="72"/>
      <c r="F177" s="72"/>
      <c r="G177" s="72"/>
    </row>
    <row r="178" spans="3:7">
      <c r="C178" s="72"/>
      <c r="D178" s="72"/>
      <c r="E178" s="72"/>
      <c r="F178" s="72"/>
      <c r="G178" s="72"/>
    </row>
    <row r="179" spans="3:7">
      <c r="C179" s="72"/>
      <c r="D179" s="72"/>
      <c r="E179" s="72"/>
      <c r="F179" s="72"/>
      <c r="G179" s="72"/>
    </row>
    <row r="180" spans="3:7">
      <c r="C180" s="72"/>
      <c r="D180" s="72"/>
      <c r="E180" s="72"/>
      <c r="F180" s="72"/>
      <c r="G180" s="72"/>
    </row>
    <row r="181" spans="3:7">
      <c r="C181" s="72"/>
      <c r="D181" s="72"/>
      <c r="E181" s="72"/>
      <c r="F181" s="72"/>
      <c r="G181" s="72"/>
    </row>
    <row r="182" spans="3:7">
      <c r="C182" s="72"/>
      <c r="D182" s="72"/>
      <c r="E182" s="72"/>
      <c r="F182" s="72"/>
      <c r="G182" s="72"/>
    </row>
    <row r="183" spans="3:7">
      <c r="C183" s="72"/>
      <c r="D183" s="72"/>
      <c r="E183" s="72"/>
      <c r="F183" s="72"/>
      <c r="G183" s="72"/>
    </row>
    <row r="184" spans="3:7">
      <c r="C184" s="72"/>
      <c r="D184" s="72"/>
      <c r="E184" s="72"/>
      <c r="F184" s="72"/>
      <c r="G184" s="72"/>
    </row>
    <row r="185" spans="3:7">
      <c r="C185" s="72"/>
      <c r="D185" s="72"/>
      <c r="E185" s="72"/>
      <c r="F185" s="72"/>
      <c r="G185" s="72"/>
    </row>
    <row r="186" spans="3:7">
      <c r="C186" s="72"/>
      <c r="D186" s="72"/>
      <c r="E186" s="72"/>
      <c r="F186" s="72"/>
      <c r="G186" s="72"/>
    </row>
    <row r="187" spans="3:7">
      <c r="C187" s="72"/>
      <c r="D187" s="72"/>
      <c r="E187" s="72"/>
      <c r="F187" s="72"/>
      <c r="G187" s="72"/>
    </row>
    <row r="188" spans="3:7">
      <c r="C188" s="72"/>
      <c r="D188" s="72"/>
      <c r="E188" s="72"/>
      <c r="F188" s="72"/>
      <c r="G188" s="72"/>
    </row>
    <row r="189" spans="3:7">
      <c r="C189" s="72"/>
      <c r="D189" s="72"/>
      <c r="E189" s="72"/>
      <c r="F189" s="72"/>
      <c r="G189" s="72"/>
    </row>
    <row r="190" spans="3:7">
      <c r="C190" s="72"/>
      <c r="D190" s="72"/>
      <c r="E190" s="72"/>
      <c r="F190" s="72"/>
      <c r="G190" s="72"/>
    </row>
    <row r="191" spans="3:7">
      <c r="C191" s="72"/>
      <c r="D191" s="72"/>
      <c r="E191" s="72"/>
      <c r="F191" s="72"/>
      <c r="G191" s="72"/>
    </row>
    <row r="192" spans="3:7">
      <c r="C192" s="72"/>
      <c r="D192" s="72"/>
      <c r="E192" s="72"/>
      <c r="F192" s="72"/>
      <c r="G192" s="72"/>
    </row>
    <row r="193" spans="3:7">
      <c r="C193" s="72"/>
      <c r="D193" s="72"/>
      <c r="E193" s="72"/>
      <c r="F193" s="72"/>
      <c r="G193" s="72"/>
    </row>
    <row r="194" spans="3:7">
      <c r="C194" s="72"/>
      <c r="D194" s="72"/>
      <c r="E194" s="72"/>
      <c r="F194" s="72"/>
      <c r="G194" s="72"/>
    </row>
    <row r="195" spans="3:7">
      <c r="C195" s="72"/>
      <c r="D195" s="72"/>
      <c r="E195" s="72"/>
      <c r="F195" s="72"/>
      <c r="G195" s="72"/>
    </row>
    <row r="196" spans="3:7">
      <c r="C196" s="72"/>
      <c r="D196" s="72"/>
      <c r="E196" s="72"/>
      <c r="F196" s="72"/>
      <c r="G196" s="72"/>
    </row>
    <row r="197" spans="3:7">
      <c r="C197" s="72"/>
      <c r="D197" s="72"/>
      <c r="E197" s="72"/>
      <c r="F197" s="72"/>
      <c r="G197" s="72"/>
    </row>
    <row r="198" spans="3:7">
      <c r="C198" s="72"/>
      <c r="D198" s="72"/>
      <c r="E198" s="72"/>
      <c r="F198" s="72"/>
      <c r="G198" s="72"/>
    </row>
    <row r="199" spans="3:7">
      <c r="C199" s="72"/>
      <c r="D199" s="72"/>
      <c r="E199" s="72"/>
      <c r="F199" s="72"/>
      <c r="G199" s="72"/>
    </row>
    <row r="200" spans="3:7">
      <c r="C200" s="72"/>
      <c r="D200" s="72"/>
      <c r="E200" s="72"/>
      <c r="F200" s="72"/>
      <c r="G200" s="72"/>
    </row>
    <row r="201" spans="3:7">
      <c r="C201" s="72"/>
      <c r="D201" s="72"/>
      <c r="E201" s="72"/>
      <c r="F201" s="72"/>
      <c r="G201" s="72"/>
    </row>
    <row r="202" spans="3:7">
      <c r="C202" s="72"/>
      <c r="D202" s="72"/>
      <c r="E202" s="72"/>
      <c r="F202" s="72"/>
      <c r="G202" s="72"/>
    </row>
    <row r="203" spans="3:7">
      <c r="C203" s="72"/>
      <c r="D203" s="72"/>
      <c r="E203" s="72"/>
      <c r="F203" s="72"/>
      <c r="G203" s="72"/>
    </row>
    <row r="204" spans="3:7">
      <c r="C204" s="72"/>
      <c r="D204" s="72"/>
      <c r="E204" s="72"/>
      <c r="F204" s="72"/>
      <c r="G204" s="72"/>
    </row>
    <row r="205" spans="3:7">
      <c r="C205" s="72"/>
      <c r="D205" s="72"/>
      <c r="E205" s="72"/>
      <c r="F205" s="72"/>
      <c r="G205" s="72"/>
    </row>
    <row r="206" spans="3:7">
      <c r="C206" s="72"/>
      <c r="D206" s="72"/>
      <c r="E206" s="72"/>
      <c r="F206" s="72"/>
      <c r="G206" s="72"/>
    </row>
    <row r="207" spans="3:7">
      <c r="C207" s="72"/>
      <c r="D207" s="72"/>
      <c r="E207" s="72"/>
      <c r="F207" s="72"/>
      <c r="G207" s="72"/>
    </row>
    <row r="208" spans="3:7">
      <c r="C208" s="72"/>
      <c r="D208" s="72"/>
      <c r="E208" s="72"/>
      <c r="F208" s="72"/>
      <c r="G208" s="72"/>
    </row>
    <row r="209" spans="3:7">
      <c r="C209" s="72"/>
      <c r="D209" s="72"/>
      <c r="E209" s="72"/>
      <c r="F209" s="72"/>
      <c r="G209" s="72"/>
    </row>
    <row r="210" spans="3:7">
      <c r="C210" s="72"/>
      <c r="D210" s="72"/>
      <c r="E210" s="72"/>
      <c r="F210" s="72"/>
      <c r="G210" s="72"/>
    </row>
    <row r="211" spans="3:7">
      <c r="C211" s="72"/>
      <c r="D211" s="72"/>
      <c r="E211" s="72"/>
      <c r="F211" s="72"/>
      <c r="G211" s="72"/>
    </row>
    <row r="212" spans="3:7">
      <c r="C212" s="72"/>
      <c r="D212" s="72"/>
      <c r="E212" s="72"/>
      <c r="F212" s="72"/>
      <c r="G212" s="72"/>
    </row>
    <row r="213" spans="3:7">
      <c r="C213" s="72"/>
      <c r="D213" s="72"/>
      <c r="E213" s="72"/>
      <c r="F213" s="72"/>
      <c r="G213" s="72"/>
    </row>
    <row r="214" spans="3:7">
      <c r="C214" s="72"/>
      <c r="D214" s="72"/>
      <c r="E214" s="72"/>
      <c r="F214" s="72"/>
      <c r="G214" s="72"/>
    </row>
    <row r="215" spans="3:7">
      <c r="C215" s="72"/>
      <c r="D215" s="72"/>
      <c r="E215" s="72"/>
      <c r="F215" s="72"/>
      <c r="G215" s="72"/>
    </row>
    <row r="216" spans="3:7">
      <c r="C216" s="72"/>
      <c r="D216" s="72"/>
      <c r="E216" s="72"/>
      <c r="F216" s="72"/>
      <c r="G216" s="72"/>
    </row>
    <row r="217" spans="3:7">
      <c r="C217" s="72"/>
      <c r="D217" s="72"/>
      <c r="E217" s="72"/>
      <c r="F217" s="72"/>
      <c r="G217" s="72"/>
    </row>
    <row r="218" spans="3:7">
      <c r="C218" s="72"/>
      <c r="D218" s="72"/>
      <c r="E218" s="72"/>
      <c r="F218" s="72"/>
      <c r="G218" s="72"/>
    </row>
    <row r="219" spans="3:7">
      <c r="C219" s="72"/>
      <c r="D219" s="72"/>
      <c r="E219" s="72"/>
      <c r="F219" s="72"/>
      <c r="G219" s="72"/>
    </row>
    <row r="220" spans="3:7">
      <c r="C220" s="72"/>
      <c r="D220" s="72"/>
      <c r="E220" s="72"/>
      <c r="F220" s="72"/>
      <c r="G220" s="72"/>
    </row>
    <row r="221" spans="3:7">
      <c r="C221" s="72"/>
      <c r="D221" s="72"/>
      <c r="E221" s="72"/>
      <c r="F221" s="72"/>
      <c r="G221" s="72"/>
    </row>
    <row r="222" spans="3:7">
      <c r="C222" s="72"/>
      <c r="D222" s="72"/>
      <c r="E222" s="72"/>
      <c r="F222" s="72"/>
      <c r="G222" s="72"/>
    </row>
    <row r="223" spans="3:7">
      <c r="C223" s="72"/>
      <c r="D223" s="72"/>
      <c r="E223" s="72"/>
      <c r="F223" s="72"/>
      <c r="G223" s="72"/>
    </row>
    <row r="224" spans="3:7">
      <c r="C224" s="72"/>
      <c r="D224" s="72"/>
      <c r="E224" s="72"/>
      <c r="F224" s="72"/>
      <c r="G224" s="72"/>
    </row>
    <row r="225" spans="3:7">
      <c r="C225" s="72"/>
      <c r="D225" s="72"/>
      <c r="E225" s="72"/>
      <c r="F225" s="72"/>
      <c r="G225" s="72"/>
    </row>
    <row r="226" spans="3:7">
      <c r="C226" s="72"/>
      <c r="D226" s="72"/>
      <c r="E226" s="72"/>
      <c r="F226" s="72"/>
      <c r="G226" s="72"/>
    </row>
    <row r="227" spans="3:7">
      <c r="C227" s="72"/>
      <c r="D227" s="72"/>
      <c r="E227" s="72"/>
      <c r="F227" s="72"/>
      <c r="G227" s="72"/>
    </row>
    <row r="228" spans="3:7">
      <c r="C228" s="72"/>
      <c r="D228" s="72"/>
      <c r="E228" s="72"/>
      <c r="F228" s="72"/>
      <c r="G228" s="72"/>
    </row>
    <row r="229" spans="3:7">
      <c r="C229" s="72"/>
      <c r="D229" s="72"/>
      <c r="E229" s="72"/>
      <c r="F229" s="72"/>
      <c r="G229" s="72"/>
    </row>
    <row r="230" spans="3:7">
      <c r="C230" s="72"/>
      <c r="D230" s="72"/>
      <c r="E230" s="72"/>
      <c r="F230" s="72"/>
      <c r="G230" s="72"/>
    </row>
    <row r="231" spans="3:7">
      <c r="C231" s="72"/>
      <c r="D231" s="72"/>
      <c r="E231" s="72"/>
      <c r="F231" s="72"/>
      <c r="G231" s="72"/>
    </row>
    <row r="232" spans="3:7">
      <c r="C232" s="72"/>
      <c r="D232" s="72"/>
      <c r="E232" s="72"/>
      <c r="F232" s="72"/>
      <c r="G232" s="72"/>
    </row>
    <row r="233" spans="3:7">
      <c r="C233" s="72"/>
      <c r="D233" s="72"/>
      <c r="E233" s="72"/>
      <c r="F233" s="72"/>
      <c r="G233" s="72"/>
    </row>
    <row r="234" spans="3:7">
      <c r="C234" s="72"/>
      <c r="D234" s="72"/>
      <c r="E234" s="72"/>
      <c r="F234" s="72"/>
      <c r="G234" s="72"/>
    </row>
    <row r="235" spans="3:7">
      <c r="C235" s="72"/>
      <c r="D235" s="72"/>
      <c r="E235" s="72"/>
      <c r="F235" s="72"/>
      <c r="G235" s="72"/>
    </row>
    <row r="236" spans="3:7">
      <c r="C236" s="72"/>
      <c r="D236" s="72"/>
      <c r="E236" s="72"/>
      <c r="F236" s="72"/>
      <c r="G236" s="72"/>
    </row>
    <row r="237" spans="3:7">
      <c r="C237" s="72"/>
      <c r="D237" s="72"/>
      <c r="E237" s="72"/>
      <c r="F237" s="72"/>
      <c r="G237" s="72"/>
    </row>
    <row r="238" spans="3:7">
      <c r="C238" s="72"/>
      <c r="D238" s="72"/>
      <c r="E238" s="72"/>
      <c r="F238" s="72"/>
      <c r="G238" s="72"/>
    </row>
    <row r="239" spans="3:7">
      <c r="C239" s="72"/>
      <c r="D239" s="72"/>
      <c r="E239" s="72"/>
      <c r="F239" s="72"/>
      <c r="G239" s="72"/>
    </row>
    <row r="240" spans="3:7">
      <c r="C240" s="72"/>
      <c r="D240" s="72"/>
      <c r="E240" s="72"/>
      <c r="F240" s="72"/>
      <c r="G240" s="72"/>
    </row>
    <row r="241" spans="3:7">
      <c r="C241" s="72"/>
      <c r="D241" s="72"/>
      <c r="E241" s="72"/>
      <c r="F241" s="72"/>
      <c r="G241" s="72"/>
    </row>
    <row r="242" spans="3:7">
      <c r="C242" s="72"/>
      <c r="D242" s="72"/>
      <c r="E242" s="72"/>
      <c r="F242" s="72"/>
      <c r="G242" s="72"/>
    </row>
    <row r="243" spans="3:7">
      <c r="C243" s="72"/>
      <c r="D243" s="72"/>
      <c r="E243" s="72"/>
      <c r="F243" s="72"/>
      <c r="G243" s="72"/>
    </row>
    <row r="244" spans="3:7">
      <c r="C244" s="72"/>
      <c r="D244" s="72"/>
      <c r="E244" s="72"/>
      <c r="F244" s="72"/>
      <c r="G244" s="72"/>
    </row>
    <row r="245" spans="3:7">
      <c r="C245" s="72"/>
      <c r="D245" s="72"/>
      <c r="E245" s="72"/>
      <c r="F245" s="72"/>
      <c r="G245" s="72"/>
    </row>
    <row r="246" spans="3:7">
      <c r="C246" s="72"/>
      <c r="D246" s="72"/>
      <c r="E246" s="72"/>
      <c r="F246" s="72"/>
      <c r="G246" s="72"/>
    </row>
    <row r="247" spans="3:7">
      <c r="C247" s="72"/>
      <c r="D247" s="72"/>
      <c r="E247" s="72"/>
      <c r="F247" s="72"/>
      <c r="G247" s="72"/>
    </row>
    <row r="248" spans="3:7">
      <c r="C248" s="72"/>
      <c r="D248" s="72"/>
      <c r="E248" s="72"/>
      <c r="F248" s="72"/>
      <c r="G248" s="72"/>
    </row>
    <row r="249" spans="3:7">
      <c r="C249" s="72"/>
      <c r="D249" s="72"/>
      <c r="E249" s="72"/>
      <c r="F249" s="72"/>
      <c r="G249" s="72"/>
    </row>
    <row r="250" spans="3:7">
      <c r="C250" s="72"/>
      <c r="D250" s="72"/>
      <c r="E250" s="72"/>
      <c r="F250" s="72"/>
      <c r="G250" s="72"/>
    </row>
    <row r="251" spans="3:7">
      <c r="C251" s="72"/>
      <c r="D251" s="72"/>
      <c r="E251" s="72"/>
      <c r="F251" s="72"/>
      <c r="G251" s="72"/>
    </row>
    <row r="252" spans="3:7">
      <c r="C252" s="72"/>
      <c r="D252" s="72"/>
      <c r="E252" s="72"/>
      <c r="F252" s="72"/>
      <c r="G252" s="72"/>
    </row>
    <row r="253" spans="3:7">
      <c r="C253" s="72"/>
      <c r="D253" s="72"/>
      <c r="E253" s="72"/>
      <c r="F253" s="72"/>
      <c r="G253" s="72"/>
    </row>
    <row r="254" spans="3:7">
      <c r="C254" s="72"/>
      <c r="D254" s="72"/>
      <c r="E254" s="72"/>
      <c r="F254" s="72"/>
      <c r="G254" s="72"/>
    </row>
    <row r="255" spans="3:7">
      <c r="C255" s="72"/>
      <c r="D255" s="72"/>
      <c r="E255" s="72"/>
      <c r="F255" s="72"/>
      <c r="G255" s="72"/>
    </row>
    <row r="256" spans="3:7">
      <c r="C256" s="72"/>
      <c r="D256" s="72"/>
      <c r="E256" s="72"/>
      <c r="F256" s="72"/>
      <c r="G256" s="72"/>
    </row>
    <row r="257" spans="3:7">
      <c r="C257" s="72"/>
      <c r="D257" s="72"/>
      <c r="E257" s="72"/>
      <c r="F257" s="72"/>
      <c r="G257" s="72"/>
    </row>
    <row r="258" spans="3:7">
      <c r="C258" s="72"/>
      <c r="D258" s="72"/>
      <c r="E258" s="72"/>
      <c r="F258" s="72"/>
      <c r="G258" s="72"/>
    </row>
    <row r="259" spans="3:7">
      <c r="C259" s="72"/>
      <c r="D259" s="72"/>
      <c r="E259" s="72"/>
      <c r="F259" s="72"/>
      <c r="G259" s="72"/>
    </row>
    <row r="260" spans="3:7">
      <c r="C260" s="72"/>
      <c r="D260" s="72"/>
      <c r="E260" s="72"/>
      <c r="F260" s="72"/>
      <c r="G260" s="72"/>
    </row>
    <row r="261" spans="3:7">
      <c r="C261" s="72"/>
      <c r="D261" s="72"/>
      <c r="E261" s="72"/>
      <c r="F261" s="72"/>
      <c r="G261" s="72"/>
    </row>
    <row r="262" spans="3:7">
      <c r="C262" s="72"/>
      <c r="D262" s="72"/>
      <c r="E262" s="72"/>
      <c r="F262" s="72"/>
      <c r="G262" s="72"/>
    </row>
    <row r="263" spans="3:7">
      <c r="C263" s="72"/>
      <c r="D263" s="72"/>
      <c r="E263" s="72"/>
      <c r="F263" s="72"/>
      <c r="G263" s="72"/>
    </row>
    <row r="264" spans="3:7">
      <c r="C264" s="72"/>
      <c r="D264" s="72"/>
      <c r="E264" s="72"/>
      <c r="F264" s="72"/>
      <c r="G264" s="72"/>
    </row>
    <row r="265" spans="3:7">
      <c r="C265" s="72"/>
      <c r="D265" s="72"/>
      <c r="E265" s="72"/>
      <c r="F265" s="72"/>
      <c r="G265" s="72"/>
    </row>
    <row r="266" spans="3:7">
      <c r="C266" s="72"/>
      <c r="D266" s="72"/>
      <c r="E266" s="72"/>
      <c r="F266" s="72"/>
      <c r="G266" s="72"/>
    </row>
    <row r="267" spans="3:7">
      <c r="C267" s="72"/>
      <c r="D267" s="72"/>
      <c r="E267" s="72"/>
      <c r="F267" s="72"/>
      <c r="G267" s="72"/>
    </row>
    <row r="268" spans="3:7">
      <c r="C268" s="72"/>
      <c r="D268" s="72"/>
      <c r="E268" s="72"/>
      <c r="F268" s="72"/>
      <c r="G268" s="72"/>
    </row>
    <row r="269" spans="3:7">
      <c r="C269" s="72"/>
      <c r="D269" s="72"/>
      <c r="E269" s="72"/>
      <c r="F269" s="72"/>
      <c r="G269" s="72"/>
    </row>
    <row r="270" spans="3:7">
      <c r="C270" s="72"/>
      <c r="D270" s="72"/>
      <c r="E270" s="72"/>
      <c r="F270" s="72"/>
      <c r="G270" s="72"/>
    </row>
    <row r="271" spans="3:7">
      <c r="C271" s="72"/>
      <c r="D271" s="72"/>
      <c r="E271" s="72"/>
      <c r="F271" s="72"/>
      <c r="G271" s="72"/>
    </row>
    <row r="272" spans="3:7">
      <c r="C272" s="72"/>
      <c r="D272" s="72"/>
      <c r="E272" s="72"/>
      <c r="F272" s="72"/>
      <c r="G272" s="72"/>
    </row>
    <row r="273" spans="3:7">
      <c r="C273" s="72"/>
      <c r="D273" s="72"/>
      <c r="E273" s="72"/>
      <c r="F273" s="72"/>
      <c r="G273" s="72"/>
    </row>
    <row r="274" spans="3:7">
      <c r="C274" s="72"/>
      <c r="D274" s="72"/>
      <c r="E274" s="72"/>
      <c r="F274" s="72"/>
      <c r="G274" s="72"/>
    </row>
    <row r="275" spans="3:7">
      <c r="C275" s="72"/>
      <c r="D275" s="72"/>
      <c r="E275" s="72"/>
      <c r="F275" s="72"/>
      <c r="G275" s="72"/>
    </row>
    <row r="276" spans="3:7">
      <c r="C276" s="72"/>
      <c r="D276" s="72"/>
      <c r="E276" s="72"/>
      <c r="F276" s="72"/>
      <c r="G276" s="72"/>
    </row>
    <row r="277" spans="3:7">
      <c r="C277" s="72"/>
      <c r="D277" s="72"/>
      <c r="E277" s="72"/>
      <c r="F277" s="72"/>
      <c r="G277" s="72"/>
    </row>
    <row r="278" spans="3:7">
      <c r="C278" s="72"/>
      <c r="D278" s="72"/>
      <c r="E278" s="72"/>
      <c r="F278" s="72"/>
      <c r="G278" s="72"/>
    </row>
    <row r="279" spans="3:7">
      <c r="C279" s="72"/>
      <c r="D279" s="72"/>
      <c r="E279" s="72"/>
      <c r="F279" s="72"/>
      <c r="G279" s="72"/>
    </row>
    <row r="280" spans="3:7">
      <c r="C280" s="72"/>
      <c r="D280" s="72"/>
      <c r="E280" s="72"/>
      <c r="F280" s="72"/>
      <c r="G280" s="72"/>
    </row>
    <row r="281" spans="3:7">
      <c r="C281" s="72"/>
      <c r="D281" s="72"/>
      <c r="E281" s="72"/>
      <c r="F281" s="72"/>
      <c r="G281" s="72"/>
    </row>
    <row r="282" spans="3:7">
      <c r="C282" s="72"/>
      <c r="D282" s="72"/>
      <c r="E282" s="72"/>
      <c r="F282" s="72"/>
      <c r="G282" s="72"/>
    </row>
    <row r="283" spans="3:7">
      <c r="C283" s="72"/>
      <c r="D283" s="72"/>
      <c r="E283" s="72"/>
      <c r="F283" s="72"/>
      <c r="G283" s="72"/>
    </row>
    <row r="284" spans="3:7">
      <c r="C284" s="72"/>
      <c r="D284" s="72"/>
      <c r="E284" s="72"/>
      <c r="F284" s="72"/>
      <c r="G284" s="72"/>
    </row>
    <row r="285" spans="3:7">
      <c r="C285" s="72"/>
      <c r="D285" s="72"/>
      <c r="E285" s="72"/>
      <c r="F285" s="72"/>
      <c r="G285" s="72"/>
    </row>
    <row r="286" spans="3:7">
      <c r="C286" s="72"/>
      <c r="D286" s="72"/>
      <c r="E286" s="72"/>
      <c r="F286" s="72"/>
      <c r="G286" s="72"/>
    </row>
    <row r="287" spans="3:7">
      <c r="C287" s="72"/>
      <c r="D287" s="72"/>
      <c r="E287" s="72"/>
      <c r="F287" s="72"/>
      <c r="G287" s="72"/>
    </row>
    <row r="288" spans="3:7">
      <c r="C288" s="72"/>
      <c r="D288" s="72"/>
      <c r="E288" s="72"/>
      <c r="F288" s="72"/>
      <c r="G288" s="72"/>
    </row>
    <row r="289" spans="3:7">
      <c r="C289" s="72"/>
      <c r="D289" s="72"/>
      <c r="E289" s="72"/>
      <c r="F289" s="72"/>
      <c r="G289" s="72"/>
    </row>
    <row r="290" spans="3:7">
      <c r="C290" s="72"/>
      <c r="D290" s="72"/>
      <c r="E290" s="72"/>
      <c r="F290" s="72"/>
      <c r="G290" s="72"/>
    </row>
    <row r="291" spans="3:7">
      <c r="C291" s="72"/>
      <c r="D291" s="72"/>
      <c r="E291" s="72"/>
      <c r="F291" s="72"/>
      <c r="G291" s="72"/>
    </row>
    <row r="292" spans="3:7">
      <c r="C292" s="72"/>
      <c r="D292" s="72"/>
      <c r="E292" s="72"/>
      <c r="F292" s="72"/>
      <c r="G292" s="72"/>
    </row>
    <row r="293" spans="3:7">
      <c r="C293" s="72"/>
      <c r="D293" s="72"/>
      <c r="E293" s="72"/>
      <c r="F293" s="72"/>
      <c r="G293" s="72"/>
    </row>
    <row r="294" spans="3:7">
      <c r="C294" s="72"/>
      <c r="D294" s="72"/>
      <c r="E294" s="72"/>
      <c r="F294" s="72"/>
      <c r="G294" s="72"/>
    </row>
    <row r="295" spans="3:7">
      <c r="C295" s="72"/>
      <c r="D295" s="72"/>
      <c r="E295" s="72"/>
      <c r="F295" s="72"/>
      <c r="G295" s="72"/>
    </row>
    <row r="296" spans="3:7">
      <c r="C296" s="72"/>
      <c r="D296" s="72"/>
      <c r="E296" s="72"/>
      <c r="F296" s="72"/>
      <c r="G296" s="72"/>
    </row>
    <row r="297" spans="3:7">
      <c r="C297" s="72"/>
      <c r="D297" s="72"/>
      <c r="E297" s="72"/>
      <c r="F297" s="72"/>
      <c r="G297" s="72"/>
    </row>
    <row r="298" spans="3:7">
      <c r="C298" s="72"/>
      <c r="D298" s="72"/>
      <c r="E298" s="72"/>
      <c r="F298" s="72"/>
      <c r="G298" s="72"/>
    </row>
    <row r="299" spans="3:7">
      <c r="C299" s="72"/>
      <c r="D299" s="72"/>
      <c r="E299" s="72"/>
      <c r="F299" s="72"/>
      <c r="G299" s="72"/>
    </row>
    <row r="300" spans="3:7">
      <c r="C300" s="72"/>
      <c r="D300" s="72"/>
      <c r="E300" s="72"/>
      <c r="F300" s="72"/>
      <c r="G300" s="72"/>
    </row>
    <row r="301" spans="3:7">
      <c r="C301" s="72"/>
      <c r="D301" s="72"/>
      <c r="E301" s="72"/>
      <c r="F301" s="72"/>
      <c r="G301" s="72"/>
    </row>
    <row r="302" spans="3:7">
      <c r="C302" s="72"/>
      <c r="D302" s="72"/>
      <c r="E302" s="72"/>
      <c r="F302" s="72"/>
      <c r="G302" s="72"/>
    </row>
    <row r="303" spans="3:7">
      <c r="C303" s="72"/>
      <c r="D303" s="72"/>
      <c r="E303" s="72"/>
      <c r="F303" s="72"/>
      <c r="G303" s="72"/>
    </row>
    <row r="304" spans="3:7">
      <c r="C304" s="72"/>
      <c r="D304" s="72"/>
      <c r="E304" s="72"/>
      <c r="F304" s="72"/>
      <c r="G304" s="72"/>
    </row>
    <row r="305" spans="3:7">
      <c r="C305" s="72"/>
      <c r="D305" s="72"/>
      <c r="E305" s="72"/>
      <c r="F305" s="72"/>
      <c r="G305" s="72"/>
    </row>
    <row r="306" spans="3:7">
      <c r="C306" s="72"/>
      <c r="D306" s="72"/>
      <c r="E306" s="72"/>
      <c r="F306" s="72"/>
      <c r="G306" s="72"/>
    </row>
    <row r="307" spans="3:7">
      <c r="C307" s="72"/>
      <c r="D307" s="72"/>
      <c r="E307" s="72"/>
      <c r="F307" s="72"/>
      <c r="G307" s="72"/>
    </row>
    <row r="308" spans="3:7">
      <c r="C308" s="72"/>
      <c r="D308" s="72"/>
      <c r="E308" s="72"/>
      <c r="F308" s="72"/>
      <c r="G308" s="72"/>
    </row>
    <row r="309" spans="3:7">
      <c r="C309" s="72"/>
      <c r="D309" s="72"/>
      <c r="E309" s="72"/>
      <c r="F309" s="72"/>
      <c r="G309" s="72"/>
    </row>
    <row r="310" spans="3:7">
      <c r="C310" s="72"/>
      <c r="D310" s="72"/>
      <c r="E310" s="72"/>
      <c r="F310" s="72"/>
      <c r="G310" s="72"/>
    </row>
    <row r="311" spans="3:7">
      <c r="C311" s="72"/>
      <c r="D311" s="72"/>
      <c r="E311" s="72"/>
      <c r="F311" s="72"/>
      <c r="G311" s="72"/>
    </row>
    <row r="312" spans="3:7">
      <c r="C312" s="72"/>
      <c r="D312" s="72"/>
      <c r="E312" s="72"/>
      <c r="F312" s="72"/>
      <c r="G312" s="72"/>
    </row>
    <row r="313" spans="3:7">
      <c r="C313" s="72"/>
      <c r="D313" s="72"/>
      <c r="E313" s="72"/>
      <c r="F313" s="72"/>
      <c r="G313" s="72"/>
    </row>
    <row r="314" spans="3:7">
      <c r="C314" s="72"/>
      <c r="D314" s="72"/>
      <c r="E314" s="72"/>
      <c r="F314" s="72"/>
      <c r="G314" s="72"/>
    </row>
    <row r="315" spans="3:7">
      <c r="C315" s="72"/>
      <c r="D315" s="72"/>
      <c r="E315" s="72"/>
      <c r="F315" s="72"/>
      <c r="G315" s="72"/>
    </row>
    <row r="316" spans="3:7">
      <c r="C316" s="72"/>
      <c r="D316" s="72"/>
      <c r="E316" s="72"/>
      <c r="F316" s="72"/>
      <c r="G316" s="72"/>
    </row>
    <row r="317" spans="3:7">
      <c r="C317" s="72"/>
      <c r="D317" s="72"/>
      <c r="E317" s="72"/>
      <c r="F317" s="72"/>
      <c r="G317" s="72"/>
    </row>
    <row r="318" spans="3:7">
      <c r="C318" s="72"/>
      <c r="D318" s="72"/>
      <c r="E318" s="72"/>
      <c r="F318" s="72"/>
      <c r="G318" s="72"/>
    </row>
    <row r="319" spans="3:7">
      <c r="C319" s="72"/>
      <c r="D319" s="72"/>
      <c r="E319" s="72"/>
      <c r="F319" s="72"/>
      <c r="G319" s="72"/>
    </row>
    <row r="320" spans="3:7">
      <c r="C320" s="72"/>
      <c r="D320" s="72"/>
      <c r="E320" s="72"/>
      <c r="F320" s="72"/>
      <c r="G320" s="72"/>
    </row>
    <row r="321" spans="3:7">
      <c r="C321" s="72"/>
      <c r="D321" s="72"/>
      <c r="E321" s="72"/>
      <c r="F321" s="72"/>
      <c r="G321" s="72"/>
    </row>
    <row r="322" spans="3:7">
      <c r="C322" s="72"/>
      <c r="D322" s="72"/>
      <c r="E322" s="72"/>
      <c r="F322" s="72"/>
      <c r="G322" s="72"/>
    </row>
    <row r="323" spans="3:7">
      <c r="C323" s="72"/>
      <c r="D323" s="72"/>
      <c r="E323" s="72"/>
      <c r="F323" s="72"/>
      <c r="G323" s="72"/>
    </row>
    <row r="324" spans="3:7">
      <c r="C324" s="72"/>
      <c r="D324" s="72"/>
      <c r="E324" s="72"/>
      <c r="F324" s="72"/>
      <c r="G324" s="72"/>
    </row>
    <row r="325" spans="3:7">
      <c r="C325" s="72"/>
      <c r="D325" s="72"/>
      <c r="E325" s="72"/>
      <c r="F325" s="72"/>
      <c r="G325" s="72"/>
    </row>
    <row r="326" spans="3:7">
      <c r="C326" s="72"/>
      <c r="D326" s="72"/>
      <c r="E326" s="72"/>
      <c r="F326" s="72"/>
      <c r="G326" s="72"/>
    </row>
    <row r="327" spans="3:7">
      <c r="C327" s="72"/>
      <c r="D327" s="72"/>
      <c r="E327" s="72"/>
      <c r="F327" s="72"/>
      <c r="G327" s="72"/>
    </row>
    <row r="328" spans="3:7">
      <c r="C328" s="72"/>
      <c r="D328" s="72"/>
      <c r="E328" s="72"/>
      <c r="F328" s="72"/>
      <c r="G328" s="72"/>
    </row>
    <row r="329" spans="3:7">
      <c r="C329" s="72"/>
      <c r="D329" s="72"/>
      <c r="E329" s="72"/>
      <c r="F329" s="72"/>
      <c r="G329" s="72"/>
    </row>
    <row r="330" spans="3:7">
      <c r="C330" s="72"/>
      <c r="D330" s="72"/>
      <c r="E330" s="72"/>
      <c r="F330" s="72"/>
      <c r="G330" s="72"/>
    </row>
    <row r="331" spans="3:7">
      <c r="C331" s="72"/>
      <c r="D331" s="72"/>
      <c r="E331" s="72"/>
      <c r="F331" s="72"/>
      <c r="G331" s="72"/>
    </row>
    <row r="332" spans="3:7">
      <c r="C332" s="72"/>
      <c r="D332" s="72"/>
      <c r="E332" s="72"/>
      <c r="F332" s="72"/>
      <c r="G332" s="72"/>
    </row>
    <row r="333" spans="3:7">
      <c r="C333" s="72"/>
      <c r="D333" s="72"/>
      <c r="E333" s="72"/>
      <c r="F333" s="72"/>
      <c r="G333" s="72"/>
    </row>
    <row r="334" spans="3:7">
      <c r="C334" s="72"/>
      <c r="D334" s="72"/>
      <c r="E334" s="72"/>
      <c r="F334" s="72"/>
      <c r="G334" s="72"/>
    </row>
    <row r="335" spans="3:7">
      <c r="C335" s="72"/>
      <c r="D335" s="72"/>
      <c r="E335" s="72"/>
      <c r="F335" s="72"/>
      <c r="G335" s="72"/>
    </row>
    <row r="336" spans="3:7">
      <c r="C336" s="72"/>
      <c r="D336" s="72"/>
      <c r="E336" s="72"/>
      <c r="F336" s="72"/>
      <c r="G336" s="72"/>
    </row>
    <row r="337" spans="3:7">
      <c r="C337" s="72"/>
      <c r="D337" s="72"/>
      <c r="E337" s="72"/>
      <c r="F337" s="72"/>
      <c r="G337" s="72"/>
    </row>
    <row r="338" spans="3:7">
      <c r="C338" s="72"/>
      <c r="D338" s="72"/>
      <c r="E338" s="72"/>
      <c r="F338" s="72"/>
      <c r="G338" s="72"/>
    </row>
    <row r="339" spans="3:7">
      <c r="C339" s="72"/>
      <c r="D339" s="72"/>
      <c r="E339" s="72"/>
      <c r="F339" s="72"/>
      <c r="G339" s="72"/>
    </row>
    <row r="340" spans="3:7">
      <c r="C340" s="72"/>
      <c r="D340" s="72"/>
      <c r="E340" s="72"/>
      <c r="F340" s="72"/>
      <c r="G340" s="72"/>
    </row>
    <row r="341" spans="3:7">
      <c r="C341" s="72"/>
      <c r="D341" s="72"/>
      <c r="E341" s="72"/>
      <c r="F341" s="72"/>
      <c r="G341" s="72"/>
    </row>
    <row r="342" spans="3:7">
      <c r="C342" s="72"/>
      <c r="D342" s="72"/>
      <c r="E342" s="72"/>
      <c r="F342" s="72"/>
      <c r="G342" s="72"/>
    </row>
    <row r="343" spans="3:7">
      <c r="C343" s="72"/>
      <c r="D343" s="72"/>
      <c r="E343" s="72"/>
      <c r="F343" s="72"/>
      <c r="G343" s="72"/>
    </row>
    <row r="344" spans="3:7">
      <c r="C344" s="72"/>
      <c r="D344" s="72"/>
      <c r="E344" s="72"/>
      <c r="F344" s="72"/>
      <c r="G344" s="72"/>
    </row>
    <row r="345" spans="3:7">
      <c r="C345" s="72"/>
      <c r="D345" s="72"/>
      <c r="E345" s="72"/>
      <c r="F345" s="72"/>
      <c r="G345" s="72"/>
    </row>
    <row r="346" spans="3:7">
      <c r="C346" s="72"/>
      <c r="D346" s="72"/>
      <c r="E346" s="72"/>
      <c r="F346" s="72"/>
      <c r="G346" s="72"/>
    </row>
    <row r="347" spans="3:7">
      <c r="C347" s="72"/>
      <c r="D347" s="72"/>
      <c r="E347" s="72"/>
      <c r="F347" s="72"/>
      <c r="G347" s="72"/>
    </row>
    <row r="348" spans="3:7">
      <c r="C348" s="72"/>
      <c r="D348" s="72"/>
      <c r="E348" s="72"/>
      <c r="F348" s="72"/>
      <c r="G348" s="72"/>
    </row>
    <row r="349" spans="3:7">
      <c r="C349" s="72"/>
      <c r="D349" s="72"/>
      <c r="E349" s="72"/>
      <c r="F349" s="72"/>
      <c r="G349" s="72"/>
    </row>
    <row r="350" spans="3:7">
      <c r="C350" s="72"/>
      <c r="D350" s="72"/>
      <c r="E350" s="72"/>
      <c r="F350" s="72"/>
      <c r="G350" s="72"/>
    </row>
    <row r="351" spans="3:7">
      <c r="C351" s="72"/>
      <c r="D351" s="72"/>
      <c r="E351" s="72"/>
      <c r="F351" s="72"/>
      <c r="G351" s="72"/>
    </row>
    <row r="352" spans="3:7">
      <c r="C352" s="72"/>
      <c r="D352" s="72"/>
      <c r="E352" s="72"/>
      <c r="F352" s="72"/>
      <c r="G352" s="72"/>
    </row>
    <row r="353" spans="3:7">
      <c r="C353" s="72"/>
      <c r="D353" s="72"/>
      <c r="E353" s="72"/>
      <c r="F353" s="72"/>
      <c r="G353" s="72"/>
    </row>
    <row r="354" spans="3:7">
      <c r="C354" s="72"/>
      <c r="D354" s="72"/>
      <c r="E354" s="72"/>
      <c r="F354" s="72"/>
      <c r="G354" s="72"/>
    </row>
    <row r="355" spans="3:7">
      <c r="C355" s="72"/>
      <c r="D355" s="72"/>
      <c r="E355" s="72"/>
      <c r="F355" s="72"/>
      <c r="G355" s="72"/>
    </row>
    <row r="356" spans="3:7">
      <c r="C356" s="72"/>
      <c r="D356" s="72"/>
      <c r="E356" s="72"/>
      <c r="F356" s="72"/>
      <c r="G356" s="72"/>
    </row>
    <row r="357" spans="3:7">
      <c r="C357" s="72"/>
      <c r="D357" s="72"/>
      <c r="E357" s="72"/>
      <c r="F357" s="72"/>
      <c r="G357" s="72"/>
    </row>
    <row r="358" spans="3:7">
      <c r="C358" s="72"/>
      <c r="D358" s="72"/>
      <c r="E358" s="72"/>
      <c r="F358" s="72"/>
      <c r="G358" s="72"/>
    </row>
    <row r="359" spans="3:7">
      <c r="C359" s="72"/>
      <c r="D359" s="72"/>
      <c r="E359" s="72"/>
      <c r="F359" s="72"/>
      <c r="G359" s="72"/>
    </row>
    <row r="360" spans="3:7">
      <c r="C360" s="72"/>
      <c r="D360" s="72"/>
      <c r="E360" s="72"/>
      <c r="F360" s="72"/>
      <c r="G360" s="72"/>
    </row>
    <row r="361" spans="3:7">
      <c r="C361" s="72"/>
      <c r="D361" s="72"/>
      <c r="E361" s="72"/>
      <c r="F361" s="72"/>
      <c r="G361" s="72"/>
    </row>
    <row r="362" spans="3:7">
      <c r="C362" s="72"/>
      <c r="D362" s="72"/>
      <c r="E362" s="72"/>
      <c r="F362" s="72"/>
      <c r="G362" s="72"/>
    </row>
    <row r="363" spans="3:7">
      <c r="C363" s="72"/>
      <c r="D363" s="72"/>
      <c r="E363" s="72"/>
      <c r="F363" s="72"/>
      <c r="G363" s="72"/>
    </row>
    <row r="364" spans="3:7">
      <c r="C364" s="72"/>
      <c r="D364" s="72"/>
      <c r="E364" s="72"/>
      <c r="F364" s="72"/>
      <c r="G364" s="72"/>
    </row>
    <row r="365" spans="3:7">
      <c r="C365" s="72"/>
      <c r="D365" s="72"/>
      <c r="E365" s="72"/>
      <c r="F365" s="72"/>
      <c r="G365" s="72"/>
    </row>
    <row r="366" spans="3:7">
      <c r="C366" s="72"/>
      <c r="D366" s="72"/>
      <c r="E366" s="72"/>
      <c r="F366" s="72"/>
      <c r="G366" s="72"/>
    </row>
    <row r="367" spans="3:7">
      <c r="C367" s="72"/>
      <c r="D367" s="72"/>
      <c r="E367" s="72"/>
      <c r="F367" s="72"/>
      <c r="G367" s="72"/>
    </row>
    <row r="368" spans="3:7">
      <c r="C368" s="72"/>
      <c r="D368" s="72"/>
      <c r="E368" s="72"/>
      <c r="F368" s="72"/>
      <c r="G368" s="72"/>
    </row>
    <row r="369" spans="3:7">
      <c r="C369" s="72"/>
      <c r="D369" s="72"/>
      <c r="E369" s="72"/>
      <c r="F369" s="72"/>
      <c r="G369" s="72"/>
    </row>
    <row r="370" spans="3:7">
      <c r="C370" s="72"/>
      <c r="D370" s="72"/>
      <c r="E370" s="72"/>
      <c r="F370" s="72"/>
      <c r="G370" s="72"/>
    </row>
    <row r="371" spans="3:7">
      <c r="C371" s="72"/>
      <c r="D371" s="72"/>
      <c r="E371" s="72"/>
      <c r="F371" s="72"/>
      <c r="G371" s="72"/>
    </row>
    <row r="372" spans="3:7">
      <c r="C372" s="72"/>
      <c r="D372" s="72"/>
      <c r="E372" s="72"/>
      <c r="F372" s="72"/>
      <c r="G372" s="72"/>
    </row>
    <row r="373" spans="3:7">
      <c r="C373" s="72"/>
      <c r="D373" s="72"/>
      <c r="E373" s="72"/>
      <c r="F373" s="72"/>
      <c r="G373" s="72"/>
    </row>
    <row r="374" spans="3:7">
      <c r="C374" s="72"/>
      <c r="D374" s="72"/>
      <c r="E374" s="72"/>
      <c r="F374" s="72"/>
      <c r="G374" s="72"/>
    </row>
    <row r="375" spans="3:7">
      <c r="C375" s="72"/>
      <c r="D375" s="72"/>
      <c r="E375" s="72"/>
      <c r="F375" s="72"/>
      <c r="G375" s="72"/>
    </row>
    <row r="376" spans="3:7">
      <c r="C376" s="72"/>
      <c r="D376" s="72"/>
      <c r="E376" s="72"/>
      <c r="F376" s="72"/>
      <c r="G376" s="72"/>
    </row>
    <row r="377" spans="3:7">
      <c r="C377" s="72"/>
      <c r="D377" s="72"/>
      <c r="E377" s="72"/>
      <c r="F377" s="72"/>
      <c r="G377" s="72"/>
    </row>
    <row r="378" spans="3:7">
      <c r="C378" s="72"/>
      <c r="D378" s="72"/>
      <c r="E378" s="72"/>
      <c r="F378" s="72"/>
      <c r="G378" s="72"/>
    </row>
    <row r="379" spans="3:7">
      <c r="C379" s="72"/>
      <c r="D379" s="72"/>
      <c r="E379" s="72"/>
      <c r="F379" s="72"/>
      <c r="G379" s="72"/>
    </row>
    <row r="380" spans="3:7">
      <c r="C380" s="72"/>
      <c r="D380" s="72"/>
      <c r="E380" s="72"/>
      <c r="F380" s="72"/>
      <c r="G380" s="72"/>
    </row>
    <row r="381" spans="3:7">
      <c r="C381" s="72"/>
      <c r="D381" s="72"/>
      <c r="E381" s="72"/>
      <c r="F381" s="72"/>
      <c r="G381" s="72"/>
    </row>
    <row r="382" spans="3:7">
      <c r="C382" s="72"/>
      <c r="D382" s="72"/>
      <c r="E382" s="72"/>
      <c r="F382" s="72"/>
      <c r="G382" s="72"/>
    </row>
    <row r="383" spans="3:7">
      <c r="C383" s="72"/>
      <c r="D383" s="72"/>
      <c r="E383" s="72"/>
      <c r="F383" s="72"/>
      <c r="G383" s="72"/>
    </row>
    <row r="384" spans="3:7">
      <c r="C384" s="72"/>
      <c r="D384" s="72"/>
      <c r="E384" s="72"/>
      <c r="F384" s="72"/>
      <c r="G384" s="72"/>
    </row>
    <row r="385" spans="3:7">
      <c r="C385" s="72"/>
      <c r="D385" s="72"/>
      <c r="E385" s="72"/>
      <c r="F385" s="72"/>
      <c r="G385" s="72"/>
    </row>
    <row r="386" spans="3:7">
      <c r="C386" s="72"/>
      <c r="D386" s="72"/>
      <c r="E386" s="72"/>
      <c r="F386" s="72"/>
      <c r="G386" s="72"/>
    </row>
    <row r="387" spans="3:7">
      <c r="C387" s="72"/>
      <c r="D387" s="72"/>
      <c r="E387" s="72"/>
      <c r="F387" s="72"/>
      <c r="G387" s="72"/>
    </row>
    <row r="388" spans="3:7">
      <c r="C388" s="72"/>
      <c r="D388" s="72"/>
      <c r="E388" s="72"/>
      <c r="F388" s="72"/>
      <c r="G388" s="72"/>
    </row>
    <row r="389" spans="3:7">
      <c r="C389" s="72"/>
      <c r="D389" s="72"/>
      <c r="E389" s="72"/>
      <c r="F389" s="72"/>
      <c r="G389" s="72"/>
    </row>
    <row r="390" spans="3:7">
      <c r="C390" s="72"/>
      <c r="D390" s="72"/>
      <c r="E390" s="72"/>
      <c r="F390" s="72"/>
      <c r="G390" s="72"/>
    </row>
    <row r="391" spans="3:7">
      <c r="C391" s="72"/>
      <c r="D391" s="72"/>
      <c r="E391" s="72"/>
      <c r="F391" s="72"/>
      <c r="G391" s="72"/>
    </row>
    <row r="392" spans="3:7">
      <c r="C392" s="72"/>
      <c r="D392" s="72"/>
      <c r="E392" s="72"/>
      <c r="F392" s="72"/>
      <c r="G392" s="72"/>
    </row>
    <row r="393" spans="3:7">
      <c r="C393" s="72"/>
      <c r="D393" s="72"/>
      <c r="E393" s="72"/>
      <c r="F393" s="72"/>
      <c r="G393" s="72"/>
    </row>
    <row r="394" spans="3:7">
      <c r="C394" s="72"/>
      <c r="D394" s="72"/>
      <c r="E394" s="72"/>
      <c r="F394" s="72"/>
      <c r="G394" s="72"/>
    </row>
    <row r="395" spans="3:7">
      <c r="C395" s="72"/>
      <c r="D395" s="72"/>
      <c r="E395" s="72"/>
      <c r="F395" s="72"/>
      <c r="G395" s="72"/>
    </row>
    <row r="396" spans="3:7">
      <c r="C396" s="72"/>
      <c r="D396" s="72"/>
      <c r="E396" s="72"/>
      <c r="F396" s="72"/>
      <c r="G396" s="72"/>
    </row>
    <row r="397" spans="3:7">
      <c r="C397" s="72"/>
      <c r="D397" s="72"/>
      <c r="E397" s="72"/>
      <c r="F397" s="72"/>
      <c r="G397" s="72"/>
    </row>
    <row r="398" spans="3:7">
      <c r="C398" s="72"/>
      <c r="D398" s="72"/>
      <c r="E398" s="72"/>
      <c r="F398" s="72"/>
      <c r="G398" s="72"/>
    </row>
    <row r="399" spans="3:7">
      <c r="C399" s="72"/>
      <c r="D399" s="72"/>
      <c r="E399" s="72"/>
      <c r="F399" s="72"/>
      <c r="G399" s="72"/>
    </row>
    <row r="400" spans="3:7">
      <c r="C400" s="72"/>
      <c r="D400" s="72"/>
      <c r="E400" s="72"/>
      <c r="F400" s="72"/>
      <c r="G400" s="72"/>
    </row>
    <row r="401" spans="3:7">
      <c r="C401" s="72"/>
      <c r="D401" s="72"/>
      <c r="E401" s="72"/>
      <c r="F401" s="72"/>
      <c r="G401" s="72"/>
    </row>
    <row r="402" spans="3:7">
      <c r="C402" s="72"/>
      <c r="D402" s="72"/>
      <c r="E402" s="72"/>
      <c r="F402" s="72"/>
      <c r="G402" s="72"/>
    </row>
    <row r="403" spans="3:7">
      <c r="C403" s="72"/>
      <c r="D403" s="72"/>
      <c r="E403" s="72"/>
      <c r="F403" s="72"/>
      <c r="G403" s="72"/>
    </row>
    <row r="404" spans="3:7">
      <c r="C404" s="72"/>
      <c r="D404" s="72"/>
      <c r="E404" s="72"/>
      <c r="F404" s="72"/>
      <c r="G404" s="72"/>
    </row>
    <row r="405" spans="3:7">
      <c r="C405" s="72"/>
      <c r="D405" s="72"/>
      <c r="E405" s="72"/>
      <c r="F405" s="72"/>
      <c r="G405" s="72"/>
    </row>
    <row r="406" spans="3:7">
      <c r="C406" s="72"/>
      <c r="D406" s="72"/>
      <c r="E406" s="72"/>
      <c r="F406" s="72"/>
      <c r="G406" s="72"/>
    </row>
    <row r="407" spans="3:7">
      <c r="C407" s="72"/>
      <c r="D407" s="72"/>
      <c r="E407" s="72"/>
      <c r="F407" s="72"/>
      <c r="G407" s="72"/>
    </row>
    <row r="408" spans="3:7">
      <c r="C408" s="72"/>
      <c r="D408" s="72"/>
      <c r="E408" s="72"/>
      <c r="F408" s="72"/>
      <c r="G408" s="72"/>
    </row>
    <row r="409" spans="3:7">
      <c r="C409" s="72"/>
      <c r="D409" s="72"/>
      <c r="E409" s="72"/>
      <c r="F409" s="72"/>
      <c r="G409" s="72"/>
    </row>
    <row r="410" spans="3:7">
      <c r="C410" s="72"/>
      <c r="D410" s="72"/>
      <c r="E410" s="72"/>
      <c r="F410" s="72"/>
      <c r="G410" s="72"/>
    </row>
    <row r="411" spans="3:7">
      <c r="C411" s="72"/>
      <c r="D411" s="72"/>
      <c r="E411" s="72"/>
      <c r="F411" s="72"/>
      <c r="G411" s="72"/>
    </row>
    <row r="412" spans="3:7">
      <c r="C412" s="72"/>
      <c r="D412" s="72"/>
      <c r="E412" s="72"/>
      <c r="F412" s="72"/>
      <c r="G412" s="72"/>
    </row>
    <row r="413" spans="3:7">
      <c r="C413" s="72"/>
      <c r="D413" s="72"/>
      <c r="E413" s="72"/>
      <c r="F413" s="72"/>
      <c r="G413" s="72"/>
    </row>
    <row r="414" spans="3:7">
      <c r="C414" s="72"/>
      <c r="D414" s="72"/>
      <c r="E414" s="72"/>
      <c r="F414" s="72"/>
      <c r="G414" s="72"/>
    </row>
    <row r="415" spans="3:7">
      <c r="C415" s="72"/>
      <c r="D415" s="72"/>
      <c r="E415" s="72"/>
      <c r="F415" s="72"/>
      <c r="G415" s="72"/>
    </row>
    <row r="416" spans="3:7">
      <c r="C416" s="72"/>
      <c r="D416" s="72"/>
      <c r="E416" s="72"/>
      <c r="F416" s="72"/>
      <c r="G416" s="72"/>
    </row>
    <row r="417" spans="3:7">
      <c r="C417" s="72"/>
      <c r="D417" s="72"/>
      <c r="E417" s="72"/>
      <c r="F417" s="72"/>
      <c r="G417" s="72"/>
    </row>
    <row r="418" spans="3:7">
      <c r="C418" s="72"/>
      <c r="D418" s="72"/>
      <c r="E418" s="72"/>
      <c r="F418" s="72"/>
      <c r="G418" s="72"/>
    </row>
    <row r="419" spans="3:7">
      <c r="C419" s="72"/>
      <c r="D419" s="72"/>
      <c r="E419" s="72"/>
      <c r="F419" s="72"/>
      <c r="G419" s="72"/>
    </row>
    <row r="420" spans="3:7">
      <c r="C420" s="72"/>
      <c r="D420" s="72"/>
      <c r="E420" s="72"/>
      <c r="F420" s="72"/>
      <c r="G420" s="72"/>
    </row>
    <row r="421" spans="3:7">
      <c r="C421" s="72"/>
      <c r="D421" s="72"/>
      <c r="E421" s="72"/>
      <c r="F421" s="72"/>
      <c r="G421" s="72"/>
    </row>
    <row r="422" spans="3:7">
      <c r="C422" s="72"/>
      <c r="D422" s="72"/>
      <c r="E422" s="72"/>
      <c r="F422" s="72"/>
      <c r="G422" s="72"/>
    </row>
    <row r="423" spans="3:7">
      <c r="C423" s="72"/>
      <c r="D423" s="72"/>
      <c r="E423" s="72"/>
      <c r="F423" s="72"/>
      <c r="G423" s="72"/>
    </row>
    <row r="424" spans="3:7">
      <c r="C424" s="72"/>
      <c r="D424" s="72"/>
      <c r="E424" s="72"/>
      <c r="F424" s="72"/>
      <c r="G424" s="72"/>
    </row>
    <row r="425" spans="3:7">
      <c r="C425" s="72"/>
      <c r="D425" s="72"/>
      <c r="E425" s="72"/>
      <c r="F425" s="72"/>
      <c r="G425" s="72"/>
    </row>
    <row r="426" spans="3:7">
      <c r="C426" s="72"/>
      <c r="D426" s="72"/>
      <c r="E426" s="72"/>
      <c r="F426" s="72"/>
      <c r="G426" s="72"/>
    </row>
    <row r="427" spans="3:7">
      <c r="C427" s="72"/>
      <c r="D427" s="72"/>
      <c r="E427" s="72"/>
      <c r="F427" s="72"/>
      <c r="G427" s="72"/>
    </row>
    <row r="428" spans="3:7">
      <c r="C428" s="72"/>
      <c r="D428" s="72"/>
      <c r="E428" s="72"/>
      <c r="F428" s="72"/>
      <c r="G428" s="72"/>
    </row>
    <row r="429" spans="3:7">
      <c r="C429" s="72"/>
      <c r="D429" s="72"/>
      <c r="E429" s="72"/>
      <c r="F429" s="72"/>
      <c r="G429" s="72"/>
    </row>
    <row r="430" spans="3:7">
      <c r="C430" s="72"/>
      <c r="D430" s="72"/>
      <c r="E430" s="72"/>
      <c r="F430" s="72"/>
      <c r="G430" s="72"/>
    </row>
    <row r="431" spans="3:7">
      <c r="C431" s="72"/>
      <c r="D431" s="72"/>
      <c r="E431" s="72"/>
      <c r="F431" s="72"/>
      <c r="G431" s="72"/>
    </row>
    <row r="432" spans="3:7">
      <c r="C432" s="72"/>
      <c r="D432" s="72"/>
      <c r="E432" s="72"/>
      <c r="F432" s="72"/>
      <c r="G432" s="72"/>
    </row>
    <row r="433" spans="3:7">
      <c r="C433" s="72"/>
      <c r="D433" s="72"/>
      <c r="E433" s="72"/>
      <c r="F433" s="72"/>
      <c r="G433" s="72"/>
    </row>
    <row r="434" spans="3:7">
      <c r="C434" s="72"/>
      <c r="D434" s="72"/>
      <c r="E434" s="72"/>
      <c r="F434" s="72"/>
      <c r="G434" s="72"/>
    </row>
    <row r="435" spans="3:7">
      <c r="C435" s="72"/>
      <c r="D435" s="72"/>
      <c r="E435" s="72"/>
      <c r="F435" s="72"/>
      <c r="G435" s="72"/>
    </row>
    <row r="436" spans="3:7">
      <c r="C436" s="72"/>
      <c r="D436" s="72"/>
      <c r="E436" s="72"/>
      <c r="F436" s="72"/>
      <c r="G436" s="72"/>
    </row>
    <row r="437" spans="3:7">
      <c r="C437" s="72"/>
      <c r="D437" s="72"/>
      <c r="E437" s="72"/>
      <c r="F437" s="72"/>
      <c r="G437" s="72"/>
    </row>
    <row r="438" spans="3:7">
      <c r="C438" s="72"/>
      <c r="D438" s="72"/>
      <c r="E438" s="72"/>
      <c r="F438" s="72"/>
      <c r="G438" s="72"/>
    </row>
    <row r="439" spans="3:7">
      <c r="C439" s="72"/>
      <c r="D439" s="72"/>
      <c r="E439" s="72"/>
      <c r="F439" s="72"/>
      <c r="G439" s="72"/>
    </row>
    <row r="440" spans="3:7">
      <c r="C440" s="72"/>
      <c r="D440" s="72"/>
      <c r="E440" s="72"/>
      <c r="F440" s="72"/>
      <c r="G440" s="72"/>
    </row>
    <row r="441" spans="3:7">
      <c r="C441" s="72"/>
      <c r="D441" s="72"/>
      <c r="E441" s="72"/>
      <c r="F441" s="72"/>
      <c r="G441" s="72"/>
    </row>
    <row r="442" spans="3:7">
      <c r="C442" s="72"/>
      <c r="D442" s="72"/>
      <c r="E442" s="72"/>
      <c r="F442" s="72"/>
      <c r="G442" s="72"/>
    </row>
    <row r="443" spans="3:7">
      <c r="C443" s="72"/>
      <c r="D443" s="72"/>
      <c r="E443" s="72"/>
      <c r="F443" s="72"/>
      <c r="G443" s="72"/>
    </row>
    <row r="444" spans="3:7">
      <c r="C444" s="72"/>
      <c r="D444" s="72"/>
      <c r="E444" s="72"/>
      <c r="F444" s="72"/>
      <c r="G444" s="72"/>
    </row>
    <row r="445" spans="3:7">
      <c r="C445" s="72"/>
      <c r="D445" s="72"/>
      <c r="E445" s="72"/>
      <c r="F445" s="72"/>
      <c r="G445" s="72"/>
    </row>
    <row r="446" spans="3:7">
      <c r="C446" s="72"/>
      <c r="D446" s="72"/>
      <c r="E446" s="72"/>
      <c r="F446" s="72"/>
      <c r="G446" s="72"/>
    </row>
    <row r="447" spans="3:7">
      <c r="C447" s="72"/>
      <c r="D447" s="72"/>
      <c r="E447" s="72"/>
      <c r="F447" s="72"/>
      <c r="G447" s="72"/>
    </row>
    <row r="448" spans="3:7">
      <c r="C448" s="72"/>
      <c r="D448" s="72"/>
      <c r="E448" s="72"/>
      <c r="F448" s="72"/>
      <c r="G448" s="72"/>
    </row>
    <row r="449" spans="3:7">
      <c r="C449" s="72"/>
      <c r="D449" s="72"/>
      <c r="E449" s="72"/>
      <c r="F449" s="72"/>
      <c r="G449" s="72"/>
    </row>
    <row r="450" spans="3:7">
      <c r="C450" s="72"/>
      <c r="D450" s="72"/>
      <c r="E450" s="72"/>
      <c r="F450" s="72"/>
      <c r="G450" s="72"/>
    </row>
    <row r="451" spans="3:7">
      <c r="C451" s="72"/>
      <c r="D451" s="72"/>
      <c r="E451" s="72"/>
      <c r="F451" s="72"/>
      <c r="G451" s="72"/>
    </row>
    <row r="452" spans="3:7">
      <c r="C452" s="72"/>
      <c r="D452" s="72"/>
      <c r="E452" s="72"/>
      <c r="F452" s="72"/>
      <c r="G452" s="72"/>
    </row>
    <row r="453" spans="3:7">
      <c r="C453" s="72"/>
      <c r="D453" s="72"/>
      <c r="E453" s="72"/>
      <c r="F453" s="72"/>
      <c r="G453" s="72"/>
    </row>
    <row r="454" spans="3:7">
      <c r="C454" s="72"/>
      <c r="D454" s="72"/>
      <c r="E454" s="72"/>
      <c r="F454" s="72"/>
      <c r="G454" s="72"/>
    </row>
    <row r="455" spans="3:7">
      <c r="C455" s="72"/>
      <c r="D455" s="72"/>
      <c r="E455" s="72"/>
      <c r="F455" s="72"/>
      <c r="G455" s="72"/>
    </row>
    <row r="456" spans="3:7">
      <c r="C456" s="72"/>
      <c r="D456" s="72"/>
      <c r="E456" s="72"/>
      <c r="F456" s="72"/>
      <c r="G456" s="72"/>
    </row>
    <row r="457" spans="3:7">
      <c r="C457" s="72"/>
      <c r="D457" s="72"/>
      <c r="E457" s="72"/>
      <c r="F457" s="72"/>
      <c r="G457" s="72"/>
    </row>
    <row r="458" spans="3:7">
      <c r="C458" s="72"/>
      <c r="D458" s="72"/>
      <c r="E458" s="72"/>
      <c r="F458" s="72"/>
      <c r="G458" s="72"/>
    </row>
    <row r="459" spans="3:7">
      <c r="C459" s="72"/>
      <c r="D459" s="72"/>
      <c r="E459" s="72"/>
      <c r="F459" s="72"/>
      <c r="G459" s="72"/>
    </row>
    <row r="460" spans="3:7">
      <c r="C460" s="72"/>
      <c r="D460" s="72"/>
      <c r="E460" s="72"/>
      <c r="F460" s="72"/>
      <c r="G460" s="72"/>
    </row>
    <row r="461" spans="3:7">
      <c r="C461" s="72"/>
      <c r="D461" s="72"/>
      <c r="E461" s="72"/>
      <c r="F461" s="72"/>
      <c r="G461" s="72"/>
    </row>
    <row r="462" spans="3:7">
      <c r="C462" s="72"/>
      <c r="D462" s="72"/>
      <c r="E462" s="72"/>
      <c r="F462" s="72"/>
      <c r="G462" s="72"/>
    </row>
    <row r="463" spans="3:7">
      <c r="C463" s="72"/>
      <c r="D463" s="72"/>
      <c r="E463" s="72"/>
      <c r="F463" s="72"/>
      <c r="G463" s="72"/>
    </row>
    <row r="464" spans="3:7">
      <c r="C464" s="72"/>
      <c r="D464" s="72"/>
      <c r="E464" s="72"/>
      <c r="F464" s="72"/>
      <c r="G464" s="72"/>
    </row>
    <row r="465" spans="3:7">
      <c r="C465" s="72"/>
      <c r="D465" s="72"/>
      <c r="E465" s="72"/>
      <c r="F465" s="72"/>
      <c r="G465" s="72"/>
    </row>
    <row r="466" spans="3:7">
      <c r="C466" s="72"/>
      <c r="D466" s="72"/>
      <c r="E466" s="72"/>
      <c r="F466" s="72"/>
      <c r="G466" s="72"/>
    </row>
    <row r="467" spans="3:7">
      <c r="C467" s="72"/>
      <c r="D467" s="72"/>
      <c r="E467" s="72"/>
      <c r="F467" s="72"/>
      <c r="G467" s="72"/>
    </row>
    <row r="468" spans="3:7">
      <c r="C468" s="72"/>
      <c r="D468" s="72"/>
      <c r="E468" s="72"/>
      <c r="F468" s="72"/>
      <c r="G468" s="72"/>
    </row>
    <row r="469" spans="3:7">
      <c r="C469" s="72"/>
      <c r="D469" s="72"/>
      <c r="E469" s="72"/>
      <c r="F469" s="72"/>
      <c r="G469" s="72"/>
    </row>
    <row r="470" spans="3:7">
      <c r="C470" s="72"/>
      <c r="D470" s="72"/>
      <c r="E470" s="72"/>
      <c r="F470" s="72"/>
      <c r="G470" s="72"/>
    </row>
    <row r="471" spans="3:7">
      <c r="C471" s="72"/>
      <c r="D471" s="72"/>
      <c r="E471" s="72"/>
      <c r="F471" s="72"/>
      <c r="G471" s="72"/>
    </row>
    <row r="472" spans="3:7">
      <c r="C472" s="72"/>
      <c r="D472" s="72"/>
      <c r="E472" s="72"/>
      <c r="F472" s="72"/>
      <c r="G472" s="72"/>
    </row>
    <row r="473" spans="3:7">
      <c r="C473" s="72"/>
      <c r="D473" s="72"/>
      <c r="E473" s="72"/>
      <c r="F473" s="72"/>
      <c r="G473" s="72"/>
    </row>
    <row r="474" spans="3:7">
      <c r="C474" s="72"/>
      <c r="D474" s="72"/>
      <c r="E474" s="72"/>
      <c r="F474" s="72"/>
      <c r="G474" s="72"/>
    </row>
    <row r="475" spans="3:7">
      <c r="C475" s="72"/>
      <c r="D475" s="72"/>
      <c r="E475" s="72"/>
      <c r="F475" s="72"/>
      <c r="G475" s="72"/>
    </row>
    <row r="476" spans="3:7">
      <c r="C476" s="72"/>
      <c r="D476" s="72"/>
      <c r="E476" s="72"/>
      <c r="F476" s="72"/>
      <c r="G476" s="72"/>
    </row>
    <row r="477" spans="3:7">
      <c r="C477" s="72"/>
      <c r="D477" s="72"/>
      <c r="E477" s="72"/>
      <c r="F477" s="72"/>
      <c r="G477" s="72"/>
    </row>
    <row r="478" spans="3:7">
      <c r="C478" s="72"/>
      <c r="D478" s="72"/>
      <c r="E478" s="72"/>
      <c r="F478" s="72"/>
      <c r="G478" s="72"/>
    </row>
    <row r="479" spans="3:7">
      <c r="C479" s="72"/>
      <c r="D479" s="72"/>
      <c r="E479" s="72"/>
      <c r="F479" s="72"/>
      <c r="G479" s="72"/>
    </row>
    <row r="480" spans="3:7">
      <c r="C480" s="72"/>
      <c r="D480" s="72"/>
      <c r="E480" s="72"/>
      <c r="F480" s="72"/>
      <c r="G480" s="72"/>
    </row>
    <row r="481" spans="3:7">
      <c r="C481" s="72"/>
      <c r="D481" s="72"/>
      <c r="E481" s="72"/>
      <c r="F481" s="72"/>
      <c r="G481" s="72"/>
    </row>
    <row r="482" spans="3:7">
      <c r="C482" s="72"/>
      <c r="D482" s="72"/>
      <c r="E482" s="72"/>
      <c r="F482" s="72"/>
      <c r="G482" s="72"/>
    </row>
    <row r="483" spans="3:7">
      <c r="C483" s="72"/>
      <c r="D483" s="72"/>
      <c r="E483" s="72"/>
      <c r="F483" s="72"/>
      <c r="G483" s="72"/>
    </row>
    <row r="484" spans="3:7">
      <c r="C484" s="72"/>
      <c r="D484" s="72"/>
      <c r="E484" s="72"/>
      <c r="F484" s="72"/>
      <c r="G484" s="72"/>
    </row>
    <row r="485" spans="3:7">
      <c r="C485" s="72"/>
      <c r="D485" s="72"/>
      <c r="E485" s="72"/>
      <c r="F485" s="72"/>
      <c r="G485" s="72"/>
    </row>
    <row r="486" spans="3:7">
      <c r="C486" s="72"/>
      <c r="D486" s="72"/>
      <c r="E486" s="72"/>
      <c r="F486" s="72"/>
      <c r="G486" s="72"/>
    </row>
    <row r="487" spans="3:7">
      <c r="C487" s="72"/>
      <c r="D487" s="72"/>
      <c r="E487" s="72"/>
      <c r="F487" s="72"/>
      <c r="G487" s="72"/>
    </row>
    <row r="488" spans="3:7">
      <c r="C488" s="72"/>
      <c r="D488" s="72"/>
      <c r="E488" s="72"/>
      <c r="F488" s="72"/>
      <c r="G488" s="72"/>
    </row>
    <row r="489" spans="3:7">
      <c r="C489" s="72"/>
      <c r="D489" s="72"/>
      <c r="E489" s="72"/>
      <c r="F489" s="72"/>
      <c r="G489" s="72"/>
    </row>
    <row r="490" spans="3:7">
      <c r="C490" s="72"/>
      <c r="D490" s="72"/>
      <c r="E490" s="72"/>
      <c r="F490" s="72"/>
      <c r="G490" s="72"/>
    </row>
    <row r="491" spans="3:7">
      <c r="C491" s="72"/>
      <c r="D491" s="72"/>
      <c r="E491" s="72"/>
      <c r="F491" s="72"/>
      <c r="G491" s="72"/>
    </row>
    <row r="492" spans="3:7">
      <c r="C492" s="72"/>
      <c r="D492" s="72"/>
      <c r="E492" s="72"/>
      <c r="F492" s="72"/>
      <c r="G492" s="72"/>
    </row>
    <row r="493" spans="3:7">
      <c r="C493" s="72"/>
      <c r="D493" s="72"/>
      <c r="E493" s="72"/>
      <c r="F493" s="72"/>
      <c r="G493" s="72"/>
    </row>
    <row r="494" spans="3:7">
      <c r="C494" s="72"/>
      <c r="D494" s="72"/>
      <c r="E494" s="72"/>
      <c r="F494" s="72"/>
      <c r="G494" s="72"/>
    </row>
    <row r="495" spans="3:7">
      <c r="C495" s="72"/>
      <c r="D495" s="72"/>
      <c r="E495" s="72"/>
      <c r="F495" s="72"/>
      <c r="G495" s="72"/>
    </row>
    <row r="496" spans="3:7">
      <c r="C496" s="72"/>
      <c r="D496" s="72"/>
      <c r="E496" s="72"/>
      <c r="F496" s="72"/>
      <c r="G496" s="72"/>
    </row>
    <row r="497" spans="3:7">
      <c r="C497" s="72"/>
      <c r="D497" s="72"/>
      <c r="E497" s="72"/>
      <c r="F497" s="72"/>
      <c r="G497" s="72"/>
    </row>
    <row r="498" spans="3:7">
      <c r="C498" s="72"/>
      <c r="D498" s="72"/>
      <c r="E498" s="72"/>
      <c r="F498" s="72"/>
      <c r="G498" s="72"/>
    </row>
    <row r="499" spans="3:7">
      <c r="C499" s="72"/>
      <c r="D499" s="72"/>
      <c r="E499" s="72"/>
      <c r="F499" s="72"/>
      <c r="G499" s="72"/>
    </row>
    <row r="500" spans="3:7">
      <c r="C500" s="72"/>
      <c r="D500" s="72"/>
      <c r="E500" s="72"/>
      <c r="F500" s="72"/>
      <c r="G500" s="72"/>
    </row>
    <row r="501" spans="3:7">
      <c r="C501" s="72"/>
      <c r="D501" s="72"/>
      <c r="E501" s="72"/>
      <c r="F501" s="72"/>
      <c r="G501" s="72"/>
    </row>
    <row r="502" spans="3:7">
      <c r="C502" s="72"/>
      <c r="D502" s="72"/>
      <c r="E502" s="72"/>
      <c r="F502" s="72"/>
      <c r="G502" s="72"/>
    </row>
    <row r="503" spans="3:7">
      <c r="C503" s="72"/>
      <c r="D503" s="72"/>
      <c r="E503" s="72"/>
      <c r="F503" s="72"/>
      <c r="G503" s="72"/>
    </row>
    <row r="504" spans="3:7">
      <c r="C504" s="72"/>
      <c r="D504" s="72"/>
      <c r="E504" s="72"/>
      <c r="F504" s="72"/>
      <c r="G504" s="72"/>
    </row>
    <row r="505" spans="3:7">
      <c r="C505" s="72"/>
      <c r="D505" s="72"/>
      <c r="E505" s="72"/>
      <c r="F505" s="72"/>
      <c r="G505" s="72"/>
    </row>
    <row r="506" spans="3:7">
      <c r="C506" s="72"/>
      <c r="D506" s="72"/>
      <c r="E506" s="72"/>
      <c r="F506" s="72"/>
      <c r="G506" s="72"/>
    </row>
    <row r="507" spans="3:7">
      <c r="C507" s="72"/>
      <c r="D507" s="72"/>
      <c r="E507" s="72"/>
      <c r="F507" s="72"/>
      <c r="G507" s="72"/>
    </row>
    <row r="508" spans="3:7">
      <c r="C508" s="72"/>
      <c r="D508" s="72"/>
      <c r="E508" s="72"/>
      <c r="F508" s="72"/>
      <c r="G508" s="72"/>
    </row>
    <row r="509" spans="3:7">
      <c r="C509" s="72"/>
      <c r="D509" s="72"/>
      <c r="E509" s="72"/>
      <c r="F509" s="72"/>
      <c r="G509" s="72"/>
    </row>
    <row r="510" spans="3:7">
      <c r="C510" s="72"/>
      <c r="D510" s="72"/>
      <c r="E510" s="72"/>
      <c r="F510" s="72"/>
      <c r="G510" s="72"/>
    </row>
    <row r="511" spans="3:7">
      <c r="C511" s="72"/>
      <c r="D511" s="72"/>
      <c r="E511" s="72"/>
      <c r="F511" s="72"/>
      <c r="G511" s="72"/>
    </row>
    <row r="512" spans="3:7">
      <c r="C512" s="72"/>
      <c r="D512" s="72"/>
      <c r="E512" s="72"/>
      <c r="F512" s="72"/>
      <c r="G512" s="72"/>
    </row>
    <row r="513" spans="3:7">
      <c r="C513" s="72"/>
      <c r="D513" s="72"/>
      <c r="E513" s="72"/>
      <c r="F513" s="72"/>
      <c r="G513" s="72"/>
    </row>
    <row r="514" spans="3:7">
      <c r="C514" s="72"/>
      <c r="D514" s="72"/>
      <c r="E514" s="72"/>
      <c r="F514" s="72"/>
      <c r="G514" s="72"/>
    </row>
    <row r="515" spans="3:7">
      <c r="C515" s="72"/>
      <c r="D515" s="72"/>
      <c r="E515" s="72"/>
      <c r="F515" s="72"/>
      <c r="G515" s="72"/>
    </row>
    <row r="516" spans="3:7">
      <c r="C516" s="72"/>
      <c r="D516" s="72"/>
      <c r="E516" s="72"/>
      <c r="F516" s="72"/>
      <c r="G516" s="72"/>
    </row>
    <row r="517" spans="3:7">
      <c r="C517" s="72"/>
      <c r="D517" s="72"/>
      <c r="E517" s="72"/>
      <c r="F517" s="72"/>
      <c r="G517" s="72"/>
    </row>
    <row r="518" spans="3:7">
      <c r="C518" s="72"/>
      <c r="D518" s="72"/>
      <c r="E518" s="72"/>
      <c r="F518" s="72"/>
      <c r="G518" s="72"/>
    </row>
    <row r="519" spans="3:7">
      <c r="C519" s="72"/>
      <c r="D519" s="72"/>
      <c r="E519" s="72"/>
      <c r="F519" s="72"/>
      <c r="G519" s="72"/>
    </row>
    <row r="520" spans="3:7">
      <c r="C520" s="72"/>
      <c r="D520" s="72"/>
      <c r="E520" s="72"/>
      <c r="F520" s="72"/>
      <c r="G520" s="72"/>
    </row>
    <row r="521" spans="3:7">
      <c r="C521" s="72"/>
      <c r="D521" s="72"/>
      <c r="E521" s="72"/>
      <c r="F521" s="72"/>
      <c r="G521" s="72"/>
    </row>
    <row r="522" spans="3:7">
      <c r="C522" s="72"/>
      <c r="D522" s="72"/>
      <c r="E522" s="72"/>
      <c r="F522" s="72"/>
      <c r="G522" s="72"/>
    </row>
    <row r="523" spans="3:7">
      <c r="C523" s="72"/>
      <c r="D523" s="72"/>
      <c r="E523" s="72"/>
      <c r="F523" s="72"/>
      <c r="G523" s="72"/>
    </row>
    <row r="524" spans="3:7">
      <c r="C524" s="72"/>
      <c r="D524" s="72"/>
      <c r="E524" s="72"/>
      <c r="F524" s="72"/>
      <c r="G524" s="72"/>
    </row>
    <row r="525" spans="3:7">
      <c r="C525" s="72"/>
      <c r="D525" s="72"/>
      <c r="E525" s="72"/>
      <c r="F525" s="72"/>
      <c r="G525" s="72"/>
    </row>
    <row r="526" spans="3:7">
      <c r="C526" s="72"/>
      <c r="D526" s="72"/>
      <c r="E526" s="72"/>
      <c r="F526" s="72"/>
      <c r="G526" s="72"/>
    </row>
    <row r="527" spans="3:7">
      <c r="C527" s="72"/>
      <c r="D527" s="72"/>
      <c r="E527" s="72"/>
      <c r="F527" s="72"/>
      <c r="G527" s="72"/>
    </row>
    <row r="528" spans="3:7">
      <c r="C528" s="72"/>
      <c r="D528" s="72"/>
      <c r="E528" s="72"/>
      <c r="F528" s="72"/>
      <c r="G528" s="72"/>
    </row>
    <row r="529" spans="3:7">
      <c r="C529" s="72"/>
      <c r="D529" s="72"/>
      <c r="E529" s="72"/>
      <c r="F529" s="72"/>
      <c r="G529" s="72"/>
    </row>
    <row r="530" spans="3:7">
      <c r="C530" s="72"/>
      <c r="D530" s="72"/>
      <c r="E530" s="72"/>
      <c r="F530" s="72"/>
      <c r="G530" s="72"/>
    </row>
    <row r="531" spans="3:7">
      <c r="C531" s="72"/>
      <c r="D531" s="72"/>
      <c r="E531" s="72"/>
      <c r="F531" s="72"/>
      <c r="G531" s="72"/>
    </row>
    <row r="532" spans="3:7">
      <c r="C532" s="72"/>
      <c r="D532" s="72"/>
      <c r="E532" s="72"/>
      <c r="F532" s="72"/>
      <c r="G532" s="72"/>
    </row>
    <row r="533" spans="3:7">
      <c r="C533" s="72"/>
      <c r="D533" s="72"/>
      <c r="E533" s="72"/>
      <c r="F533" s="72"/>
      <c r="G533" s="72"/>
    </row>
    <row r="534" spans="3:7">
      <c r="C534" s="72"/>
      <c r="D534" s="72"/>
      <c r="E534" s="72"/>
      <c r="F534" s="72"/>
      <c r="G534" s="72"/>
    </row>
    <row r="535" spans="3:7">
      <c r="C535" s="72"/>
      <c r="D535" s="72"/>
      <c r="E535" s="72"/>
      <c r="F535" s="72"/>
      <c r="G535" s="72"/>
    </row>
    <row r="536" spans="3:7">
      <c r="C536" s="72"/>
      <c r="D536" s="72"/>
      <c r="E536" s="72"/>
      <c r="F536" s="72"/>
      <c r="G536" s="72"/>
    </row>
    <row r="537" spans="3:7">
      <c r="C537" s="72"/>
      <c r="D537" s="72"/>
      <c r="E537" s="72"/>
      <c r="F537" s="72"/>
      <c r="G537" s="72"/>
    </row>
    <row r="538" spans="3:7">
      <c r="C538" s="72"/>
      <c r="D538" s="72"/>
      <c r="E538" s="72"/>
      <c r="F538" s="72"/>
      <c r="G538" s="72"/>
    </row>
    <row r="539" spans="3:7">
      <c r="C539" s="72"/>
      <c r="D539" s="72"/>
      <c r="E539" s="72"/>
      <c r="F539" s="72"/>
      <c r="G539" s="72"/>
    </row>
    <row r="540" spans="3:7">
      <c r="C540" s="72"/>
      <c r="D540" s="72"/>
      <c r="E540" s="72"/>
      <c r="F540" s="72"/>
      <c r="G540" s="72"/>
    </row>
    <row r="541" spans="3:7">
      <c r="C541" s="72"/>
      <c r="D541" s="72"/>
      <c r="E541" s="72"/>
      <c r="F541" s="72"/>
      <c r="G541" s="72"/>
    </row>
    <row r="542" spans="3:7">
      <c r="C542" s="72"/>
      <c r="D542" s="72"/>
      <c r="E542" s="72"/>
      <c r="F542" s="72"/>
      <c r="G542" s="72"/>
    </row>
    <row r="543" spans="3:7">
      <c r="C543" s="72"/>
      <c r="D543" s="72"/>
      <c r="E543" s="72"/>
      <c r="F543" s="72"/>
      <c r="G543" s="72"/>
    </row>
    <row r="544" spans="3:7">
      <c r="C544" s="72"/>
      <c r="D544" s="72"/>
      <c r="E544" s="72"/>
      <c r="F544" s="72"/>
      <c r="G544" s="72"/>
    </row>
    <row r="545" spans="3:7">
      <c r="C545" s="72"/>
      <c r="D545" s="72"/>
      <c r="E545" s="72"/>
      <c r="F545" s="72"/>
      <c r="G545" s="72"/>
    </row>
    <row r="546" spans="3:7">
      <c r="C546" s="72"/>
      <c r="D546" s="72"/>
      <c r="E546" s="72"/>
      <c r="F546" s="72"/>
      <c r="G546" s="72"/>
    </row>
    <row r="547" spans="3:7">
      <c r="C547" s="72"/>
      <c r="D547" s="72"/>
      <c r="E547" s="72"/>
      <c r="F547" s="72"/>
      <c r="G547" s="72"/>
    </row>
    <row r="548" spans="3:7">
      <c r="C548" s="72"/>
      <c r="D548" s="72"/>
      <c r="E548" s="72"/>
      <c r="F548" s="72"/>
      <c r="G548" s="72"/>
    </row>
    <row r="549" spans="3:7">
      <c r="C549" s="72"/>
      <c r="D549" s="72"/>
      <c r="E549" s="72"/>
      <c r="F549" s="72"/>
      <c r="G549" s="72"/>
    </row>
    <row r="550" spans="3:7">
      <c r="C550" s="72"/>
      <c r="D550" s="72"/>
      <c r="E550" s="72"/>
      <c r="F550" s="72"/>
      <c r="G550" s="72"/>
    </row>
    <row r="551" spans="3:7">
      <c r="C551" s="72"/>
      <c r="D551" s="72"/>
      <c r="E551" s="72"/>
      <c r="F551" s="72"/>
      <c r="G551" s="72"/>
    </row>
    <row r="552" spans="3:7">
      <c r="C552" s="72"/>
      <c r="D552" s="72"/>
      <c r="E552" s="72"/>
      <c r="F552" s="72"/>
      <c r="G552" s="72"/>
    </row>
    <row r="553" spans="3:7">
      <c r="C553" s="72"/>
      <c r="D553" s="72"/>
      <c r="E553" s="72"/>
      <c r="F553" s="72"/>
      <c r="G553" s="72"/>
    </row>
    <row r="554" spans="3:7">
      <c r="C554" s="72"/>
      <c r="D554" s="72"/>
      <c r="E554" s="72"/>
      <c r="F554" s="72"/>
      <c r="G554" s="72"/>
    </row>
    <row r="555" spans="3:7">
      <c r="C555" s="72"/>
      <c r="D555" s="72"/>
      <c r="E555" s="72"/>
      <c r="F555" s="72"/>
      <c r="G555" s="72"/>
    </row>
    <row r="556" spans="3:7">
      <c r="C556" s="72"/>
      <c r="D556" s="72"/>
      <c r="E556" s="72"/>
      <c r="F556" s="72"/>
      <c r="G556" s="72"/>
    </row>
    <row r="557" spans="3:7">
      <c r="C557" s="72"/>
      <c r="D557" s="72"/>
      <c r="E557" s="72"/>
      <c r="F557" s="72"/>
      <c r="G557" s="72"/>
    </row>
    <row r="558" spans="3:7">
      <c r="C558" s="72"/>
      <c r="D558" s="72"/>
      <c r="E558" s="72"/>
      <c r="F558" s="72"/>
      <c r="G558" s="72"/>
    </row>
    <row r="559" spans="3:7">
      <c r="C559" s="72"/>
      <c r="D559" s="72"/>
      <c r="E559" s="72"/>
      <c r="F559" s="72"/>
      <c r="G559" s="72"/>
    </row>
    <row r="560" spans="3:7">
      <c r="C560" s="72"/>
      <c r="D560" s="72"/>
      <c r="E560" s="72"/>
      <c r="F560" s="72"/>
      <c r="G560" s="72"/>
    </row>
    <row r="561" spans="3:7">
      <c r="C561" s="72"/>
      <c r="D561" s="72"/>
      <c r="E561" s="72"/>
      <c r="F561" s="72"/>
      <c r="G561" s="72"/>
    </row>
    <row r="562" spans="3:7">
      <c r="C562" s="72"/>
      <c r="D562" s="72"/>
      <c r="E562" s="72"/>
      <c r="F562" s="72"/>
      <c r="G562" s="72"/>
    </row>
    <row r="563" spans="3:7">
      <c r="C563" s="72"/>
      <c r="D563" s="72"/>
      <c r="E563" s="72"/>
      <c r="F563" s="72"/>
      <c r="G563" s="72"/>
    </row>
    <row r="564" spans="3:7">
      <c r="C564" s="72"/>
      <c r="D564" s="72"/>
      <c r="E564" s="72"/>
      <c r="F564" s="72"/>
      <c r="G564" s="72"/>
    </row>
    <row r="565" spans="3:7">
      <c r="C565" s="72"/>
      <c r="D565" s="72"/>
      <c r="E565" s="72"/>
      <c r="F565" s="72"/>
      <c r="G565" s="72"/>
    </row>
    <row r="566" spans="3:7">
      <c r="C566" s="72"/>
      <c r="D566" s="72"/>
      <c r="E566" s="72"/>
      <c r="F566" s="72"/>
      <c r="G566" s="72"/>
    </row>
    <row r="567" spans="3:7">
      <c r="C567" s="72"/>
      <c r="D567" s="72"/>
      <c r="E567" s="72"/>
      <c r="F567" s="72"/>
      <c r="G567" s="72"/>
    </row>
    <row r="568" spans="3:7">
      <c r="C568" s="72"/>
      <c r="D568" s="72"/>
      <c r="E568" s="72"/>
      <c r="F568" s="72"/>
      <c r="G568" s="72"/>
    </row>
    <row r="569" spans="3:7">
      <c r="C569" s="72"/>
      <c r="D569" s="72"/>
      <c r="E569" s="72"/>
      <c r="F569" s="72"/>
      <c r="G569" s="72"/>
    </row>
    <row r="570" spans="3:7">
      <c r="C570" s="72"/>
      <c r="D570" s="72"/>
      <c r="E570" s="72"/>
      <c r="F570" s="72"/>
      <c r="G570" s="72"/>
    </row>
    <row r="571" spans="3:7">
      <c r="C571" s="72"/>
      <c r="D571" s="72"/>
      <c r="E571" s="72"/>
      <c r="F571" s="72"/>
      <c r="G571" s="72"/>
    </row>
    <row r="572" spans="3:7">
      <c r="C572" s="72"/>
      <c r="D572" s="72"/>
      <c r="E572" s="72"/>
      <c r="F572" s="72"/>
      <c r="G572" s="72"/>
    </row>
    <row r="573" spans="3:7">
      <c r="C573" s="72"/>
      <c r="D573" s="72"/>
      <c r="E573" s="72"/>
      <c r="F573" s="72"/>
      <c r="G573" s="72"/>
    </row>
    <row r="574" spans="3:7">
      <c r="C574" s="72"/>
      <c r="D574" s="72"/>
      <c r="E574" s="72"/>
      <c r="F574" s="72"/>
      <c r="G574" s="72"/>
    </row>
    <row r="575" spans="3:7">
      <c r="C575" s="72"/>
      <c r="D575" s="72"/>
      <c r="E575" s="72"/>
      <c r="F575" s="72"/>
      <c r="G575" s="72"/>
    </row>
    <row r="576" spans="3:7">
      <c r="C576" s="72"/>
      <c r="D576" s="72"/>
      <c r="E576" s="72"/>
      <c r="F576" s="72"/>
      <c r="G576" s="72"/>
    </row>
    <row r="577" spans="3:7">
      <c r="C577" s="72"/>
      <c r="D577" s="72"/>
      <c r="E577" s="72"/>
      <c r="F577" s="72"/>
      <c r="G577" s="72"/>
    </row>
    <row r="578" spans="3:7">
      <c r="C578" s="72"/>
      <c r="D578" s="72"/>
      <c r="E578" s="72"/>
      <c r="F578" s="72"/>
      <c r="G578" s="72"/>
    </row>
    <row r="579" spans="3:7">
      <c r="C579" s="72"/>
      <c r="D579" s="72"/>
      <c r="E579" s="72"/>
      <c r="F579" s="72"/>
      <c r="G579" s="72"/>
    </row>
    <row r="580" spans="3:7">
      <c r="C580" s="72"/>
      <c r="D580" s="72"/>
      <c r="E580" s="72"/>
      <c r="F580" s="72"/>
      <c r="G580" s="72"/>
    </row>
    <row r="581" spans="3:7">
      <c r="C581" s="72"/>
      <c r="D581" s="72"/>
      <c r="E581" s="72"/>
      <c r="F581" s="72"/>
      <c r="G581" s="72"/>
    </row>
    <row r="582" spans="3:7">
      <c r="C582" s="72"/>
      <c r="D582" s="72"/>
      <c r="E582" s="72"/>
      <c r="F582" s="72"/>
      <c r="G582" s="72"/>
    </row>
    <row r="583" spans="3:7">
      <c r="C583" s="72"/>
      <c r="D583" s="72"/>
      <c r="E583" s="72"/>
      <c r="F583" s="72"/>
      <c r="G583" s="72"/>
    </row>
    <row r="584" spans="3:7">
      <c r="C584" s="72"/>
      <c r="D584" s="72"/>
      <c r="E584" s="72"/>
      <c r="F584" s="72"/>
      <c r="G584" s="72"/>
    </row>
    <row r="585" spans="3:7">
      <c r="C585" s="72"/>
      <c r="D585" s="72"/>
      <c r="E585" s="72"/>
      <c r="F585" s="72"/>
      <c r="G585" s="72"/>
    </row>
    <row r="586" spans="3:7">
      <c r="C586" s="72"/>
      <c r="D586" s="72"/>
      <c r="E586" s="72"/>
      <c r="F586" s="72"/>
      <c r="G586" s="72"/>
    </row>
    <row r="587" spans="3:7">
      <c r="C587" s="72"/>
      <c r="D587" s="72"/>
      <c r="E587" s="72"/>
      <c r="F587" s="72"/>
      <c r="G587" s="72"/>
    </row>
    <row r="588" spans="3:7">
      <c r="C588" s="72"/>
      <c r="D588" s="72"/>
      <c r="E588" s="72"/>
      <c r="F588" s="72"/>
      <c r="G588" s="72"/>
    </row>
    <row r="589" spans="3:7">
      <c r="C589" s="72"/>
      <c r="D589" s="72"/>
      <c r="E589" s="72"/>
      <c r="F589" s="72"/>
      <c r="G589" s="72"/>
    </row>
    <row r="590" spans="3:7">
      <c r="C590" s="72"/>
      <c r="D590" s="72"/>
      <c r="E590" s="72"/>
      <c r="F590" s="72"/>
      <c r="G590" s="72"/>
    </row>
    <row r="591" spans="3:7">
      <c r="C591" s="72"/>
      <c r="D591" s="72"/>
      <c r="E591" s="72"/>
      <c r="F591" s="72"/>
      <c r="G591" s="72"/>
    </row>
    <row r="592" spans="3:7">
      <c r="C592" s="72"/>
      <c r="D592" s="72"/>
      <c r="E592" s="72"/>
      <c r="F592" s="72"/>
      <c r="G592" s="72"/>
    </row>
    <row r="593" spans="3:7">
      <c r="C593" s="72"/>
      <c r="D593" s="72"/>
      <c r="E593" s="72"/>
      <c r="F593" s="72"/>
      <c r="G593" s="72"/>
    </row>
    <row r="594" spans="3:7">
      <c r="C594" s="72"/>
      <c r="D594" s="72"/>
      <c r="E594" s="72"/>
      <c r="F594" s="72"/>
      <c r="G594" s="72"/>
    </row>
    <row r="595" spans="3:7">
      <c r="C595" s="72"/>
      <c r="D595" s="72"/>
      <c r="E595" s="72"/>
      <c r="F595" s="72"/>
      <c r="G595" s="72"/>
    </row>
    <row r="596" spans="3:7">
      <c r="C596" s="72"/>
      <c r="D596" s="72"/>
      <c r="E596" s="72"/>
      <c r="F596" s="72"/>
      <c r="G596" s="72"/>
    </row>
    <row r="597" spans="3:7">
      <c r="C597" s="72"/>
      <c r="D597" s="72"/>
      <c r="E597" s="72"/>
      <c r="F597" s="72"/>
      <c r="G597" s="72"/>
    </row>
    <row r="598" spans="3:7">
      <c r="C598" s="72"/>
      <c r="D598" s="72"/>
      <c r="E598" s="72"/>
      <c r="F598" s="72"/>
      <c r="G598" s="72"/>
    </row>
    <row r="599" spans="3:7">
      <c r="C599" s="72"/>
      <c r="D599" s="72"/>
      <c r="E599" s="72"/>
      <c r="F599" s="72"/>
      <c r="G599" s="72"/>
    </row>
    <row r="600" spans="3:7">
      <c r="C600" s="72"/>
      <c r="D600" s="72"/>
      <c r="E600" s="72"/>
      <c r="F600" s="72"/>
      <c r="G600" s="72"/>
    </row>
    <row r="601" spans="3:7">
      <c r="C601" s="72"/>
      <c r="D601" s="72"/>
      <c r="E601" s="72"/>
      <c r="F601" s="72"/>
      <c r="G601" s="72"/>
    </row>
    <row r="602" spans="3:7">
      <c r="C602" s="72"/>
      <c r="D602" s="72"/>
      <c r="E602" s="72"/>
      <c r="F602" s="72"/>
      <c r="G602" s="72"/>
    </row>
    <row r="603" spans="3:7">
      <c r="C603" s="72"/>
      <c r="D603" s="72"/>
      <c r="E603" s="72"/>
      <c r="F603" s="72"/>
      <c r="G603" s="72"/>
    </row>
    <row r="604" spans="3:7">
      <c r="C604" s="72"/>
      <c r="D604" s="72"/>
      <c r="E604" s="72"/>
      <c r="F604" s="72"/>
      <c r="G604" s="72"/>
    </row>
    <row r="605" spans="3:7">
      <c r="C605" s="72"/>
      <c r="D605" s="72"/>
      <c r="E605" s="72"/>
      <c r="F605" s="72"/>
      <c r="G605" s="72"/>
    </row>
    <row r="606" spans="3:7">
      <c r="C606" s="72"/>
      <c r="D606" s="72"/>
      <c r="E606" s="72"/>
      <c r="F606" s="72"/>
      <c r="G606" s="72"/>
    </row>
    <row r="607" spans="3:7">
      <c r="C607" s="72"/>
      <c r="D607" s="72"/>
      <c r="E607" s="72"/>
      <c r="F607" s="72"/>
      <c r="G607" s="72"/>
    </row>
    <row r="608" spans="3:7">
      <c r="C608" s="72"/>
      <c r="D608" s="72"/>
      <c r="E608" s="72"/>
      <c r="F608" s="72"/>
      <c r="G608" s="72"/>
    </row>
    <row r="609" spans="3:7">
      <c r="C609" s="72"/>
      <c r="D609" s="72"/>
      <c r="E609" s="72"/>
      <c r="F609" s="72"/>
      <c r="G609" s="72"/>
    </row>
    <row r="610" spans="3:7">
      <c r="C610" s="72"/>
      <c r="D610" s="72"/>
      <c r="E610" s="72"/>
      <c r="F610" s="72"/>
      <c r="G610" s="72"/>
    </row>
    <row r="611" spans="3:7">
      <c r="C611" s="72"/>
      <c r="D611" s="72"/>
      <c r="E611" s="72"/>
      <c r="F611" s="72"/>
      <c r="G611" s="72"/>
    </row>
    <row r="612" spans="3:7">
      <c r="C612" s="72"/>
      <c r="D612" s="72"/>
      <c r="E612" s="72"/>
      <c r="F612" s="72"/>
      <c r="G612" s="72"/>
    </row>
    <row r="613" spans="3:7">
      <c r="C613" s="72"/>
      <c r="D613" s="72"/>
      <c r="E613" s="72"/>
      <c r="F613" s="72"/>
      <c r="G613" s="72"/>
    </row>
    <row r="614" spans="3:7">
      <c r="C614" s="72"/>
      <c r="D614" s="72"/>
      <c r="E614" s="72"/>
      <c r="F614" s="72"/>
      <c r="G614" s="72"/>
    </row>
    <row r="615" spans="3:7">
      <c r="C615" s="72"/>
      <c r="D615" s="72"/>
      <c r="E615" s="72"/>
      <c r="F615" s="72"/>
      <c r="G615" s="72"/>
    </row>
    <row r="616" spans="3:7">
      <c r="C616" s="72"/>
      <c r="D616" s="72"/>
      <c r="E616" s="72"/>
      <c r="F616" s="72"/>
      <c r="G616" s="72"/>
    </row>
    <row r="617" spans="3:7">
      <c r="C617" s="72"/>
      <c r="D617" s="72"/>
      <c r="E617" s="72"/>
      <c r="F617" s="72"/>
      <c r="G617" s="72"/>
    </row>
    <row r="618" spans="3:7">
      <c r="C618" s="72"/>
      <c r="D618" s="72"/>
      <c r="E618" s="72"/>
      <c r="F618" s="72"/>
      <c r="G618" s="72"/>
    </row>
    <row r="619" spans="3:7">
      <c r="C619" s="72"/>
      <c r="D619" s="72"/>
      <c r="E619" s="72"/>
      <c r="F619" s="72"/>
      <c r="G619" s="72"/>
    </row>
    <row r="620" spans="3:7">
      <c r="C620" s="72"/>
      <c r="D620" s="72"/>
      <c r="E620" s="72"/>
      <c r="F620" s="72"/>
      <c r="G620" s="72"/>
    </row>
    <row r="621" spans="3:7">
      <c r="C621" s="72"/>
      <c r="D621" s="72"/>
      <c r="E621" s="72"/>
      <c r="F621" s="72"/>
      <c r="G621" s="72"/>
    </row>
    <row r="622" spans="3:7">
      <c r="C622" s="72"/>
      <c r="D622" s="72"/>
      <c r="E622" s="72"/>
      <c r="F622" s="72"/>
      <c r="G622" s="72"/>
    </row>
    <row r="623" spans="3:7">
      <c r="C623" s="72"/>
      <c r="D623" s="72"/>
      <c r="E623" s="72"/>
      <c r="F623" s="72"/>
      <c r="G623" s="72"/>
    </row>
    <row r="624" spans="3:7">
      <c r="C624" s="72"/>
      <c r="D624" s="72"/>
      <c r="E624" s="72"/>
      <c r="F624" s="72"/>
      <c r="G624" s="72"/>
    </row>
    <row r="625" spans="3:7">
      <c r="C625" s="72"/>
      <c r="D625" s="72"/>
      <c r="E625" s="72"/>
      <c r="F625" s="72"/>
      <c r="G625" s="72"/>
    </row>
    <row r="626" spans="3:7">
      <c r="C626" s="72"/>
      <c r="D626" s="72"/>
      <c r="E626" s="72"/>
      <c r="F626" s="72"/>
      <c r="G626" s="72"/>
    </row>
    <row r="627" spans="3:7">
      <c r="C627" s="72"/>
      <c r="D627" s="72"/>
      <c r="E627" s="72"/>
      <c r="F627" s="72"/>
      <c r="G627" s="72"/>
    </row>
    <row r="628" spans="3:7">
      <c r="C628" s="72"/>
      <c r="D628" s="72"/>
      <c r="E628" s="72"/>
      <c r="F628" s="72"/>
      <c r="G628" s="72"/>
    </row>
    <row r="629" spans="3:7">
      <c r="C629" s="72"/>
      <c r="D629" s="72"/>
      <c r="E629" s="72"/>
      <c r="F629" s="72"/>
      <c r="G629" s="72"/>
    </row>
    <row r="630" spans="3:7">
      <c r="C630" s="72"/>
      <c r="D630" s="72"/>
      <c r="E630" s="72"/>
      <c r="F630" s="72"/>
      <c r="G630" s="72"/>
    </row>
    <row r="631" spans="3:7">
      <c r="C631" s="72"/>
      <c r="D631" s="72"/>
      <c r="E631" s="72"/>
      <c r="F631" s="72"/>
      <c r="G631" s="72"/>
    </row>
    <row r="632" spans="3:7">
      <c r="C632" s="72"/>
      <c r="D632" s="72"/>
      <c r="E632" s="72"/>
      <c r="F632" s="72"/>
      <c r="G632" s="72"/>
    </row>
    <row r="633" spans="3:7">
      <c r="C633" s="72"/>
      <c r="D633" s="72"/>
      <c r="E633" s="72"/>
      <c r="F633" s="72"/>
      <c r="G633" s="72"/>
    </row>
    <row r="634" spans="3:7">
      <c r="C634" s="72"/>
      <c r="D634" s="72"/>
      <c r="E634" s="72"/>
      <c r="F634" s="72"/>
      <c r="G634" s="72"/>
    </row>
    <row r="635" spans="3:7">
      <c r="C635" s="72"/>
      <c r="D635" s="72"/>
      <c r="E635" s="72"/>
      <c r="F635" s="72"/>
      <c r="G635" s="72"/>
    </row>
    <row r="636" spans="3:7">
      <c r="C636" s="72"/>
      <c r="D636" s="72"/>
      <c r="E636" s="72"/>
      <c r="F636" s="72"/>
      <c r="G636" s="72"/>
    </row>
    <row r="637" spans="3:7">
      <c r="C637" s="72"/>
      <c r="D637" s="72"/>
      <c r="E637" s="72"/>
      <c r="F637" s="72"/>
      <c r="G637" s="72"/>
    </row>
    <row r="638" spans="3:7">
      <c r="C638" s="72"/>
      <c r="D638" s="72"/>
      <c r="E638" s="72"/>
      <c r="F638" s="72"/>
      <c r="G638" s="72"/>
    </row>
    <row r="639" spans="3:7">
      <c r="C639" s="72"/>
      <c r="D639" s="72"/>
      <c r="E639" s="72"/>
      <c r="F639" s="72"/>
      <c r="G639" s="72"/>
    </row>
    <row r="640" spans="3:7">
      <c r="C640" s="72"/>
      <c r="D640" s="72"/>
      <c r="E640" s="72"/>
      <c r="F640" s="72"/>
      <c r="G640" s="72"/>
    </row>
    <row r="641" spans="3:7">
      <c r="C641" s="72"/>
      <c r="D641" s="72"/>
      <c r="E641" s="72"/>
      <c r="F641" s="72"/>
      <c r="G641" s="72"/>
    </row>
    <row r="642" spans="3:7">
      <c r="C642" s="72"/>
      <c r="D642" s="72"/>
      <c r="E642" s="72"/>
      <c r="F642" s="72"/>
      <c r="G642" s="72"/>
    </row>
    <row r="643" spans="3:7">
      <c r="C643" s="72"/>
      <c r="D643" s="72"/>
      <c r="E643" s="72"/>
      <c r="F643" s="72"/>
      <c r="G643" s="72"/>
    </row>
    <row r="644" spans="3:7">
      <c r="C644" s="72"/>
      <c r="D644" s="72"/>
      <c r="E644" s="72"/>
      <c r="F644" s="72"/>
      <c r="G644" s="72"/>
    </row>
    <row r="645" spans="3:7">
      <c r="C645" s="72"/>
      <c r="D645" s="72"/>
      <c r="E645" s="72"/>
      <c r="F645" s="72"/>
      <c r="G645" s="72"/>
    </row>
    <row r="646" spans="3:7">
      <c r="C646" s="72"/>
      <c r="D646" s="72"/>
      <c r="E646" s="72"/>
      <c r="F646" s="72"/>
      <c r="G646" s="72"/>
    </row>
    <row r="647" spans="3:7">
      <c r="C647" s="72"/>
      <c r="D647" s="72"/>
      <c r="E647" s="72"/>
      <c r="F647" s="72"/>
      <c r="G647" s="72"/>
    </row>
    <row r="648" spans="3:7">
      <c r="C648" s="72"/>
      <c r="D648" s="72"/>
      <c r="E648" s="72"/>
      <c r="F648" s="72"/>
      <c r="G648" s="72"/>
    </row>
    <row r="649" spans="3:7">
      <c r="C649" s="72"/>
      <c r="D649" s="72"/>
      <c r="E649" s="72"/>
      <c r="F649" s="72"/>
      <c r="G649" s="72"/>
    </row>
    <row r="650" spans="3:7">
      <c r="C650" s="72"/>
      <c r="D650" s="72"/>
      <c r="E650" s="72"/>
      <c r="F650" s="72"/>
      <c r="G650" s="72"/>
    </row>
    <row r="651" spans="3:7">
      <c r="C651" s="72"/>
      <c r="D651" s="72"/>
      <c r="E651" s="72"/>
      <c r="F651" s="72"/>
      <c r="G651" s="72"/>
    </row>
    <row r="652" spans="3:7">
      <c r="C652" s="72"/>
      <c r="D652" s="72"/>
      <c r="E652" s="72"/>
      <c r="F652" s="72"/>
      <c r="G652" s="72"/>
    </row>
    <row r="653" spans="3:7">
      <c r="C653" s="72"/>
      <c r="D653" s="72"/>
      <c r="E653" s="72"/>
      <c r="F653" s="72"/>
      <c r="G653" s="72"/>
    </row>
    <row r="654" spans="3:7">
      <c r="C654" s="72"/>
      <c r="D654" s="72"/>
      <c r="E654" s="72"/>
      <c r="F654" s="72"/>
      <c r="G654" s="72"/>
    </row>
    <row r="655" spans="3:7">
      <c r="C655" s="72"/>
      <c r="D655" s="72"/>
      <c r="E655" s="72"/>
      <c r="F655" s="72"/>
      <c r="G655" s="72"/>
    </row>
    <row r="656" spans="3:7">
      <c r="C656" s="72"/>
      <c r="D656" s="72"/>
      <c r="E656" s="72"/>
      <c r="F656" s="72"/>
      <c r="G656" s="72"/>
    </row>
    <row r="657" spans="3:7">
      <c r="C657" s="72"/>
      <c r="D657" s="72"/>
      <c r="E657" s="72"/>
      <c r="F657" s="72"/>
      <c r="G657" s="72"/>
    </row>
    <row r="658" spans="3:7">
      <c r="C658" s="72"/>
      <c r="D658" s="72"/>
      <c r="E658" s="72"/>
      <c r="F658" s="72"/>
      <c r="G658" s="72"/>
    </row>
    <row r="659" spans="3:7">
      <c r="C659" s="72"/>
      <c r="D659" s="72"/>
      <c r="E659" s="72"/>
      <c r="F659" s="72"/>
      <c r="G659" s="72"/>
    </row>
    <row r="660" spans="3:7">
      <c r="C660" s="72"/>
      <c r="D660" s="72"/>
      <c r="E660" s="72"/>
      <c r="F660" s="72"/>
      <c r="G660" s="72"/>
    </row>
    <row r="661" spans="3:7">
      <c r="C661" s="72"/>
      <c r="D661" s="72"/>
      <c r="E661" s="72"/>
      <c r="F661" s="72"/>
      <c r="G661" s="72"/>
    </row>
    <row r="662" spans="3:7">
      <c r="C662" s="72"/>
      <c r="D662" s="72"/>
      <c r="E662" s="72"/>
      <c r="F662" s="72"/>
      <c r="G662" s="72"/>
    </row>
    <row r="663" spans="3:7">
      <c r="C663" s="72"/>
      <c r="D663" s="72"/>
      <c r="E663" s="72"/>
      <c r="F663" s="72"/>
      <c r="G663" s="72"/>
    </row>
    <row r="664" spans="3:7">
      <c r="C664" s="72"/>
      <c r="D664" s="72"/>
      <c r="E664" s="72"/>
      <c r="F664" s="72"/>
      <c r="G664" s="72"/>
    </row>
    <row r="665" spans="3:7">
      <c r="C665" s="72"/>
      <c r="D665" s="72"/>
      <c r="E665" s="72"/>
      <c r="F665" s="72"/>
      <c r="G665" s="72"/>
    </row>
    <row r="666" spans="3:7">
      <c r="C666" s="72"/>
      <c r="D666" s="72"/>
      <c r="E666" s="72"/>
      <c r="F666" s="72"/>
      <c r="G666" s="72"/>
    </row>
    <row r="667" spans="3:7">
      <c r="C667" s="72"/>
      <c r="D667" s="72"/>
      <c r="E667" s="72"/>
      <c r="F667" s="72"/>
      <c r="G667" s="72"/>
    </row>
    <row r="668" spans="3:7">
      <c r="C668" s="72"/>
      <c r="D668" s="72"/>
      <c r="E668" s="72"/>
      <c r="F668" s="72"/>
      <c r="G668" s="72"/>
    </row>
    <row r="669" spans="3:7">
      <c r="C669" s="72"/>
      <c r="D669" s="72"/>
      <c r="E669" s="72"/>
      <c r="F669" s="72"/>
      <c r="G669" s="72"/>
    </row>
    <row r="670" spans="3:7">
      <c r="C670" s="72"/>
      <c r="D670" s="72"/>
      <c r="E670" s="72"/>
      <c r="F670" s="72"/>
      <c r="G670" s="72"/>
    </row>
    <row r="671" spans="3:7">
      <c r="C671" s="72"/>
      <c r="D671" s="72"/>
      <c r="E671" s="72"/>
      <c r="F671" s="72"/>
      <c r="G671" s="72"/>
    </row>
    <row r="672" spans="3:7">
      <c r="C672" s="72"/>
      <c r="D672" s="72"/>
      <c r="E672" s="72"/>
      <c r="F672" s="72"/>
      <c r="G672" s="72"/>
    </row>
    <row r="673" spans="3:7">
      <c r="C673" s="72"/>
      <c r="D673" s="72"/>
      <c r="E673" s="72"/>
      <c r="F673" s="72"/>
      <c r="G673" s="72"/>
    </row>
    <row r="674" spans="3:7">
      <c r="C674" s="72"/>
      <c r="D674" s="72"/>
      <c r="E674" s="72"/>
      <c r="F674" s="72"/>
      <c r="G674" s="72"/>
    </row>
    <row r="675" spans="3:7">
      <c r="C675" s="72"/>
      <c r="D675" s="72"/>
      <c r="E675" s="72"/>
      <c r="F675" s="72"/>
      <c r="G675" s="72"/>
    </row>
    <row r="676" spans="3:7">
      <c r="C676" s="72"/>
      <c r="D676" s="72"/>
      <c r="E676" s="72"/>
      <c r="F676" s="72"/>
      <c r="G676" s="72"/>
    </row>
    <row r="677" spans="3:7">
      <c r="C677" s="72"/>
      <c r="D677" s="72"/>
      <c r="E677" s="72"/>
      <c r="F677" s="72"/>
      <c r="G677" s="72"/>
    </row>
    <row r="678" spans="3:7">
      <c r="C678" s="72"/>
      <c r="D678" s="72"/>
      <c r="E678" s="72"/>
      <c r="F678" s="72"/>
      <c r="G678" s="72"/>
    </row>
    <row r="679" spans="3:7">
      <c r="C679" s="72"/>
      <c r="D679" s="72"/>
      <c r="E679" s="72"/>
      <c r="F679" s="72"/>
      <c r="G679" s="72"/>
    </row>
    <row r="680" spans="3:7">
      <c r="C680" s="72"/>
      <c r="D680" s="72"/>
      <c r="E680" s="72"/>
      <c r="F680" s="72"/>
      <c r="G680" s="72"/>
    </row>
    <row r="681" spans="3:7">
      <c r="C681" s="72"/>
      <c r="D681" s="72"/>
      <c r="E681" s="72"/>
      <c r="F681" s="72"/>
      <c r="G681" s="72"/>
    </row>
    <row r="682" spans="3:7">
      <c r="C682" s="72"/>
      <c r="D682" s="72"/>
      <c r="E682" s="72"/>
      <c r="F682" s="72"/>
      <c r="G682" s="72"/>
    </row>
    <row r="683" spans="3:7">
      <c r="C683" s="72"/>
      <c r="D683" s="72"/>
      <c r="E683" s="72"/>
      <c r="F683" s="72"/>
      <c r="G683" s="72"/>
    </row>
    <row r="684" spans="3:7">
      <c r="C684" s="72"/>
      <c r="D684" s="72"/>
      <c r="E684" s="72"/>
      <c r="F684" s="72"/>
      <c r="G684" s="72"/>
    </row>
    <row r="685" spans="3:7">
      <c r="C685" s="72"/>
      <c r="D685" s="72"/>
      <c r="E685" s="72"/>
      <c r="F685" s="72"/>
      <c r="G685" s="72"/>
    </row>
    <row r="686" spans="3:7">
      <c r="C686" s="72"/>
      <c r="D686" s="72"/>
      <c r="E686" s="72"/>
      <c r="F686" s="72"/>
      <c r="G686" s="72"/>
    </row>
    <row r="687" spans="3:7">
      <c r="C687" s="72"/>
      <c r="D687" s="72"/>
      <c r="E687" s="72"/>
      <c r="F687" s="72"/>
      <c r="G687" s="72"/>
    </row>
    <row r="688" spans="3:7">
      <c r="C688" s="72"/>
      <c r="D688" s="72"/>
      <c r="E688" s="72"/>
      <c r="F688" s="72"/>
      <c r="G688" s="72"/>
    </row>
    <row r="689" spans="3:7">
      <c r="C689" s="72"/>
      <c r="D689" s="72"/>
      <c r="E689" s="72"/>
      <c r="F689" s="72"/>
      <c r="G689" s="72"/>
    </row>
    <row r="690" spans="3:7">
      <c r="C690" s="72"/>
      <c r="D690" s="72"/>
      <c r="E690" s="72"/>
      <c r="F690" s="72"/>
      <c r="G690" s="72"/>
    </row>
    <row r="691" spans="3:7">
      <c r="C691" s="72"/>
      <c r="D691" s="72"/>
      <c r="E691" s="72"/>
      <c r="F691" s="72"/>
      <c r="G691" s="72"/>
    </row>
    <row r="692" spans="3:7">
      <c r="C692" s="72"/>
      <c r="D692" s="72"/>
      <c r="E692" s="72"/>
      <c r="F692" s="72"/>
      <c r="G692" s="72"/>
    </row>
    <row r="693" spans="3:7">
      <c r="C693" s="72"/>
      <c r="D693" s="72"/>
      <c r="E693" s="72"/>
      <c r="F693" s="72"/>
      <c r="G693" s="72"/>
    </row>
    <row r="694" spans="3:7">
      <c r="C694" s="72"/>
      <c r="D694" s="72"/>
      <c r="E694" s="72"/>
      <c r="F694" s="72"/>
      <c r="G694" s="72"/>
    </row>
    <row r="695" spans="3:7">
      <c r="C695" s="72"/>
      <c r="D695" s="72"/>
      <c r="E695" s="72"/>
      <c r="F695" s="72"/>
      <c r="G695" s="72"/>
    </row>
    <row r="696" spans="3:7">
      <c r="C696" s="72"/>
      <c r="D696" s="72"/>
      <c r="E696" s="72"/>
      <c r="F696" s="72"/>
      <c r="G696" s="72"/>
    </row>
    <row r="697" spans="3:7">
      <c r="C697" s="72"/>
      <c r="D697" s="72"/>
      <c r="E697" s="72"/>
      <c r="F697" s="72"/>
      <c r="G697" s="72"/>
    </row>
    <row r="698" spans="3:7">
      <c r="C698" s="72"/>
      <c r="D698" s="72"/>
      <c r="E698" s="72"/>
      <c r="F698" s="72"/>
      <c r="G698" s="72"/>
    </row>
    <row r="699" spans="3:7">
      <c r="C699" s="72"/>
      <c r="D699" s="72"/>
      <c r="E699" s="72"/>
      <c r="F699" s="72"/>
      <c r="G699" s="72"/>
    </row>
    <row r="700" spans="3:7">
      <c r="C700" s="72"/>
      <c r="D700" s="72"/>
      <c r="E700" s="72"/>
      <c r="F700" s="72"/>
      <c r="G700" s="72"/>
    </row>
    <row r="701" spans="3:7">
      <c r="C701" s="72"/>
      <c r="D701" s="72"/>
      <c r="E701" s="72"/>
      <c r="F701" s="72"/>
      <c r="G701" s="72"/>
    </row>
    <row r="702" spans="3:7">
      <c r="C702" s="72"/>
      <c r="D702" s="72"/>
      <c r="E702" s="72"/>
      <c r="F702" s="72"/>
      <c r="G702" s="72"/>
    </row>
    <row r="703" spans="3:7">
      <c r="C703" s="72"/>
      <c r="D703" s="72"/>
      <c r="E703" s="72"/>
      <c r="F703" s="72"/>
      <c r="G703" s="72"/>
    </row>
    <row r="704" spans="3:7">
      <c r="C704" s="72"/>
      <c r="D704" s="72"/>
      <c r="E704" s="72"/>
      <c r="F704" s="72"/>
      <c r="G704" s="72"/>
    </row>
    <row r="705" spans="3:7">
      <c r="C705" s="72"/>
      <c r="D705" s="72"/>
      <c r="E705" s="72"/>
      <c r="F705" s="72"/>
      <c r="G705" s="72"/>
    </row>
    <row r="706" spans="3:7">
      <c r="C706" s="72"/>
      <c r="D706" s="72"/>
      <c r="E706" s="72"/>
      <c r="F706" s="72"/>
      <c r="G706" s="72"/>
    </row>
    <row r="707" spans="3:7">
      <c r="C707" s="72"/>
      <c r="D707" s="72"/>
      <c r="E707" s="72"/>
      <c r="F707" s="72"/>
      <c r="G707" s="72"/>
    </row>
    <row r="708" spans="3:7">
      <c r="C708" s="72"/>
      <c r="D708" s="72"/>
      <c r="E708" s="72"/>
      <c r="F708" s="72"/>
      <c r="G708" s="72"/>
    </row>
    <row r="709" spans="3:7">
      <c r="C709" s="72"/>
      <c r="D709" s="72"/>
      <c r="E709" s="72"/>
      <c r="F709" s="72"/>
      <c r="G709" s="72"/>
    </row>
    <row r="710" spans="3:7">
      <c r="C710" s="72"/>
      <c r="D710" s="72"/>
      <c r="E710" s="72"/>
      <c r="F710" s="72"/>
      <c r="G710" s="72"/>
    </row>
    <row r="711" spans="3:7">
      <c r="C711" s="72"/>
      <c r="D711" s="72"/>
      <c r="E711" s="72"/>
      <c r="F711" s="72"/>
      <c r="G711" s="72"/>
    </row>
    <row r="712" spans="3:7">
      <c r="C712" s="72"/>
      <c r="D712" s="72"/>
      <c r="E712" s="72"/>
      <c r="F712" s="72"/>
      <c r="G712" s="72"/>
    </row>
    <row r="713" spans="3:7">
      <c r="C713" s="72"/>
      <c r="D713" s="72"/>
      <c r="E713" s="72"/>
      <c r="F713" s="72"/>
      <c r="G713" s="72"/>
    </row>
    <row r="714" spans="3:7">
      <c r="C714" s="72"/>
      <c r="D714" s="72"/>
      <c r="E714" s="72"/>
      <c r="F714" s="72"/>
      <c r="G714" s="72"/>
    </row>
    <row r="715" spans="3:7">
      <c r="C715" s="72"/>
      <c r="D715" s="72"/>
      <c r="E715" s="72"/>
      <c r="F715" s="72"/>
      <c r="G715" s="72"/>
    </row>
    <row r="716" spans="3:7">
      <c r="C716" s="72"/>
      <c r="D716" s="72"/>
      <c r="E716" s="72"/>
      <c r="F716" s="72"/>
      <c r="G716" s="72"/>
    </row>
    <row r="717" spans="3:7">
      <c r="C717" s="72"/>
      <c r="D717" s="72"/>
      <c r="E717" s="72"/>
      <c r="F717" s="72"/>
      <c r="G717" s="72"/>
    </row>
    <row r="718" spans="3:7">
      <c r="C718" s="72"/>
      <c r="D718" s="72"/>
      <c r="E718" s="72"/>
      <c r="F718" s="72"/>
      <c r="G718" s="72"/>
    </row>
    <row r="719" spans="3:7">
      <c r="C719" s="72"/>
      <c r="D719" s="72"/>
      <c r="E719" s="72"/>
      <c r="F719" s="72"/>
      <c r="G719" s="72"/>
    </row>
    <row r="720" spans="3:7">
      <c r="C720" s="72"/>
      <c r="D720" s="72"/>
      <c r="E720" s="72"/>
      <c r="F720" s="72"/>
      <c r="G720" s="72"/>
    </row>
    <row r="721" spans="3:7">
      <c r="C721" s="72"/>
      <c r="D721" s="72"/>
      <c r="E721" s="72"/>
      <c r="F721" s="72"/>
      <c r="G721" s="72"/>
    </row>
    <row r="722" spans="3:7">
      <c r="C722" s="72"/>
      <c r="D722" s="72"/>
      <c r="E722" s="72"/>
      <c r="F722" s="72"/>
      <c r="G722" s="72"/>
    </row>
    <row r="723" spans="3:7">
      <c r="C723" s="72"/>
      <c r="D723" s="72"/>
      <c r="E723" s="72"/>
      <c r="F723" s="72"/>
      <c r="G723" s="72"/>
    </row>
    <row r="724" spans="3:7">
      <c r="C724" s="72"/>
      <c r="D724" s="72"/>
      <c r="E724" s="72"/>
      <c r="F724" s="72"/>
      <c r="G724" s="72"/>
    </row>
    <row r="725" spans="3:7">
      <c r="C725" s="72"/>
      <c r="D725" s="72"/>
      <c r="E725" s="72"/>
      <c r="F725" s="72"/>
      <c r="G725" s="72"/>
    </row>
    <row r="726" spans="3:7">
      <c r="C726" s="72"/>
      <c r="D726" s="72"/>
      <c r="E726" s="72"/>
      <c r="F726" s="72"/>
      <c r="G726" s="72"/>
    </row>
    <row r="727" spans="3:7">
      <c r="C727" s="72"/>
      <c r="D727" s="72"/>
      <c r="E727" s="72"/>
      <c r="F727" s="72"/>
      <c r="G727" s="72"/>
    </row>
    <row r="728" spans="3:7">
      <c r="C728" s="72"/>
      <c r="D728" s="72"/>
      <c r="E728" s="72"/>
      <c r="F728" s="72"/>
      <c r="G728" s="72"/>
    </row>
    <row r="729" spans="3:7">
      <c r="C729" s="72"/>
      <c r="D729" s="72"/>
      <c r="E729" s="72"/>
      <c r="F729" s="72"/>
      <c r="G729" s="72"/>
    </row>
    <row r="730" spans="3:7">
      <c r="C730" s="72"/>
      <c r="D730" s="72"/>
      <c r="E730" s="72"/>
      <c r="F730" s="72"/>
      <c r="G730" s="72"/>
    </row>
    <row r="731" spans="3:7">
      <c r="C731" s="72"/>
      <c r="D731" s="72"/>
      <c r="E731" s="72"/>
      <c r="F731" s="72"/>
      <c r="G731" s="72"/>
    </row>
    <row r="732" spans="3:7">
      <c r="C732" s="72"/>
      <c r="D732" s="72"/>
      <c r="E732" s="72"/>
      <c r="F732" s="72"/>
      <c r="G732" s="72"/>
    </row>
    <row r="733" spans="3:7">
      <c r="C733" s="72"/>
      <c r="D733" s="72"/>
      <c r="E733" s="72"/>
      <c r="F733" s="72"/>
      <c r="G733" s="72"/>
    </row>
    <row r="734" spans="3:7">
      <c r="C734" s="72"/>
      <c r="D734" s="72"/>
      <c r="E734" s="72"/>
      <c r="F734" s="72"/>
      <c r="G734" s="72"/>
    </row>
    <row r="735" spans="3:7">
      <c r="C735" s="72"/>
      <c r="D735" s="72"/>
      <c r="E735" s="72"/>
      <c r="F735" s="72"/>
      <c r="G735" s="72"/>
    </row>
    <row r="736" spans="3:7">
      <c r="C736" s="72"/>
      <c r="D736" s="72"/>
      <c r="E736" s="72"/>
      <c r="F736" s="72"/>
      <c r="G736" s="72"/>
    </row>
    <row r="737" spans="3:7">
      <c r="C737" s="72"/>
      <c r="D737" s="72"/>
      <c r="E737" s="72"/>
      <c r="F737" s="72"/>
      <c r="G737" s="72"/>
    </row>
    <row r="738" spans="3:7">
      <c r="C738" s="72"/>
      <c r="D738" s="72"/>
      <c r="E738" s="72"/>
      <c r="F738" s="72"/>
      <c r="G738" s="72"/>
    </row>
    <row r="739" spans="3:7">
      <c r="C739" s="72"/>
      <c r="D739" s="72"/>
      <c r="E739" s="72"/>
      <c r="F739" s="72"/>
      <c r="G739" s="72"/>
    </row>
    <row r="740" spans="3:7">
      <c r="C740" s="72"/>
      <c r="D740" s="72"/>
      <c r="E740" s="72"/>
      <c r="F740" s="72"/>
      <c r="G740" s="72"/>
    </row>
    <row r="741" spans="3:7">
      <c r="C741" s="72"/>
      <c r="D741" s="72"/>
      <c r="E741" s="72"/>
      <c r="F741" s="72"/>
      <c r="G741" s="72"/>
    </row>
    <row r="742" spans="3:7">
      <c r="C742" s="72"/>
      <c r="D742" s="72"/>
      <c r="E742" s="72"/>
      <c r="F742" s="72"/>
      <c r="G742" s="72"/>
    </row>
    <row r="743" spans="3:7">
      <c r="C743" s="72"/>
      <c r="D743" s="72"/>
      <c r="E743" s="72"/>
      <c r="F743" s="72"/>
      <c r="G743" s="72"/>
    </row>
    <row r="744" spans="3:7">
      <c r="C744" s="72"/>
      <c r="D744" s="72"/>
      <c r="E744" s="72"/>
      <c r="F744" s="72"/>
      <c r="G744" s="72"/>
    </row>
    <row r="745" spans="3:7">
      <c r="C745" s="72"/>
      <c r="D745" s="72"/>
      <c r="E745" s="72"/>
      <c r="F745" s="72"/>
      <c r="G745" s="72"/>
    </row>
    <row r="746" spans="3:7">
      <c r="C746" s="72"/>
      <c r="D746" s="72"/>
      <c r="E746" s="72"/>
      <c r="F746" s="72"/>
      <c r="G746" s="72"/>
    </row>
    <row r="747" spans="3:7">
      <c r="C747" s="72"/>
      <c r="D747" s="72"/>
      <c r="E747" s="72"/>
      <c r="F747" s="72"/>
      <c r="G747" s="72"/>
    </row>
    <row r="748" spans="3:7">
      <c r="C748" s="72"/>
      <c r="D748" s="72"/>
      <c r="E748" s="72"/>
      <c r="F748" s="72"/>
      <c r="G748" s="72"/>
    </row>
    <row r="749" spans="3:7">
      <c r="C749" s="72"/>
      <c r="D749" s="72"/>
      <c r="E749" s="72"/>
      <c r="F749" s="72"/>
      <c r="G749" s="72"/>
    </row>
    <row r="750" spans="3:7">
      <c r="C750" s="72"/>
      <c r="D750" s="72"/>
      <c r="E750" s="72"/>
      <c r="F750" s="72"/>
      <c r="G750" s="72"/>
    </row>
    <row r="751" spans="3:7">
      <c r="C751" s="72"/>
      <c r="D751" s="72"/>
      <c r="E751" s="72"/>
      <c r="F751" s="72"/>
      <c r="G751" s="72"/>
    </row>
    <row r="752" spans="3:7">
      <c r="C752" s="72"/>
      <c r="D752" s="72"/>
      <c r="E752" s="72"/>
      <c r="F752" s="72"/>
      <c r="G752" s="72"/>
    </row>
    <row r="753" spans="3:7">
      <c r="C753" s="72"/>
      <c r="D753" s="72"/>
      <c r="E753" s="72"/>
      <c r="F753" s="72"/>
      <c r="G753" s="72"/>
    </row>
    <row r="754" spans="3:7">
      <c r="C754" s="72"/>
      <c r="D754" s="72"/>
      <c r="E754" s="72"/>
      <c r="F754" s="72"/>
      <c r="G754" s="72"/>
    </row>
    <row r="755" spans="3:7">
      <c r="C755" s="72"/>
      <c r="D755" s="72"/>
      <c r="E755" s="72"/>
      <c r="F755" s="72"/>
      <c r="G755" s="72"/>
    </row>
    <row r="756" spans="3:7">
      <c r="C756" s="72"/>
      <c r="D756" s="72"/>
      <c r="E756" s="72"/>
      <c r="F756" s="72"/>
      <c r="G756" s="72"/>
    </row>
    <row r="757" spans="3:7">
      <c r="C757" s="72"/>
      <c r="D757" s="72"/>
      <c r="E757" s="72"/>
      <c r="F757" s="72"/>
      <c r="G757" s="72"/>
    </row>
    <row r="758" spans="3:7">
      <c r="C758" s="72"/>
      <c r="D758" s="72"/>
      <c r="E758" s="72"/>
      <c r="F758" s="72"/>
      <c r="G758" s="72"/>
    </row>
    <row r="759" spans="3:7">
      <c r="C759" s="72"/>
      <c r="D759" s="72"/>
      <c r="E759" s="72"/>
      <c r="F759" s="72"/>
      <c r="G759" s="72"/>
    </row>
    <row r="760" spans="3:7">
      <c r="C760" s="72"/>
      <c r="D760" s="72"/>
      <c r="E760" s="72"/>
      <c r="F760" s="72"/>
      <c r="G760" s="72"/>
    </row>
    <row r="761" spans="3:7">
      <c r="C761" s="72"/>
      <c r="D761" s="72"/>
      <c r="E761" s="72"/>
      <c r="F761" s="72"/>
      <c r="G761" s="72"/>
    </row>
    <row r="762" spans="3:7">
      <c r="C762" s="72"/>
      <c r="D762" s="72"/>
      <c r="E762" s="72"/>
      <c r="F762" s="72"/>
      <c r="G762" s="72"/>
    </row>
    <row r="763" spans="3:7">
      <c r="C763" s="72"/>
      <c r="D763" s="72"/>
      <c r="E763" s="72"/>
      <c r="F763" s="72"/>
      <c r="G763" s="72"/>
    </row>
    <row r="764" spans="3:7">
      <c r="C764" s="72"/>
      <c r="D764" s="72"/>
      <c r="E764" s="72"/>
      <c r="F764" s="72"/>
      <c r="G764" s="72"/>
    </row>
    <row r="765" spans="3:7">
      <c r="C765" s="72"/>
      <c r="D765" s="72"/>
      <c r="E765" s="72"/>
      <c r="F765" s="72"/>
      <c r="G765" s="72"/>
    </row>
    <row r="766" spans="3:7">
      <c r="C766" s="72"/>
      <c r="D766" s="72"/>
      <c r="E766" s="72"/>
      <c r="F766" s="72"/>
      <c r="G766" s="72"/>
    </row>
    <row r="767" spans="3:7">
      <c r="C767" s="72"/>
      <c r="D767" s="72"/>
      <c r="E767" s="72"/>
      <c r="F767" s="72"/>
      <c r="G767" s="72"/>
    </row>
    <row r="768" spans="3:7">
      <c r="C768" s="72"/>
      <c r="D768" s="72"/>
      <c r="E768" s="72"/>
      <c r="F768" s="72"/>
      <c r="G768" s="72"/>
    </row>
    <row r="769" spans="3:7">
      <c r="C769" s="72"/>
      <c r="D769" s="72"/>
      <c r="E769" s="72"/>
      <c r="F769" s="72"/>
      <c r="G769" s="72"/>
    </row>
    <row r="770" spans="3:7">
      <c r="C770" s="72"/>
      <c r="D770" s="72"/>
      <c r="E770" s="72"/>
      <c r="F770" s="72"/>
      <c r="G770" s="72"/>
    </row>
    <row r="771" spans="3:7">
      <c r="C771" s="72"/>
      <c r="D771" s="72"/>
      <c r="E771" s="72"/>
      <c r="F771" s="72"/>
      <c r="G771" s="72"/>
    </row>
    <row r="772" spans="3:7">
      <c r="C772" s="72"/>
      <c r="D772" s="72"/>
      <c r="E772" s="72"/>
      <c r="F772" s="72"/>
      <c r="G772" s="72"/>
    </row>
    <row r="773" spans="3:7">
      <c r="C773" s="72"/>
      <c r="D773" s="72"/>
      <c r="E773" s="72"/>
      <c r="F773" s="72"/>
      <c r="G773" s="72"/>
    </row>
    <row r="774" spans="3:7">
      <c r="C774" s="72"/>
      <c r="D774" s="72"/>
      <c r="E774" s="72"/>
      <c r="F774" s="72"/>
      <c r="G774" s="72"/>
    </row>
    <row r="775" spans="3:7">
      <c r="C775" s="72"/>
      <c r="D775" s="72"/>
      <c r="E775" s="72"/>
      <c r="F775" s="72"/>
      <c r="G775" s="72"/>
    </row>
    <row r="776" spans="3:7">
      <c r="C776" s="72"/>
      <c r="D776" s="72"/>
      <c r="E776" s="72"/>
      <c r="F776" s="72"/>
      <c r="G776" s="72"/>
    </row>
    <row r="777" spans="3:7">
      <c r="C777" s="72"/>
      <c r="D777" s="72"/>
      <c r="E777" s="72"/>
      <c r="F777" s="72"/>
      <c r="G777" s="72"/>
    </row>
    <row r="778" spans="3:7">
      <c r="C778" s="72"/>
      <c r="D778" s="72"/>
      <c r="E778" s="72"/>
      <c r="F778" s="72"/>
      <c r="G778" s="72"/>
    </row>
    <row r="779" spans="3:7">
      <c r="C779" s="72"/>
      <c r="D779" s="72"/>
      <c r="E779" s="72"/>
      <c r="F779" s="72"/>
      <c r="G779" s="72"/>
    </row>
    <row r="780" spans="3:7">
      <c r="C780" s="72"/>
      <c r="D780" s="72"/>
      <c r="E780" s="72"/>
      <c r="F780" s="72"/>
      <c r="G780" s="72"/>
    </row>
    <row r="781" spans="3:7">
      <c r="C781" s="72"/>
      <c r="D781" s="72"/>
      <c r="E781" s="72"/>
      <c r="F781" s="72"/>
      <c r="G781" s="72"/>
    </row>
    <row r="782" spans="3:7">
      <c r="C782" s="72"/>
      <c r="D782" s="72"/>
      <c r="E782" s="72"/>
      <c r="F782" s="72"/>
      <c r="G782" s="72"/>
    </row>
    <row r="783" spans="3:7">
      <c r="C783" s="72"/>
      <c r="D783" s="72"/>
      <c r="E783" s="72"/>
      <c r="F783" s="72"/>
      <c r="G783" s="72"/>
    </row>
    <row r="784" spans="3:7">
      <c r="C784" s="72"/>
      <c r="D784" s="72"/>
      <c r="E784" s="72"/>
      <c r="F784" s="72"/>
      <c r="G784" s="72"/>
    </row>
    <row r="785" spans="3:7">
      <c r="C785" s="72"/>
      <c r="D785" s="72"/>
      <c r="E785" s="72"/>
      <c r="F785" s="72"/>
      <c r="G785" s="72"/>
    </row>
    <row r="786" spans="3:7">
      <c r="C786" s="72"/>
      <c r="D786" s="72"/>
      <c r="E786" s="72"/>
      <c r="F786" s="72"/>
      <c r="G786" s="72"/>
    </row>
    <row r="787" spans="3:7">
      <c r="C787" s="72"/>
      <c r="D787" s="72"/>
      <c r="E787" s="72"/>
      <c r="F787" s="72"/>
      <c r="G787" s="72"/>
    </row>
    <row r="788" spans="3:7">
      <c r="C788" s="72"/>
      <c r="D788" s="72"/>
      <c r="E788" s="72"/>
      <c r="F788" s="72"/>
      <c r="G788" s="72"/>
    </row>
    <row r="789" spans="3:7">
      <c r="C789" s="72"/>
      <c r="D789" s="72"/>
      <c r="E789" s="72"/>
      <c r="F789" s="72"/>
      <c r="G789" s="72"/>
    </row>
    <row r="790" spans="3:7">
      <c r="C790" s="72"/>
      <c r="D790" s="72"/>
      <c r="E790" s="72"/>
      <c r="F790" s="72"/>
      <c r="G790" s="72"/>
    </row>
    <row r="791" spans="3:7">
      <c r="C791" s="72"/>
      <c r="D791" s="72"/>
      <c r="E791" s="72"/>
      <c r="F791" s="72"/>
      <c r="G791" s="72"/>
    </row>
    <row r="792" spans="3:7">
      <c r="C792" s="72"/>
      <c r="D792" s="72"/>
      <c r="E792" s="72"/>
      <c r="F792" s="72"/>
      <c r="G792" s="72"/>
    </row>
    <row r="793" spans="3:7">
      <c r="C793" s="72"/>
      <c r="D793" s="72"/>
      <c r="E793" s="72"/>
      <c r="F793" s="72"/>
      <c r="G793" s="72"/>
    </row>
    <row r="794" spans="3:7">
      <c r="C794" s="72"/>
      <c r="D794" s="72"/>
      <c r="E794" s="72"/>
      <c r="F794" s="72"/>
      <c r="G794" s="72"/>
    </row>
    <row r="795" spans="3:7">
      <c r="C795" s="72"/>
      <c r="D795" s="72"/>
      <c r="E795" s="72"/>
      <c r="F795" s="72"/>
      <c r="G795" s="72"/>
    </row>
    <row r="796" spans="3:7">
      <c r="C796" s="72"/>
      <c r="D796" s="72"/>
      <c r="E796" s="72"/>
      <c r="F796" s="72"/>
      <c r="G796" s="72"/>
    </row>
    <row r="797" spans="3:7">
      <c r="C797" s="72"/>
      <c r="D797" s="72"/>
      <c r="E797" s="72"/>
      <c r="F797" s="72"/>
      <c r="G797" s="72"/>
    </row>
    <row r="798" spans="3:7">
      <c r="C798" s="72"/>
      <c r="D798" s="72"/>
      <c r="E798" s="72"/>
      <c r="F798" s="72"/>
      <c r="G798" s="72"/>
    </row>
    <row r="799" spans="3:7">
      <c r="C799" s="72"/>
      <c r="D799" s="72"/>
      <c r="E799" s="72"/>
      <c r="F799" s="72"/>
      <c r="G799" s="72"/>
    </row>
    <row r="800" spans="3:7">
      <c r="C800" s="72"/>
      <c r="D800" s="72"/>
      <c r="E800" s="72"/>
      <c r="F800" s="72"/>
      <c r="G800" s="72"/>
    </row>
    <row r="801" spans="3:7">
      <c r="C801" s="72"/>
      <c r="D801" s="72"/>
      <c r="E801" s="72"/>
      <c r="F801" s="72"/>
      <c r="G801" s="72"/>
    </row>
    <row r="802" spans="3:7">
      <c r="C802" s="72"/>
      <c r="D802" s="72"/>
      <c r="E802" s="72"/>
      <c r="F802" s="72"/>
      <c r="G802" s="72"/>
    </row>
    <row r="803" spans="3:7">
      <c r="C803" s="72"/>
      <c r="D803" s="72"/>
      <c r="E803" s="72"/>
      <c r="F803" s="72"/>
      <c r="G803" s="72"/>
    </row>
    <row r="804" spans="3:7">
      <c r="C804" s="72"/>
      <c r="D804" s="72"/>
      <c r="E804" s="72"/>
      <c r="F804" s="72"/>
      <c r="G804" s="72"/>
    </row>
    <row r="805" spans="3:7">
      <c r="C805" s="72"/>
      <c r="D805" s="72"/>
      <c r="E805" s="72"/>
      <c r="F805" s="72"/>
      <c r="G805" s="72"/>
    </row>
    <row r="806" spans="3:7">
      <c r="C806" s="72"/>
      <c r="D806" s="72"/>
      <c r="E806" s="72"/>
      <c r="F806" s="72"/>
      <c r="G806" s="72"/>
    </row>
    <row r="807" spans="3:7">
      <c r="C807" s="72"/>
      <c r="D807" s="72"/>
      <c r="E807" s="72"/>
      <c r="F807" s="72"/>
      <c r="G807" s="72"/>
    </row>
    <row r="808" spans="3:7">
      <c r="C808" s="72"/>
      <c r="D808" s="72"/>
      <c r="E808" s="72"/>
      <c r="F808" s="72"/>
      <c r="G808" s="72"/>
    </row>
    <row r="809" spans="3:7">
      <c r="C809" s="72"/>
      <c r="D809" s="72"/>
      <c r="E809" s="72"/>
      <c r="F809" s="72"/>
      <c r="G809" s="72"/>
    </row>
    <row r="810" spans="3:7">
      <c r="C810" s="72"/>
      <c r="D810" s="72"/>
      <c r="E810" s="72"/>
      <c r="F810" s="72"/>
      <c r="G810" s="72"/>
    </row>
    <row r="811" spans="3:7">
      <c r="C811" s="72"/>
      <c r="D811" s="72"/>
      <c r="E811" s="72"/>
      <c r="F811" s="72"/>
      <c r="G811" s="72"/>
    </row>
    <row r="812" spans="3:7">
      <c r="C812" s="72"/>
      <c r="D812" s="72"/>
      <c r="E812" s="72"/>
      <c r="F812" s="72"/>
      <c r="G812" s="72"/>
    </row>
    <row r="813" spans="3:7">
      <c r="C813" s="72"/>
      <c r="D813" s="72"/>
      <c r="E813" s="72"/>
      <c r="F813" s="72"/>
      <c r="G813" s="72"/>
    </row>
    <row r="814" spans="3:7">
      <c r="C814" s="72"/>
      <c r="D814" s="72"/>
      <c r="E814" s="72"/>
      <c r="F814" s="72"/>
      <c r="G814" s="72"/>
    </row>
    <row r="815" spans="3:7">
      <c r="C815" s="72"/>
      <c r="D815" s="72"/>
      <c r="E815" s="72"/>
      <c r="F815" s="72"/>
      <c r="G815" s="72"/>
    </row>
    <row r="816" spans="3:7">
      <c r="C816" s="72"/>
      <c r="D816" s="72"/>
      <c r="E816" s="72"/>
      <c r="F816" s="72"/>
      <c r="G816" s="72"/>
    </row>
    <row r="817" spans="3:7">
      <c r="C817" s="72"/>
      <c r="D817" s="72"/>
      <c r="E817" s="72"/>
      <c r="F817" s="72"/>
      <c r="G817" s="72"/>
    </row>
    <row r="818" spans="3:7">
      <c r="C818" s="72"/>
      <c r="D818" s="72"/>
      <c r="E818" s="72"/>
      <c r="F818" s="72"/>
      <c r="G818" s="72"/>
    </row>
    <row r="819" spans="3:7">
      <c r="C819" s="72"/>
      <c r="D819" s="72"/>
      <c r="E819" s="72"/>
      <c r="F819" s="72"/>
      <c r="G819" s="72"/>
    </row>
    <row r="820" spans="3:7">
      <c r="C820" s="72"/>
      <c r="D820" s="72"/>
      <c r="E820" s="72"/>
      <c r="F820" s="72"/>
      <c r="G820" s="72"/>
    </row>
    <row r="821" spans="3:7">
      <c r="C821" s="72"/>
      <c r="D821" s="72"/>
      <c r="E821" s="72"/>
      <c r="F821" s="72"/>
      <c r="G821" s="72"/>
    </row>
    <row r="822" spans="3:7">
      <c r="C822" s="72"/>
      <c r="D822" s="72"/>
      <c r="E822" s="72"/>
      <c r="F822" s="72"/>
      <c r="G822" s="72"/>
    </row>
    <row r="823" spans="3:7">
      <c r="C823" s="72"/>
      <c r="D823" s="72"/>
      <c r="E823" s="72"/>
      <c r="F823" s="72"/>
      <c r="G823" s="72"/>
    </row>
    <row r="824" spans="3:7">
      <c r="C824" s="72"/>
      <c r="D824" s="72"/>
      <c r="E824" s="72"/>
      <c r="F824" s="72"/>
      <c r="G824" s="72"/>
    </row>
    <row r="825" spans="3:7">
      <c r="C825" s="72"/>
      <c r="D825" s="72"/>
      <c r="E825" s="72"/>
      <c r="F825" s="72"/>
      <c r="G825" s="72"/>
    </row>
    <row r="826" spans="3:7">
      <c r="C826" s="72"/>
      <c r="D826" s="72"/>
      <c r="E826" s="72"/>
      <c r="F826" s="72"/>
      <c r="G826" s="72"/>
    </row>
    <row r="827" spans="3:7">
      <c r="C827" s="72"/>
      <c r="D827" s="72"/>
      <c r="E827" s="72"/>
      <c r="F827" s="72"/>
      <c r="G827" s="72"/>
    </row>
    <row r="828" spans="3:7">
      <c r="C828" s="72"/>
      <c r="D828" s="72"/>
      <c r="E828" s="72"/>
      <c r="F828" s="72"/>
      <c r="G828" s="72"/>
    </row>
    <row r="829" spans="3:7">
      <c r="C829" s="72"/>
      <c r="D829" s="72"/>
      <c r="E829" s="72"/>
      <c r="F829" s="72"/>
      <c r="G829" s="72"/>
    </row>
    <row r="830" spans="3:7">
      <c r="C830" s="72"/>
      <c r="D830" s="72"/>
      <c r="E830" s="72"/>
      <c r="F830" s="72"/>
      <c r="G830" s="72"/>
    </row>
    <row r="831" spans="3:7">
      <c r="C831" s="72"/>
      <c r="D831" s="72"/>
      <c r="E831" s="72"/>
      <c r="F831" s="72"/>
      <c r="G831" s="72"/>
    </row>
    <row r="832" spans="3:7">
      <c r="C832" s="72"/>
      <c r="D832" s="72"/>
      <c r="E832" s="72"/>
      <c r="F832" s="72"/>
      <c r="G832" s="72"/>
    </row>
    <row r="833" spans="3:7">
      <c r="C833" s="72"/>
      <c r="D833" s="72"/>
      <c r="E833" s="72"/>
      <c r="F833" s="72"/>
      <c r="G833" s="72"/>
    </row>
    <row r="834" spans="3:7">
      <c r="C834" s="72"/>
      <c r="D834" s="72"/>
      <c r="E834" s="72"/>
      <c r="F834" s="72"/>
      <c r="G834" s="72"/>
    </row>
    <row r="835" spans="3:7">
      <c r="C835" s="72"/>
      <c r="D835" s="72"/>
      <c r="E835" s="72"/>
      <c r="F835" s="72"/>
      <c r="G835" s="72"/>
    </row>
    <row r="836" spans="3:7">
      <c r="C836" s="72"/>
      <c r="D836" s="72"/>
      <c r="E836" s="72"/>
      <c r="F836" s="72"/>
      <c r="G836" s="72"/>
    </row>
    <row r="837" spans="3:7">
      <c r="C837" s="72"/>
      <c r="D837" s="72"/>
      <c r="E837" s="72"/>
      <c r="F837" s="72"/>
      <c r="G837" s="72"/>
    </row>
    <row r="838" spans="3:7">
      <c r="C838" s="72"/>
      <c r="D838" s="72"/>
      <c r="E838" s="72"/>
      <c r="F838" s="72"/>
      <c r="G838" s="72"/>
    </row>
    <row r="839" spans="3:7">
      <c r="C839" s="72"/>
      <c r="D839" s="72"/>
      <c r="E839" s="72"/>
      <c r="F839" s="72"/>
      <c r="G839" s="72"/>
    </row>
    <row r="840" spans="3:7">
      <c r="C840" s="72"/>
      <c r="D840" s="72"/>
      <c r="E840" s="72"/>
      <c r="F840" s="72"/>
      <c r="G840" s="72"/>
    </row>
    <row r="841" spans="3:7">
      <c r="C841" s="72"/>
      <c r="D841" s="72"/>
      <c r="E841" s="72"/>
      <c r="F841" s="72"/>
      <c r="G841" s="72"/>
    </row>
    <row r="842" spans="3:7">
      <c r="C842" s="72"/>
      <c r="D842" s="72"/>
      <c r="E842" s="72"/>
      <c r="F842" s="72"/>
      <c r="G842" s="72"/>
    </row>
    <row r="843" spans="3:7">
      <c r="C843" s="72"/>
      <c r="D843" s="72"/>
      <c r="E843" s="72"/>
      <c r="F843" s="72"/>
      <c r="G843" s="72"/>
    </row>
    <row r="844" spans="3:7">
      <c r="C844" s="72"/>
      <c r="D844" s="72"/>
      <c r="E844" s="72"/>
      <c r="F844" s="72"/>
      <c r="G844" s="72"/>
    </row>
    <row r="845" spans="3:7">
      <c r="C845" s="72"/>
      <c r="D845" s="72"/>
      <c r="E845" s="72"/>
      <c r="F845" s="72"/>
      <c r="G845" s="72"/>
    </row>
    <row r="846" spans="3:7">
      <c r="C846" s="72"/>
      <c r="D846" s="72"/>
      <c r="E846" s="72"/>
      <c r="F846" s="72"/>
      <c r="G846" s="72"/>
    </row>
    <row r="847" spans="3:7">
      <c r="C847" s="72"/>
      <c r="D847" s="72"/>
      <c r="E847" s="72"/>
      <c r="F847" s="72"/>
      <c r="G847" s="72"/>
    </row>
    <row r="848" spans="3:7">
      <c r="C848" s="72"/>
      <c r="D848" s="72"/>
      <c r="E848" s="72"/>
      <c r="F848" s="72"/>
      <c r="G848" s="72"/>
    </row>
    <row r="849" spans="3:7">
      <c r="C849" s="72"/>
      <c r="D849" s="72"/>
      <c r="E849" s="72"/>
      <c r="F849" s="72"/>
      <c r="G849" s="72"/>
    </row>
    <row r="850" spans="3:7">
      <c r="C850" s="72"/>
      <c r="D850" s="72"/>
      <c r="E850" s="72"/>
      <c r="F850" s="72"/>
      <c r="G850" s="72"/>
    </row>
    <row r="851" spans="3:7">
      <c r="C851" s="72"/>
      <c r="D851" s="72"/>
      <c r="E851" s="72"/>
      <c r="F851" s="72"/>
      <c r="G851" s="72"/>
    </row>
    <row r="852" spans="3:7">
      <c r="C852" s="72"/>
      <c r="D852" s="72"/>
      <c r="E852" s="72"/>
      <c r="F852" s="72"/>
      <c r="G852" s="72"/>
    </row>
    <row r="853" spans="3:7">
      <c r="C853" s="72"/>
      <c r="D853" s="72"/>
      <c r="E853" s="72"/>
      <c r="F853" s="72"/>
      <c r="G853" s="72"/>
    </row>
    <row r="854" spans="3:7">
      <c r="C854" s="72"/>
      <c r="D854" s="72"/>
      <c r="E854" s="72"/>
      <c r="F854" s="72"/>
      <c r="G854" s="72"/>
    </row>
    <row r="855" spans="3:7">
      <c r="C855" s="72"/>
      <c r="D855" s="72"/>
      <c r="E855" s="72"/>
      <c r="F855" s="72"/>
      <c r="G855" s="72"/>
    </row>
    <row r="856" spans="3:7">
      <c r="C856" s="72"/>
      <c r="D856" s="72"/>
      <c r="E856" s="72"/>
      <c r="F856" s="72"/>
      <c r="G856" s="72"/>
    </row>
    <row r="857" spans="3:7">
      <c r="C857" s="72"/>
      <c r="D857" s="72"/>
      <c r="E857" s="72"/>
      <c r="F857" s="72"/>
      <c r="G857" s="72"/>
    </row>
    <row r="858" spans="3:7">
      <c r="C858" s="72"/>
      <c r="D858" s="72"/>
      <c r="E858" s="72"/>
      <c r="F858" s="72"/>
      <c r="G858" s="72"/>
    </row>
    <row r="859" spans="3:7">
      <c r="C859" s="72"/>
      <c r="D859" s="72"/>
      <c r="E859" s="72"/>
      <c r="F859" s="72"/>
      <c r="G859" s="72"/>
    </row>
    <row r="860" spans="3:7">
      <c r="C860" s="72"/>
      <c r="D860" s="72"/>
      <c r="E860" s="72"/>
      <c r="F860" s="72"/>
      <c r="G860" s="72"/>
    </row>
    <row r="861" spans="3:7">
      <c r="C861" s="72"/>
      <c r="D861" s="72"/>
      <c r="E861" s="72"/>
      <c r="F861" s="72"/>
      <c r="G861" s="72"/>
    </row>
    <row r="862" spans="3:7">
      <c r="C862" s="72"/>
      <c r="D862" s="72"/>
      <c r="E862" s="72"/>
      <c r="F862" s="72"/>
      <c r="G862" s="72"/>
    </row>
    <row r="863" spans="3:7">
      <c r="C863" s="72"/>
      <c r="D863" s="72"/>
      <c r="E863" s="72"/>
      <c r="F863" s="72"/>
      <c r="G863" s="72"/>
    </row>
    <row r="864" spans="3:7">
      <c r="C864" s="72"/>
      <c r="D864" s="72"/>
      <c r="E864" s="72"/>
      <c r="F864" s="72"/>
      <c r="G864" s="72"/>
    </row>
    <row r="865" spans="3:7">
      <c r="C865" s="72"/>
      <c r="D865" s="72"/>
      <c r="E865" s="72"/>
      <c r="F865" s="72"/>
      <c r="G865" s="72"/>
    </row>
    <row r="866" spans="3:7">
      <c r="C866" s="72"/>
      <c r="D866" s="72"/>
      <c r="E866" s="72"/>
      <c r="F866" s="72"/>
      <c r="G866" s="72"/>
    </row>
    <row r="867" spans="3:7">
      <c r="C867" s="72"/>
      <c r="D867" s="72"/>
      <c r="E867" s="72"/>
      <c r="F867" s="72"/>
      <c r="G867" s="72"/>
    </row>
    <row r="868" spans="3:7">
      <c r="C868" s="72"/>
      <c r="D868" s="72"/>
      <c r="E868" s="72"/>
      <c r="F868" s="72"/>
      <c r="G868" s="72"/>
    </row>
    <row r="869" spans="3:7">
      <c r="C869" s="72"/>
      <c r="D869" s="72"/>
      <c r="E869" s="72"/>
      <c r="F869" s="72"/>
      <c r="G869" s="72"/>
    </row>
    <row r="870" spans="3:7">
      <c r="C870" s="72"/>
      <c r="D870" s="72"/>
      <c r="E870" s="72"/>
      <c r="F870" s="72"/>
      <c r="G870" s="72"/>
    </row>
    <row r="871" spans="3:7">
      <c r="C871" s="72"/>
      <c r="D871" s="72"/>
      <c r="E871" s="72"/>
      <c r="F871" s="72"/>
      <c r="G871" s="72"/>
    </row>
    <row r="872" spans="3:7">
      <c r="C872" s="72"/>
      <c r="D872" s="72"/>
      <c r="E872" s="72"/>
      <c r="F872" s="72"/>
      <c r="G872" s="72"/>
    </row>
    <row r="873" spans="3:7">
      <c r="C873" s="72"/>
      <c r="D873" s="72"/>
      <c r="E873" s="72"/>
      <c r="F873" s="72"/>
      <c r="G873" s="72"/>
    </row>
    <row r="874" spans="3:7">
      <c r="C874" s="72"/>
      <c r="D874" s="72"/>
      <c r="E874" s="72"/>
      <c r="F874" s="72"/>
      <c r="G874" s="72"/>
    </row>
    <row r="875" spans="3:7">
      <c r="C875" s="72"/>
      <c r="D875" s="72"/>
      <c r="E875" s="72"/>
      <c r="F875" s="72"/>
      <c r="G875" s="72"/>
    </row>
    <row r="876" spans="3:7">
      <c r="C876" s="72"/>
      <c r="D876" s="72"/>
      <c r="E876" s="72"/>
      <c r="F876" s="72"/>
      <c r="G876" s="72"/>
    </row>
    <row r="877" spans="3:7">
      <c r="C877" s="72"/>
      <c r="D877" s="72"/>
      <c r="E877" s="72"/>
      <c r="F877" s="72"/>
      <c r="G877" s="72"/>
    </row>
    <row r="878" spans="3:7">
      <c r="C878" s="72"/>
      <c r="D878" s="72"/>
      <c r="E878" s="72"/>
      <c r="F878" s="72"/>
      <c r="G878" s="72"/>
    </row>
    <row r="879" spans="3:7">
      <c r="C879" s="72"/>
      <c r="D879" s="72"/>
      <c r="E879" s="72"/>
      <c r="F879" s="72"/>
      <c r="G879" s="72"/>
    </row>
    <row r="880" spans="3:7">
      <c r="C880" s="72"/>
      <c r="D880" s="72"/>
      <c r="E880" s="72"/>
      <c r="F880" s="72"/>
      <c r="G880" s="72"/>
    </row>
    <row r="881" spans="3:7">
      <c r="C881" s="72"/>
      <c r="D881" s="72"/>
      <c r="E881" s="72"/>
      <c r="F881" s="72"/>
      <c r="G881" s="72"/>
    </row>
    <row r="882" spans="3:7">
      <c r="C882" s="72"/>
      <c r="D882" s="72"/>
      <c r="E882" s="72"/>
      <c r="F882" s="72"/>
      <c r="G882" s="72"/>
    </row>
    <row r="883" spans="3:7">
      <c r="C883" s="72"/>
      <c r="D883" s="72"/>
      <c r="E883" s="72"/>
      <c r="F883" s="72"/>
      <c r="G883" s="72"/>
    </row>
    <row r="884" spans="3:7">
      <c r="C884" s="72"/>
      <c r="D884" s="72"/>
      <c r="E884" s="72"/>
      <c r="F884" s="72"/>
      <c r="G884" s="72"/>
    </row>
    <row r="885" spans="3:7">
      <c r="C885" s="72"/>
      <c r="D885" s="72"/>
      <c r="E885" s="72"/>
      <c r="F885" s="72"/>
      <c r="G885" s="72"/>
    </row>
    <row r="886" spans="3:7">
      <c r="C886" s="72"/>
      <c r="D886" s="72"/>
      <c r="E886" s="72"/>
      <c r="F886" s="72"/>
      <c r="G886" s="72"/>
    </row>
    <row r="887" spans="3:7">
      <c r="C887" s="72"/>
      <c r="D887" s="72"/>
      <c r="E887" s="72"/>
      <c r="F887" s="72"/>
      <c r="G887" s="72"/>
    </row>
    <row r="888" spans="3:7">
      <c r="C888" s="72"/>
      <c r="D888" s="72"/>
      <c r="E888" s="72"/>
      <c r="F888" s="72"/>
      <c r="G888" s="72"/>
    </row>
    <row r="889" spans="3:7">
      <c r="C889" s="72"/>
      <c r="D889" s="72"/>
      <c r="E889" s="72"/>
      <c r="F889" s="72"/>
      <c r="G889" s="72"/>
    </row>
    <row r="890" spans="3:7">
      <c r="C890" s="72"/>
      <c r="D890" s="72"/>
      <c r="E890" s="72"/>
      <c r="F890" s="72"/>
      <c r="G890" s="72"/>
    </row>
    <row r="891" spans="3:7">
      <c r="C891" s="72"/>
      <c r="D891" s="72"/>
      <c r="E891" s="72"/>
      <c r="F891" s="72"/>
      <c r="G891" s="72"/>
    </row>
    <row r="892" spans="3:7">
      <c r="C892" s="72"/>
      <c r="D892" s="72"/>
      <c r="E892" s="72"/>
      <c r="F892" s="72"/>
      <c r="G892" s="72"/>
    </row>
    <row r="893" spans="3:7">
      <c r="C893" s="72"/>
      <c r="D893" s="72"/>
      <c r="E893" s="72"/>
      <c r="F893" s="72"/>
      <c r="G893" s="72"/>
    </row>
    <row r="894" spans="3:7">
      <c r="C894" s="72"/>
      <c r="D894" s="72"/>
      <c r="E894" s="72"/>
      <c r="F894" s="72"/>
      <c r="G894" s="72"/>
    </row>
    <row r="895" spans="3:7">
      <c r="C895" s="72"/>
      <c r="D895" s="72"/>
      <c r="E895" s="72"/>
      <c r="F895" s="72"/>
      <c r="G895" s="72"/>
    </row>
    <row r="896" spans="3:7">
      <c r="C896" s="72"/>
      <c r="D896" s="72"/>
      <c r="E896" s="72"/>
      <c r="F896" s="72"/>
      <c r="G896" s="72"/>
    </row>
    <row r="897" spans="3:7">
      <c r="C897" s="72"/>
      <c r="D897" s="72"/>
      <c r="E897" s="72"/>
      <c r="F897" s="72"/>
      <c r="G897" s="72"/>
    </row>
    <row r="898" spans="3:7">
      <c r="C898" s="72"/>
      <c r="D898" s="72"/>
      <c r="E898" s="72"/>
      <c r="F898" s="72"/>
      <c r="G898" s="72"/>
    </row>
    <row r="899" spans="3:7">
      <c r="C899" s="72"/>
      <c r="D899" s="72"/>
      <c r="E899" s="72"/>
      <c r="F899" s="72"/>
      <c r="G899" s="72"/>
    </row>
    <row r="900" spans="3:7">
      <c r="C900" s="72"/>
      <c r="D900" s="72"/>
      <c r="E900" s="72"/>
      <c r="F900" s="72"/>
      <c r="G900" s="72"/>
    </row>
    <row r="901" spans="3:7">
      <c r="C901" s="72"/>
      <c r="D901" s="72"/>
      <c r="E901" s="72"/>
      <c r="F901" s="72"/>
      <c r="G901" s="72"/>
    </row>
    <row r="902" spans="3:7">
      <c r="C902" s="72"/>
      <c r="D902" s="72"/>
      <c r="E902" s="72"/>
      <c r="F902" s="72"/>
      <c r="G902" s="72"/>
    </row>
    <row r="903" spans="3:7">
      <c r="C903" s="72"/>
      <c r="D903" s="72"/>
      <c r="E903" s="72"/>
      <c r="F903" s="72"/>
      <c r="G903" s="72"/>
    </row>
    <row r="904" spans="3:7">
      <c r="C904" s="72"/>
      <c r="D904" s="72"/>
      <c r="E904" s="72"/>
      <c r="F904" s="72"/>
      <c r="G904" s="72"/>
    </row>
    <row r="905" spans="3:7">
      <c r="C905" s="72"/>
      <c r="D905" s="72"/>
      <c r="E905" s="72"/>
      <c r="F905" s="72"/>
      <c r="G905" s="72"/>
    </row>
    <row r="906" spans="3:7">
      <c r="C906" s="72"/>
      <c r="D906" s="72"/>
      <c r="E906" s="72"/>
      <c r="F906" s="72"/>
      <c r="G906" s="72"/>
    </row>
    <row r="907" spans="3:7">
      <c r="C907" s="72"/>
      <c r="D907" s="72"/>
      <c r="E907" s="72"/>
      <c r="F907" s="72"/>
      <c r="G907" s="72"/>
    </row>
    <row r="908" spans="3:7">
      <c r="C908" s="72"/>
      <c r="D908" s="72"/>
      <c r="E908" s="72"/>
      <c r="F908" s="72"/>
      <c r="G908" s="72"/>
    </row>
    <row r="909" spans="3:7">
      <c r="C909" s="72"/>
      <c r="D909" s="72"/>
      <c r="E909" s="72"/>
      <c r="F909" s="72"/>
      <c r="G909" s="72"/>
    </row>
    <row r="910" spans="3:7">
      <c r="C910" s="72"/>
      <c r="D910" s="72"/>
      <c r="E910" s="72"/>
      <c r="F910" s="72"/>
      <c r="G910" s="72"/>
    </row>
    <row r="911" spans="3:7">
      <c r="C911" s="72"/>
      <c r="D911" s="72"/>
      <c r="E911" s="72"/>
      <c r="F911" s="72"/>
      <c r="G911" s="72"/>
    </row>
    <row r="912" spans="3:7">
      <c r="C912" s="72"/>
      <c r="D912" s="72"/>
      <c r="E912" s="72"/>
      <c r="F912" s="72"/>
      <c r="G912" s="72"/>
    </row>
    <row r="913" spans="3:7">
      <c r="C913" s="72"/>
      <c r="D913" s="72"/>
      <c r="E913" s="72"/>
      <c r="F913" s="72"/>
      <c r="G913" s="72"/>
    </row>
    <row r="914" spans="3:7">
      <c r="C914" s="72"/>
      <c r="D914" s="72"/>
      <c r="E914" s="72"/>
      <c r="F914" s="72"/>
      <c r="G914" s="72"/>
    </row>
    <row r="915" spans="3:7">
      <c r="C915" s="72"/>
      <c r="D915" s="72"/>
      <c r="E915" s="72"/>
      <c r="F915" s="72"/>
      <c r="G915" s="72"/>
    </row>
    <row r="916" spans="3:7">
      <c r="C916" s="72"/>
      <c r="D916" s="72"/>
      <c r="E916" s="72"/>
      <c r="F916" s="72"/>
      <c r="G916" s="72"/>
    </row>
    <row r="917" spans="3:7">
      <c r="C917" s="72"/>
      <c r="D917" s="72"/>
      <c r="E917" s="72"/>
      <c r="F917" s="72"/>
      <c r="G917" s="72"/>
    </row>
    <row r="918" spans="3:7">
      <c r="C918" s="72"/>
      <c r="D918" s="72"/>
      <c r="E918" s="72"/>
      <c r="F918" s="72"/>
      <c r="G918" s="72"/>
    </row>
    <row r="919" spans="3:7">
      <c r="C919" s="72"/>
      <c r="D919" s="72"/>
      <c r="E919" s="72"/>
      <c r="F919" s="72"/>
      <c r="G919" s="72"/>
    </row>
    <row r="920" spans="3:7">
      <c r="C920" s="72"/>
      <c r="D920" s="72"/>
      <c r="E920" s="72"/>
      <c r="F920" s="72"/>
      <c r="G920" s="72"/>
    </row>
    <row r="921" spans="3:7">
      <c r="C921" s="72"/>
      <c r="D921" s="72"/>
      <c r="E921" s="72"/>
      <c r="F921" s="72"/>
      <c r="G921" s="72"/>
    </row>
    <row r="922" spans="3:7">
      <c r="C922" s="72"/>
      <c r="D922" s="72"/>
      <c r="E922" s="72"/>
      <c r="F922" s="72"/>
      <c r="G922" s="72"/>
    </row>
    <row r="923" spans="3:7">
      <c r="C923" s="72"/>
      <c r="D923" s="72"/>
      <c r="E923" s="72"/>
      <c r="F923" s="72"/>
      <c r="G923" s="72"/>
    </row>
    <row r="924" spans="3:7">
      <c r="C924" s="72"/>
      <c r="D924" s="72"/>
      <c r="E924" s="72"/>
      <c r="F924" s="72"/>
      <c r="G924" s="72"/>
    </row>
    <row r="925" spans="3:7">
      <c r="C925" s="72"/>
      <c r="D925" s="72"/>
      <c r="E925" s="72"/>
      <c r="F925" s="72"/>
      <c r="G925" s="72"/>
    </row>
    <row r="926" spans="3:7">
      <c r="C926" s="72"/>
      <c r="D926" s="72"/>
      <c r="E926" s="72"/>
      <c r="F926" s="72"/>
      <c r="G926" s="72"/>
    </row>
    <row r="927" spans="3:7">
      <c r="C927" s="72"/>
      <c r="D927" s="72"/>
      <c r="E927" s="72"/>
      <c r="F927" s="72"/>
      <c r="G927" s="72"/>
    </row>
    <row r="928" spans="3:7">
      <c r="C928" s="72"/>
      <c r="D928" s="72"/>
      <c r="E928" s="72"/>
      <c r="F928" s="72"/>
      <c r="G928" s="72"/>
    </row>
    <row r="929" spans="3:7">
      <c r="C929" s="72"/>
      <c r="D929" s="72"/>
      <c r="E929" s="72"/>
      <c r="F929" s="72"/>
      <c r="G929" s="72"/>
    </row>
    <row r="930" spans="3:7">
      <c r="C930" s="72"/>
      <c r="D930" s="72"/>
      <c r="E930" s="72"/>
      <c r="F930" s="72"/>
      <c r="G930" s="72"/>
    </row>
    <row r="931" spans="3:7">
      <c r="C931" s="72"/>
      <c r="D931" s="72"/>
      <c r="E931" s="72"/>
      <c r="F931" s="72"/>
      <c r="G931" s="72"/>
    </row>
    <row r="932" spans="3:7">
      <c r="C932" s="72"/>
      <c r="D932" s="72"/>
      <c r="E932" s="72"/>
      <c r="F932" s="72"/>
      <c r="G932" s="72"/>
    </row>
    <row r="933" spans="3:7">
      <c r="C933" s="72"/>
      <c r="D933" s="72"/>
      <c r="E933" s="72"/>
      <c r="F933" s="72"/>
      <c r="G933" s="72"/>
    </row>
    <row r="934" spans="3:7">
      <c r="C934" s="72"/>
      <c r="D934" s="72"/>
      <c r="E934" s="72"/>
      <c r="F934" s="72"/>
      <c r="G934" s="72"/>
    </row>
    <row r="935" spans="3:7">
      <c r="C935" s="72"/>
      <c r="D935" s="72"/>
      <c r="E935" s="72"/>
      <c r="F935" s="72"/>
      <c r="G935" s="72"/>
    </row>
    <row r="936" spans="3:7">
      <c r="C936" s="72"/>
      <c r="D936" s="72"/>
      <c r="E936" s="72"/>
      <c r="F936" s="72"/>
      <c r="G936" s="72"/>
    </row>
    <row r="937" spans="3:7">
      <c r="C937" s="72"/>
      <c r="D937" s="72"/>
      <c r="E937" s="72"/>
      <c r="F937" s="72"/>
      <c r="G937" s="72"/>
    </row>
    <row r="938" spans="3:7">
      <c r="C938" s="72"/>
      <c r="D938" s="72"/>
      <c r="E938" s="72"/>
      <c r="F938" s="72"/>
      <c r="G938" s="72"/>
    </row>
    <row r="939" spans="3:7">
      <c r="C939" s="72"/>
      <c r="D939" s="72"/>
      <c r="E939" s="72"/>
      <c r="F939" s="72"/>
      <c r="G939" s="72"/>
    </row>
    <row r="940" spans="3:7">
      <c r="C940" s="72"/>
      <c r="D940" s="72"/>
      <c r="E940" s="72"/>
      <c r="F940" s="72"/>
      <c r="G940" s="72"/>
    </row>
    <row r="941" spans="3:7">
      <c r="C941" s="72"/>
      <c r="D941" s="72"/>
      <c r="E941" s="72"/>
      <c r="F941" s="72"/>
      <c r="G941" s="72"/>
    </row>
    <row r="942" spans="3:7">
      <c r="C942" s="72"/>
      <c r="D942" s="72"/>
      <c r="E942" s="72"/>
      <c r="F942" s="72"/>
      <c r="G942" s="72"/>
    </row>
    <row r="943" spans="3:7">
      <c r="C943" s="72"/>
      <c r="D943" s="72"/>
      <c r="E943" s="72"/>
      <c r="F943" s="72"/>
      <c r="G943" s="72"/>
    </row>
    <row r="944" spans="3:7">
      <c r="C944" s="72"/>
      <c r="D944" s="72"/>
      <c r="E944" s="72"/>
      <c r="F944" s="72"/>
      <c r="G944" s="72"/>
    </row>
    <row r="945" spans="3:7">
      <c r="C945" s="72"/>
      <c r="D945" s="72"/>
      <c r="E945" s="72"/>
      <c r="F945" s="72"/>
      <c r="G945" s="72"/>
    </row>
    <row r="946" spans="3:7">
      <c r="C946" s="72"/>
      <c r="D946" s="72"/>
      <c r="E946" s="72"/>
      <c r="F946" s="72"/>
      <c r="G946" s="72"/>
    </row>
    <row r="947" spans="3:7">
      <c r="C947" s="72"/>
      <c r="D947" s="72"/>
      <c r="E947" s="72"/>
      <c r="F947" s="72"/>
      <c r="G947" s="72"/>
    </row>
    <row r="948" spans="3:7">
      <c r="C948" s="72"/>
      <c r="D948" s="72"/>
      <c r="E948" s="72"/>
      <c r="F948" s="72"/>
      <c r="G948" s="72"/>
    </row>
    <row r="949" spans="3:7">
      <c r="C949" s="72"/>
      <c r="D949" s="72"/>
      <c r="E949" s="72"/>
      <c r="F949" s="72"/>
      <c r="G949" s="72"/>
    </row>
    <row r="950" spans="3:7">
      <c r="C950" s="72"/>
      <c r="D950" s="72"/>
      <c r="E950" s="72"/>
      <c r="F950" s="72"/>
      <c r="G950" s="72"/>
    </row>
    <row r="951" spans="3:7">
      <c r="C951" s="72"/>
      <c r="D951" s="72"/>
      <c r="E951" s="72"/>
      <c r="F951" s="72"/>
      <c r="G951" s="72"/>
    </row>
    <row r="952" spans="3:7">
      <c r="C952" s="72"/>
      <c r="D952" s="72"/>
      <c r="E952" s="72"/>
      <c r="F952" s="72"/>
      <c r="G952" s="72"/>
    </row>
    <row r="953" spans="3:7">
      <c r="C953" s="72"/>
      <c r="D953" s="72"/>
      <c r="E953" s="72"/>
      <c r="F953" s="72"/>
      <c r="G953" s="72"/>
    </row>
    <row r="954" spans="3:7">
      <c r="C954" s="72"/>
      <c r="D954" s="72"/>
      <c r="E954" s="72"/>
      <c r="F954" s="72"/>
      <c r="G954" s="72"/>
    </row>
    <row r="955" spans="3:7">
      <c r="C955" s="72"/>
      <c r="D955" s="72"/>
      <c r="E955" s="72"/>
      <c r="F955" s="72"/>
      <c r="G955" s="72"/>
    </row>
    <row r="956" spans="3:7">
      <c r="C956" s="72"/>
      <c r="D956" s="72"/>
      <c r="E956" s="72"/>
      <c r="F956" s="72"/>
      <c r="G956" s="72"/>
    </row>
    <row r="957" spans="3:7">
      <c r="C957" s="72"/>
      <c r="D957" s="72"/>
      <c r="E957" s="72"/>
      <c r="F957" s="72"/>
      <c r="G957" s="72"/>
    </row>
    <row r="958" spans="3:7">
      <c r="C958" s="72"/>
      <c r="D958" s="72"/>
      <c r="E958" s="72"/>
      <c r="F958" s="72"/>
      <c r="G958" s="72"/>
    </row>
    <row r="959" spans="3:7">
      <c r="C959" s="72"/>
      <c r="D959" s="72"/>
      <c r="E959" s="72"/>
      <c r="F959" s="72"/>
      <c r="G959" s="72"/>
    </row>
    <row r="960" spans="3:7">
      <c r="C960" s="72"/>
      <c r="D960" s="72"/>
      <c r="E960" s="72"/>
      <c r="F960" s="72"/>
      <c r="G960" s="72"/>
    </row>
    <row r="961" spans="3:7">
      <c r="C961" s="72"/>
      <c r="D961" s="72"/>
      <c r="E961" s="72"/>
      <c r="F961" s="72"/>
      <c r="G961" s="72"/>
    </row>
    <row r="962" spans="3:7">
      <c r="C962" s="72"/>
      <c r="D962" s="72"/>
      <c r="E962" s="72"/>
      <c r="F962" s="72"/>
      <c r="G962" s="72"/>
    </row>
    <row r="963" spans="3:7">
      <c r="C963" s="72"/>
      <c r="D963" s="72"/>
      <c r="E963" s="72"/>
      <c r="F963" s="72"/>
      <c r="G963" s="72"/>
    </row>
    <row r="964" spans="3:7">
      <c r="C964" s="72"/>
      <c r="D964" s="72"/>
      <c r="E964" s="72"/>
      <c r="F964" s="72"/>
      <c r="G964" s="72"/>
    </row>
    <row r="965" spans="3:7">
      <c r="C965" s="72"/>
      <c r="D965" s="72"/>
      <c r="E965" s="72"/>
      <c r="F965" s="72"/>
      <c r="G965" s="72"/>
    </row>
    <row r="966" spans="3:7">
      <c r="C966" s="72"/>
      <c r="D966" s="72"/>
      <c r="E966" s="72"/>
      <c r="F966" s="72"/>
      <c r="G966" s="72"/>
    </row>
    <row r="967" spans="3:7">
      <c r="C967" s="72"/>
      <c r="D967" s="72"/>
      <c r="E967" s="72"/>
      <c r="F967" s="72"/>
      <c r="G967" s="72"/>
    </row>
    <row r="968" spans="3:7">
      <c r="C968" s="72"/>
      <c r="D968" s="72"/>
      <c r="E968" s="72"/>
      <c r="F968" s="72"/>
      <c r="G968" s="72"/>
    </row>
    <row r="969" spans="3:7">
      <c r="C969" s="72"/>
      <c r="D969" s="72"/>
      <c r="E969" s="72"/>
      <c r="F969" s="72"/>
      <c r="G969" s="72"/>
    </row>
    <row r="970" spans="3:7">
      <c r="C970" s="72"/>
      <c r="D970" s="72"/>
      <c r="E970" s="72"/>
      <c r="F970" s="72"/>
      <c r="G970" s="72"/>
    </row>
    <row r="971" spans="3:7">
      <c r="C971" s="72"/>
      <c r="D971" s="72"/>
      <c r="E971" s="72"/>
      <c r="F971" s="72"/>
      <c r="G971" s="72"/>
    </row>
    <row r="972" spans="3:7">
      <c r="C972" s="72"/>
      <c r="D972" s="72"/>
      <c r="E972" s="72"/>
      <c r="F972" s="72"/>
      <c r="G972" s="72"/>
    </row>
    <row r="973" spans="3:7">
      <c r="C973" s="72"/>
      <c r="D973" s="72"/>
      <c r="E973" s="72"/>
      <c r="F973" s="72"/>
      <c r="G973" s="72"/>
    </row>
    <row r="974" spans="3:7">
      <c r="C974" s="72"/>
      <c r="D974" s="72"/>
      <c r="E974" s="72"/>
      <c r="F974" s="72"/>
      <c r="G974" s="72"/>
    </row>
    <row r="975" spans="3:7">
      <c r="C975" s="72"/>
      <c r="D975" s="72"/>
      <c r="E975" s="72"/>
      <c r="F975" s="72"/>
      <c r="G975" s="72"/>
    </row>
    <row r="976" spans="3:7">
      <c r="C976" s="72"/>
      <c r="D976" s="72"/>
      <c r="E976" s="72"/>
      <c r="F976" s="72"/>
      <c r="G976" s="72"/>
    </row>
    <row r="977" spans="3:7">
      <c r="C977" s="72"/>
      <c r="D977" s="72"/>
      <c r="E977" s="72"/>
      <c r="F977" s="72"/>
      <c r="G977" s="72"/>
    </row>
    <row r="978" spans="3:7">
      <c r="C978" s="72"/>
      <c r="D978" s="72"/>
      <c r="E978" s="72"/>
      <c r="F978" s="72"/>
      <c r="G978" s="72"/>
    </row>
    <row r="979" spans="3:7">
      <c r="C979" s="72"/>
      <c r="D979" s="72"/>
      <c r="E979" s="72"/>
      <c r="F979" s="72"/>
      <c r="G979" s="72"/>
    </row>
    <row r="980" spans="3:7">
      <c r="C980" s="72"/>
      <c r="D980" s="72"/>
      <c r="E980" s="72"/>
      <c r="F980" s="72"/>
      <c r="G980" s="72"/>
    </row>
    <row r="981" spans="3:7">
      <c r="C981" s="72"/>
      <c r="D981" s="72"/>
      <c r="E981" s="72"/>
      <c r="F981" s="72"/>
      <c r="G981" s="72"/>
    </row>
    <row r="982" spans="3:7">
      <c r="C982" s="72"/>
      <c r="D982" s="72"/>
      <c r="E982" s="72"/>
      <c r="F982" s="72"/>
      <c r="G982" s="72"/>
    </row>
    <row r="983" spans="3:7">
      <c r="C983" s="72"/>
      <c r="D983" s="72"/>
      <c r="E983" s="72"/>
      <c r="F983" s="72"/>
      <c r="G983" s="72"/>
    </row>
    <row r="984" spans="3:7">
      <c r="C984" s="72"/>
      <c r="D984" s="72"/>
      <c r="E984" s="72"/>
      <c r="F984" s="72"/>
      <c r="G984" s="72"/>
    </row>
    <row r="985" spans="3:7">
      <c r="C985" s="72"/>
      <c r="D985" s="72"/>
      <c r="E985" s="72"/>
      <c r="F985" s="72"/>
      <c r="G985" s="72"/>
    </row>
    <row r="986" spans="3:7">
      <c r="C986" s="72"/>
      <c r="D986" s="72"/>
      <c r="E986" s="72"/>
      <c r="F986" s="72"/>
      <c r="G986" s="72"/>
    </row>
    <row r="987" spans="3:7">
      <c r="C987" s="72"/>
      <c r="D987" s="72"/>
      <c r="E987" s="72"/>
      <c r="F987" s="72"/>
      <c r="G987" s="72"/>
    </row>
    <row r="988" spans="3:7">
      <c r="C988" s="72"/>
      <c r="D988" s="72"/>
      <c r="E988" s="72"/>
      <c r="F988" s="72"/>
      <c r="G988" s="72"/>
    </row>
    <row r="989" spans="3:7">
      <c r="C989" s="72"/>
      <c r="D989" s="72"/>
      <c r="E989" s="72"/>
      <c r="F989" s="72"/>
      <c r="G989" s="72"/>
    </row>
    <row r="990" spans="3:7">
      <c r="C990" s="72"/>
      <c r="D990" s="72"/>
      <c r="E990" s="72"/>
      <c r="F990" s="72"/>
      <c r="G990" s="72"/>
    </row>
    <row r="991" spans="3:7">
      <c r="C991" s="72"/>
      <c r="D991" s="72"/>
      <c r="E991" s="72"/>
      <c r="F991" s="72"/>
      <c r="G991" s="72"/>
    </row>
    <row r="992" spans="3:7">
      <c r="C992" s="72"/>
      <c r="D992" s="72"/>
      <c r="E992" s="72"/>
      <c r="F992" s="72"/>
      <c r="G992" s="72"/>
    </row>
    <row r="993" spans="3:7">
      <c r="C993" s="72"/>
      <c r="D993" s="72"/>
      <c r="E993" s="72"/>
      <c r="F993" s="72"/>
      <c r="G993" s="72"/>
    </row>
    <row r="994" spans="3:7">
      <c r="C994" s="72"/>
      <c r="D994" s="72"/>
      <c r="E994" s="72"/>
      <c r="F994" s="72"/>
      <c r="G994" s="72"/>
    </row>
    <row r="995" spans="3:7">
      <c r="C995" s="72"/>
      <c r="D995" s="72"/>
      <c r="E995" s="72"/>
      <c r="F995" s="72"/>
      <c r="G995" s="72"/>
    </row>
    <row r="996" spans="3:7">
      <c r="C996" s="72"/>
      <c r="D996" s="72"/>
      <c r="E996" s="72"/>
      <c r="F996" s="72"/>
      <c r="G996" s="72"/>
    </row>
    <row r="997" spans="3:7">
      <c r="C997" s="72"/>
      <c r="D997" s="72"/>
      <c r="E997" s="72"/>
      <c r="F997" s="72"/>
      <c r="G997" s="72"/>
    </row>
    <row r="998" spans="3:7">
      <c r="C998" s="72"/>
      <c r="D998" s="72"/>
      <c r="E998" s="72"/>
      <c r="F998" s="72"/>
      <c r="G998" s="72"/>
    </row>
    <row r="999" spans="3:7">
      <c r="C999" s="72"/>
      <c r="D999" s="72"/>
      <c r="E999" s="72"/>
      <c r="F999" s="72"/>
      <c r="G999" s="72"/>
    </row>
    <row r="1000" spans="3:7">
      <c r="C1000" s="72"/>
      <c r="D1000" s="72"/>
      <c r="E1000" s="72"/>
      <c r="F1000" s="72"/>
      <c r="G1000" s="72"/>
    </row>
    <row r="1001" spans="3:7">
      <c r="C1001" s="72"/>
      <c r="D1001" s="72"/>
      <c r="E1001" s="72"/>
      <c r="F1001" s="72"/>
      <c r="G1001" s="7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Student Fee Data</vt:lpstr>
      <vt:lpstr>Sheet2</vt:lpstr>
      <vt:lpstr>Sheet1</vt:lpstr>
      <vt:lpstr>Dashboard</vt:lpstr>
      <vt:lpstr>Fee Communication</vt:lpstr>
      <vt:lpstr>InternationalStudents</vt:lpstr>
      <vt:lpstr>'Student Fee Data'!master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Janki Kansagra</cp:lastModifiedBy>
  <dcterms:modified xsi:type="dcterms:W3CDTF">2024-03-12T03:49:33Z</dcterms:modified>
</cp:coreProperties>
</file>